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M Specs" sheetId="1" r:id="rId4"/>
    <sheet state="visible" name="VA_" sheetId="2" r:id="rId5"/>
    <sheet state="visible" name="GEMV_" sheetId="3" r:id="rId6"/>
    <sheet state="visible" name="SEL_" sheetId="4" r:id="rId7"/>
    <sheet state="visible" name="BS" sheetId="5" r:id="rId8"/>
    <sheet state="visible" name="RED" sheetId="6" r:id="rId9"/>
    <sheet state="visible" name="BC" sheetId="7" r:id="rId10"/>
    <sheet state="visible" name="MLP_" sheetId="8" r:id="rId11"/>
    <sheet state="visible" name="SM" sheetId="9" r:id="rId12"/>
    <sheet state="visible" name="LR" sheetId="10" r:id="rId13"/>
    <sheet state="visible" name="HG" sheetId="11" r:id="rId14"/>
    <sheet state="visible" name="PCA_" sheetId="12" r:id="rId15"/>
    <sheet state="visible" name="KM_" sheetId="13" r:id="rId16"/>
    <sheet state="visible" name="MATMUL_" sheetId="14" r:id="rId17"/>
    <sheet state="visible" name="Integer CPU" sheetId="15" r:id="rId18"/>
    <sheet state="visible" name="Float CPU" sheetId="16" r:id="rId19"/>
    <sheet state="visible" name="GPU" sheetId="17" r:id="rId20"/>
    <sheet state="visible" name="Power" sheetId="18" r:id="rId21"/>
    <sheet state="visible" name="Area" sheetId="19" r:id="rId22"/>
  </sheets>
  <definedNames/>
  <calcPr/>
</workbook>
</file>

<file path=xl/sharedStrings.xml><?xml version="1.0" encoding="utf-8"?>
<sst xmlns="http://schemas.openxmlformats.org/spreadsheetml/2006/main" count="6077" uniqueCount="1360">
  <si>
    <t>Timing parameters</t>
  </si>
  <si>
    <t>tCK</t>
  </si>
  <si>
    <t>tRCD</t>
  </si>
  <si>
    <t>tWR</t>
  </si>
  <si>
    <t>tCCD</t>
  </si>
  <si>
    <t>tRP</t>
  </si>
  <si>
    <t>tRAS</t>
  </si>
  <si>
    <t>R (tRCD + tRP)</t>
  </si>
  <si>
    <t>W (tWR + tRP)</t>
  </si>
  <si>
    <t>~AAP (tRAS + tRP)</t>
  </si>
  <si>
    <t>NAND</t>
  </si>
  <si>
    <t>R</t>
  </si>
  <si>
    <t>W</t>
  </si>
  <si>
    <t>Logic</t>
  </si>
  <si>
    <t>R_L</t>
  </si>
  <si>
    <t>W_L</t>
  </si>
  <si>
    <t>L_L</t>
  </si>
  <si>
    <t>ADD/SUB</t>
  </si>
  <si>
    <t>11n</t>
  </si>
  <si>
    <t>6n+1</t>
  </si>
  <si>
    <t>13n+1</t>
  </si>
  <si>
    <t>MUL</t>
  </si>
  <si>
    <t>15.2n^2</t>
  </si>
  <si>
    <t>8.62n^2</t>
  </si>
  <si>
    <t>17.1n^2</t>
  </si>
  <si>
    <t>DIV</t>
  </si>
  <si>
    <t>22.8n^2</t>
  </si>
  <si>
    <t>12.9n^2</t>
  </si>
  <si>
    <t>23.9n^2</t>
  </si>
  <si>
    <t>ABS</t>
  </si>
  <si>
    <t>10n+2</t>
  </si>
  <si>
    <t>5n+2</t>
  </si>
  <si>
    <t>13n</t>
  </si>
  <si>
    <t>XOR</t>
  </si>
  <si>
    <t>4n</t>
  </si>
  <si>
    <t>2n</t>
  </si>
  <si>
    <t>6n</t>
  </si>
  <si>
    <t>BC</t>
  </si>
  <si>
    <t>17n+18</t>
  </si>
  <si>
    <t>10n+6</t>
  </si>
  <si>
    <t>21n+21</t>
  </si>
  <si>
    <t>MIN</t>
  </si>
  <si>
    <t>19n</t>
  </si>
  <si>
    <t>11n+1</t>
  </si>
  <si>
    <t>21n+1</t>
  </si>
  <si>
    <t>AND</t>
  </si>
  <si>
    <t>1n</t>
  </si>
  <si>
    <t>3n</t>
  </si>
  <si>
    <t>MAJ</t>
  </si>
  <si>
    <t>5n</t>
  </si>
  <si>
    <t>3n+1</t>
  </si>
  <si>
    <t>9n+1</t>
  </si>
  <si>
    <t>7.6n^2</t>
  </si>
  <si>
    <t>4.33n^2</t>
  </si>
  <si>
    <t>16n</t>
  </si>
  <si>
    <t>12n^2</t>
  </si>
  <si>
    <t>6.48n^2</t>
  </si>
  <si>
    <t>22.36n^2</t>
  </si>
  <si>
    <t>6n+2</t>
  </si>
  <si>
    <t>23n</t>
  </si>
  <si>
    <t>12n</t>
  </si>
  <si>
    <t>9n+12</t>
  </si>
  <si>
    <t>6n+11</t>
  </si>
  <si>
    <t>20n+1</t>
  </si>
  <si>
    <t>9n+3</t>
  </si>
  <si>
    <t>5n+3</t>
  </si>
  <si>
    <t>20n+14</t>
  </si>
  <si>
    <t>AP</t>
  </si>
  <si>
    <t>2n+1</t>
  </si>
  <si>
    <t>4n+1</t>
  </si>
  <si>
    <t>5.12n^2</t>
  </si>
  <si>
    <t>2.73n^2</t>
  </si>
  <si>
    <t>5.17n^2</t>
  </si>
  <si>
    <t>8.08n^2</t>
  </si>
  <si>
    <t>4.09n^2</t>
  </si>
  <si>
    <t>7.22n^2</t>
  </si>
  <si>
    <t>n+1</t>
  </si>
  <si>
    <t>9n</t>
  </si>
  <si>
    <t>6n+19</t>
  </si>
  <si>
    <t>4n+18</t>
  </si>
  <si>
    <t>8n+20</t>
  </si>
  <si>
    <t>4n+3</t>
  </si>
  <si>
    <t>2R</t>
  </si>
  <si>
    <t>3.32n^2</t>
  </si>
  <si>
    <t>1.8n^2</t>
  </si>
  <si>
    <t>4.3n^2</t>
  </si>
  <si>
    <t>5.24n^2</t>
  </si>
  <si>
    <t>2.70n^2</t>
  </si>
  <si>
    <t>6.01n^2</t>
  </si>
  <si>
    <t>n</t>
  </si>
  <si>
    <t>4n+2</t>
  </si>
  <si>
    <t>4n+14</t>
  </si>
  <si>
    <t>2n+26</t>
  </si>
  <si>
    <t>6n+26</t>
  </si>
  <si>
    <t>INTEGER-DRAMAP-V-3REG</t>
  </si>
  <si>
    <t>Dependent Var</t>
  </si>
  <si>
    <t>Adjust for different input</t>
  </si>
  <si>
    <t>V version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</si>
  <si>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</si>
  <si>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</si>
  <si>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t>Explicit number of loop iterations in user program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</si>
  <si>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</si>
  <si>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</si>
  <si>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</si>
  <si>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</si>
  <si>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</si>
  <si>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Workload Characteristics</t>
  </si>
  <si>
    <t>DRAM-AP Parallelism</t>
  </si>
  <si>
    <t>DDR4_3200 Timing Params</t>
  </si>
  <si>
    <t>RISCV Params</t>
  </si>
  <si>
    <t>#_call/loop</t>
  </si>
  <si>
    <t>#_effective_call</t>
  </si>
  <si>
    <t>Bit_len</t>
  </si>
  <si>
    <t>Input_vec_size</t>
  </si>
  <si>
    <t>Loop_iter</t>
  </si>
  <si>
    <t>Blckng_Fctr</t>
  </si>
  <si>
    <t>#_Batches</t>
  </si>
  <si>
    <t>#_R</t>
  </si>
  <si>
    <t>#_W</t>
  </si>
  <si>
    <t>#_logic</t>
  </si>
  <si>
    <t>logic_latency</t>
  </si>
  <si>
    <t>#_parallel_rank</t>
  </si>
  <si>
    <t>#_parallel_bank</t>
  </si>
  <si>
    <t>#_SALP</t>
  </si>
  <si>
    <t>SA_VL</t>
  </si>
  <si>
    <t>DRAMAP_R</t>
  </si>
  <si>
    <t>DRAMAP_W</t>
  </si>
  <si>
    <t>#_inst/loop</t>
  </si>
  <si>
    <t>loop size</t>
  </si>
  <si>
    <t>MHz</t>
  </si>
  <si>
    <t>DRAMAP Kernel (ns)</t>
  </si>
  <si>
    <t>CPU Kernel (ns)</t>
  </si>
  <si>
    <t>Speedup</t>
  </si>
  <si>
    <t xml:space="preserve">dram_ap_vadd(x_v_cpy, x_v) </t>
  </si>
  <si>
    <t>SIMDRAM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</si>
  <si>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</si>
  <si>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</si>
  <si>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</si>
  <si>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</si>
  <si>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</si>
  <si>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</si>
  <si>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</si>
  <si>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#_AAP</t>
  </si>
  <si>
    <t>#_AAP Latency</t>
  </si>
  <si>
    <t xml:space="preserve">simdram_vadd(x_v_cpy, x_v) </t>
  </si>
  <si>
    <t>FLOAT-DRAMAP-V-3REG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</si>
  <si>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</si>
  <si>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</si>
  <si>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</si>
  <si>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</si>
  <si>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</si>
  <si>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</si>
  <si>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</si>
  <si>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INTS-DRAMAP-V-NAND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</si>
  <si>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</si>
  <si>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</si>
  <si>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</si>
  <si>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</si>
  <si>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</si>
  <si>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</si>
  <si>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</si>
  <si>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INTS-DRAMAP-V-MAJ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</si>
  <si>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</si>
  <si>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</si>
  <si>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</si>
  <si>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</si>
  <si>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</si>
  <si>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</si>
  <si>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</si>
  <si>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INTS-DRAMAP-V-AP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</si>
  <si>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</si>
  <si>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</si>
  <si>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</si>
  <si>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</si>
  <si>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</si>
  <si>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</si>
  <si>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</si>
  <si>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INTS-DRAMAP-V-2R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</si>
  <si>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</si>
  <si>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</si>
  <si>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</si>
  <si>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</si>
  <si>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</si>
  <si>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</si>
  <si>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</si>
  <si>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Notes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</si>
  <si>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</si>
  <si>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</si>
  <si>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</si>
  <si>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t>20480 rows, 8192 columns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</si>
  <si>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</si>
  <si>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</si>
  <si>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</si>
  <si>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</si>
  <si>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</si>
  <si>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</si>
  <si>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Col-Col delay</t>
  </si>
  <si>
    <t>#_cols/chip</t>
  </si>
  <si>
    <t>Total Latency (ns)</t>
  </si>
  <si>
    <t>CPU (ns)</t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</si>
  <si>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</si>
  <si>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t>dram_ap_vfill(v_row)</t>
  </si>
  <si>
    <t>dram_ap_vmul(res_row, mat_row, v_row)</t>
  </si>
  <si>
    <t>dram_ap_vredsum(&amp;sum, res_row)</t>
  </si>
  <si>
    <t>sum: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</si>
  <si>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</si>
  <si>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</si>
  <si>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</si>
  <si>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</si>
  <si>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</si>
  <si>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</si>
  <si>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</si>
  <si>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</si>
  <si>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</si>
  <si>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</si>
  <si>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t>SIMDRAM_vmul(res_row, mat_row, v_row)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</si>
  <si>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</si>
  <si>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</si>
  <si>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</si>
  <si>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</si>
  <si>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</si>
  <si>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</si>
  <si>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</si>
  <si>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</si>
  <si>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</si>
  <si>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</si>
  <si>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t>INTEGER-DRAMAP-V-NAND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</si>
  <si>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</si>
  <si>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</si>
  <si>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</si>
  <si>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</si>
  <si>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</si>
  <si>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</si>
  <si>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</si>
  <si>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</si>
  <si>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</si>
  <si>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</si>
  <si>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t>INTEGER-DRAMAP-V-MAJ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</si>
  <si>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</si>
  <si>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</si>
  <si>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</si>
  <si>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</si>
  <si>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</si>
  <si>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</si>
  <si>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</si>
  <si>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</si>
  <si>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</si>
  <si>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</si>
  <si>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t>INTEGER-DRAMAP-V-AP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</si>
  <si>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</si>
  <si>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</si>
  <si>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</si>
  <si>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</si>
  <si>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</si>
  <si>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</si>
  <si>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</si>
  <si>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</si>
  <si>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</si>
  <si>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</si>
  <si>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t>INTEGER-DRAMAP-V-2R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</si>
  <si>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distribute all matrix rows evenly to all ranks/banks/subarrays, and each DRAM row contsins (262144 / 8192) = 32 matrix row vector. Copy input vector to each subarray once in parallel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</si>
  <si>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</si>
  <si>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</si>
  <si>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</si>
  <si>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</si>
  <si>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</si>
  <si>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</si>
  <si>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</si>
  <si>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</si>
  <si>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</si>
  <si>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</si>
  <si>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</si>
  <si>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</si>
  <si>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</si>
  <si>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</si>
  <si>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</si>
  <si>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</si>
  <si>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</si>
  <si>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t>used for retrieving records to CPU</t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</si>
  <si>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</si>
  <si>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#_Col / Chip</t>
  </si>
  <si>
    <t>This does not include the data packing and transposing/retrieval. It only returns a bitmap</t>
  </si>
  <si>
    <t>dram_ap_div()</t>
  </si>
  <si>
    <t>dram_ap_vcmp()</t>
  </si>
  <si>
    <t>32 bit integer, 50% selectivity. 16777216 / 262144 = 64 DRAM rows. 16 * 4 = 64 banks. Assuming no SALP for data retrieval</t>
  </si>
  <si>
    <t>host_retrieval(bitmap)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</si>
  <si>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</si>
  <si>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</si>
  <si>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</si>
  <si>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</si>
  <si>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</si>
  <si>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</si>
  <si>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</si>
  <si>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</si>
  <si>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</si>
  <si>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SIMDRAM_div()</t>
  </si>
  <si>
    <t>SIMDRAM_vcmp()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</si>
  <si>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</si>
  <si>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</si>
  <si>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</si>
  <si>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</si>
  <si>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</si>
  <si>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</si>
  <si>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</si>
  <si>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</si>
  <si>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</si>
  <si>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</si>
  <si>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</si>
  <si>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</si>
  <si>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</si>
  <si>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</si>
  <si>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</si>
  <si>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</si>
  <si>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</si>
  <si>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</si>
  <si>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</si>
  <si>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</si>
  <si>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</si>
  <si>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</si>
  <si>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</si>
  <si>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</si>
  <si>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</si>
  <si>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</si>
  <si>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</si>
  <si>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</si>
  <si>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</si>
  <si>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</si>
  <si>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</si>
  <si>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</si>
  <si>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</si>
  <si>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</si>
  <si>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</si>
  <si>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</si>
  <si>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allocation strategy - similar to Membrane-V. The specific pred(num) function is to check if num is even. This can be achieved by exposing micro-ops to user and check the LSB using </t>
    </r>
    <r>
      <rPr>
        <rFont val="Cambria"/>
        <b/>
        <color theme="1"/>
        <sz val="10.0"/>
      </rPr>
      <t xml:space="preserve">SEL </t>
    </r>
    <r>
      <rPr>
        <rFont val="Cambria"/>
        <b val="0"/>
        <color theme="1"/>
        <sz val="10.0"/>
      </rPr>
      <t>(1 R + 1 W)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</si>
  <si>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</si>
  <si>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</si>
  <si>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</si>
  <si>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</si>
  <si>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</si>
  <si>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</si>
  <si>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</si>
  <si>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</si>
  <si>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DRAMAP-V-3REG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</si>
  <si>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total reference patterns 2048576 requires (2048576 / 262144) = </t>
    </r>
    <r>
      <rPr>
        <rFont val="Cambria"/>
        <b/>
        <color theme="1"/>
        <sz val="10.0"/>
      </rPr>
      <t>8 DRAM rows</t>
    </r>
    <r>
      <rPr>
        <rFont val="Cambria"/>
        <b val="0"/>
        <color theme="1"/>
        <sz val="10.0"/>
      </rPr>
      <t xml:space="preserve">. DRAMAP concurrently handles 16 * 4 * 2 = 128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</si>
  <si>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</si>
  <si>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</si>
  <si>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t>Vector size: 33554432, num searches: 16777216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</si>
  <si>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</si>
  <si>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</si>
  <si>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</si>
  <si>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</si>
  <si>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</si>
  <si>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</si>
  <si>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Assuming 32 partition</t>
  </si>
  <si>
    <t>Vector size: 2048576,, num searches: 16777216</t>
  </si>
  <si>
    <t>dram_ap_brdcst/vcpy(key)</t>
  </si>
  <si>
    <t>Each DRAMAP operation checks 16 * 4 * 2 = 128 queries</t>
  </si>
  <si>
    <t>dram_ap_xnor(q, r)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</si>
  <si>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total reference patterns 2048576 requires (2048576 / 262144) = </t>
    </r>
    <r>
      <rPr>
        <rFont val="Cambria"/>
        <b/>
        <color theme="1"/>
        <sz val="10.0"/>
      </rPr>
      <t>8 DRAM rows</t>
    </r>
    <r>
      <rPr>
        <rFont val="Cambria"/>
        <b val="0"/>
        <color theme="1"/>
        <sz val="10.0"/>
      </rPr>
      <t xml:space="preserve">. DRAMAP concurrently handles 16 * 4 * 2 = 128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</si>
  <si>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</si>
  <si>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</si>
  <si>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</si>
  <si>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</si>
  <si>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</si>
  <si>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</si>
  <si>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</si>
  <si>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</si>
  <si>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simdram_xnor(q, r)</t>
  </si>
  <si>
    <t>DRAMAP-V-NAND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</si>
  <si>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total reference patterns 2048576 requires (2048576 / 262144) = </t>
    </r>
    <r>
      <rPr>
        <rFont val="Cambria"/>
        <b/>
        <color theme="1"/>
        <sz val="10.0"/>
      </rPr>
      <t>8 DRAM rows</t>
    </r>
    <r>
      <rPr>
        <rFont val="Cambria"/>
        <b val="0"/>
        <color theme="1"/>
        <sz val="10.0"/>
      </rPr>
      <t xml:space="preserve">. DRAMAP concurrently handles 16 * 4 * 2 = 128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</si>
  <si>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</si>
  <si>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</si>
  <si>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</si>
  <si>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</si>
  <si>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</si>
  <si>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</si>
  <si>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</si>
  <si>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</si>
  <si>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DRAMAP-V-MAJ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</si>
  <si>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total reference patterns 2048576 requires (2048576 / 262144) = </t>
    </r>
    <r>
      <rPr>
        <rFont val="Cambria"/>
        <b/>
        <color theme="1"/>
        <sz val="10.0"/>
      </rPr>
      <t>8 DRAM rows</t>
    </r>
    <r>
      <rPr>
        <rFont val="Cambria"/>
        <b val="0"/>
        <color theme="1"/>
        <sz val="10.0"/>
      </rPr>
      <t xml:space="preserve">. DRAMAP concurrently handles 16 * 4 * 2 = 128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</si>
  <si>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</si>
  <si>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</si>
  <si>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</si>
  <si>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</si>
  <si>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</si>
  <si>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</si>
  <si>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</si>
  <si>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</si>
  <si>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DRAMAP-V-AP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</si>
  <si>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total reference patterns 2048576 requires (2048576 / 262144) = </t>
    </r>
    <r>
      <rPr>
        <rFont val="Cambria"/>
        <b/>
        <color theme="1"/>
        <sz val="10.0"/>
      </rPr>
      <t>8 DRAM rows</t>
    </r>
    <r>
      <rPr>
        <rFont val="Cambria"/>
        <b val="0"/>
        <color theme="1"/>
        <sz val="10.0"/>
      </rPr>
      <t xml:space="preserve">. DRAMAP concurrently handles 16 * 4 * 2 = 128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</si>
  <si>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</si>
  <si>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</si>
  <si>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</si>
  <si>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</si>
  <si>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</si>
  <si>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</si>
  <si>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</si>
  <si>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</si>
  <si>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DRAMAP-V-2R</t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</si>
  <si>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total reference patterns 2048576 requires (2048576 / 262144) = </t>
    </r>
    <r>
      <rPr>
        <rFont val="Cambria"/>
        <b/>
        <color theme="1"/>
        <sz val="10.0"/>
      </rPr>
      <t>8 DRAM rows</t>
    </r>
    <r>
      <rPr>
        <rFont val="Cambria"/>
        <b val="0"/>
        <color theme="1"/>
        <sz val="10.0"/>
      </rPr>
      <t xml:space="preserve">. DRAMAP concurrently handles 16 * 4 * 2 = 128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</si>
  <si>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</si>
  <si>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</si>
  <si>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</si>
  <si>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</si>
  <si>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</si>
  <si>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</si>
  <si>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</si>
  <si>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</si>
  <si>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Notes RLU level aggregate</t>
  </si>
  <si>
    <t xml:space="preserve">V version: 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</si>
  <si>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</si>
  <si>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</si>
  <si>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t>Because we only theck the LSB</t>
  </si>
  <si>
    <t xml:space="preserve">1048576000 requires 4000 DRAM row. Requires 4000 / 16 / 4 / 2 = 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</si>
  <si>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</si>
  <si>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</si>
  <si>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</si>
  <si>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</si>
  <si>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</si>
  <si>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</si>
  <si>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Vector size: 268435456, num searches: 16777216</t>
  </si>
  <si>
    <t>dram_ap_vredsum(&amp;_count, vec)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</si>
  <si>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</si>
  <si>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</si>
  <si>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t>1125000 32-bit integers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</si>
  <si>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</si>
  <si>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</si>
  <si>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</si>
  <si>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</si>
  <si>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</si>
  <si>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</si>
  <si>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dram_ap_bitcnt(count_v, vec)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</si>
  <si>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</si>
  <si>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</si>
  <si>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</si>
  <si>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</si>
  <si>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</si>
  <si>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</si>
  <si>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</si>
  <si>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</si>
  <si>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</si>
  <si>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</si>
  <si>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</si>
  <si>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</si>
  <si>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</si>
  <si>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</si>
  <si>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</si>
  <si>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</si>
  <si>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</si>
  <si>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</si>
  <si>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</si>
  <si>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</si>
  <si>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</si>
  <si>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</si>
  <si>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</si>
  <si>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</si>
  <si>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</si>
  <si>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</si>
  <si>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</si>
  <si>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</si>
  <si>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</si>
  <si>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</si>
  <si>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</si>
  <si>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</si>
  <si>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</si>
  <si>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</si>
  <si>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</si>
  <si>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</si>
  <si>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</si>
  <si>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</si>
  <si>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</si>
  <si>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</si>
  <si>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3-layer MLP is essentially </t>
    </r>
    <r>
      <rPr>
        <rFont val="Cambria"/>
        <b/>
        <color theme="1"/>
        <sz val="10.0"/>
      </rPr>
      <t>matrix-vector multiply</t>
    </r>
    <r>
      <rPr>
        <rFont val="Cambria"/>
        <b val="0"/>
        <color theme="1"/>
        <sz val="10.0"/>
      </rPr>
      <t xml:space="preserve"> executed </t>
    </r>
    <r>
      <rPr>
        <rFont val="Cambria"/>
        <b/>
        <color theme="1"/>
        <sz val="10.0"/>
      </rPr>
      <t>3 times</t>
    </r>
    <r>
      <rPr>
        <rFont val="Cambria"/>
        <b val="0"/>
        <color theme="1"/>
        <sz val="10.0"/>
      </rPr>
      <t xml:space="preserve">. Each matrix layer is n * m integers. Each DRAM row fits 32 matrix row. Needs 640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</si>
  <si>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</si>
  <si>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</si>
  <si>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t>matrix size: 20480 rows * 8192 columns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</si>
  <si>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</si>
  <si>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</si>
  <si>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</si>
  <si>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</si>
  <si>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</si>
  <si>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</si>
  <si>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</si>
  <si>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3-layer MLP is essentially </t>
    </r>
    <r>
      <rPr>
        <rFont val="Cambria"/>
        <b/>
        <color theme="1"/>
        <sz val="10.0"/>
      </rPr>
      <t>matrix-vector multiply</t>
    </r>
    <r>
      <rPr>
        <rFont val="Cambria"/>
        <b val="0"/>
        <color theme="1"/>
        <sz val="10.0"/>
      </rPr>
      <t xml:space="preserve"> executed </t>
    </r>
    <r>
      <rPr>
        <rFont val="Cambria"/>
        <b/>
        <color theme="1"/>
        <sz val="10.0"/>
      </rPr>
      <t>3 times</t>
    </r>
    <r>
      <rPr>
        <rFont val="Cambria"/>
        <b val="0"/>
        <color theme="1"/>
        <sz val="10.0"/>
      </rPr>
      <t xml:space="preserve">. Each matrix layer is n * m integers. Each DRAM row fits 32 matrix row. Needs 640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</si>
  <si>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</si>
  <si>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</si>
  <si>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</si>
  <si>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</si>
  <si>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</si>
  <si>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</si>
  <si>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</si>
  <si>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</si>
  <si>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</si>
  <si>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t>FLOATS-DRAMAP-V-3REG</t>
  </si>
  <si>
    <r>
      <rPr>
        <rFont val="Cambria,Arial"/>
        <b/>
        <color theme="1"/>
      </rPr>
      <t xml:space="preserve">V version: </t>
    </r>
    <r>
      <rPr>
        <rFont val="Cambria,Arial"/>
        <b val="0"/>
        <color theme="1"/>
      </rPr>
      <t xml:space="preserve">3-layer MLP is essentially </t>
    </r>
    <r>
      <rPr>
        <rFont val="Cambria,Arial"/>
        <b/>
        <color theme="1"/>
      </rPr>
      <t>matrix-vector multiply</t>
    </r>
    <r>
      <rPr>
        <rFont val="Cambria,Arial"/>
        <b val="0"/>
        <color theme="1"/>
      </rPr>
      <t xml:space="preserve"> executed </t>
    </r>
    <r>
      <rPr>
        <rFont val="Cambria,Arial"/>
        <b/>
        <color theme="1"/>
      </rPr>
      <t>3 times</t>
    </r>
    <r>
      <rPr>
        <rFont val="Cambria,Arial"/>
        <b val="0"/>
        <color theme="1"/>
      </rPr>
      <t xml:space="preserve">. Each matrix layer is n * m integers. Each DRAM row fits 32 matrix row. Needs 640 DRAM rows. </t>
    </r>
  </si>
  <si>
    <r>
      <rPr>
        <rFont val="Arial"/>
        <color rgb="FF1F1F1F"/>
      </rPr>
      <t>how many times this function is</t>
    </r>
    <r>
      <rPr>
        <rFont val="Arial"/>
        <b/>
        <color rgb="FF1F1F1F"/>
        <u/>
      </rPr>
      <t xml:space="preserve"> explicitly </t>
    </r>
    <r>
      <rPr>
        <rFont val="Arial"/>
        <color rgb="FF1F1F1F"/>
      </rPr>
      <t>called inside one loop iteration</t>
    </r>
  </si>
  <si>
    <r>
      <rPr>
        <rFont val="Arial"/>
        <b/>
        <color rgb="FF1F1F1F"/>
      </rPr>
      <t xml:space="preserve">blocking_factor </t>
    </r>
    <r>
      <rPr>
        <rFont val="Arial"/>
        <b/>
        <color rgb="FF1F1F1F"/>
      </rPr>
      <t>improves parallelism, effectively reduce #_actual_cal: (</t>
    </r>
    <r>
      <rPr>
        <rFont val="Arial"/>
        <b/>
        <color rgb="FF1F1F1F"/>
      </rPr>
      <t>loop_count</t>
    </r>
    <r>
      <rPr>
        <rFont val="Arial"/>
        <b/>
        <color rgb="FF1F1F1F"/>
      </rPr>
      <t>/</t>
    </r>
    <r>
      <rPr>
        <rFont val="Arial"/>
        <b/>
        <color rgb="FF1F1F1F"/>
      </rPr>
      <t>blocking_factor</t>
    </r>
    <r>
      <rPr>
        <rFont val="Arial"/>
        <b/>
        <color rgb="FF1F1F1F"/>
      </rPr>
      <t>)*(</t>
    </r>
    <r>
      <rPr>
        <rFont val="Arial"/>
        <b/>
        <color rgb="FF1F1F1F"/>
      </rPr>
      <t>#_call/loop</t>
    </r>
    <r>
      <rPr>
        <rFont val="Arial"/>
        <b/>
        <color rgb="FF1F1F1F"/>
      </rPr>
      <t>)*(</t>
    </r>
    <r>
      <rPr>
        <rFont val="Arial"/>
        <b/>
        <color rgb="FF1F1F1F"/>
      </rPr>
      <t>#_Batches</t>
    </r>
    <r>
      <rPr>
        <rFont val="Arial"/>
        <b/>
        <color rgb="FF1F1F1F"/>
      </rPr>
      <t>)</t>
    </r>
  </si>
  <si>
    <r>
      <rPr>
        <rFont val="Arial"/>
        <b/>
        <color theme="1"/>
      </rPr>
      <t>OPTIONAL User defined</t>
    </r>
    <r>
      <rPr>
        <rFont val="Arial"/>
        <b/>
        <color theme="1"/>
      </rPr>
      <t xml:space="preserve"> or compiler optimized parameter(similar to </t>
    </r>
    <r>
      <rPr>
        <rFont val="Arial"/>
        <b/>
        <color theme="1"/>
      </rPr>
      <t>loop unrolling</t>
    </r>
    <r>
      <rPr>
        <rFont val="Arial"/>
        <b/>
        <color theme="1"/>
      </rPr>
      <t xml:space="preserve">). Divide input to chunks and consume them in parallel. Depends on DRAM-AP Parallelism &amp; Allocatable DRAM-AP vector space. </t>
    </r>
    <r>
      <rPr>
        <rFont val="Arial"/>
        <b/>
        <color theme="1"/>
        <u/>
      </rPr>
      <t>Manully set for now</t>
    </r>
  </si>
  <si>
    <r>
      <rPr>
        <rFont val="Arial"/>
        <b/>
        <i/>
        <color theme="1"/>
      </rPr>
      <t>#_batch</t>
    </r>
    <r>
      <rPr>
        <rFont val="Arial"/>
        <b/>
        <i/>
        <color theme="1"/>
      </rPr>
      <t xml:space="preserve"> is the number of times the dram_ap_func </t>
    </r>
    <r>
      <rPr>
        <rFont val="Arial"/>
        <b/>
        <i/>
        <color theme="1"/>
        <u/>
      </rPr>
      <t xml:space="preserve">implicitly </t>
    </r>
    <r>
      <rPr>
        <rFont val="Arial"/>
        <b/>
        <i/>
        <color theme="1"/>
      </rPr>
      <t>executed</t>
    </r>
    <r>
      <rPr>
        <rFont val="Arial"/>
        <b/>
        <i/>
        <color theme="1"/>
      </rPr>
      <t xml:space="preserve"> per loop iteration when </t>
    </r>
    <r>
      <rPr>
        <rFont val="Arial"/>
        <b/>
        <i/>
        <color theme="1"/>
      </rPr>
      <t>Vector Size &gt; VL</t>
    </r>
  </si>
  <si>
    <r>
      <rPr>
        <rFont val="Arial"/>
        <color rgb="FF434343"/>
      </rPr>
      <t xml:space="preserve">total num of </t>
    </r>
    <r>
      <rPr>
        <rFont val="Arial"/>
        <b/>
        <color rgb="FF434343"/>
      </rPr>
      <t>vector threads</t>
    </r>
    <r>
      <rPr>
        <rFont val="Arial"/>
        <color rgb="FF434343"/>
      </rPr>
      <t xml:space="preserve">: 16 * 8 * 2 = </t>
    </r>
    <r>
      <rPr>
        <rFont val="Arial"/>
        <b/>
        <color rgb="FF434343"/>
      </rPr>
      <t>256</t>
    </r>
    <r>
      <rPr>
        <rFont val="Arial"/>
        <color rgb="FF434343"/>
      </rPr>
      <t>. Each vector thread handles row-wide vector size operands in "one-shot" (one or multiple)</t>
    </r>
  </si>
  <si>
    <r>
      <rPr>
        <rFont val="Arial"/>
        <b/>
        <color theme="1"/>
      </rPr>
      <t xml:space="preserve">Read </t>
    </r>
    <r>
      <rPr>
        <rFont val="Arial"/>
        <b/>
        <color theme="1"/>
      </rPr>
      <t xml:space="preserve">Latency cycles: </t>
    </r>
    <r>
      <rPr>
        <rFont val="Arial"/>
        <b/>
        <color theme="1"/>
      </rPr>
      <t xml:space="preserve">tRCD </t>
    </r>
    <r>
      <rPr>
        <rFont val="Arial"/>
        <b/>
        <color theme="1"/>
      </rPr>
      <t xml:space="preserve">(row to row buffer) + </t>
    </r>
    <r>
      <rPr>
        <rFont val="Arial"/>
        <b/>
        <color theme="1"/>
      </rPr>
      <t>tRP</t>
    </r>
    <r>
      <rPr>
        <rFont val="Arial"/>
        <b/>
        <color theme="1"/>
      </rPr>
      <t xml:space="preserve"> (precharge, restore BL voltage)</t>
    </r>
  </si>
  <si>
    <r>
      <rPr>
        <rFont val="Arial"/>
        <color theme="1"/>
      </rPr>
      <t xml:space="preserve">Write Latency cycles: </t>
    </r>
    <r>
      <rPr>
        <rFont val="Arial"/>
        <b/>
        <color theme="1"/>
      </rPr>
      <t>tWR</t>
    </r>
    <r>
      <rPr>
        <rFont val="Arial"/>
        <color theme="1"/>
      </rPr>
      <t xml:space="preserve"> (row buffer drives row to new charge) + </t>
    </r>
    <r>
      <rPr>
        <rFont val="Arial"/>
        <b/>
        <color theme="1"/>
      </rPr>
      <t xml:space="preserve">tRP </t>
    </r>
    <r>
      <rPr>
        <rFont val="Arial"/>
        <color theme="1"/>
      </rPr>
      <t>(precharge, restore BL voltage)</t>
    </r>
  </si>
  <si>
    <r>
      <rPr>
        <rFont val="Arial"/>
        <b/>
        <color rgb="FF000000"/>
      </rPr>
      <t xml:space="preserve">Risc-V </t>
    </r>
    <r>
      <rPr>
        <rFont val="Arial"/>
        <b val="0"/>
        <color rgb="FF00000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</si>
  <si>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</si>
  <si>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3-layer MLP is essentially </t>
    </r>
    <r>
      <rPr>
        <rFont val="Cambria"/>
        <b/>
        <color theme="1"/>
        <sz val="10.0"/>
      </rPr>
      <t>matrix-vector multiply</t>
    </r>
    <r>
      <rPr>
        <rFont val="Cambria"/>
        <b val="0"/>
        <color theme="1"/>
        <sz val="10.0"/>
      </rPr>
      <t xml:space="preserve"> executed </t>
    </r>
    <r>
      <rPr>
        <rFont val="Cambria"/>
        <b/>
        <color theme="1"/>
        <sz val="10.0"/>
      </rPr>
      <t>3 times</t>
    </r>
    <r>
      <rPr>
        <rFont val="Cambria"/>
        <b val="0"/>
        <color theme="1"/>
        <sz val="10.0"/>
      </rPr>
      <t xml:space="preserve">. Each matrix layer is n * m integers. Each DRAM row fits 32 matrix row. Needs 640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</si>
  <si>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</si>
  <si>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</si>
  <si>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</si>
  <si>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</si>
  <si>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</si>
  <si>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</si>
  <si>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</si>
  <si>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</si>
  <si>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</si>
  <si>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3-layer MLP is essentially </t>
    </r>
    <r>
      <rPr>
        <rFont val="Cambria"/>
        <b/>
        <color theme="1"/>
        <sz val="10.0"/>
      </rPr>
      <t>matrix-vector multiply</t>
    </r>
    <r>
      <rPr>
        <rFont val="Cambria"/>
        <b val="0"/>
        <color theme="1"/>
        <sz val="10.0"/>
      </rPr>
      <t xml:space="preserve"> executed </t>
    </r>
    <r>
      <rPr>
        <rFont val="Cambria"/>
        <b/>
        <color theme="1"/>
        <sz val="10.0"/>
      </rPr>
      <t>3 times</t>
    </r>
    <r>
      <rPr>
        <rFont val="Cambria"/>
        <b val="0"/>
        <color theme="1"/>
        <sz val="10.0"/>
      </rPr>
      <t xml:space="preserve">. Each matrix layer is n * m integers. Each DRAM row fits 32 matrix row. Needs 640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</si>
  <si>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</si>
  <si>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</si>
  <si>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</si>
  <si>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</si>
  <si>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</si>
  <si>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</si>
  <si>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</si>
  <si>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</si>
  <si>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</si>
  <si>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3-layer MLP is essentially </t>
    </r>
    <r>
      <rPr>
        <rFont val="Cambria"/>
        <b/>
        <color theme="1"/>
        <sz val="10.0"/>
      </rPr>
      <t>matrix-vector multiply</t>
    </r>
    <r>
      <rPr>
        <rFont val="Cambria"/>
        <b val="0"/>
        <color theme="1"/>
        <sz val="10.0"/>
      </rPr>
      <t xml:space="preserve"> executed </t>
    </r>
    <r>
      <rPr>
        <rFont val="Cambria"/>
        <b/>
        <color theme="1"/>
        <sz val="10.0"/>
      </rPr>
      <t>3 times</t>
    </r>
    <r>
      <rPr>
        <rFont val="Cambria"/>
        <b val="0"/>
        <color theme="1"/>
        <sz val="10.0"/>
      </rPr>
      <t xml:space="preserve">. Each matrix layer is n * m integers. Each DRAM row fits 32 matrix row. Needs 640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</si>
  <si>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</si>
  <si>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</si>
  <si>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</si>
  <si>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</si>
  <si>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</si>
  <si>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</si>
  <si>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</si>
  <si>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</si>
  <si>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</si>
  <si>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r>
      <rPr>
        <rFont val="Cambria"/>
        <b/>
        <color theme="1"/>
        <sz val="10.0"/>
      </rPr>
      <t xml:space="preserve">V version: </t>
    </r>
    <r>
      <rPr>
        <rFont val="Cambria"/>
        <b val="0"/>
        <color theme="1"/>
        <sz val="10.0"/>
      </rPr>
      <t xml:space="preserve">3-layer MLP is essentially </t>
    </r>
    <r>
      <rPr>
        <rFont val="Cambria"/>
        <b/>
        <color theme="1"/>
        <sz val="10.0"/>
      </rPr>
      <t>matrix-vector multiply</t>
    </r>
    <r>
      <rPr>
        <rFont val="Cambria"/>
        <b val="0"/>
        <color theme="1"/>
        <sz val="10.0"/>
      </rPr>
      <t xml:space="preserve"> executed </t>
    </r>
    <r>
      <rPr>
        <rFont val="Cambria"/>
        <b/>
        <color theme="1"/>
        <sz val="10.0"/>
      </rPr>
      <t>3 times</t>
    </r>
    <r>
      <rPr>
        <rFont val="Cambria"/>
        <b val="0"/>
        <color theme="1"/>
        <sz val="10.0"/>
      </rPr>
      <t xml:space="preserve">. Each matrix layer is n * m integers. Each DRAM row fits 32 matrix row. Needs 640 DRAM rows. 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</si>
  <si>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</si>
  <si>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</si>
  <si>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</si>
  <si>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</si>
  <si>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color rgb="FF434343"/>
        <sz val="10.0"/>
      </rPr>
      <t xml:space="preserve">total num of </t>
    </r>
    <r>
      <rPr>
        <rFont val="Arial"/>
        <b/>
        <color rgb="FF434343"/>
        <sz val="10.0"/>
      </rPr>
      <t>vector threads</t>
    </r>
    <r>
      <rPr>
        <rFont val="Arial"/>
        <color rgb="FF434343"/>
        <sz val="10.0"/>
      </rPr>
      <t xml:space="preserve">: 16 * 8 * 2 = </t>
    </r>
    <r>
      <rPr>
        <rFont val="Arial"/>
        <b/>
        <color rgb="FF434343"/>
        <sz val="10.0"/>
      </rPr>
      <t>256</t>
    </r>
    <r>
      <rPr>
        <rFont val="Arial"/>
        <color rgb="FF434343"/>
        <sz val="10.0"/>
      </rPr>
      <t>. Each vector thread handles row-wide vector size operands in "one-shot" (one or multiple)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</si>
  <si>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</si>
  <si>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</si>
  <si>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</si>
  <si>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Repeat vector size </t>
    </r>
    <r>
      <rPr>
        <rFont val="Courier New"/>
        <i/>
        <color theme="1"/>
      </rPr>
      <t>n</t>
    </r>
    <r>
      <rPr>
        <rFont val="Arial"/>
        <color theme="1"/>
      </rPr>
      <t xml:space="preserve"> </t>
    </r>
    <r>
      <rPr>
        <rFont val="Arial"/>
        <b/>
        <color theme="1"/>
      </rPr>
      <t>m</t>
    </r>
    <r>
      <rPr>
        <rFont val="Arial"/>
        <color theme="1"/>
      </rPr>
      <t xml:space="preserve"> times per DRAM row, total 16 ranks 8 banks 2 SA need to store input vector. Each DRAMAP op deal with (w/ write broadcast) 16 ranks, 4 banks, 2 SA</t>
    </r>
  </si>
  <si>
    <t>Full Parallelism: sustain 128 physical vectors (DRAM Rows) concurrently</t>
  </si>
  <si>
    <r>
      <rPr>
        <rFont val="Cambria"/>
        <b/>
        <color theme="1"/>
        <sz val="10.0"/>
      </rPr>
      <t>dram_ap_brdcst</t>
    </r>
    <r>
      <rPr>
        <rFont val="Cambria"/>
        <color theme="1"/>
        <sz val="10.0"/>
      </rPr>
      <t>( ) function latency is estimated as #_effective_call * #_col * tCCD * bit_len. PCL can be overlapped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</si>
  <si>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</si>
  <si>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t>concurrently 128 rows active. Each pattern vector occupies half of a row</t>
  </si>
  <si>
    <t>average Eng word length is 4.7 chars, each char is 8 bit, result in 32 bit len input</t>
  </si>
  <si>
    <r>
      <rPr>
        <rFont val="Arial"/>
        <color rgb="FF000000"/>
        <sz val="10.0"/>
      </rPr>
      <t xml:space="preserve">size of key words/ ref patterns (e.g., </t>
    </r>
    <r>
      <rPr>
        <rFont val="Arial"/>
        <i/>
        <color rgb="FF000000"/>
        <sz val="10.0"/>
      </rPr>
      <t>k</t>
    </r>
    <r>
      <rPr>
        <rFont val="Arial"/>
        <color rgb="FF000000"/>
        <sz val="10.0"/>
      </rPr>
      <t>-mer reference patterns)</t>
    </r>
  </si>
  <si>
    <t>Explicit number of loop iterations in user program. One for each query word (number of query words to search for)</t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</si>
  <si>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</si>
  <si>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</si>
  <si>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</si>
  <si>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</si>
  <si>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</si>
  <si>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</si>
  <si>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single-stage in-order RISCV core</t>
  </si>
  <si>
    <r>
      <rPr>
        <rFont val="Arial"/>
        <color theme="1"/>
        <sz val="10.0"/>
      </rPr>
      <t xml:space="preserve">Avg PCL ins / cycle: </t>
    </r>
    <r>
      <rPr>
        <rFont val="Arial"/>
        <b/>
        <color theme="1"/>
        <sz val="10.0"/>
      </rPr>
      <t>1.01</t>
    </r>
    <r>
      <rPr>
        <rFont val="Arial"/>
        <color theme="1"/>
        <sz val="10.0"/>
      </rPr>
      <t>. Each PCL deals 64 bit. (https://arxiv.org/pdf/1611.07612.pdf)</t>
    </r>
  </si>
  <si>
    <t>RLU Params</t>
  </si>
  <si>
    <t>logic latency</t>
  </si>
  <si>
    <r>
      <rPr>
        <rFont val="Cambria"/>
        <b/>
        <color theme="1"/>
      </rPr>
      <t xml:space="preserve">Iterate </t>
    </r>
    <r>
      <rPr>
        <rFont val="Cambria"/>
        <color theme="1"/>
      </rPr>
      <t xml:space="preserve">as many times as the </t>
    </r>
    <r>
      <rPr>
        <rFont val="Cambria"/>
        <b/>
        <color theme="1"/>
      </rPr>
      <t>number of query words</t>
    </r>
    <r>
      <rPr>
        <rFont val="Cambria"/>
        <color theme="1"/>
      </rPr>
      <t xml:space="preserve"> to search for</t>
    </r>
  </si>
  <si>
    <t>dram_ap_brdcst/SEL(query, q_v)</t>
  </si>
  <si>
    <t>dram_ap_match(q_v, key_v)</t>
  </si>
  <si>
    <t>NA</t>
  </si>
  <si>
    <t>dram_ap_pcl(#_match, res_v)</t>
  </si>
  <si>
    <t>PCL and Matching Overlaps:</t>
  </si>
  <si>
    <r>
      <rPr>
        <rFont val="Cambria"/>
        <b/>
        <color theme="1"/>
        <sz val="10.0"/>
      </rPr>
      <t>dram_ap_brdcst</t>
    </r>
    <r>
      <rPr>
        <rFont val="Cambria"/>
        <color theme="1"/>
        <sz val="10.0"/>
      </rPr>
      <t>( ) function latency is estimated as #_effective_call * #_col * tCCD * bit_len. PCL can be overlapped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</si>
  <si>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</si>
  <si>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000000"/>
        <sz val="10.0"/>
      </rPr>
      <t xml:space="preserve">size of key words/ ref patterns (e.g., </t>
    </r>
    <r>
      <rPr>
        <rFont val="Arial"/>
        <i/>
        <color rgb="FF000000"/>
        <sz val="10.0"/>
      </rPr>
      <t>k</t>
    </r>
    <r>
      <rPr>
        <rFont val="Arial"/>
        <color rgb="FF000000"/>
        <sz val="10.0"/>
      </rPr>
      <t>-mer reference patterns)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</si>
  <si>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</si>
  <si>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</si>
  <si>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</si>
  <si>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</si>
  <si>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</si>
  <si>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</si>
  <si>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  <sz val="10.0"/>
      </rPr>
      <t xml:space="preserve">Avg PCL ins / cycle: </t>
    </r>
    <r>
      <rPr>
        <rFont val="Arial"/>
        <b/>
        <color theme="1"/>
        <sz val="10.0"/>
      </rPr>
      <t>1.01</t>
    </r>
    <r>
      <rPr>
        <rFont val="Arial"/>
        <color theme="1"/>
        <sz val="10.0"/>
      </rPr>
      <t>. Each PCL deals 64 bit. (https://arxiv.org/pdf/1611.07612.pdf)</t>
    </r>
  </si>
  <si>
    <r>
      <rPr>
        <rFont val="Cambria"/>
        <b/>
        <color theme="1"/>
      </rPr>
      <t xml:space="preserve">Iterate </t>
    </r>
    <r>
      <rPr>
        <rFont val="Cambria"/>
        <color theme="1"/>
      </rPr>
      <t xml:space="preserve">as many times as the </t>
    </r>
    <r>
      <rPr>
        <rFont val="Cambria"/>
        <b/>
        <color theme="1"/>
      </rPr>
      <t>number of query words</t>
    </r>
    <r>
      <rPr>
        <rFont val="Cambria"/>
        <color theme="1"/>
      </rPr>
      <t xml:space="preserve"> to search for</t>
    </r>
  </si>
  <si>
    <t>SIMDRAM_match(q_v, key_v)</t>
  </si>
  <si>
    <r>
      <rPr>
        <rFont val="Cambria"/>
        <b/>
        <color theme="1"/>
        <sz val="10.0"/>
      </rPr>
      <t>dram_ap_brdcst</t>
    </r>
    <r>
      <rPr>
        <rFont val="Cambria"/>
        <color theme="1"/>
        <sz val="10.0"/>
      </rPr>
      <t>( ) function latency is estimated as #_effective_call * #_col * tCCD * bit_len. PCL can be overlapped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</si>
  <si>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</si>
  <si>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000000"/>
        <sz val="10.0"/>
      </rPr>
      <t xml:space="preserve">size of key words/ ref patterns (e.g., </t>
    </r>
    <r>
      <rPr>
        <rFont val="Arial"/>
        <i/>
        <color rgb="FF000000"/>
        <sz val="10.0"/>
      </rPr>
      <t>k</t>
    </r>
    <r>
      <rPr>
        <rFont val="Arial"/>
        <color rgb="FF000000"/>
        <sz val="10.0"/>
      </rPr>
      <t>-mer reference patterns)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</si>
  <si>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</si>
  <si>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</si>
  <si>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</si>
  <si>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</si>
  <si>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</si>
  <si>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</si>
  <si>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  <sz val="10.0"/>
      </rPr>
      <t xml:space="preserve">Avg PCL ins / cycle: </t>
    </r>
    <r>
      <rPr>
        <rFont val="Arial"/>
        <b/>
        <color theme="1"/>
        <sz val="10.0"/>
      </rPr>
      <t>1.01</t>
    </r>
    <r>
      <rPr>
        <rFont val="Arial"/>
        <color theme="1"/>
        <sz val="10.0"/>
      </rPr>
      <t>. Each PCL deals 64 bit. (https://arxiv.org/pdf/1611.07612.pdf)</t>
    </r>
  </si>
  <si>
    <r>
      <rPr>
        <rFont val="Cambria"/>
        <b/>
        <color theme="1"/>
      </rPr>
      <t xml:space="preserve">Iterate </t>
    </r>
    <r>
      <rPr>
        <rFont val="Cambria"/>
        <color theme="1"/>
      </rPr>
      <t xml:space="preserve">as many times as the </t>
    </r>
    <r>
      <rPr>
        <rFont val="Cambria"/>
        <b/>
        <color theme="1"/>
      </rPr>
      <t>number of query words</t>
    </r>
    <r>
      <rPr>
        <rFont val="Cambria"/>
        <color theme="1"/>
      </rPr>
      <t xml:space="preserve"> to search for</t>
    </r>
  </si>
  <si>
    <r>
      <rPr>
        <rFont val="Cambria"/>
        <b/>
        <color theme="1"/>
        <sz val="10.0"/>
      </rPr>
      <t>dram_ap_brdcst</t>
    </r>
    <r>
      <rPr>
        <rFont val="Cambria"/>
        <color theme="1"/>
        <sz val="10.0"/>
      </rPr>
      <t>( ) function latency is estimated as #_effective_call * #_col * tCCD * bit_len. PCL can be overlapped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</si>
  <si>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</si>
  <si>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000000"/>
        <sz val="10.0"/>
      </rPr>
      <t xml:space="preserve">size of key words/ ref patterns (e.g., </t>
    </r>
    <r>
      <rPr>
        <rFont val="Arial"/>
        <i/>
        <color rgb="FF000000"/>
        <sz val="10.0"/>
      </rPr>
      <t>k</t>
    </r>
    <r>
      <rPr>
        <rFont val="Arial"/>
        <color rgb="FF000000"/>
        <sz val="10.0"/>
      </rPr>
      <t>-mer reference patterns)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</si>
  <si>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</si>
  <si>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</si>
  <si>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</si>
  <si>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</si>
  <si>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</si>
  <si>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</si>
  <si>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  <sz val="10.0"/>
      </rPr>
      <t xml:space="preserve">Avg PCL ins / cycle: </t>
    </r>
    <r>
      <rPr>
        <rFont val="Arial"/>
        <b/>
        <color theme="1"/>
        <sz val="10.0"/>
      </rPr>
      <t>1.01</t>
    </r>
    <r>
      <rPr>
        <rFont val="Arial"/>
        <color theme="1"/>
        <sz val="10.0"/>
      </rPr>
      <t>. Each PCL deals 64 bit. (https://arxiv.org/pdf/1611.07612.pdf)</t>
    </r>
  </si>
  <si>
    <r>
      <rPr>
        <rFont val="Cambria"/>
        <b/>
        <color theme="1"/>
      </rPr>
      <t xml:space="preserve">Iterate </t>
    </r>
    <r>
      <rPr>
        <rFont val="Cambria"/>
        <color theme="1"/>
      </rPr>
      <t xml:space="preserve">as many times as the </t>
    </r>
    <r>
      <rPr>
        <rFont val="Cambria"/>
        <b/>
        <color theme="1"/>
      </rPr>
      <t>number of query words</t>
    </r>
    <r>
      <rPr>
        <rFont val="Cambria"/>
        <color theme="1"/>
      </rPr>
      <t xml:space="preserve"> to search for</t>
    </r>
  </si>
  <si>
    <r>
      <rPr>
        <rFont val="Cambria"/>
        <b/>
        <color theme="1"/>
        <sz val="10.0"/>
      </rPr>
      <t>dram_ap_brdcst</t>
    </r>
    <r>
      <rPr>
        <rFont val="Cambria"/>
        <color theme="1"/>
        <sz val="10.0"/>
      </rPr>
      <t>( ) function latency is estimated as #_effective_call * #_col * tCCD * bit_len. PCL can be overlapped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</si>
  <si>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</si>
  <si>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000000"/>
        <sz val="10.0"/>
      </rPr>
      <t xml:space="preserve">size of key words/ ref patterns (e.g., </t>
    </r>
    <r>
      <rPr>
        <rFont val="Arial"/>
        <i/>
        <color rgb="FF000000"/>
        <sz val="10.0"/>
      </rPr>
      <t>k</t>
    </r>
    <r>
      <rPr>
        <rFont val="Arial"/>
        <color rgb="FF000000"/>
        <sz val="10.0"/>
      </rPr>
      <t>-mer reference patterns)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</si>
  <si>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</si>
  <si>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</si>
  <si>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</si>
  <si>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</si>
  <si>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</si>
  <si>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</si>
  <si>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  <sz val="10.0"/>
      </rPr>
      <t xml:space="preserve">Avg PCL ins / cycle: </t>
    </r>
    <r>
      <rPr>
        <rFont val="Arial"/>
        <b/>
        <color theme="1"/>
        <sz val="10.0"/>
      </rPr>
      <t>1.01</t>
    </r>
    <r>
      <rPr>
        <rFont val="Arial"/>
        <color theme="1"/>
        <sz val="10.0"/>
      </rPr>
      <t>. Each PCL deals 64 bit. (https://arxiv.org/pdf/1611.07612.pdf)</t>
    </r>
  </si>
  <si>
    <r>
      <rPr>
        <rFont val="Cambria"/>
        <b/>
        <color theme="1"/>
      </rPr>
      <t xml:space="preserve">Iterate </t>
    </r>
    <r>
      <rPr>
        <rFont val="Cambria"/>
        <color theme="1"/>
      </rPr>
      <t xml:space="preserve">as many times as the </t>
    </r>
    <r>
      <rPr>
        <rFont val="Cambria"/>
        <b/>
        <color theme="1"/>
      </rPr>
      <t>number of query words</t>
    </r>
    <r>
      <rPr>
        <rFont val="Cambria"/>
        <color theme="1"/>
      </rPr>
      <t xml:space="preserve"> to search for</t>
    </r>
  </si>
  <si>
    <r>
      <rPr>
        <rFont val="Cambria"/>
        <b/>
        <color theme="1"/>
        <sz val="10.0"/>
      </rPr>
      <t>dram_ap_brdcst</t>
    </r>
    <r>
      <rPr>
        <rFont val="Cambria"/>
        <color theme="1"/>
        <sz val="10.0"/>
      </rPr>
      <t>( ) function latency is estimated as #_effective_call * #_col * tCCD * bit_len. PCL can be overlapped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</si>
  <si>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</si>
  <si>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000000"/>
        <sz val="10.0"/>
      </rPr>
      <t xml:space="preserve">size of key words/ ref patterns (e.g., </t>
    </r>
    <r>
      <rPr>
        <rFont val="Arial"/>
        <i/>
        <color rgb="FF000000"/>
        <sz val="10.0"/>
      </rPr>
      <t>k</t>
    </r>
    <r>
      <rPr>
        <rFont val="Arial"/>
        <color rgb="FF000000"/>
        <sz val="10.0"/>
      </rPr>
      <t>-mer reference patterns)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</si>
  <si>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</si>
  <si>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</si>
  <si>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</si>
  <si>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</si>
  <si>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</si>
  <si>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</si>
  <si>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  <sz val="10.0"/>
      </rPr>
      <t xml:space="preserve">Avg PCL ins / cycle: </t>
    </r>
    <r>
      <rPr>
        <rFont val="Arial"/>
        <b/>
        <color theme="1"/>
        <sz val="10.0"/>
      </rPr>
      <t>1.01</t>
    </r>
    <r>
      <rPr>
        <rFont val="Arial"/>
        <color theme="1"/>
        <sz val="10.0"/>
      </rPr>
      <t>. Each PCL deals 64 bit. (https://arxiv.org/pdf/1611.07612.pdf)</t>
    </r>
  </si>
  <si>
    <r>
      <rPr>
        <rFont val="Cambria"/>
        <b/>
        <color theme="1"/>
      </rPr>
      <t xml:space="preserve">Iterate </t>
    </r>
    <r>
      <rPr>
        <rFont val="Cambria"/>
        <color theme="1"/>
      </rPr>
      <t xml:space="preserve">as many times as the </t>
    </r>
    <r>
      <rPr>
        <rFont val="Cambria"/>
        <b/>
        <color theme="1"/>
      </rPr>
      <t>number of query words</t>
    </r>
    <r>
      <rPr>
        <rFont val="Cambria"/>
        <color theme="1"/>
      </rPr>
      <t xml:space="preserve"> to search for</t>
    </r>
  </si>
  <si>
    <t xml:space="preserve">dram_ap_vset(x_v_cpy, x_v) </t>
  </si>
  <si>
    <t>dram_ap_vset(y_v_cpy, y_v)</t>
  </si>
  <si>
    <t>dram_ap_vmul(xx_v, x_v, x_v_cpy)</t>
  </si>
  <si>
    <t>dram_ap_vmul(yy_v, y_v, y_v_cpy)</t>
  </si>
  <si>
    <t>dram_ap_vmul(xy_v, x_v, y_v)</t>
  </si>
  <si>
    <t>dram_ap_vredsum_c(&amp;sx_ll, x_v)</t>
  </si>
  <si>
    <t>dram_ap_vredsum_l(&amp;sxx_ll, xx_v)</t>
  </si>
  <si>
    <t>dram_ap_vredsum_c(&amp;sy_ll, y_v)</t>
  </si>
  <si>
    <t>dram_ap_vredsum_l(&amp;syy_ll, yy_v)</t>
  </si>
  <si>
    <t>dram_ap_vredsum_l(&amp;sxy_ll, xy_v)</t>
  </si>
  <si>
    <t>SIMDRAM_vmul(xx_v, x_v, x_v_cpy)</t>
  </si>
  <si>
    <t>SIMDRAM_vmul(yy_v, y_v, y_v_cpy)</t>
  </si>
  <si>
    <t>SIMDRAM_vmul(xy_v, x_v, y_v)</t>
  </si>
  <si>
    <t>FLOATS-V-3REG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</si>
  <si>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</si>
  <si>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t>total need (468,750,001 / 262144) = 1789 vectors. Concurrently process 16 * 4 * 2 = 128 vectors. 1789 / 128 = 14 iterations (batches)</t>
  </si>
  <si>
    <r>
      <rPr>
        <rFont val="Arial"/>
        <b/>
        <color theme="1"/>
        <sz val="10.0"/>
      </rPr>
      <t xml:space="preserve">vl: </t>
    </r>
    <r>
      <rPr>
        <rFont val="Arial"/>
        <b val="0"/>
        <color theme="1"/>
        <sz val="10.0"/>
      </rPr>
      <t>number of input pixels. 1.4 GB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</si>
  <si>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</si>
  <si>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</si>
  <si>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t>Emperical measurement indicates half of the bank can be activate</t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</si>
  <si>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</si>
  <si>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</si>
  <si>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</si>
  <si>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</si>
  <si>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For brdcst, each time broadcast to half of the banks. For </t>
    </r>
    <r>
      <rPr>
        <rFont val="Arial"/>
        <b/>
        <color theme="1"/>
      </rPr>
      <t>vfill and brdcst</t>
    </r>
    <r>
      <rPr>
        <rFont val="Arial"/>
        <color theme="1"/>
      </rPr>
      <t xml:space="preserve">, assume write broadcast enabled. Avg </t>
    </r>
    <r>
      <rPr>
        <rFont val="Arial"/>
        <b/>
        <color theme="1"/>
      </rPr>
      <t xml:space="preserve">PCL </t>
    </r>
    <r>
      <rPr>
        <rFont val="Arial"/>
        <color theme="1"/>
      </rPr>
      <t>ins / cycle: 1.01. Each PCL deals 64 bit. (https://arxiv.org/pdf/1611.07612.pdf)</t>
    </r>
  </si>
  <si>
    <t>R Latency</t>
  </si>
  <si>
    <t>W Latency</t>
  </si>
  <si>
    <t>dram_ap_vfill(100, blue_mask_v, vl)</t>
  </si>
  <si>
    <t>dram_ap_vfill(10, green_mask_v, vl)</t>
  </si>
  <si>
    <t>dram_ap_vfill(1, red_mask_v, vl)</t>
  </si>
  <si>
    <r>
      <rPr>
        <rFont val="Arial"/>
        <color rgb="FF999999"/>
      </rPr>
      <t>for(int i=0;i&lt;</t>
    </r>
    <r>
      <rPr>
        <rFont val="Arial"/>
        <b/>
        <color rgb="FF999999"/>
      </rPr>
      <t>256</t>
    </r>
    <r>
      <rPr>
        <rFont val="Arial"/>
        <color rgb="FF999999"/>
      </rPr>
      <t>;i++)</t>
    </r>
  </si>
  <si>
    <t>dram_ap_vcpy(0, result_v, vl, 1)</t>
  </si>
  <si>
    <t>dram_ap_brdcst(i, key_v, vl, 1)</t>
  </si>
  <si>
    <t>dram_ap_xnor</t>
  </si>
  <si>
    <t>dram_ap_and(...R/G/B...)</t>
  </si>
  <si>
    <t>RISCV_pcl(...R/G/B...)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</si>
  <si>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</si>
  <si>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theme="1"/>
        <sz val="10.0"/>
      </rPr>
      <t xml:space="preserve">vl: </t>
    </r>
    <r>
      <rPr>
        <rFont val="Arial"/>
        <b val="0"/>
        <color theme="1"/>
        <sz val="10.0"/>
      </rPr>
      <t>number of input pixels. 1.4 GB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</si>
  <si>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</si>
  <si>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</si>
  <si>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</si>
  <si>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</si>
  <si>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</si>
  <si>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</si>
  <si>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For brdcst, each time broadcast to half of the banks. For </t>
    </r>
    <r>
      <rPr>
        <rFont val="Arial"/>
        <b/>
        <color theme="1"/>
      </rPr>
      <t>vfill and brdcst</t>
    </r>
    <r>
      <rPr>
        <rFont val="Arial"/>
        <color theme="1"/>
      </rPr>
      <t xml:space="preserve">, assume write broadcast enabled. Avg </t>
    </r>
    <r>
      <rPr>
        <rFont val="Arial"/>
        <b/>
        <color theme="1"/>
      </rPr>
      <t xml:space="preserve">PCL </t>
    </r>
    <r>
      <rPr>
        <rFont val="Arial"/>
        <color theme="1"/>
      </rPr>
      <t>ins / cycle: 1.01. Each PCL deals 64 bit. (https://arxiv.org/pdf/1611.07612.pdf)</t>
    </r>
  </si>
  <si>
    <r>
      <rPr>
        <rFont val="Arial"/>
        <color rgb="FF999999"/>
      </rPr>
      <t>for(int i=0;i&lt;</t>
    </r>
    <r>
      <rPr>
        <rFont val="Arial"/>
        <b/>
        <color rgb="FF999999"/>
      </rPr>
      <t>256</t>
    </r>
    <r>
      <rPr>
        <rFont val="Arial"/>
        <color rgb="FF999999"/>
      </rPr>
      <t>;i++)</t>
    </r>
  </si>
  <si>
    <t>SIMDRAM_vcpy(0, result_v, vl, 1)</t>
  </si>
  <si>
    <t>SIMDRAM_xnor</t>
  </si>
  <si>
    <t>SIMDRAM_and(...R/G/B...)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</si>
  <si>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</si>
  <si>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theme="1"/>
        <sz val="10.0"/>
      </rPr>
      <t xml:space="preserve">vl: </t>
    </r>
    <r>
      <rPr>
        <rFont val="Arial"/>
        <b val="0"/>
        <color theme="1"/>
        <sz val="10.0"/>
      </rPr>
      <t>number of input pixels. 1.4 GB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</si>
  <si>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</si>
  <si>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</si>
  <si>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</si>
  <si>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</si>
  <si>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</si>
  <si>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</si>
  <si>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For brdcst, each time broadcast to half of the banks. For </t>
    </r>
    <r>
      <rPr>
        <rFont val="Arial"/>
        <b/>
        <color theme="1"/>
      </rPr>
      <t>vfill and brdcst</t>
    </r>
    <r>
      <rPr>
        <rFont val="Arial"/>
        <color theme="1"/>
      </rPr>
      <t xml:space="preserve">, assume write broadcast enabled. Avg </t>
    </r>
    <r>
      <rPr>
        <rFont val="Arial"/>
        <b/>
        <color theme="1"/>
      </rPr>
      <t xml:space="preserve">PCL </t>
    </r>
    <r>
      <rPr>
        <rFont val="Arial"/>
        <color theme="1"/>
      </rPr>
      <t>ins / cycle: 1.01. Each PCL deals 64 bit. (https://arxiv.org/pdf/1611.07612.pdf)</t>
    </r>
  </si>
  <si>
    <r>
      <rPr>
        <rFont val="Arial"/>
        <color rgb="FF999999"/>
      </rPr>
      <t>for(int i=0;i&lt;</t>
    </r>
    <r>
      <rPr>
        <rFont val="Arial"/>
        <b/>
        <color rgb="FF999999"/>
      </rPr>
      <t>256</t>
    </r>
    <r>
      <rPr>
        <rFont val="Arial"/>
        <color rgb="FF999999"/>
      </rPr>
      <t>;i++)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</si>
  <si>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</si>
  <si>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theme="1"/>
        <sz val="10.0"/>
      </rPr>
      <t xml:space="preserve">vl: </t>
    </r>
    <r>
      <rPr>
        <rFont val="Arial"/>
        <b val="0"/>
        <color theme="1"/>
        <sz val="10.0"/>
      </rPr>
      <t>number of input pixels. 1.4 GB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</si>
  <si>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</si>
  <si>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</si>
  <si>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</si>
  <si>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</si>
  <si>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</si>
  <si>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</si>
  <si>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For brdcst, each time broadcast to half of the banks. For </t>
    </r>
    <r>
      <rPr>
        <rFont val="Arial"/>
        <b/>
        <color theme="1"/>
      </rPr>
      <t>vfill and brdcst</t>
    </r>
    <r>
      <rPr>
        <rFont val="Arial"/>
        <color theme="1"/>
      </rPr>
      <t xml:space="preserve">, assume write broadcast enabled. Avg </t>
    </r>
    <r>
      <rPr>
        <rFont val="Arial"/>
        <b/>
        <color theme="1"/>
      </rPr>
      <t xml:space="preserve">PCL </t>
    </r>
    <r>
      <rPr>
        <rFont val="Arial"/>
        <color theme="1"/>
      </rPr>
      <t>ins / cycle: 1.01. Each PCL deals 64 bit. (https://arxiv.org/pdf/1611.07612.pdf)</t>
    </r>
  </si>
  <si>
    <r>
      <rPr>
        <rFont val="Arial"/>
        <color rgb="FF999999"/>
      </rPr>
      <t>for(int i=0;i&lt;</t>
    </r>
    <r>
      <rPr>
        <rFont val="Arial"/>
        <b/>
        <color rgb="FF999999"/>
      </rPr>
      <t>256</t>
    </r>
    <r>
      <rPr>
        <rFont val="Arial"/>
        <color rgb="FF999999"/>
      </rPr>
      <t>;i++)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</si>
  <si>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</si>
  <si>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theme="1"/>
        <sz val="10.0"/>
      </rPr>
      <t xml:space="preserve">vl: </t>
    </r>
    <r>
      <rPr>
        <rFont val="Arial"/>
        <b val="0"/>
        <color theme="1"/>
        <sz val="10.0"/>
      </rPr>
      <t>number of input pixels. 1.4 GB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</si>
  <si>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</si>
  <si>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</si>
  <si>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</si>
  <si>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</si>
  <si>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</si>
  <si>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</si>
  <si>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For brdcst, each time broadcast to half of the banks. For </t>
    </r>
    <r>
      <rPr>
        <rFont val="Arial"/>
        <b/>
        <color theme="1"/>
      </rPr>
      <t>vfill and brdcst</t>
    </r>
    <r>
      <rPr>
        <rFont val="Arial"/>
        <color theme="1"/>
      </rPr>
      <t xml:space="preserve">, assume write broadcast enabled. Avg </t>
    </r>
    <r>
      <rPr>
        <rFont val="Arial"/>
        <b/>
        <color theme="1"/>
      </rPr>
      <t xml:space="preserve">PCL </t>
    </r>
    <r>
      <rPr>
        <rFont val="Arial"/>
        <color theme="1"/>
      </rPr>
      <t>ins / cycle: 1.01. Each PCL deals 64 bit. (https://arxiv.org/pdf/1611.07612.pdf)</t>
    </r>
  </si>
  <si>
    <r>
      <rPr>
        <rFont val="Arial"/>
        <color rgb="FF999999"/>
      </rPr>
      <t>for(int i=0;i&lt;</t>
    </r>
    <r>
      <rPr>
        <rFont val="Arial"/>
        <b/>
        <color rgb="FF999999"/>
      </rPr>
      <t>256</t>
    </r>
    <r>
      <rPr>
        <rFont val="Arial"/>
        <color rgb="FF999999"/>
      </rPr>
      <t>;i++)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</si>
  <si>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</si>
  <si>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theme="1"/>
        <sz val="10.0"/>
      </rPr>
      <t xml:space="preserve">vl: </t>
    </r>
    <r>
      <rPr>
        <rFont val="Arial"/>
        <b val="0"/>
        <color theme="1"/>
        <sz val="10.0"/>
      </rPr>
      <t>number of input pixels. 1.4 GB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</si>
  <si>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</si>
  <si>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</si>
  <si>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</si>
  <si>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</si>
  <si>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</si>
  <si>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</si>
  <si>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For brdcst, each time broadcast to half of the banks. For </t>
    </r>
    <r>
      <rPr>
        <rFont val="Arial"/>
        <b/>
        <color theme="1"/>
      </rPr>
      <t>vfill and brdcst</t>
    </r>
    <r>
      <rPr>
        <rFont val="Arial"/>
        <color theme="1"/>
      </rPr>
      <t xml:space="preserve">, assume write broadcast enabled. Avg </t>
    </r>
    <r>
      <rPr>
        <rFont val="Arial"/>
        <b/>
        <color theme="1"/>
      </rPr>
      <t xml:space="preserve">PCL </t>
    </r>
    <r>
      <rPr>
        <rFont val="Arial"/>
        <color theme="1"/>
      </rPr>
      <t>ins / cycle: 1.01. Each PCL deals 64 bit. (https://arxiv.org/pdf/1611.07612.pdf)</t>
    </r>
  </si>
  <si>
    <r>
      <rPr>
        <rFont val="Arial"/>
        <color rgb="FF999999"/>
      </rPr>
      <t>for(int i=0;i&lt;</t>
    </r>
    <r>
      <rPr>
        <rFont val="Arial"/>
        <b/>
        <color rgb="FF999999"/>
      </rPr>
      <t>256</t>
    </r>
    <r>
      <rPr>
        <rFont val="Arial"/>
        <color rgb="FF999999"/>
      </rPr>
      <t>;i++)</t>
    </r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</si>
  <si>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</si>
  <si>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</si>
  <si>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</si>
  <si>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</si>
  <si>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</si>
  <si>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</si>
  <si>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</si>
  <si>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</si>
  <si>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</si>
  <si>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</si>
  <si>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</si>
  <si>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DRAM Params</t>
  </si>
  <si>
    <t>Total Latency (cycles)</t>
  </si>
  <si>
    <t>calc_mean</t>
  </si>
  <si>
    <t>dram_ap_vredsum(&amp;tmp1, tmp_src1_v)</t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</si>
  <si>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</si>
  <si>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</si>
  <si>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t>Need to broadcast all 250 means</t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</si>
  <si>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</si>
  <si>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</si>
  <si>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</si>
  <si>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</si>
  <si>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</si>
  <si>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</si>
  <si>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</si>
  <si>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</si>
  <si>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16R * 8B * 2SA = 256 physical rows/vectors. 500 input vectors means each physical row stores two input rows. Assuming enable write broadcast. Broadcast for each mean_i</t>
  </si>
  <si>
    <t>calc_covMat</t>
  </si>
  <si>
    <t>dram_ap_brdcst(meanVec[i], mean_i_v)</t>
  </si>
  <si>
    <t>dram_ap_vsub(tmp_res1_v, tmp_src1_v, mean_i_v)</t>
  </si>
  <si>
    <t>dram_ap_vmul(tmp_res3_v, tmp_res1_v, tmp_res2_v)</t>
  </si>
  <si>
    <t>dram_ap_vredsum(&amp;sum, tmp_res3_v)</t>
  </si>
  <si>
    <t>total</t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</si>
  <si>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</si>
  <si>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</si>
  <si>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</si>
  <si>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</si>
  <si>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</si>
  <si>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</si>
  <si>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</si>
  <si>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</si>
  <si>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</si>
  <si>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</si>
  <si>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</si>
  <si>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</si>
  <si>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</si>
  <si>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</si>
  <si>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</si>
  <si>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</si>
  <si>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</si>
  <si>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</si>
  <si>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</si>
  <si>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</si>
  <si>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</si>
  <si>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SIMDRAM_vsub(tmp_res1_v, tmp_src1_v, mean_i_v)</t>
  </si>
  <si>
    <t>SIMDRAM_vmul(tmp_res3_v, tmp_res1_v, tmp_res2_v)</t>
  </si>
  <si>
    <t>sum</t>
  </si>
  <si>
    <t>total:</t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</si>
  <si>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</si>
  <si>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</si>
  <si>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</si>
  <si>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</si>
  <si>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</si>
  <si>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</si>
  <si>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</si>
  <si>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</si>
  <si>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</si>
  <si>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</si>
  <si>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</si>
  <si>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</si>
  <si>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</si>
  <si>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</si>
  <si>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</si>
  <si>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</si>
  <si>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</si>
  <si>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</si>
  <si>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</si>
  <si>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</si>
  <si>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</si>
  <si>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</si>
  <si>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</si>
  <si>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</si>
  <si>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</si>
  <si>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</si>
  <si>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</si>
  <si>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</si>
  <si>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</si>
  <si>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</si>
  <si>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</si>
  <si>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</si>
  <si>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</si>
  <si>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</si>
  <si>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</si>
  <si>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</si>
  <si>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</si>
  <si>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</si>
  <si>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</si>
  <si>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</si>
  <si>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</si>
  <si>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</si>
  <si>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</si>
  <si>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</si>
  <si>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</si>
  <si>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</si>
  <si>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</si>
  <si>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</si>
  <si>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</si>
  <si>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</si>
  <si>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</si>
  <si>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</si>
  <si>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</si>
  <si>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</si>
  <si>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</si>
  <si>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</si>
  <si>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</si>
  <si>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</si>
  <si>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</si>
  <si>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</si>
  <si>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</si>
  <si>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</si>
  <si>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</si>
  <si>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</si>
  <si>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</si>
  <si>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</si>
  <si>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</si>
  <si>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</si>
  <si>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</si>
  <si>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</si>
  <si>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</si>
  <si>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</si>
  <si>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</si>
  <si>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</si>
  <si>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</si>
  <si>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</si>
  <si>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</si>
  <si>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</si>
  <si>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</si>
  <si>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</si>
  <si>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</si>
  <si>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</si>
  <si>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</si>
  <si>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</si>
  <si>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>Note:</t>
    </r>
    <r>
      <rPr>
        <rFont val="Cambria"/>
        <b val="0"/>
        <color theme="1"/>
        <sz val="10.0"/>
      </rPr>
      <t xml:space="preserve"> vectors don't need to be allocated in one bank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</si>
  <si>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</si>
  <si>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All 250 rows do not need to be allocated at the same bank. They can be processed in parallel. Max vector throughput: 16 (ranks) * 4 (banks/rank) * 2 (SA/bank) = </t>
    </r>
    <r>
      <rPr>
        <rFont val="Arial"/>
        <b/>
        <color rgb="FF1F1F1F"/>
        <sz val="10.0"/>
      </rPr>
      <t>128 vectors concurrently</t>
    </r>
    <r>
      <rPr>
        <rFont val="Arial"/>
        <color rgb="FF1F1F1F"/>
        <sz val="10.0"/>
      </rPr>
      <t>. Processing 250 vectors needs 2 iterations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</si>
  <si>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num_cols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</si>
  <si>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</si>
  <si>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</si>
  <si>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</si>
  <si>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</si>
  <si>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</si>
  <si>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</si>
  <si>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</si>
  <si>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Cambria"/>
        <b/>
        <color theme="1"/>
        <sz val="10.0"/>
      </rPr>
      <t xml:space="preserve">Note: </t>
    </r>
    <r>
      <rPr>
        <rFont val="Cambria"/>
        <b val="0"/>
        <color theme="1"/>
        <sz val="10.0"/>
      </rPr>
      <t>all vectors have to be allocated in one place (bank). max_row / bank is 65536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</si>
  <si>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</si>
  <si>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 val="0"/>
        <color rgb="FF000000"/>
        <sz val="10.0"/>
      </rPr>
      <t>Input</t>
    </r>
    <r>
      <rPr>
        <rFont val="Arial"/>
        <b/>
        <color rgb="FF000000"/>
        <sz val="10.0"/>
      </rPr>
      <t xml:space="preserve">: 250 * MAX_VL </t>
    </r>
    <r>
      <rPr>
        <rFont val="Arial"/>
        <b val="0"/>
        <color rgb="FF000000"/>
        <sz val="10.0"/>
      </rPr>
      <t>matrix</t>
    </r>
    <r>
      <rPr>
        <rFont val="Arial"/>
        <b/>
        <color rgb="FF000000"/>
        <sz val="10.0"/>
      </rPr>
      <t xml:space="preserve">. vl: </t>
    </r>
    <r>
      <rPr>
        <rFont val="Arial"/>
        <b val="0"/>
        <color rgb="FF000000"/>
        <sz val="10.0"/>
      </rPr>
      <t xml:space="preserve">input_vec_size: </t>
    </r>
    <r>
      <rPr>
        <rFont val="Arial"/>
        <b/>
        <color rgb="FF000000"/>
        <sz val="10.0"/>
      </rPr>
      <t>number of mean values == num_rows</t>
    </r>
  </si>
  <si>
    <r>
      <rPr>
        <rFont val="Arial"/>
        <color rgb="FF1F1F1F"/>
        <sz val="10.0"/>
      </rPr>
      <t xml:space="preserve">Explicit number of loop iterations in user program: loop_iter: </t>
    </r>
    <r>
      <rPr>
        <rFont val="Arial"/>
        <b/>
        <color rgb="FF1F1F1F"/>
        <sz val="10.0"/>
      </rPr>
      <t>num_rows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</si>
  <si>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</si>
  <si>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</si>
  <si>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</si>
  <si>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</si>
  <si>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</si>
  <si>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</si>
  <si>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</si>
  <si>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</si>
  <si>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</si>
  <si>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</si>
  <si>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</si>
  <si>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</si>
  <si>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</si>
  <si>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</si>
  <si>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</si>
  <si>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</si>
  <si>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>Loop_cnt</t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</si>
  <si>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</si>
  <si>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t>dram_ap_brdcst(means[i], mean_v)</t>
  </si>
  <si>
    <t>dram_ap_vcpy(0, dist_v)</t>
  </si>
  <si>
    <t>dram_ap_vmin(min_dist_v, dist_v)</t>
  </si>
  <si>
    <t>dram_ap_vcpy(dist_matrix[i], dist_v)</t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</si>
  <si>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</si>
  <si>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t>dram_ap_vsub(dist_dim_v, pts_v, mean_v)</t>
  </si>
  <si>
    <t>dram_ap_vabs(dist_dim_v)</t>
  </si>
  <si>
    <t>dram_ap_vacc/add(dist_v, dist_dim_v)</t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</si>
  <si>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</si>
  <si>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</si>
  <si>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</si>
  <si>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</si>
  <si>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</si>
  <si>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</si>
  <si>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</si>
  <si>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</si>
  <si>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</si>
  <si>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</si>
  <si>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</si>
  <si>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t>dram_ap_vcpy(0, mask_v)</t>
  </si>
  <si>
    <t>dram_ap_vmatch(mask_v, min_dist_v, dist_matrix[i])</t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</si>
  <si>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</si>
  <si>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t>dram_ap_vredsum(pts_dim, mask_v, num_points)</t>
  </si>
  <si>
    <t>dram_ap_pcl(mask_v)</t>
  </si>
  <si>
    <t>V total:</t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</si>
  <si>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</si>
  <si>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</si>
  <si>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</si>
  <si>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</si>
  <si>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</si>
  <si>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</si>
  <si>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</si>
  <si>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</si>
  <si>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</si>
  <si>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</si>
  <si>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</si>
  <si>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t>SIMDRAM_vmin(min_dist_v, dist_v)</t>
  </si>
  <si>
    <t>SIMDRAM_vcpy(dist_matrix[i], dist_v)</t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</si>
  <si>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</si>
  <si>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t>SIMDRAM_vsub(dist_dim_v, pts_v, mean_v)</t>
  </si>
  <si>
    <t>SIMDRAM_vabs(dist_dim_v)</t>
  </si>
  <si>
    <t>SIMDRAM_vacc/add(dist_v, dist_dim_v)</t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</si>
  <si>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</si>
  <si>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</si>
  <si>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</si>
  <si>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</si>
  <si>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</si>
  <si>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</si>
  <si>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</si>
  <si>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</si>
  <si>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</si>
  <si>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</si>
  <si>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</si>
  <si>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t>SIMDRAM_vcpy(0, mask_v)</t>
  </si>
  <si>
    <t>SIMDRAM_vmatch(mask_v, min_dist_v, dist_matrix[i])</t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</si>
  <si>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</si>
  <si>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</si>
  <si>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</si>
  <si>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</si>
  <si>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</si>
  <si>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</si>
  <si>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</si>
  <si>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</si>
  <si>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</si>
  <si>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</si>
  <si>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</si>
  <si>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</si>
  <si>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</si>
  <si>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t>dram_ap_vacc/vadd(dist_v, dist_dim_v)</t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</si>
  <si>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</si>
  <si>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</si>
  <si>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</si>
  <si>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</si>
  <si>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</si>
  <si>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</si>
  <si>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</si>
  <si>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</si>
  <si>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</si>
  <si>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</si>
  <si>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</si>
  <si>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</si>
  <si>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</si>
  <si>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</si>
  <si>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</si>
  <si>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</si>
  <si>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</si>
  <si>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</si>
  <si>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</si>
  <si>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</si>
  <si>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</si>
  <si>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</si>
  <si>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</si>
  <si>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</si>
  <si>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</si>
  <si>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</si>
  <si>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</si>
  <si>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</si>
  <si>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</si>
  <si>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</si>
  <si>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</si>
  <si>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</si>
  <si>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</si>
  <si>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</si>
  <si>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</si>
  <si>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</si>
  <si>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</si>
  <si>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</si>
  <si>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</si>
  <si>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</si>
  <si>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</si>
  <si>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</si>
  <si>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</si>
  <si>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</si>
  <si>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</si>
  <si>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</si>
  <si>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</si>
  <si>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</si>
  <si>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</si>
  <si>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</si>
  <si>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</si>
  <si>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</si>
  <si>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</si>
  <si>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</si>
  <si>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</si>
  <si>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</si>
  <si>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</si>
  <si>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</si>
  <si>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</si>
  <si>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</si>
  <si>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</si>
  <si>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</si>
  <si>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</si>
  <si>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</si>
  <si>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</si>
  <si>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</si>
  <si>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</si>
  <si>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</si>
  <si>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</si>
  <si>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</si>
  <si>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</si>
  <si>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</si>
  <si>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</si>
  <si>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</si>
  <si>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</si>
  <si>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</si>
  <si>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</si>
  <si>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</si>
  <si>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</si>
  <si>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</si>
  <si>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</si>
  <si>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</si>
  <si>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</si>
  <si>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</si>
  <si>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</si>
  <si>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 val="0"/>
        <color theme="1"/>
      </rPr>
      <t xml:space="preserve">function: </t>
    </r>
    <r>
      <rPr>
        <rFont val="Arial"/>
        <b/>
        <color theme="1"/>
      </rPr>
      <t>calc_dist</t>
    </r>
    <r>
      <rPr>
        <rFont val="Arial"/>
        <b val="0"/>
        <color theme="1"/>
      </rPr>
      <t>()</t>
    </r>
    <r>
      <rPr>
        <rFont val="Arial"/>
        <b/>
        <color theme="1"/>
      </rPr>
      <t xml:space="preserve">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</si>
  <si>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</si>
  <si>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</si>
  <si>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</si>
  <si>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</si>
  <si>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</si>
  <si>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</si>
  <si>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</si>
  <si>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</si>
  <si>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</si>
  <si>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</si>
  <si>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r>
      <rPr>
        <rFont val="Arial"/>
        <color theme="1"/>
        <sz val="11.0"/>
      </rPr>
      <t xml:space="preserve">Iterate </t>
    </r>
    <r>
      <rPr>
        <rFont val="Cambria"/>
        <b/>
        <color theme="1"/>
        <sz val="11.0"/>
      </rPr>
      <t>X</t>
    </r>
    <r>
      <rPr>
        <rFont val="Arial"/>
        <color theme="1"/>
        <sz val="11.0"/>
      </rPr>
      <t xml:space="preserve"> times until converge. This calculate performance for one iteration. </t>
    </r>
  </si>
  <si>
    <r>
      <rPr>
        <rFont val="Arial"/>
        <b/>
        <color theme="1"/>
      </rPr>
      <t xml:space="preserve">function: calc_centroids(). Inputs fits in one bank. </t>
    </r>
    <r>
      <rPr>
        <rFont val="Arial"/>
        <b val="0"/>
        <color theme="1"/>
      </rPr>
      <t>Larger input vector can be segmented and processed in parallel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</si>
  <si>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</si>
  <si>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b/>
        <color rgb="FF1F1F1F"/>
        <sz val="10.0"/>
      </rPr>
      <t xml:space="preserve">blocking_factor </t>
    </r>
    <r>
      <rPr>
        <rFont val="Arial"/>
        <color rgb="FF1F1F1F"/>
        <sz val="10.0"/>
      </rPr>
      <t>improves parallelism, effectively reduce #_actual_cal: (</t>
    </r>
    <r>
      <rPr>
        <rFont val="Arial"/>
        <b/>
        <color rgb="FF1F1F1F"/>
        <sz val="10.0"/>
      </rPr>
      <t>loop_count</t>
    </r>
    <r>
      <rPr>
        <rFont val="Arial"/>
        <color rgb="FF1F1F1F"/>
        <sz val="10.0"/>
      </rPr>
      <t>/</t>
    </r>
    <r>
      <rPr>
        <rFont val="Arial"/>
        <b/>
        <color rgb="FF1F1F1F"/>
        <sz val="10.0"/>
      </rPr>
      <t>blocking_factor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#_call/loop</t>
    </r>
    <r>
      <rPr>
        <rFont val="Arial"/>
        <color rgb="FF1F1F1F"/>
        <sz val="10.0"/>
      </rPr>
      <t>)*(</t>
    </r>
    <r>
      <rPr>
        <rFont val="Arial"/>
        <b/>
        <color rgb="FF1F1F1F"/>
        <sz val="10.0"/>
      </rPr>
      <t>#_Batches</t>
    </r>
    <r>
      <rPr>
        <rFont val="Arial"/>
        <color rgb="FF1F1F1F"/>
        <sz val="10.0"/>
      </rPr>
      <t>)</t>
    </r>
  </si>
  <si>
    <r>
      <rPr>
        <rFont val="Arial"/>
        <color rgb="FF000000"/>
        <sz val="10.0"/>
      </rPr>
      <t xml:space="preserve">Default 3-dimensional points, 4-Byte integers: total bit length: </t>
    </r>
    <r>
      <rPr>
        <rFont val="Arial"/>
        <b/>
        <color rgb="FF000000"/>
        <sz val="10.0"/>
      </rPr>
      <t xml:space="preserve">dim * 4 * 8 </t>
    </r>
    <r>
      <rPr>
        <rFont val="Arial"/>
        <color rgb="FF000000"/>
        <sz val="10.0"/>
      </rPr>
      <t xml:space="preserve">or </t>
    </r>
    <r>
      <rPr>
        <rFont val="Arial"/>
        <b/>
        <color rgb="FF000000"/>
        <sz val="10.0"/>
      </rPr>
      <t>4 * 8 per dim</t>
    </r>
  </si>
  <si>
    <r>
      <rPr>
        <rFont val="Arial"/>
        <b val="0"/>
        <color rgb="FF000000"/>
        <sz val="10.0"/>
      </rPr>
      <t xml:space="preserve">total </t>
    </r>
    <r>
      <rPr>
        <rFont val="Arial"/>
        <b/>
        <color rgb="FF000000"/>
        <sz val="10.0"/>
      </rPr>
      <t>num_points</t>
    </r>
  </si>
  <si>
    <r>
      <rPr>
        <rFont val="Arial"/>
        <color rgb="FF1F1F1F"/>
        <sz val="10.0"/>
      </rPr>
      <t xml:space="preserve">Explicit number of loop iterations in user program: </t>
    </r>
    <r>
      <rPr>
        <rFont val="Arial"/>
        <b/>
        <color rgb="FF1F1F1F"/>
        <sz val="10.0"/>
      </rPr>
      <t xml:space="preserve">num_means </t>
    </r>
    <r>
      <rPr>
        <rFont val="Arial"/>
        <color rgb="FF1F1F1F"/>
        <sz val="10.0"/>
      </rPr>
      <t xml:space="preserve">or </t>
    </r>
    <r>
      <rPr>
        <rFont val="Arial"/>
        <b/>
        <color rgb="FF1F1F1F"/>
        <sz val="10.0"/>
      </rPr>
      <t>num_means * dim</t>
    </r>
  </si>
  <si>
    <r>
      <rPr>
        <rFont val="Arial"/>
        <b/>
        <color rgb="FF000000"/>
        <sz val="10.0"/>
      </rPr>
      <t>OPTIONAL User defined</t>
    </r>
    <r>
      <rPr>
        <rFont val="Arial"/>
        <color rgb="FF000000"/>
        <sz val="10.0"/>
      </rPr>
      <t xml:space="preserve"> or compiler optimized parameter(similar to </t>
    </r>
    <r>
      <rPr>
        <rFont val="Arial"/>
        <b/>
        <color rgb="FF000000"/>
        <sz val="10.0"/>
      </rPr>
      <t>loop unrolling</t>
    </r>
    <r>
      <rPr>
        <rFont val="Arial"/>
        <color rgb="FF000000"/>
        <sz val="10.0"/>
      </rPr>
      <t xml:space="preserve">). Divide input to chunks and consume them in parallel. Depends on DRAM-AP Parallelism &amp; Allocatable DRAM-AP vector space. </t>
    </r>
    <r>
      <rPr>
        <rFont val="Arial"/>
        <b/>
        <color rgb="FF000000"/>
        <sz val="10.0"/>
        <u/>
      </rPr>
      <t>Manully set for now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</si>
  <si>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</si>
  <si>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</si>
  <si>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outer loop: </t>
    </r>
    <r>
      <rPr>
        <rFont val="Cambria"/>
        <b/>
        <color theme="1"/>
      </rPr>
      <t>num_means</t>
    </r>
  </si>
  <si>
    <r>
      <rPr>
        <rFont val="Arial"/>
        <color theme="1"/>
      </rPr>
      <t xml:space="preserve">inner loop: </t>
    </r>
    <r>
      <rPr>
        <rFont val="Cambria"/>
        <b/>
        <color theme="1"/>
      </rPr>
      <t>num_dim</t>
    </r>
  </si>
  <si>
    <t>Maximize Parallelism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</si>
  <si>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</si>
  <si>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t>Max DRAMAP throughput: 16 * 4 * 2 = 128 ROWs. Allocate 500 DRAM rows.</t>
  </si>
  <si>
    <t xml:space="preserve">Input: 500 * 500 matrix. Suppose the input matrix dimension is N * N, then each input vector size is N </t>
  </si>
  <si>
    <r>
      <rPr>
        <rFont val="Arial"/>
        <color rgb="FF1F1F1F"/>
        <sz val="10.0"/>
      </rPr>
      <t xml:space="preserve">Explicit number of loop iterations in user program. Suppose the input matrix dimension is N * N, then </t>
    </r>
    <r>
      <rPr>
        <rFont val="Arial"/>
        <b/>
        <color rgb="FF1F1F1F"/>
        <sz val="10.0"/>
      </rPr>
      <t>N * N. If flaten Matrix A then 1 * N</t>
    </r>
  </si>
  <si>
    <t>Max DRAMAP throughput: 16 * 4 * 2 = 128 ROWs.</t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</si>
  <si>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</si>
  <si>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</si>
  <si>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</si>
  <si>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</si>
  <si>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</si>
  <si>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t xml:space="preserve">CPU </t>
  </si>
  <si>
    <t>#_call</t>
  </si>
  <si>
    <t>used_bits / row</t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</si>
  <si>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</si>
  <si>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t xml:space="preserve">dram_ap_brdcst(A_i) </t>
  </si>
  <si>
    <t xml:space="preserve">Write B0, B1, B2,...,BN to each subarray, since we </t>
  </si>
  <si>
    <t xml:space="preserve">dram_ap_brdcst(B_0 to B_N) </t>
  </si>
  <si>
    <t>dram_ap_vmul( )</t>
  </si>
  <si>
    <t>dram_ap_vredsum()</t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</si>
  <si>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</si>
  <si>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Explicit number of loop iterations in user program. Suppose the input matrix dimension is N * N, then </t>
    </r>
    <r>
      <rPr>
        <rFont val="Arial"/>
        <b/>
        <color rgb="FF1F1F1F"/>
        <sz val="10.0"/>
      </rPr>
      <t>N * N. If flaten Matrix A then 1 * N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</si>
  <si>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</si>
  <si>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</si>
  <si>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</si>
  <si>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</si>
  <si>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</si>
  <si>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</si>
  <si>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t>SIMDRAM_vmul( )</t>
  </si>
  <si>
    <r>
      <rPr>
        <rFont val="Arial"/>
        <color rgb="FF1F1F1F"/>
      </rPr>
      <t>how many times this function is</t>
    </r>
    <r>
      <rPr>
        <rFont val="Arial"/>
        <b/>
        <color rgb="FF1F1F1F"/>
        <u/>
      </rPr>
      <t xml:space="preserve"> explicitly </t>
    </r>
    <r>
      <rPr>
        <rFont val="Arial"/>
        <color rgb="FF1F1F1F"/>
      </rPr>
      <t>called inside one loop iteration</t>
    </r>
  </si>
  <si>
    <r>
      <rPr>
        <rFont val="Arial"/>
        <color rgb="FF1F1F1F"/>
      </rPr>
      <t xml:space="preserve">Explicit number of loop iterations in user program. Suppose the input matrix dimension is N * N, then </t>
    </r>
    <r>
      <rPr>
        <rFont val="Arial"/>
        <b/>
        <color rgb="FF1F1F1F"/>
      </rPr>
      <t>N * N. If flaten Matrix A then 1 * N</t>
    </r>
  </si>
  <si>
    <r>
      <rPr>
        <rFont val="Arial"/>
        <b/>
        <i/>
        <color theme="1"/>
      </rPr>
      <t>#_batch</t>
    </r>
    <r>
      <rPr>
        <rFont val="Arial"/>
        <b/>
        <i/>
        <color theme="1"/>
      </rPr>
      <t xml:space="preserve"> is the number of times the dram_ap_func </t>
    </r>
    <r>
      <rPr>
        <rFont val="Arial"/>
        <b/>
        <i/>
        <color theme="1"/>
        <u/>
      </rPr>
      <t xml:space="preserve">implicitly </t>
    </r>
    <r>
      <rPr>
        <rFont val="Arial"/>
        <b/>
        <i/>
        <color theme="1"/>
      </rPr>
      <t>executed</t>
    </r>
    <r>
      <rPr>
        <rFont val="Arial"/>
        <b/>
        <i/>
        <color theme="1"/>
      </rPr>
      <t xml:space="preserve"> per loop iteration when </t>
    </r>
    <r>
      <rPr>
        <rFont val="Arial"/>
        <b/>
        <i/>
        <color theme="1"/>
      </rPr>
      <t>Vector Size &gt; VL</t>
    </r>
  </si>
  <si>
    <r>
      <rPr>
        <rFont val="Arial"/>
        <b/>
        <color theme="1"/>
      </rPr>
      <t xml:space="preserve">Read </t>
    </r>
    <r>
      <rPr>
        <rFont val="Arial"/>
        <b/>
        <color theme="1"/>
      </rPr>
      <t xml:space="preserve">Latency cycles: </t>
    </r>
    <r>
      <rPr>
        <rFont val="Arial"/>
        <b/>
        <color theme="1"/>
      </rPr>
      <t xml:space="preserve">tRCD </t>
    </r>
    <r>
      <rPr>
        <rFont val="Arial"/>
        <b/>
        <color theme="1"/>
      </rPr>
      <t xml:space="preserve">(row to row buffer) + </t>
    </r>
    <r>
      <rPr>
        <rFont val="Arial"/>
        <b/>
        <color theme="1"/>
      </rPr>
      <t>tRP</t>
    </r>
    <r>
      <rPr>
        <rFont val="Arial"/>
        <b/>
        <color theme="1"/>
      </rPr>
      <t xml:space="preserve"> (precharge, restore BL voltage)</t>
    </r>
  </si>
  <si>
    <r>
      <rPr>
        <rFont val="Arial"/>
        <color theme="1"/>
      </rPr>
      <t xml:space="preserve">Write Latency cycles: </t>
    </r>
    <r>
      <rPr>
        <rFont val="Arial"/>
        <b/>
        <color theme="1"/>
      </rPr>
      <t>tWR</t>
    </r>
    <r>
      <rPr>
        <rFont val="Arial"/>
        <color theme="1"/>
      </rPr>
      <t xml:space="preserve"> (row buffer drives row to new charge) + </t>
    </r>
    <r>
      <rPr>
        <rFont val="Arial"/>
        <b/>
        <color theme="1"/>
      </rPr>
      <t xml:space="preserve">tRP </t>
    </r>
    <r>
      <rPr>
        <rFont val="Arial"/>
        <color theme="1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</si>
  <si>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b/>
        <color theme="1"/>
      </rPr>
      <t>Col to col delay: consecutive write to different columns in the same row. Used for broadcast</t>
    </r>
  </si>
  <si>
    <r>
      <rPr>
        <rFont val="Arial"/>
        <b/>
        <color rgb="FF000000"/>
      </rPr>
      <t xml:space="preserve">Risc-V </t>
    </r>
    <r>
      <rPr>
        <rFont val="Arial"/>
        <b val="0"/>
        <color rgb="FF000000"/>
      </rPr>
      <t>is used for some aggregation/reduction function such as dram_ap_redsum and dram_ap_pcl</t>
    </r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</si>
  <si>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</si>
  <si>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</si>
  <si>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Explicit number of loop iterations in user program. Suppose the input matrix dimension is N * N, then </t>
    </r>
    <r>
      <rPr>
        <rFont val="Arial"/>
        <b/>
        <color rgb="FF1F1F1F"/>
        <sz val="10.0"/>
      </rPr>
      <t>N * N. If flaten Matrix A then 1 * N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</si>
  <si>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</si>
  <si>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</si>
  <si>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</si>
  <si>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</si>
  <si>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</si>
  <si>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</si>
  <si>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</si>
  <si>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Explicit number of loop iterations in user program. Suppose the input matrix dimension is N * N, then </t>
    </r>
    <r>
      <rPr>
        <rFont val="Arial"/>
        <b/>
        <color rgb="FF1F1F1F"/>
        <sz val="10.0"/>
      </rPr>
      <t>N * N. If flaten Matrix A then 1 * N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</si>
  <si>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</si>
  <si>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</si>
  <si>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</si>
  <si>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</si>
  <si>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</si>
  <si>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</si>
  <si>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</si>
  <si>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Explicit number of loop iterations in user program. Suppose the input matrix dimension is N * N, then </t>
    </r>
    <r>
      <rPr>
        <rFont val="Arial"/>
        <b/>
        <color rgb="FF1F1F1F"/>
        <sz val="10.0"/>
      </rPr>
      <t>N * N. If flaten Matrix A then 1 * N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</si>
  <si>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</si>
  <si>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</si>
  <si>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</si>
  <si>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</si>
  <si>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</si>
  <si>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</si>
  <si>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r>
      <rPr>
        <rFont val="Arial"/>
        <color rgb="FF1F1F1F"/>
        <sz val="10.0"/>
      </rPr>
      <t>how many times this function is</t>
    </r>
    <r>
      <rPr>
        <rFont val="Arial"/>
        <b/>
        <color rgb="FF1F1F1F"/>
        <sz val="10.0"/>
        <u/>
      </rPr>
      <t xml:space="preserve"> explicitly </t>
    </r>
    <r>
      <rPr>
        <rFont val="Arial"/>
        <color rgb="FF1F1F1F"/>
        <sz val="10.0"/>
      </rPr>
      <t>called inside one loop iteration</t>
    </r>
  </si>
  <si>
    <r>
      <rPr>
        <rFont val="Arial"/>
        <color rgb="FF1F1F1F"/>
        <sz val="10.0"/>
      </rPr>
      <t xml:space="preserve">Explicit number of loop iterations in user program. Suppose the input matrix dimension is N * N, then </t>
    </r>
    <r>
      <rPr>
        <rFont val="Arial"/>
        <b/>
        <color rgb="FF1F1F1F"/>
        <sz val="10.0"/>
      </rPr>
      <t>N * N. If flaten Matrix A then 1 * N</t>
    </r>
  </si>
  <si>
    <r>
      <rPr>
        <rFont val="Arial"/>
        <b/>
        <i/>
        <color rgb="FF000000"/>
        <sz val="10.0"/>
      </rPr>
      <t>#_batch</t>
    </r>
    <r>
      <rPr>
        <rFont val="Arial"/>
        <color rgb="FF000000"/>
        <sz val="10.0"/>
      </rPr>
      <t xml:space="preserve"> is the number of times the dram_ap_func </t>
    </r>
    <r>
      <rPr>
        <rFont val="Arial"/>
        <b/>
        <color rgb="FF000000"/>
        <sz val="10.0"/>
        <u/>
      </rPr>
      <t xml:space="preserve">implicitly </t>
    </r>
    <r>
      <rPr>
        <rFont val="Arial"/>
        <b/>
        <color rgb="FF000000"/>
        <sz val="10.0"/>
      </rPr>
      <t>executed</t>
    </r>
    <r>
      <rPr>
        <rFont val="Arial"/>
        <color rgb="FF000000"/>
        <sz val="10.0"/>
      </rPr>
      <t xml:space="preserve"> per loop iteration when </t>
    </r>
    <r>
      <rPr>
        <rFont val="Arial"/>
        <b/>
        <color rgb="FF000000"/>
        <sz val="10.0"/>
      </rPr>
      <t>Vector Size &gt; VL</t>
    </r>
  </si>
  <si>
    <r>
      <rPr>
        <rFont val="Arial"/>
        <b/>
        <color rgb="FF000000"/>
        <sz val="10.0"/>
      </rPr>
      <t xml:space="preserve">Read </t>
    </r>
    <r>
      <rPr>
        <rFont val="Arial"/>
        <color rgb="FF000000"/>
        <sz val="10.0"/>
      </rPr>
      <t xml:space="preserve">Latency cycles: </t>
    </r>
    <r>
      <rPr>
        <rFont val="Arial"/>
        <b/>
        <color rgb="FF000000"/>
        <sz val="10.0"/>
      </rPr>
      <t xml:space="preserve">tRCD </t>
    </r>
    <r>
      <rPr>
        <rFont val="Arial"/>
        <color rgb="FF000000"/>
        <sz val="10.0"/>
      </rPr>
      <t xml:space="preserve">(row to row buffer) + </t>
    </r>
    <r>
      <rPr>
        <rFont val="Arial"/>
        <b/>
        <color rgb="FF000000"/>
        <sz val="10.0"/>
      </rPr>
      <t>tRP</t>
    </r>
    <r>
      <rPr>
        <rFont val="Arial"/>
        <color rgb="FF000000"/>
        <sz val="10.0"/>
      </rPr>
      <t xml:space="preserve"> (precharge, restore BL voltage)</t>
    </r>
  </si>
  <si>
    <r>
      <rPr>
        <rFont val="Arial"/>
        <color rgb="FF000000"/>
        <sz val="10.0"/>
      </rPr>
      <t xml:space="preserve">Write Latency cycles: </t>
    </r>
    <r>
      <rPr>
        <rFont val="Arial"/>
        <b/>
        <color rgb="FF000000"/>
        <sz val="10.0"/>
      </rPr>
      <t>tWR</t>
    </r>
    <r>
      <rPr>
        <rFont val="Arial"/>
        <color rgb="FF000000"/>
        <sz val="10.0"/>
      </rPr>
      <t xml:space="preserve"> (row buffer drives row to new charge) + </t>
    </r>
    <r>
      <rPr>
        <rFont val="Arial"/>
        <b/>
        <color rgb="FF000000"/>
        <sz val="10.0"/>
      </rPr>
      <t xml:space="preserve">tRP </t>
    </r>
    <r>
      <rPr>
        <rFont val="Arial"/>
        <color rgb="FF000000"/>
        <sz val="10.0"/>
      </rPr>
      <t>(precharge, restore BL voltage)</t>
    </r>
  </si>
  <si>
    <r>
      <rPr>
        <rFont val="Arial"/>
        <b/>
        <color theme="1"/>
      </rPr>
      <t xml:space="preserve">tCCD </t>
    </r>
    <r>
      <rPr>
        <rFont val="Arial"/>
        <color theme="1"/>
      </rPr>
      <t>Col to col delay: consecutive write to different columns in the same row. Used for broadcast</t>
    </r>
  </si>
  <si>
    <r>
      <rPr>
        <rFont val="Arial"/>
        <b/>
        <color theme="1"/>
        <sz val="10.0"/>
      </rPr>
      <t xml:space="preserve">Risc-V </t>
    </r>
    <r>
      <rPr>
        <rFont val="Arial"/>
        <b val="0"/>
        <color theme="1"/>
        <sz val="10.0"/>
      </rPr>
      <t>is used for some aggregation/reduction function such as dram_ap_redsum and dram_ap_pcl</t>
    </r>
  </si>
  <si>
    <r>
      <rPr>
        <rFont val="Arial"/>
        <color theme="1"/>
      </rPr>
      <t xml:space="preserve">Populate a DRAM row by broadcasting a row of A. Called </t>
    </r>
    <r>
      <rPr>
        <rFont val="Arial"/>
        <b/>
        <color theme="1"/>
      </rPr>
      <t>number of rows</t>
    </r>
    <r>
      <rPr>
        <rFont val="Arial"/>
        <color theme="1"/>
      </rPr>
      <t xml:space="preserve"> times</t>
    </r>
  </si>
  <si>
    <r>
      <rPr>
        <rFont val="Arial"/>
        <color rgb="FF000000"/>
      </rPr>
      <t xml:space="preserve">DDR4_8Gb_x8 Chip. 1 Rank = 8 GB, </t>
    </r>
    <r>
      <rPr>
        <rFont val="Arial"/>
        <b/>
        <color rgb="FF000000"/>
      </rPr>
      <t>16 Ranks</t>
    </r>
    <r>
      <rPr>
        <rFont val="Arial"/>
        <color rgb="FF000000"/>
      </rPr>
      <t xml:space="preserve"> = </t>
    </r>
    <r>
      <rPr>
        <rFont val="Arial"/>
        <b/>
        <color rgb="FF000000"/>
      </rPr>
      <t>128 GB</t>
    </r>
  </si>
  <si>
    <t xml:space="preserve">Input </t>
  </si>
  <si>
    <t xml:space="preserve">Output </t>
  </si>
  <si>
    <t>Input Size (GB)</t>
  </si>
  <si>
    <t>Output Size (GB)</t>
  </si>
  <si>
    <t>#_Ranks</t>
  </si>
  <si>
    <t>Rank BW (GB/s)</t>
  </si>
  <si>
    <t>Input latency (ns)</t>
  </si>
  <si>
    <t>Output latency (ns)</t>
  </si>
  <si>
    <t>VA</t>
  </si>
  <si>
    <t xml:space="preserve">(32-bit) two 335,544,320 integer vectors. </t>
  </si>
  <si>
    <t>(32-bit) one  335,544,320 integer vector</t>
  </si>
  <si>
    <t>GEMV</t>
  </si>
  <si>
    <t>(64-bit) one 20480 (row) * 8192 (col) matrix, one 8192 * 1 vector</t>
  </si>
  <si>
    <t>(64-bit) one 8192 * 1 vector</t>
  </si>
  <si>
    <t>SEL</t>
  </si>
  <si>
    <t>(64-bit) 1258291200 vector</t>
  </si>
  <si>
    <t>(64-bit) 629145600 output vector</t>
  </si>
  <si>
    <t>BS</t>
  </si>
  <si>
    <t>(64-bit) vector size: 33554432, num searches: 16777216</t>
  </si>
  <si>
    <t xml:space="preserve"> 16777216 1-bit index array</t>
  </si>
  <si>
    <t>RED</t>
  </si>
  <si>
    <t>(64-bit) one 1048576000 vector</t>
  </si>
  <si>
    <t>(64-bit) one value</t>
  </si>
  <si>
    <t>(32-bit) 288000000 integers</t>
  </si>
  <si>
    <t>(32-bit) 1125000 integers</t>
  </si>
  <si>
    <t>MLP</t>
  </si>
  <si>
    <t>(32-bit) three 8192 * 20480 matrix, one 8192 vector</t>
  </si>
  <si>
    <t>(32-bit) three 20480 vector</t>
  </si>
  <si>
    <t>SM</t>
  </si>
  <si>
    <t xml:space="preserve">5522431 queries (50MB), 110710 words </t>
  </si>
  <si>
    <t>5522431 bit result</t>
  </si>
  <si>
    <t>LR</t>
  </si>
  <si>
    <t>1535738134 points with each point being 2 bytes {(char) x, (char) y}</t>
  </si>
  <si>
    <t>(64-bit) 10 integers</t>
  </si>
  <si>
    <t>HG</t>
  </si>
  <si>
    <t>(8-bit) 468750001 pixels, 256 * 3 query pixels</t>
  </si>
  <si>
    <t>(64-bit) 256 counters</t>
  </si>
  <si>
    <t>PCA</t>
  </si>
  <si>
    <t>(32-bit) 250 * 8388608 int mat</t>
  </si>
  <si>
    <t>(32-bit) 250 mean vec, (32-bit) 250 * 262144 cov mat</t>
  </si>
  <si>
    <t>KM</t>
  </si>
  <si>
    <t>(32-bit) 1000000000 points</t>
  </si>
  <si>
    <t>20 (32-bit) ints</t>
  </si>
  <si>
    <t>MMUL</t>
  </si>
  <si>
    <t>(32-bit) 500 x 500 mat</t>
  </si>
  <si>
    <r>
      <rPr>
        <rFont val="Cambria"/>
        <b/>
        <color theme="1"/>
        <sz val="18.0"/>
        <u/>
      </rPr>
      <t>SALP 1 End-to-end</t>
    </r>
    <r>
      <rPr>
        <rFont val="Cambria"/>
        <b/>
        <color theme="1"/>
        <sz val="18.0"/>
      </rPr>
      <t xml:space="preserve"> </t>
    </r>
    <r>
      <rPr>
        <rFont val="Cambria"/>
        <b/>
        <color rgb="FF4A86E8"/>
        <sz val="18.0"/>
      </rPr>
      <t>DRAMAP-V-3REG</t>
    </r>
    <r>
      <rPr>
        <rFont val="Cambria"/>
        <b/>
        <color theme="1"/>
        <sz val="18.0"/>
      </rPr>
      <t xml:space="preserve"> Speedup over CPU </t>
    </r>
  </si>
  <si>
    <r>
      <rPr>
        <rFont val="Cambria"/>
        <b/>
        <color rgb="FF4285F4"/>
        <sz val="18.0"/>
      </rPr>
      <t xml:space="preserve">DRAMAP-V-3REG V.S. SIMDRAM </t>
    </r>
    <r>
      <rPr>
        <rFont val="Cambria"/>
        <b/>
        <color rgb="FF4285F4"/>
        <sz val="18.0"/>
        <u/>
      </rPr>
      <t>Kernel</t>
    </r>
  </si>
  <si>
    <t>Benchmarks</t>
  </si>
  <si>
    <t>PIM kernel (ns)</t>
  </si>
  <si>
    <t>output latency (ns)</t>
  </si>
  <si>
    <t>DRAMAP total (ns)</t>
  </si>
  <si>
    <t>CPU kernel (ns)</t>
  </si>
  <si>
    <t>DRAMAP kernel (ns)</t>
  </si>
  <si>
    <t>SIMDRAM kernel (ns)</t>
  </si>
  <si>
    <t>simdram_plus, *</t>
  </si>
  <si>
    <t>GEOMEAN</t>
  </si>
  <si>
    <r>
      <rPr>
        <rFont val="Cambria,Arial"/>
        <b/>
        <color theme="1"/>
        <sz val="18.0"/>
        <u/>
      </rPr>
      <t xml:space="preserve">SALP 2 End-to-end </t>
    </r>
    <r>
      <rPr>
        <rFont val="Cambria,Arial"/>
        <b/>
        <color theme="4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</si>
  <si>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4 End-to-end </t>
    </r>
    <r>
      <rPr>
        <rFont val="Cambria,Arial"/>
        <b/>
        <color theme="4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</si>
  <si>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8 End-to-end </t>
    </r>
    <r>
      <rPr>
        <rFont val="Cambria,Arial"/>
        <b/>
        <color rgb="FF4A86E8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</si>
  <si>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16 End-to-end </t>
    </r>
    <r>
      <rPr>
        <rFont val="Cambria,Arial"/>
        <b/>
        <color theme="4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</si>
  <si>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</si>
  <si>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</si>
  <si>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t>i/o overhead</t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</si>
  <si>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DRAMAP-V-NAND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</si>
  <si>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2 End-to-end </t>
    </r>
    <r>
      <rPr>
        <rFont val="Cambria,Arial"/>
        <b/>
        <color rgb="FF4285F4"/>
        <sz val="18.0"/>
        <u/>
      </rPr>
      <t>DRAMAP-V-NAND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</si>
  <si>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8 End-to-end </t>
    </r>
    <r>
      <rPr>
        <rFont val="Cambria,Arial"/>
        <b/>
        <color rgb="FF4285F4"/>
        <sz val="18.0"/>
        <u/>
      </rPr>
      <t>DRAMAP-V-AP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</si>
  <si>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DRAMAP-V-MAJ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</si>
  <si>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DRAMAP-V-AP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</si>
  <si>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DRAMAP-V-2R</t>
    </r>
    <r>
      <rPr>
        <rFont val="Cambria,Arial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</si>
  <si>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1 End-to-end </t>
    </r>
    <r>
      <rPr>
        <rFont val="Cambria,Arial"/>
        <b/>
        <color rgb="FF4285F4"/>
        <sz val="18.0"/>
        <u/>
      </rPr>
      <t xml:space="preserve">SIMDRAM </t>
    </r>
    <r>
      <rPr>
        <rFont val="Cambria,Arial"/>
        <b/>
        <color theme="1"/>
        <sz val="18.0"/>
        <u/>
      </rPr>
      <t xml:space="preserve">Speedup over CPU </t>
    </r>
  </si>
  <si>
    <r>
      <rPr>
        <rFont val="Cambria"/>
        <b/>
        <color theme="1"/>
        <sz val="18.0"/>
        <u/>
      </rPr>
      <t>SALP 1 End-to-end</t>
    </r>
    <r>
      <rPr>
        <rFont val="Cambria"/>
        <b/>
        <color theme="1"/>
        <sz val="18.0"/>
        <u/>
      </rPr>
      <t xml:space="preserve"> </t>
    </r>
    <r>
      <rPr>
        <rFont val="Cambria"/>
        <b/>
        <color rgb="FF4A86E8"/>
        <sz val="18.0"/>
        <u/>
      </rPr>
      <t>DRAMAP-V-3REG</t>
    </r>
    <r>
      <rPr>
        <rFont val="Cambria"/>
        <b/>
        <color theme="1"/>
        <sz val="18.0"/>
        <u/>
      </rPr>
      <t xml:space="preserve"> 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</si>
  <si>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rgb="FF4285F4"/>
        <sz val="18.0"/>
        <u/>
      </rPr>
      <t xml:space="preserve">SIMDRAM </t>
    </r>
    <r>
      <rPr>
        <rFont val="Cambria,Arial"/>
        <b/>
        <color theme="1"/>
        <sz val="18.0"/>
        <u/>
      </rPr>
      <t xml:space="preserve">Speedup over CPU </t>
    </r>
  </si>
  <si>
    <r>
      <rPr>
        <rFont val="Cambria,Arial"/>
        <b/>
        <color theme="1"/>
        <sz val="18.0"/>
        <u/>
      </rPr>
      <t xml:space="preserve">SALP 32 End-to-end </t>
    </r>
    <r>
      <rPr>
        <rFont val="Cambria,Arial"/>
        <b/>
        <color theme="4"/>
        <sz val="18.0"/>
        <u/>
      </rPr>
      <t>DRAMAP-V-3REG</t>
    </r>
    <r>
      <rPr>
        <rFont val="Cambria,Arial"/>
        <b/>
        <color theme="1"/>
        <sz val="18.0"/>
        <u/>
      </rPr>
      <t xml:space="preserve"> Speedup over CPU </t>
    </r>
  </si>
  <si>
    <t>All Architectures Comparison</t>
  </si>
  <si>
    <t>SIMDRAM (BASELINE)</t>
  </si>
  <si>
    <t>3R</t>
  </si>
  <si>
    <t>3R / SIMDRAM</t>
  </si>
  <si>
    <r>
      <rPr>
        <rFont val="Arial"/>
        <color rgb="FF000000"/>
      </rPr>
      <t xml:space="preserve">DDR4_8Gb_x4 Chip. 1 Rank = 16 GB, </t>
    </r>
    <r>
      <rPr>
        <rFont val="Arial"/>
        <b/>
        <color rgb="FF000000"/>
      </rPr>
      <t>16 Ranks</t>
    </r>
    <r>
      <rPr>
        <rFont val="Arial"/>
        <color rgb="FF000000"/>
      </rPr>
      <t xml:space="preserve"> = </t>
    </r>
    <r>
      <rPr>
        <rFont val="Arial"/>
        <b/>
        <color rgb="FF000000"/>
      </rPr>
      <t>256 GB</t>
    </r>
  </si>
  <si>
    <r>
      <rPr>
        <rFont val="Cambria"/>
        <b/>
        <color rgb="FF4285F4"/>
        <sz val="18.0"/>
        <u/>
      </rPr>
      <t>SALP 32 FLOATS End-to-end</t>
    </r>
    <r>
      <rPr>
        <rFont val="Cambria"/>
        <b/>
        <color rgb="FF4285F4"/>
        <sz val="18.0"/>
      </rPr>
      <t xml:space="preserve"> DRAMAP-V-3REG Speedup over CPU </t>
    </r>
  </si>
  <si>
    <t>CPU FLOATS (ns)</t>
  </si>
  <si>
    <t>Float Speedup</t>
  </si>
  <si>
    <r>
      <rPr>
        <rFont val="Cambria"/>
        <b/>
        <color rgb="FF4285F4"/>
        <sz val="18.0"/>
        <u/>
      </rPr>
      <t>SALP 4 FLOATS End-to-end</t>
    </r>
    <r>
      <rPr>
        <rFont val="Cambria"/>
        <b/>
        <color rgb="FF4285F4"/>
        <sz val="18.0"/>
      </rPr>
      <t xml:space="preserve"> DRAMAP-V-3REG Speedup over CPU </t>
    </r>
  </si>
  <si>
    <r>
      <rPr>
        <rFont val="Cambria"/>
        <b/>
        <color rgb="FF4285F4"/>
        <sz val="18.0"/>
        <u/>
      </rPr>
      <t>SALP 16 FLOATS End-to-end</t>
    </r>
    <r>
      <rPr>
        <rFont val="Cambria"/>
        <b/>
        <color rgb="FF4285F4"/>
        <sz val="18.0"/>
      </rPr>
      <t xml:space="preserve"> DRAMAP-V-3REG Speedup over CPU </t>
    </r>
  </si>
  <si>
    <t>16 rank DRAM-BitSIMD</t>
  </si>
  <si>
    <t>Bnechmark Performance Comparison</t>
  </si>
  <si>
    <t>BitSIMD kernel (ns)</t>
  </si>
  <si>
    <t>CPU Kernel</t>
  </si>
  <si>
    <t>DRAMAP/CPU</t>
  </si>
  <si>
    <t>GPU Kernel (ns)</t>
  </si>
  <si>
    <t>Kernel Speedup</t>
  </si>
  <si>
    <t>GPU Power (W)</t>
  </si>
  <si>
    <t>GPU Energy (J)</t>
  </si>
  <si>
    <t>BitSIMD (J)</t>
  </si>
  <si>
    <t>E Reduction</t>
  </si>
  <si>
    <t>Operation Throughput Comparison</t>
  </si>
  <si>
    <t>CPU GOps/s</t>
  </si>
  <si>
    <t>GPU (ns)</t>
  </si>
  <si>
    <t>GPU/CPU</t>
  </si>
  <si>
    <t>DRAMAP/SIMDRAM</t>
  </si>
  <si>
    <t>abs</t>
  </si>
  <si>
    <t>addition</t>
  </si>
  <si>
    <t>bitcount</t>
  </si>
  <si>
    <t>equal</t>
  </si>
  <si>
    <t>gt</t>
  </si>
  <si>
    <t>if_else</t>
  </si>
  <si>
    <t>max</t>
  </si>
  <si>
    <t>min</t>
  </si>
  <si>
    <t>relu</t>
  </si>
  <si>
    <t>sub</t>
  </si>
  <si>
    <t>div</t>
  </si>
  <si>
    <t>mult</t>
  </si>
  <si>
    <t>DRAM-BitSIMD-3RG</t>
  </si>
  <si>
    <t>DRAM-BitSIMD-2RG</t>
  </si>
  <si>
    <t>#_Logic</t>
  </si>
  <si>
    <t>Logic latency</t>
  </si>
  <si>
    <t>Total (ns)</t>
  </si>
  <si>
    <t>greater</t>
  </si>
  <si>
    <t>subtraction</t>
  </si>
  <si>
    <t>greater_equal</t>
  </si>
  <si>
    <t>and</t>
  </si>
  <si>
    <t>xor</t>
  </si>
  <si>
    <t>ReLU</t>
  </si>
  <si>
    <t>and_red</t>
  </si>
  <si>
    <t>DRAM-BitSIMD-AP</t>
  </si>
  <si>
    <t>or_red</t>
  </si>
  <si>
    <t>xor_red</t>
  </si>
  <si>
    <t>Bit Len</t>
  </si>
  <si>
    <t># AAP/AP</t>
  </si>
  <si>
    <t># AAP latency</t>
  </si>
  <si>
    <t>SIMDRAM Total (ns)</t>
  </si>
  <si>
    <t>DRAM-BitSIMD Total (ns)</t>
  </si>
  <si>
    <t>BitSIMD/SIMDRAM</t>
  </si>
  <si>
    <t>DRAM-BitSIMD-MAJ</t>
  </si>
  <si>
    <t>DRAM-BitSIMD-NAND</t>
  </si>
  <si>
    <r>
      <rPr>
        <rFont val="Arial"/>
        <b/>
        <i/>
        <color theme="1"/>
      </rPr>
      <t xml:space="preserve">SPEED COMPARISON </t>
    </r>
    <r>
      <rPr>
        <rFont val="Arial"/>
        <b val="0"/>
        <i val="0"/>
        <color theme="1"/>
      </rPr>
      <t>PIM: 2 RANK, 8 BANKS/RANK</t>
    </r>
  </si>
  <si>
    <t>SIMDRAM:16/CPU</t>
  </si>
  <si>
    <t>SIMDRAM:16/GPU</t>
  </si>
  <si>
    <t>BitSIMD</t>
  </si>
  <si>
    <t>BitSIMD/GPU</t>
  </si>
  <si>
    <t>GPU SZ (mm^2)</t>
  </si>
  <si>
    <t>BitSIMD SZ (mm^2)</t>
  </si>
  <si>
    <t>Total PIM Chips</t>
  </si>
  <si>
    <t>SCALE FACTOR</t>
  </si>
  <si>
    <t>GPU P (W)</t>
  </si>
  <si>
    <t>BitSIMD 128GB (W)</t>
  </si>
  <si>
    <t>A SCALE FACTOR</t>
  </si>
  <si>
    <t>Norm Area</t>
  </si>
  <si>
    <t>P SCALE FACTOR</t>
  </si>
  <si>
    <t>16 Rnk/2 Rnk</t>
  </si>
  <si>
    <t>Norm Power</t>
  </si>
  <si>
    <r>
      <rPr>
        <rFont val="Arial"/>
        <b/>
        <color theme="1"/>
      </rPr>
      <t>Total Energy</t>
    </r>
    <r>
      <rPr>
        <rFont val="Arial"/>
        <color theme="1"/>
      </rPr>
      <t xml:space="preserve"> = </t>
    </r>
    <r>
      <rPr>
        <rFont val="Arial"/>
        <b/>
        <color theme="1"/>
      </rPr>
      <t>Total_OP_Time</t>
    </r>
    <r>
      <rPr>
        <rFont val="Arial"/>
        <color theme="1"/>
      </rPr>
      <t xml:space="preserve"> </t>
    </r>
    <r>
      <rPr>
        <rFont val="Arial"/>
        <b/>
        <color theme="1"/>
      </rPr>
      <t>x</t>
    </r>
    <r>
      <rPr>
        <rFont val="Arial"/>
        <color theme="1"/>
      </rPr>
      <t xml:space="preserve"> </t>
    </r>
    <r>
      <rPr>
        <rFont val="Arial"/>
        <b/>
        <color theme="1"/>
      </rPr>
      <t>DRAM_P</t>
    </r>
    <r>
      <rPr>
        <rFont val="Arial"/>
        <color theme="1"/>
      </rPr>
      <t xml:space="preserve"> </t>
    </r>
    <r>
      <rPr>
        <rFont val="Arial"/>
        <b/>
        <color theme="1"/>
      </rPr>
      <t>+</t>
    </r>
    <r>
      <rPr>
        <rFont val="Arial"/>
        <color theme="1"/>
      </rPr>
      <t xml:space="preserve"> </t>
    </r>
    <r>
      <rPr>
        <rFont val="Arial"/>
        <b/>
        <color theme="1"/>
      </rPr>
      <t>Total_OP_Time</t>
    </r>
    <r>
      <rPr>
        <rFont val="Arial"/>
        <color theme="1"/>
      </rPr>
      <t xml:space="preserve"> </t>
    </r>
    <r>
      <rPr>
        <rFont val="Arial"/>
        <b/>
        <color theme="1"/>
      </rPr>
      <t>x</t>
    </r>
    <r>
      <rPr>
        <rFont val="Arial"/>
        <color theme="1"/>
      </rPr>
      <t xml:space="preserve"> </t>
    </r>
    <r>
      <rPr>
        <rFont val="Arial"/>
        <b/>
        <color theme="1"/>
      </rPr>
      <t>BSLU_PCT</t>
    </r>
    <r>
      <rPr>
        <rFont val="Arial"/>
        <color theme="1"/>
      </rPr>
      <t xml:space="preserve"> </t>
    </r>
    <r>
      <rPr>
        <rFont val="Arial"/>
        <b/>
        <color theme="1"/>
      </rPr>
      <t>x</t>
    </r>
    <r>
      <rPr>
        <rFont val="Arial"/>
        <color theme="1"/>
      </rPr>
      <t xml:space="preserve"> </t>
    </r>
    <r>
      <rPr>
        <rFont val="Arial"/>
        <b/>
        <color theme="1"/>
      </rPr>
      <t>BSLU_P</t>
    </r>
    <r>
      <rPr>
        <rFont val="Arial"/>
        <color theme="1"/>
      </rPr>
      <t>. Divide by Total_OP_Time is the power</t>
    </r>
  </si>
  <si>
    <t>L</t>
  </si>
  <si>
    <t>R_L (ns)</t>
  </si>
  <si>
    <t>W_L (ns)</t>
  </si>
  <si>
    <t>L_L (ns)</t>
  </si>
  <si>
    <t>BSLU-PCT</t>
  </si>
  <si>
    <t>BSLU-1bit-DP (W)</t>
  </si>
  <si>
    <t>ROW_WID</t>
  </si>
  <si>
    <t>BSPU-DP (W)</t>
  </si>
  <si>
    <t>DRAM P (W)</t>
  </si>
  <si>
    <t>SALP</t>
  </si>
  <si>
    <t>SA_P (W)</t>
  </si>
  <si>
    <t>Total P (W)</t>
  </si>
  <si>
    <t>DRAM P (w)</t>
  </si>
  <si>
    <t>Area (um^2)</t>
  </si>
  <si>
    <t>BS2R</t>
  </si>
  <si>
    <t>BS3R</t>
  </si>
  <si>
    <t>Total Cell Area (um^2)</t>
  </si>
  <si>
    <t>Min Buffer Area (4 transistors)</t>
  </si>
  <si>
    <t>Transistor Area (MinBufArea / 4)</t>
  </si>
  <si>
    <t>1T1C memory cell (1 transistor)</t>
  </si>
  <si>
    <t>4 F^2</t>
  </si>
  <si>
    <t>Total Cell Area (projected)</t>
  </si>
  <si>
    <t>4.17 / 0.0666 * 4 = 250 F^2</t>
  </si>
  <si>
    <t>6.35 / 0.0666 * 4 = 381 F^2</t>
  </si>
  <si>
    <t>16.79 / 0.0666 * 4 = 1008 F^2</t>
  </si>
  <si>
    <t>16.43 / 0.0666 * 4 = 986 F^2</t>
  </si>
  <si>
    <t>DRAM die area (mm^2):</t>
  </si>
  <si>
    <t>DRAM cell area (mm^2)</t>
  </si>
  <si>
    <t>Subarray Sense Amp Area (mm^2)</t>
  </si>
  <si>
    <t>cell /die</t>
  </si>
  <si>
    <t>sense amps / cell</t>
  </si>
  <si>
    <r>
      <rPr>
        <rFont val="Arial"/>
        <b/>
        <color theme="1"/>
        <sz val="10.0"/>
      </rPr>
      <t>Projection</t>
    </r>
    <r>
      <rPr>
        <rFont val="Arial"/>
        <color theme="1"/>
        <sz val="10.0"/>
      </rPr>
      <t>: for a subarray of 512 rows of 4 F^2 cells, the sense amp is 50 F^2</t>
    </r>
  </si>
  <si>
    <t>8Gb_x4 config</t>
  </si>
  <si>
    <r>
      <rPr>
        <rFont val="Arial"/>
        <b/>
        <color theme="1"/>
        <sz val="10.0"/>
      </rPr>
      <t>Cacti Chip Config</t>
    </r>
    <r>
      <rPr>
        <rFont val="Arial"/>
        <color theme="1"/>
        <sz val="10.0"/>
      </rPr>
      <t>: 8Gb</t>
    </r>
  </si>
  <si>
    <t>total cap</t>
  </si>
  <si>
    <t>#_banks</t>
  </si>
  <si>
    <t>bank cap (Gb)</t>
  </si>
  <si>
    <t>#_cols</t>
  </si>
  <si>
    <t>col_width</t>
  </si>
  <si>
    <t>#_bitlines / row</t>
  </si>
  <si>
    <t>#_rows</t>
  </si>
  <si>
    <t>#_rows/subarray</t>
  </si>
  <si>
    <t>#_subarray</t>
  </si>
  <si>
    <t>bit cell height (f)</t>
  </si>
  <si>
    <t>subarray height</t>
  </si>
  <si>
    <t>NAND height</t>
  </si>
  <si>
    <t>MAJ height</t>
  </si>
  <si>
    <t>AP height</t>
  </si>
  <si>
    <t>BS2R height</t>
  </si>
  <si>
    <t>BS3R height</t>
  </si>
  <si>
    <t>AMBIT height</t>
  </si>
  <si>
    <t># rows in subarray: 4096</t>
  </si>
  <si>
    <t>8Gb</t>
  </si>
  <si>
    <t># columns in subarray: 1024</t>
  </si>
  <si>
    <t>col width: 16 bit</t>
  </si>
  <si>
    <t>#_bitlines: 1024 * 16 = 16384</t>
  </si>
  <si>
    <r>
      <rPr>
        <rFont val="Arial"/>
        <color theme="1"/>
        <sz val="10.0"/>
      </rPr>
      <t xml:space="preserve">8Gb / (4096 rows * 16384 bitlines) = </t>
    </r>
    <r>
      <rPr>
        <rFont val="Arial"/>
        <b/>
        <color theme="1"/>
        <sz val="10.0"/>
      </rPr>
      <t xml:space="preserve">128 </t>
    </r>
    <r>
      <rPr>
        <rFont val="Arial"/>
        <color theme="1"/>
        <sz val="10.0"/>
      </rPr>
      <t>Subarrays</t>
    </r>
  </si>
  <si>
    <t>SA Rows 1024, Area Overhead</t>
  </si>
  <si>
    <t>SALP 1</t>
  </si>
  <si>
    <t>SALP 2</t>
  </si>
  <si>
    <t>SALP 4</t>
  </si>
  <si>
    <t>SALP 8</t>
  </si>
  <si>
    <t>SALP 16</t>
  </si>
  <si>
    <t>SALP 32</t>
  </si>
  <si>
    <t>SALP 64</t>
  </si>
  <si>
    <t>Area (mm^2)</t>
  </si>
  <si>
    <t xml:space="preserve">Base </t>
  </si>
  <si>
    <t>Latency (ns), 32-bit Operand, V_SZ = 131072</t>
  </si>
  <si>
    <t>Performance normalized to chip Area TOPs/mm^2</t>
  </si>
  <si>
    <t>arithmetic</t>
  </si>
  <si>
    <t>add</t>
  </si>
  <si>
    <t>mul</t>
  </si>
  <si>
    <t>logical</t>
  </si>
  <si>
    <t>relational</t>
  </si>
  <si>
    <t>misc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</si>
</sst>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1">
    <font>
      <sz val="10.0"/>
      <color rgb="FF000000"/>
      <name val="Arial"/>
      <scheme val="minor"/>
    </font>
    <font>
      <b/>
      <i/>
      <color theme="9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999999"/>
      <name val="Arial"/>
      <scheme val="minor"/>
    </font>
    <font>
      <color rgb="FFB7B7B7"/>
      <name val="Arial"/>
      <scheme val="minor"/>
    </font>
    <font>
      <b/>
      <sz val="11.0"/>
      <color rgb="FFFFFFFF"/>
      <name val="Cambria"/>
    </font>
    <font>
      <b/>
      <sz val="11.0"/>
      <color theme="1"/>
      <name val="Cambria"/>
    </font>
    <font>
      <b/>
      <sz val="10.0"/>
      <color theme="1"/>
      <name val="Cambria"/>
    </font>
    <font>
      <sz val="10.0"/>
      <color rgb="FF1F1F1F"/>
      <name val="Arial"/>
      <scheme val="minor"/>
    </font>
    <font>
      <b/>
      <sz val="10.0"/>
      <color theme="8"/>
      <name val="Arial"/>
      <scheme val="minor"/>
    </font>
    <font>
      <b/>
      <sz val="10.0"/>
      <color theme="7"/>
      <name val="Arial"/>
      <scheme val="minor"/>
    </font>
    <font>
      <b/>
      <sz val="10.0"/>
      <color theme="4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color theme="8"/>
      <name val="Arial"/>
      <scheme val="minor"/>
    </font>
    <font/>
    <font>
      <b/>
      <color theme="7"/>
      <name val="Arial"/>
      <scheme val="minor"/>
    </font>
    <font>
      <b/>
      <color theme="4"/>
      <name val="Arial"/>
      <scheme val="minor"/>
    </font>
    <font>
      <b/>
      <color rgb="FF46BDC6"/>
      <name val="Arial"/>
      <scheme val="minor"/>
    </font>
    <font>
      <b/>
      <sz val="11.0"/>
      <color rgb="FF000000"/>
      <name val="Cambria"/>
    </font>
    <font>
      <color rgb="FF000000"/>
      <name val="Arial"/>
      <scheme val="minor"/>
    </font>
    <font>
      <b/>
      <i/>
      <color rgb="FF000000"/>
      <name val="Arial"/>
      <scheme val="minor"/>
    </font>
    <font>
      <b/>
      <color theme="1"/>
      <name val="Cambria"/>
    </font>
    <font>
      <sz val="10.0"/>
      <color rgb="FF434343"/>
      <name val="Arial"/>
      <scheme val="minor"/>
    </font>
    <font>
      <b/>
      <i/>
      <u/>
      <color theme="1"/>
      <name val="Cambria"/>
    </font>
    <font>
      <b/>
      <color theme="1"/>
      <name val="Arial"/>
    </font>
    <font>
      <color theme="1"/>
      <name val="Cambria"/>
    </font>
    <font>
      <i/>
      <u/>
      <color theme="1"/>
      <name val="Cambria"/>
    </font>
    <font>
      <b/>
      <i/>
      <u/>
      <color theme="1"/>
      <name val="Arial"/>
      <scheme val="minor"/>
    </font>
    <font>
      <i/>
      <u/>
      <color theme="1"/>
      <name val="Arial"/>
      <scheme val="minor"/>
    </font>
    <font>
      <color rgb="FF000000"/>
      <name val="Cambria"/>
    </font>
    <font>
      <b/>
      <color rgb="FF000000"/>
      <name val="Cambria"/>
    </font>
    <font>
      <color rgb="FFD9D9D9"/>
      <name val="Arial"/>
      <scheme val="minor"/>
    </font>
    <font>
      <b/>
      <color rgb="FF000000"/>
      <name val="Arial"/>
      <scheme val="minor"/>
    </font>
    <font>
      <color theme="1"/>
      <name val="Arial"/>
    </font>
    <font>
      <color rgb="FF1F1F1F"/>
      <name val="Arial"/>
    </font>
    <font>
      <b/>
      <color rgb="FF1F1F1F"/>
      <name val="Arial"/>
    </font>
    <font>
      <b/>
      <i/>
      <color theme="1"/>
      <name val="Arial"/>
    </font>
    <font>
      <color rgb="FF434343"/>
      <name val="Arial"/>
    </font>
    <font>
      <b/>
      <color rgb="FF000000"/>
      <name val="Arial"/>
    </font>
    <font>
      <b/>
      <color rgb="FFFF6D01"/>
      <name val="Arial"/>
    </font>
    <font>
      <b/>
      <color rgb="FF4285F4"/>
      <name val="Arial"/>
    </font>
    <font>
      <b/>
      <color rgb="FF46BDC6"/>
      <name val="Arial"/>
    </font>
    <font>
      <i/>
      <u/>
      <color theme="1"/>
      <name val="Cambria"/>
    </font>
    <font>
      <sz val="10.0"/>
      <color theme="1"/>
      <name val="Cambria"/>
    </font>
    <font>
      <b/>
      <u/>
      <color theme="1"/>
      <name val="Cambria"/>
    </font>
    <font>
      <b/>
      <u/>
      <color theme="1"/>
      <name val="Cambria"/>
    </font>
    <font>
      <b/>
      <sz val="11.0"/>
      <color rgb="FF999999"/>
      <name val="Cambria"/>
    </font>
    <font>
      <b/>
      <sz val="11.0"/>
      <color rgb="FF980000"/>
      <name val="Cambria"/>
    </font>
    <font>
      <color rgb="FF980000"/>
      <name val="Arial"/>
      <scheme val="minor"/>
    </font>
    <font>
      <b/>
      <u/>
      <sz val="11.0"/>
      <color rgb="FF980000"/>
      <name val="Cambria"/>
    </font>
    <font>
      <b/>
      <sz val="11.0"/>
      <color rgb="FFD9D9D9"/>
      <name val="Cambria"/>
    </font>
    <font>
      <color rgb="FFCCCCCC"/>
      <name val="Arial"/>
      <scheme val="minor"/>
    </font>
    <font>
      <b/>
      <sz val="10.0"/>
      <color rgb="FF000000"/>
      <name val="Arial"/>
      <scheme val="minor"/>
    </font>
    <font>
      <b/>
      <color theme="9"/>
      <name val="Arial"/>
      <scheme val="minor"/>
    </font>
    <font>
      <b/>
      <u/>
      <color rgb="FF999999"/>
      <name val="Cambria"/>
    </font>
    <font>
      <sz val="10.0"/>
      <color rgb="FF999999"/>
      <name val="Arial"/>
      <scheme val="minor"/>
    </font>
    <font>
      <u/>
      <color theme="1"/>
      <name val="Cambria"/>
    </font>
    <font>
      <sz val="11.0"/>
      <color theme="1"/>
      <name val="Arial"/>
      <scheme val="minor"/>
    </font>
    <font>
      <b/>
      <sz val="10.0"/>
      <color rgb="FFFF6D01"/>
      <name val="Arial"/>
      <scheme val="minor"/>
    </font>
    <font>
      <b/>
      <sz val="10.0"/>
      <color theme="9"/>
      <name val="Arial"/>
      <scheme val="minor"/>
    </font>
    <font>
      <b/>
      <u/>
      <color theme="1"/>
      <name val="Arial"/>
      <scheme val="minor"/>
    </font>
    <font>
      <b/>
      <u/>
      <sz val="11.0"/>
      <color theme="1"/>
      <name val="Cambria"/>
    </font>
    <font>
      <b/>
      <u/>
      <sz val="11.0"/>
      <color theme="1"/>
      <name val="Cambria"/>
    </font>
    <font>
      <b/>
      <sz val="18.0"/>
      <color theme="1"/>
      <name val="Cambria"/>
    </font>
    <font>
      <b/>
      <sz val="18.0"/>
      <color rgb="FF4285F4"/>
      <name val="Cambria"/>
    </font>
    <font>
      <b/>
      <color rgb="FF4A86E8"/>
      <name val="Arial"/>
      <scheme val="minor"/>
    </font>
    <font>
      <b/>
      <u/>
      <sz val="18.0"/>
      <color theme="1"/>
      <name val="Cambria"/>
    </font>
    <font>
      <b/>
      <u/>
      <sz val="18.0"/>
      <color theme="1"/>
      <name val="Cambria"/>
    </font>
    <font>
      <b/>
      <u/>
      <sz val="18.0"/>
      <color theme="1"/>
      <name val="Cambria"/>
    </font>
    <font>
      <b/>
      <u/>
      <sz val="18.0"/>
      <color rgb="FF000000"/>
      <name val="Arial"/>
      <scheme val="minor"/>
    </font>
    <font>
      <color theme="4"/>
      <name val="Arial"/>
      <scheme val="minor"/>
    </font>
    <font>
      <b/>
      <color rgb="FF4285F4"/>
      <name val="Arial"/>
      <scheme val="minor"/>
    </font>
    <font>
      <sz val="11.0"/>
      <color rgb="FF1F1F1F"/>
      <name val="&quot;Google Sans&quot;"/>
    </font>
    <font>
      <b/>
      <i/>
      <color theme="1"/>
      <name val="Arial"/>
      <scheme val="minor"/>
    </font>
    <font>
      <color rgb="FF333333"/>
      <name val="Arial"/>
    </font>
    <font>
      <b/>
      <sz val="12.0"/>
      <color theme="4"/>
      <name val="Arial"/>
      <scheme val="minor"/>
    </font>
    <font>
      <b/>
      <sz val="10.0"/>
      <color rgb="FF1F1F1F"/>
      <name val="Arial"/>
      <scheme val="minor"/>
    </font>
    <font>
      <b/>
      <color rgb="FF4A86E8"/>
      <name val="Arial"/>
    </font>
    <font>
      <b/>
      <sz val="10.0"/>
      <color rgb="FF4285F4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6D01"/>
        <bgColor rgb="FFFF6D01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0" fillId="0" fontId="3" numFmtId="0" xfId="0" applyAlignment="1" applyFont="1">
      <alignment readingOrder="0"/>
    </xf>
    <xf borderId="3" fillId="0" fontId="3" numFmtId="0" xfId="0" applyBorder="1" applyFont="1"/>
    <xf borderId="4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Border="1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3" xfId="0" applyFont="1" applyNumberFormat="1"/>
    <xf borderId="0" fillId="3" fontId="6" numFmtId="0" xfId="0" applyAlignment="1" applyFill="1" applyFont="1">
      <alignment readingOrder="0"/>
    </xf>
    <xf borderId="0" fillId="0" fontId="7" numFmtId="0" xfId="0" applyFont="1"/>
    <xf borderId="0" fillId="0" fontId="2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0" fillId="4" fontId="9" numFmtId="0" xfId="0" applyAlignment="1" applyFill="1" applyFont="1">
      <alignment readingOrder="0" shrinkToFit="0" wrapText="1"/>
    </xf>
    <xf borderId="0" fillId="0" fontId="10" numFmtId="0" xfId="0" applyAlignment="1" applyFont="1">
      <alignment horizontal="center" readingOrder="0"/>
    </xf>
    <xf borderId="0" fillId="0" fontId="0" numFmtId="0" xfId="0" applyAlignment="1" applyFont="1">
      <alignment horizontal="center" readingOrder="0" shrinkToFit="0" wrapText="1"/>
    </xf>
    <xf borderId="0" fillId="4" fontId="9" numFmtId="0" xfId="0" applyAlignment="1" applyFont="1">
      <alignment readingOrder="0" shrinkToFit="0" wrapText="1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  <xf borderId="0" fillId="0" fontId="14" numFmtId="0" xfId="0" applyFont="1"/>
    <xf borderId="7" fillId="0" fontId="15" numFmtId="0" xfId="0" applyAlignment="1" applyBorder="1" applyFont="1">
      <alignment horizontal="center" readingOrder="0"/>
    </xf>
    <xf borderId="8" fillId="0" fontId="16" numFmtId="0" xfId="0" applyBorder="1" applyFont="1"/>
    <xf borderId="9" fillId="0" fontId="16" numFmtId="0" xfId="0" applyBorder="1" applyFont="1"/>
    <xf borderId="7" fillId="0" fontId="17" numFmtId="0" xfId="0" applyAlignment="1" applyBorder="1" applyFont="1">
      <alignment horizontal="center" readingOrder="0"/>
    </xf>
    <xf borderId="10" fillId="0" fontId="17" numFmtId="0" xfId="0" applyAlignment="1" applyBorder="1" applyFont="1">
      <alignment horizontal="center" readingOrder="0"/>
    </xf>
    <xf borderId="7" fillId="0" fontId="18" numFmtId="0" xfId="0" applyAlignment="1" applyBorder="1" applyFont="1">
      <alignment horizontal="center" readingOrder="0"/>
    </xf>
    <xf borderId="7" fillId="0" fontId="19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0" fillId="0" fontId="20" numFmtId="0" xfId="0" applyFont="1"/>
    <xf borderId="0" fillId="5" fontId="21" numFmtId="0" xfId="0" applyAlignment="1" applyFill="1" applyFont="1">
      <alignment readingOrder="0"/>
    </xf>
    <xf borderId="10" fillId="5" fontId="22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6" fontId="21" numFmtId="0" xfId="0" applyAlignment="1" applyFill="1" applyFont="1">
      <alignment readingOrder="0"/>
    </xf>
    <xf borderId="10" fillId="6" fontId="22" numFmtId="0" xfId="0" applyAlignment="1" applyBorder="1" applyFont="1">
      <alignment readingOrder="0"/>
    </xf>
    <xf borderId="0" fillId="0" fontId="2" numFmtId="3" xfId="0" applyAlignment="1" applyFont="1" applyNumberFormat="1">
      <alignment readingOrder="0"/>
    </xf>
    <xf borderId="0" fillId="0" fontId="21" numFmtId="0" xfId="0" applyFont="1"/>
    <xf borderId="0" fillId="0" fontId="23" numFmtId="0" xfId="0" applyAlignment="1" applyFont="1">
      <alignment readingOrder="0"/>
    </xf>
    <xf borderId="0" fillId="4" fontId="0" numFmtId="0" xfId="0" applyFont="1"/>
    <xf borderId="0" fillId="0" fontId="3" numFmtId="3" xfId="0" applyAlignment="1" applyFont="1" applyNumberFormat="1">
      <alignment readingOrder="0"/>
    </xf>
    <xf borderId="0" fillId="0" fontId="24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26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4" numFmtId="0" xfId="0" applyAlignment="1" applyFont="1">
      <alignment horizontal="center" readingOrder="0" shrinkToFit="0" wrapText="1"/>
    </xf>
    <xf borderId="10" fillId="0" fontId="19" numFmtId="0" xfId="0" applyAlignment="1" applyBorder="1" applyFont="1">
      <alignment horizontal="center" readingOrder="0"/>
    </xf>
    <xf borderId="0" fillId="0" fontId="27" numFmtId="0" xfId="0" applyAlignment="1" applyFont="1">
      <alignment readingOrder="0" shrinkToFit="0" wrapText="1"/>
    </xf>
    <xf borderId="0" fillId="0" fontId="23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3" numFmtId="3" xfId="0" applyAlignment="1" applyFont="1" applyNumberForma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32" numFmtId="0" xfId="0" applyAlignment="1" applyFont="1">
      <alignment readingOrder="0"/>
    </xf>
    <xf borderId="0" fillId="0" fontId="21" numFmtId="3" xfId="0" applyFont="1" applyNumberFormat="1"/>
    <xf borderId="0" fillId="0" fontId="21" numFmtId="3" xfId="0" applyAlignment="1" applyFont="1" applyNumberFormat="1">
      <alignment readingOrder="0"/>
    </xf>
    <xf borderId="0" fillId="0" fontId="33" numFmtId="0" xfId="0" applyFont="1"/>
    <xf borderId="0" fillId="0" fontId="34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0" numFmtId="3" xfId="0" applyAlignment="1" applyFont="1" applyNumberFormat="1">
      <alignment horizontal="center" readingOrder="0" shrinkToFit="0" wrapText="1"/>
    </xf>
    <xf borderId="0" fillId="7" fontId="6" numFmtId="0" xfId="0" applyAlignment="1" applyFill="1" applyFont="1">
      <alignment readingOrder="0" vertical="bottom"/>
    </xf>
    <xf borderId="0" fillId="0" fontId="35" numFmtId="0" xfId="0" applyAlignment="1" applyFont="1">
      <alignment vertical="bottom"/>
    </xf>
    <xf borderId="0" fillId="0" fontId="26" numFmtId="0" xfId="0" applyAlignment="1" applyFont="1">
      <alignment shrinkToFit="0" vertical="bottom" wrapText="1"/>
    </xf>
    <xf borderId="0" fillId="0" fontId="35" numFmtId="3" xfId="0" applyAlignment="1" applyFont="1" applyNumberFormat="1">
      <alignment vertical="bottom"/>
    </xf>
    <xf borderId="0" fillId="0" fontId="23" numFmtId="0" xfId="0" applyAlignment="1" applyFont="1">
      <alignment horizontal="center" shrinkToFit="0" vertical="bottom" wrapText="1"/>
    </xf>
    <xf borderId="0" fillId="0" fontId="23" numFmtId="0" xfId="0" applyAlignment="1" applyFont="1">
      <alignment horizontal="center" shrinkToFit="0" vertical="bottom" wrapText="1"/>
    </xf>
    <xf borderId="11" fillId="0" fontId="36" numFmtId="0" xfId="0" applyAlignment="1" applyBorder="1" applyFont="1">
      <alignment shrinkToFit="0" vertical="bottom" wrapText="1"/>
    </xf>
    <xf borderId="11" fillId="4" fontId="37" numFmtId="0" xfId="0" applyAlignment="1" applyBorder="1" applyFont="1">
      <alignment shrinkToFit="0" vertical="bottom" wrapText="1"/>
    </xf>
    <xf borderId="11" fillId="0" fontId="35" numFmtId="0" xfId="0" applyAlignment="1" applyBorder="1" applyFont="1">
      <alignment vertical="bottom"/>
    </xf>
    <xf borderId="11" fillId="0" fontId="35" numFmtId="0" xfId="0" applyAlignment="1" applyBorder="1" applyFont="1">
      <alignment horizontal="center" shrinkToFit="0" vertical="bottom" wrapText="1"/>
    </xf>
    <xf borderId="11" fillId="4" fontId="36" numFmtId="0" xfId="0" applyAlignment="1" applyBorder="1" applyFont="1">
      <alignment shrinkToFit="0" vertical="bottom" wrapText="1"/>
    </xf>
    <xf borderId="11" fillId="0" fontId="26" numFmtId="0" xfId="0" applyAlignment="1" applyBorder="1" applyFont="1">
      <alignment horizontal="center" shrinkToFit="0" vertical="bottom" wrapText="1"/>
    </xf>
    <xf borderId="11" fillId="0" fontId="38" numFmtId="0" xfId="0" applyAlignment="1" applyBorder="1" applyFont="1">
      <alignment horizontal="center" shrinkToFit="0" vertical="bottom" wrapText="1"/>
    </xf>
    <xf borderId="11" fillId="0" fontId="39" numFmtId="0" xfId="0" applyAlignment="1" applyBorder="1" applyFont="1">
      <alignment shrinkToFit="0" vertical="bottom" wrapText="1"/>
    </xf>
    <xf borderId="11" fillId="0" fontId="16" numFmtId="0" xfId="0" applyBorder="1" applyFont="1"/>
    <xf borderId="11" fillId="0" fontId="40" numFmtId="0" xfId="0" applyAlignment="1" applyBorder="1" applyFont="1">
      <alignment shrinkToFit="0" vertical="bottom" wrapText="1"/>
    </xf>
    <xf borderId="4" fillId="0" fontId="35" numFmtId="0" xfId="0" applyAlignment="1" applyBorder="1" applyFont="1">
      <alignment vertical="bottom"/>
    </xf>
    <xf borderId="11" fillId="0" fontId="41" numFmtId="0" xfId="0" applyAlignment="1" applyBorder="1" applyFont="1">
      <alignment horizontal="center" vertical="bottom"/>
    </xf>
    <xf borderId="6" fillId="0" fontId="16" numFmtId="0" xfId="0" applyBorder="1" applyFont="1"/>
    <xf borderId="11" fillId="0" fontId="3" numFmtId="0" xfId="0" applyBorder="1" applyFont="1"/>
    <xf borderId="6" fillId="0" fontId="35" numFmtId="0" xfId="0" applyAlignment="1" applyBorder="1" applyFont="1">
      <alignment vertical="bottom"/>
    </xf>
    <xf borderId="11" fillId="0" fontId="42" numFmtId="0" xfId="0" applyAlignment="1" applyBorder="1" applyFont="1">
      <alignment horizontal="center" vertical="bottom"/>
    </xf>
    <xf borderId="11" fillId="0" fontId="43" numFmtId="0" xfId="0" applyAlignment="1" applyBorder="1" applyFont="1">
      <alignment horizontal="center" vertical="bottom"/>
    </xf>
    <xf borderId="11" fillId="0" fontId="26" numFmtId="0" xfId="0" applyAlignment="1" applyBorder="1" applyFont="1">
      <alignment horizontal="center" vertical="bottom"/>
    </xf>
    <xf borderId="4" fillId="5" fontId="35" numFmtId="0" xfId="0" applyAlignment="1" applyBorder="1" applyFont="1">
      <alignment vertical="bottom"/>
    </xf>
    <xf borderId="6" fillId="5" fontId="38" numFmtId="0" xfId="0" applyAlignment="1" applyBorder="1" applyFont="1">
      <alignment vertical="bottom"/>
    </xf>
    <xf borderId="0" fillId="6" fontId="35" numFmtId="0" xfId="0" applyAlignment="1" applyFont="1">
      <alignment vertical="bottom"/>
    </xf>
    <xf borderId="0" fillId="5" fontId="35" numFmtId="0" xfId="0" applyAlignment="1" applyFont="1">
      <alignment vertical="bottom"/>
    </xf>
    <xf borderId="6" fillId="6" fontId="38" numFmtId="0" xfId="0" applyAlignment="1" applyBorder="1" applyFont="1">
      <alignment vertical="bottom"/>
    </xf>
    <xf borderId="0" fillId="0" fontId="26" numFmtId="3" xfId="0" applyAlignment="1" applyFont="1" applyNumberFormat="1">
      <alignment vertical="bottom"/>
    </xf>
    <xf borderId="0" fillId="0" fontId="35" numFmtId="0" xfId="0" applyAlignment="1" applyFont="1">
      <alignment shrinkToFit="0" vertical="bottom" wrapText="1"/>
    </xf>
    <xf borderId="0" fillId="0" fontId="27" numFmtId="0" xfId="0" applyAlignment="1" applyFont="1">
      <alignment vertical="bottom"/>
    </xf>
    <xf borderId="0" fillId="0" fontId="35" numFmtId="0" xfId="0" applyAlignment="1" applyFont="1">
      <alignment horizontal="right" vertical="bottom"/>
    </xf>
    <xf borderId="0" fillId="0" fontId="35" numFmtId="3" xfId="0" applyAlignment="1" applyFont="1" applyNumberFormat="1">
      <alignment horizontal="right" vertical="bottom"/>
    </xf>
    <xf borderId="0" fillId="0" fontId="23" numFmtId="0" xfId="0" applyAlignment="1" applyFont="1">
      <alignment vertical="bottom"/>
    </xf>
    <xf borderId="0" fillId="0" fontId="35" numFmtId="0" xfId="0" applyAlignment="1" applyFont="1">
      <alignment horizontal="right" readingOrder="0" vertical="bottom"/>
    </xf>
    <xf borderId="0" fillId="0" fontId="44" numFmtId="0" xfId="0" applyAlignment="1" applyFont="1">
      <alignment vertical="bottom"/>
    </xf>
    <xf borderId="0" fillId="0" fontId="8" numFmtId="0" xfId="0" applyAlignment="1" applyFont="1">
      <alignment readingOrder="0" shrinkToFit="0" wrapText="1"/>
    </xf>
    <xf borderId="0" fillId="0" fontId="45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0" fillId="0" fontId="18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0" fillId="0" fontId="27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46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3" xfId="0" applyAlignment="1" applyFont="1" applyNumberFormat="1">
      <alignment readingOrder="0"/>
    </xf>
    <xf borderId="10" fillId="0" fontId="2" numFmtId="0" xfId="0" applyAlignment="1" applyBorder="1" applyFont="1">
      <alignment horizontal="center" readingOrder="0"/>
    </xf>
    <xf borderId="0" fillId="0" fontId="26" numFmtId="0" xfId="0" applyAlignment="1" applyFont="1">
      <alignment vertical="bottom"/>
    </xf>
    <xf borderId="0" fillId="4" fontId="35" numFmtId="0" xfId="0" applyAlignment="1" applyFont="1">
      <alignment horizontal="right" vertical="bottom"/>
    </xf>
    <xf borderId="0" fillId="0" fontId="47" numFmtId="0" xfId="0" applyAlignment="1" applyFont="1">
      <alignment vertical="bottom"/>
    </xf>
    <xf borderId="0" fillId="0" fontId="35" numFmtId="0" xfId="0" applyAlignment="1" applyFont="1">
      <alignment horizontal="center" vertical="bottom"/>
    </xf>
    <xf borderId="0" fillId="0" fontId="35" numFmtId="4" xfId="0" applyAlignment="1" applyFont="1" applyNumberFormat="1">
      <alignment horizontal="right" vertical="bottom"/>
    </xf>
    <xf borderId="0" fillId="0" fontId="8" numFmtId="0" xfId="0" applyFont="1"/>
    <xf borderId="0" fillId="0" fontId="13" numFmtId="0" xfId="0" applyAlignment="1" applyFont="1">
      <alignment horizontal="center" readingOrder="0" shrinkToFit="0" wrapText="1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0" xfId="0" applyAlignment="1" applyFont="1">
      <alignment horizontal="center" readingOrder="0" shrinkToFit="0" vertical="center" wrapText="1"/>
    </xf>
    <xf borderId="0" fillId="0" fontId="48" numFmtId="0" xfId="0" applyAlignment="1" applyFont="1">
      <alignment readingOrder="0"/>
    </xf>
    <xf borderId="0" fillId="0" fontId="4" numFmtId="1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1" xfId="0" applyFont="1" applyNumberFormat="1"/>
    <xf borderId="0" fillId="0" fontId="4" numFmtId="0" xfId="0" applyFont="1"/>
    <xf borderId="0" fillId="0" fontId="4" numFmtId="3" xfId="0" applyFont="1" applyNumberFormat="1"/>
    <xf borderId="0" fillId="0" fontId="49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50" numFmtId="1" xfId="0" applyAlignment="1" applyFont="1" applyNumberFormat="1">
      <alignment readingOrder="0"/>
    </xf>
    <xf borderId="0" fillId="0" fontId="50" numFmtId="3" xfId="0" applyAlignment="1" applyFont="1" applyNumberFormat="1">
      <alignment readingOrder="0"/>
    </xf>
    <xf borderId="0" fillId="0" fontId="50" numFmtId="1" xfId="0" applyFont="1" applyNumberFormat="1"/>
    <xf borderId="0" fillId="0" fontId="50" numFmtId="0" xfId="0" applyFont="1"/>
    <xf borderId="0" fillId="0" fontId="50" numFmtId="3" xfId="0" applyFont="1" applyNumberFormat="1"/>
    <xf borderId="0" fillId="0" fontId="51" numFmtId="0" xfId="0" applyAlignment="1" applyFont="1">
      <alignment readingOrder="0"/>
    </xf>
    <xf borderId="0" fillId="0" fontId="50" numFmtId="0" xfId="0" applyAlignment="1" applyFont="1">
      <alignment horizontal="center" readingOrder="0"/>
    </xf>
    <xf borderId="0" fillId="0" fontId="33" numFmtId="0" xfId="0" applyAlignment="1" applyFont="1">
      <alignment readingOrder="0"/>
    </xf>
    <xf borderId="0" fillId="0" fontId="52" numFmtId="0" xfId="0" applyFont="1"/>
    <xf borderId="0" fillId="0" fontId="5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4" numFmtId="0" xfId="0" applyAlignment="1" applyFont="1">
      <alignment horizontal="center" readingOrder="0" shrinkToFit="0" wrapText="1"/>
    </xf>
    <xf borderId="7" fillId="0" fontId="55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4" fontId="0" numFmtId="0" xfId="0" applyAlignment="1" applyFont="1">
      <alignment readingOrder="0"/>
    </xf>
    <xf borderId="0" fillId="8" fontId="3" numFmtId="0" xfId="0" applyAlignment="1" applyFill="1" applyFont="1">
      <alignment horizontal="center" readingOrder="0" vertical="center"/>
    </xf>
    <xf borderId="0" fillId="0" fontId="56" numFmtId="0" xfId="0" applyAlignment="1" applyFont="1">
      <alignment readingOrder="0"/>
    </xf>
    <xf borderId="0" fillId="4" fontId="57" numFmtId="0" xfId="0" applyAlignment="1" applyFont="1">
      <alignment readingOrder="0"/>
    </xf>
    <xf borderId="0" fillId="4" fontId="57" numFmtId="0" xfId="0" applyFont="1"/>
    <xf borderId="0" fillId="0" fontId="58" numFmtId="0" xfId="0" applyAlignment="1" applyFont="1">
      <alignment readingOrder="0"/>
    </xf>
    <xf borderId="0" fillId="0" fontId="59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0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2" numFmtId="0" xfId="0" applyAlignment="1" applyFont="1">
      <alignment horizontal="center" readingOrder="0" shrinkToFit="0" wrapText="1"/>
    </xf>
    <xf borderId="0" fillId="0" fontId="61" numFmtId="0" xfId="0" applyAlignment="1" applyFont="1">
      <alignment horizontal="center" readingOrder="0" shrinkToFit="0" wrapText="1"/>
    </xf>
    <xf borderId="0" fillId="0" fontId="14" numFmtId="0" xfId="0" applyAlignment="1" applyFont="1">
      <alignment shrinkToFit="0" wrapText="1"/>
    </xf>
    <xf borderId="0" fillId="0" fontId="14" numFmtId="3" xfId="0" applyAlignment="1" applyFont="1" applyNumberFormat="1">
      <alignment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9" fontId="3" numFmtId="0" xfId="0" applyFill="1" applyFont="1"/>
    <xf borderId="0" fillId="0" fontId="6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3" xfId="0" applyAlignment="1" applyFont="1" applyNumberFormat="1">
      <alignment readingOrder="0"/>
    </xf>
    <xf borderId="0" fillId="0" fontId="14" numFmtId="3" xfId="0" applyFont="1" applyNumberFormat="1"/>
    <xf borderId="10" fillId="0" fontId="2" numFmtId="0" xfId="0" applyAlignment="1" applyBorder="1" applyFont="1">
      <alignment readingOrder="0"/>
    </xf>
    <xf borderId="0" fillId="4" fontId="0" numFmtId="1" xfId="0" applyFont="1" applyNumberFormat="1"/>
    <xf borderId="0" fillId="0" fontId="3" numFmtId="0" xfId="0" applyAlignment="1" applyFont="1">
      <alignment horizontal="right" readingOrder="0" vertical="bottom"/>
    </xf>
    <xf borderId="0" fillId="0" fontId="63" numFmtId="0" xfId="0" applyAlignment="1" applyFont="1">
      <alignment readingOrder="0"/>
    </xf>
    <xf borderId="11" fillId="0" fontId="26" numFmtId="0" xfId="0" applyAlignment="1" applyBorder="1" applyFont="1">
      <alignment shrinkToFit="0" vertical="bottom" wrapText="1"/>
    </xf>
    <xf borderId="6" fillId="0" fontId="26" numFmtId="0" xfId="0" applyAlignment="1" applyBorder="1" applyFont="1">
      <alignment vertical="bottom"/>
    </xf>
    <xf borderId="0" fillId="0" fontId="35" numFmtId="0" xfId="0" applyAlignment="1" applyFont="1">
      <alignment horizontal="center" shrinkToFit="0" wrapText="1"/>
    </xf>
    <xf borderId="0" fillId="0" fontId="7" numFmtId="0" xfId="0" applyAlignment="1" applyFont="1">
      <alignment vertical="bottom"/>
    </xf>
    <xf borderId="0" fillId="0" fontId="35" numFmtId="1" xfId="0" applyAlignment="1" applyFont="1" applyNumberFormat="1">
      <alignment horizontal="right" vertical="bottom"/>
    </xf>
    <xf borderId="0" fillId="4" fontId="35" numFmtId="1" xfId="0" applyAlignment="1" applyFont="1" applyNumberFormat="1">
      <alignment horizontal="right" vertical="bottom"/>
    </xf>
    <xf borderId="0" fillId="0" fontId="64" numFmtId="0" xfId="0" applyAlignment="1" applyFont="1">
      <alignment vertical="bottom"/>
    </xf>
    <xf borderId="0" fillId="0" fontId="21" numFmtId="0" xfId="0" applyAlignment="1" applyFont="1">
      <alignment readingOrder="0" shrinkToFit="0" wrapText="1"/>
    </xf>
    <xf borderId="0" fillId="0" fontId="34" numFmtId="0" xfId="0" applyFont="1"/>
    <xf borderId="0" fillId="0" fontId="54" numFmtId="0" xfId="0" applyAlignment="1" applyFont="1">
      <alignment readingOrder="0" shrinkToFit="0" wrapText="1"/>
    </xf>
    <xf borderId="0" fillId="0" fontId="34" numFmtId="3" xfId="0" applyAlignment="1" applyFont="1" applyNumberFormat="1">
      <alignment readingOrder="0"/>
    </xf>
    <xf borderId="0" fillId="0" fontId="34" numFmtId="4" xfId="0" applyAlignment="1" applyFont="1" applyNumberFormat="1">
      <alignment readingOrder="0"/>
    </xf>
    <xf borderId="0" fillId="0" fontId="0" numFmtId="0" xfId="0" applyAlignment="1" applyFont="1">
      <alignment readingOrder="0" shrinkToFit="0" wrapText="1"/>
    </xf>
    <xf borderId="0" fillId="0" fontId="21" numFmtId="4" xfId="0" applyFont="1" applyNumberFormat="1"/>
    <xf borderId="0" fillId="0" fontId="21" numFmtId="11" xfId="0" applyAlignment="1" applyFont="1" applyNumberFormat="1">
      <alignment readingOrder="0"/>
    </xf>
    <xf borderId="0" fillId="4" fontId="0" numFmtId="0" xfId="0" applyAlignment="1" applyFont="1">
      <alignment readingOrder="0" shrinkToFit="0" wrapText="1"/>
    </xf>
    <xf borderId="0" fillId="0" fontId="34" numFmtId="0" xfId="0" applyAlignment="1" applyFont="1">
      <alignment readingOrder="0"/>
    </xf>
    <xf borderId="0" fillId="0" fontId="0" numFmtId="3" xfId="0" applyAlignment="1" applyFont="1" applyNumberFormat="1">
      <alignment horizontal="left" readingOrder="0" shrinkToFit="0" wrapText="1"/>
    </xf>
    <xf borderId="0" fillId="0" fontId="0" numFmtId="4" xfId="0" applyAlignment="1" applyFont="1" applyNumberFormat="1">
      <alignment readingOrder="0" shrinkToFit="0" wrapText="1"/>
    </xf>
    <xf borderId="0" fillId="0" fontId="21" numFmtId="4" xfId="0" applyAlignment="1" applyFont="1" applyNumberFormat="1">
      <alignment readingOrder="0"/>
    </xf>
    <xf borderId="0" fillId="0" fontId="34" numFmtId="4" xfId="0" applyFont="1" applyNumberFormat="1"/>
    <xf borderId="0" fillId="0" fontId="0" numFmtId="3" xfId="0" applyAlignment="1" applyFont="1" applyNumberFormat="1">
      <alignment readingOrder="0" shrinkToFit="0" wrapText="1"/>
    </xf>
    <xf borderId="0" fillId="0" fontId="0" numFmtId="0" xfId="0" applyAlignment="1" applyFont="1">
      <alignment shrinkToFit="0" wrapText="1"/>
    </xf>
    <xf borderId="0" fillId="10" fontId="65" numFmtId="0" xfId="0" applyAlignment="1" applyFill="1" applyFont="1">
      <alignment horizontal="center" readingOrder="0"/>
    </xf>
    <xf borderId="0" fillId="10" fontId="66" numFmtId="0" xfId="0" applyAlignment="1" applyFont="1">
      <alignment horizontal="center" readingOrder="0"/>
    </xf>
    <xf borderId="0" fillId="0" fontId="26" numFmtId="0" xfId="0" applyAlignment="1" applyFont="1">
      <alignment readingOrder="0" shrinkToFit="0" vertical="bottom" wrapText="1"/>
    </xf>
    <xf borderId="0" fillId="0" fontId="54" numFmtId="3" xfId="0" applyAlignment="1" applyFont="1" applyNumberFormat="1">
      <alignment readingOrder="0" shrinkToFit="0" wrapText="1"/>
    </xf>
    <xf borderId="0" fillId="0" fontId="0" numFmtId="3" xfId="0" applyAlignment="1" applyFont="1" applyNumberFormat="1">
      <alignment shrinkToFit="0" wrapText="1"/>
    </xf>
    <xf borderId="0" fillId="0" fontId="3" numFmtId="4" xfId="0" applyFont="1" applyNumberFormat="1"/>
    <xf borderId="0" fillId="0" fontId="0" numFmtId="3" xfId="0" applyAlignment="1" applyFont="1" applyNumberFormat="1">
      <alignment readingOrder="0" shrinkToFit="0" wrapText="1"/>
    </xf>
    <xf borderId="0" fillId="0" fontId="21" numFmtId="3" xfId="0" applyFont="1" applyNumberFormat="1"/>
    <xf borderId="0" fillId="0" fontId="0" numFmtId="3" xfId="0" applyAlignment="1" applyFont="1" applyNumberFormat="1">
      <alignment shrinkToFit="0" wrapText="1"/>
    </xf>
    <xf borderId="0" fillId="0" fontId="21" numFmtId="3" xfId="0" applyAlignment="1" applyFont="1" applyNumberFormat="1">
      <alignment readingOrder="0"/>
    </xf>
    <xf borderId="0" fillId="0" fontId="18" numFmtId="0" xfId="0" applyFont="1"/>
    <xf borderId="0" fillId="0" fontId="67" numFmtId="0" xfId="0" applyFont="1"/>
    <xf borderId="0" fillId="10" fontId="68" numFmtId="0" xfId="0" applyAlignment="1" applyFont="1">
      <alignment horizontal="center" readingOrder="0" vertical="bottom"/>
    </xf>
    <xf borderId="0" fillId="0" fontId="26" numFmtId="4" xfId="0" applyAlignment="1" applyFont="1" applyNumberFormat="1">
      <alignment vertical="bottom"/>
    </xf>
    <xf borderId="0" fillId="0" fontId="26" numFmtId="3" xfId="0" applyAlignment="1" applyFont="1" applyNumberFormat="1">
      <alignment shrinkToFit="0" vertical="bottom" wrapText="1"/>
    </xf>
    <xf borderId="0" fillId="0" fontId="0" numFmtId="4" xfId="0" applyAlignment="1" applyFont="1" applyNumberFormat="1">
      <alignment shrinkToFit="0" wrapText="1"/>
    </xf>
    <xf borderId="0" fillId="0" fontId="69" numFmtId="0" xfId="0" applyAlignment="1" applyFont="1">
      <alignment horizontal="center" readingOrder="0" vertical="bottom"/>
    </xf>
    <xf borderId="0" fillId="0" fontId="14" numFmtId="4" xfId="0" applyAlignment="1" applyFont="1" applyNumberFormat="1">
      <alignment shrinkToFit="0" wrapText="1"/>
    </xf>
    <xf borderId="0" fillId="0" fontId="14" numFmtId="3" xfId="0" applyAlignment="1" applyFont="1" applyNumberFormat="1">
      <alignment readingOrder="0" shrinkToFit="0" wrapText="1"/>
    </xf>
    <xf borderId="0" fillId="0" fontId="3" numFmtId="10" xfId="0" applyFont="1" applyNumberFormat="1"/>
    <xf borderId="0" fillId="0" fontId="26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10" fontId="70" numFmtId="0" xfId="0" applyAlignment="1" applyFont="1">
      <alignment horizontal="center" readingOrder="0"/>
    </xf>
    <xf borderId="0" fillId="11" fontId="71" numFmtId="0" xfId="0" applyAlignment="1" applyFill="1" applyFont="1">
      <alignment horizontal="center" readingOrder="0"/>
    </xf>
    <xf borderId="0" fillId="0" fontId="72" numFmtId="0" xfId="0" applyAlignment="1" applyFont="1">
      <alignment readingOrder="0"/>
    </xf>
    <xf borderId="0" fillId="0" fontId="12" numFmtId="4" xfId="0" applyAlignment="1" applyFont="1" applyNumberFormat="1">
      <alignment shrinkToFit="0" wrapText="1"/>
    </xf>
    <xf borderId="0" fillId="0" fontId="18" numFmtId="4" xfId="0" applyFont="1" applyNumberFormat="1"/>
    <xf borderId="0" fillId="0" fontId="66" numFmtId="0" xfId="0" applyAlignment="1" applyFont="1">
      <alignment horizontal="center" readingOrder="0"/>
    </xf>
    <xf borderId="0" fillId="0" fontId="21" numFmtId="3" xfId="0" applyFont="1" applyNumberFormat="1"/>
    <xf borderId="0" fillId="0" fontId="21" numFmtId="4" xfId="0" applyFont="1" applyNumberFormat="1"/>
    <xf borderId="0" fillId="0" fontId="21" numFmtId="0" xfId="0" applyFont="1"/>
    <xf borderId="0" fillId="0" fontId="0" numFmtId="3" xfId="0" applyAlignment="1" applyFont="1" applyNumberFormat="1">
      <alignment readingOrder="0" shrinkToFit="0" wrapText="1"/>
    </xf>
    <xf borderId="0" fillId="0" fontId="21" numFmtId="3" xfId="0" applyAlignment="1" applyFont="1" applyNumberFormat="1">
      <alignment readingOrder="0"/>
    </xf>
    <xf borderId="0" fillId="0" fontId="67" numFmtId="4" xfId="0" applyAlignment="1" applyFont="1" applyNumberFormat="1">
      <alignment readingOrder="0"/>
    </xf>
    <xf borderId="0" fillId="11" fontId="73" numFmtId="0" xfId="0" applyAlignment="1" applyFont="1">
      <alignment horizontal="left" readingOrder="0"/>
    </xf>
    <xf borderId="0" fillId="11" fontId="18" numFmtId="0" xfId="0" applyAlignment="1" applyFont="1">
      <alignment horizontal="left" readingOrder="0"/>
    </xf>
    <xf borderId="0" fillId="4" fontId="74" numFmtId="0" xfId="0" applyAlignment="1" applyFont="1">
      <alignment readingOrder="0"/>
    </xf>
    <xf borderId="0" fillId="0" fontId="75" numFmtId="0" xfId="0" applyAlignment="1" applyFont="1">
      <alignment readingOrder="0"/>
    </xf>
    <xf borderId="0" fillId="0" fontId="76" numFmtId="0" xfId="0" applyAlignment="1" applyFont="1">
      <alignment readingOrder="0"/>
    </xf>
    <xf borderId="0" fillId="2" fontId="77" numFmtId="0" xfId="0" applyAlignment="1" applyFont="1">
      <alignment horizontal="center" readingOrder="0"/>
    </xf>
    <xf borderId="0" fillId="0" fontId="18" numFmtId="0" xfId="0" applyAlignment="1" applyFont="1">
      <alignment readingOrder="0"/>
    </xf>
    <xf borderId="0" fillId="0" fontId="67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12" fillId="4" fontId="0" numFmtId="0" xfId="0" applyAlignment="1" applyBorder="1" applyFont="1">
      <alignment horizontal="center" readingOrder="0" shrinkToFit="0" wrapText="1"/>
    </xf>
    <xf borderId="13" fillId="4" fontId="0" numFmtId="0" xfId="0" applyAlignment="1" applyBorder="1" applyFont="1">
      <alignment horizontal="center" readingOrder="0" shrinkToFit="0" wrapText="1"/>
    </xf>
    <xf borderId="14" fillId="4" fontId="0" numFmtId="0" xfId="0" applyAlignment="1" applyBorder="1" applyFont="1">
      <alignment horizontal="center" readingOrder="0" shrinkToFit="0" wrapText="1"/>
    </xf>
    <xf borderId="10" fillId="4" fontId="0" numFmtId="0" xfId="0" applyAlignment="1" applyBorder="1" applyFont="1">
      <alignment horizontal="center" readingOrder="0" shrinkToFit="0" wrapText="1"/>
    </xf>
    <xf borderId="0" fillId="12" fontId="78" numFmtId="0" xfId="0" applyAlignment="1" applyFill="1" applyFont="1">
      <alignment horizontal="center" readingOrder="0"/>
    </xf>
    <xf borderId="0" fillId="2" fontId="13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center"/>
    </xf>
    <xf borderId="0" fillId="0" fontId="14" numFmtId="10" xfId="0" applyFont="1" applyNumberFormat="1"/>
    <xf borderId="0" fillId="11" fontId="74" numFmtId="0" xfId="0" applyAlignment="1" applyFont="1">
      <alignment horizontal="center" readingOrder="0"/>
    </xf>
    <xf borderId="0" fillId="0" fontId="35" numFmtId="0" xfId="0" applyAlignment="1" applyFont="1">
      <alignment readingOrder="0" vertical="bottom"/>
    </xf>
    <xf borderId="8" fillId="11" fontId="79" numFmtId="0" xfId="0" applyAlignment="1" applyBorder="1" applyFont="1">
      <alignment horizontal="center" vertical="bottom"/>
    </xf>
    <xf borderId="8" fillId="11" fontId="79" numFmtId="0" xfId="0" applyAlignment="1" applyBorder="1" applyFont="1">
      <alignment horizontal="center" readingOrder="0" vertical="bottom"/>
    </xf>
    <xf borderId="7" fillId="11" fontId="80" numFmtId="0" xfId="0" applyAlignment="1" applyBorder="1" applyFont="1">
      <alignment horizontal="center" readingOrder="0"/>
    </xf>
    <xf borderId="0" fillId="0" fontId="26" numFmtId="0" xfId="0" applyAlignment="1" applyFont="1">
      <alignment horizontal="center"/>
    </xf>
    <xf borderId="0" fillId="0" fontId="3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  <c r="B2" s="3">
        <v>1333.0</v>
      </c>
      <c r="C2" s="2"/>
      <c r="D2" s="3">
        <v>1600.0</v>
      </c>
      <c r="E2" s="2"/>
      <c r="F2" s="3">
        <v>1866.0</v>
      </c>
      <c r="G2" s="2"/>
      <c r="H2" s="3">
        <v>2133.0</v>
      </c>
      <c r="I2" s="2"/>
      <c r="J2" s="3">
        <v>2400.0</v>
      </c>
      <c r="K2" s="2"/>
      <c r="L2" s="3">
        <v>2666.0</v>
      </c>
      <c r="M2" s="2"/>
      <c r="N2" s="3">
        <v>2933.0</v>
      </c>
      <c r="O2" s="2"/>
      <c r="P2" s="4">
        <v>3200.0</v>
      </c>
      <c r="Q2" s="5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6">
        <v>1.5</v>
      </c>
      <c r="E3" s="6">
        <v>1.25</v>
      </c>
      <c r="G3" s="6">
        <v>1.07</v>
      </c>
      <c r="I3" s="6">
        <v>0.94</v>
      </c>
      <c r="K3" s="6">
        <v>0.83</v>
      </c>
      <c r="M3" s="6">
        <v>0.75</v>
      </c>
      <c r="O3" s="6">
        <v>0.68</v>
      </c>
      <c r="P3" s="7"/>
      <c r="Q3" s="8">
        <v>0.63</v>
      </c>
    </row>
    <row r="4">
      <c r="A4" s="3" t="s">
        <v>2</v>
      </c>
      <c r="B4" s="9">
        <v>10.0</v>
      </c>
      <c r="C4" s="10">
        <f>C3*B4</f>
        <v>15</v>
      </c>
      <c r="D4" s="11">
        <v>11.0</v>
      </c>
      <c r="E4" s="10">
        <f>D4*E3</f>
        <v>13.75</v>
      </c>
      <c r="F4" s="9">
        <v>13.0</v>
      </c>
      <c r="G4" s="10">
        <f>F4*G3</f>
        <v>13.91</v>
      </c>
      <c r="H4" s="11">
        <v>16.0</v>
      </c>
      <c r="I4" s="10">
        <f>H4*I3</f>
        <v>15.04</v>
      </c>
      <c r="J4" s="11">
        <v>17.0</v>
      </c>
      <c r="K4" s="10">
        <f>J4*K3</f>
        <v>14.11</v>
      </c>
      <c r="L4" s="11">
        <v>19.0</v>
      </c>
      <c r="M4" s="10">
        <f>L4*M3</f>
        <v>14.25</v>
      </c>
      <c r="N4" s="11">
        <v>21.0</v>
      </c>
      <c r="O4" s="10">
        <f>N4*O3</f>
        <v>14.28</v>
      </c>
      <c r="P4" s="12">
        <v>22.0</v>
      </c>
      <c r="Q4" s="13">
        <f>P4*Q3</f>
        <v>13.86</v>
      </c>
    </row>
    <row r="5">
      <c r="A5" s="3" t="s">
        <v>3</v>
      </c>
      <c r="B5" s="9">
        <v>10.0</v>
      </c>
      <c r="C5" s="10">
        <f>B5*C3</f>
        <v>15</v>
      </c>
      <c r="D5" s="11">
        <v>12.0</v>
      </c>
      <c r="E5" s="10">
        <f>D5*E3</f>
        <v>15</v>
      </c>
      <c r="F5" s="9">
        <v>15.0</v>
      </c>
      <c r="G5" s="10">
        <f>F5*G3</f>
        <v>16.05</v>
      </c>
      <c r="H5" s="11">
        <v>16.0</v>
      </c>
      <c r="I5" s="10">
        <f>H5*I3</f>
        <v>15.04</v>
      </c>
      <c r="J5" s="11">
        <v>18.0</v>
      </c>
      <c r="K5" s="10">
        <f>J5*K3</f>
        <v>14.94</v>
      </c>
      <c r="L5" s="11">
        <v>20.0</v>
      </c>
      <c r="M5" s="10">
        <f>L5*M3</f>
        <v>15</v>
      </c>
      <c r="N5" s="11">
        <v>22.0</v>
      </c>
      <c r="O5" s="10">
        <f>N5*O3</f>
        <v>14.96</v>
      </c>
      <c r="P5" s="12">
        <v>24.0</v>
      </c>
      <c r="Q5" s="13">
        <f>P5*Q3</f>
        <v>15.12</v>
      </c>
    </row>
    <row r="6">
      <c r="A6" s="3" t="s">
        <v>4</v>
      </c>
      <c r="B6" s="9">
        <v>4.0</v>
      </c>
      <c r="C6" s="10">
        <f>B6*C3</f>
        <v>6</v>
      </c>
      <c r="D6" s="11">
        <v>4.0</v>
      </c>
      <c r="E6" s="10">
        <f>D6*E3</f>
        <v>5</v>
      </c>
      <c r="F6" s="9">
        <v>4.0</v>
      </c>
      <c r="G6" s="10">
        <f>F6*G3</f>
        <v>4.28</v>
      </c>
      <c r="H6" s="11">
        <v>4.0</v>
      </c>
      <c r="I6" s="10">
        <f>H6*I3</f>
        <v>3.76</v>
      </c>
      <c r="J6" s="11">
        <v>4.0</v>
      </c>
      <c r="K6" s="10">
        <f>J6*K3</f>
        <v>3.32</v>
      </c>
      <c r="L6" s="11">
        <v>4.0</v>
      </c>
      <c r="M6" s="10">
        <f>L6*M3</f>
        <v>3</v>
      </c>
      <c r="N6" s="11">
        <v>4.0</v>
      </c>
      <c r="O6" s="10">
        <f>N6*O3</f>
        <v>2.72</v>
      </c>
      <c r="P6" s="12">
        <v>4.0</v>
      </c>
      <c r="Q6" s="13">
        <f>P6*Q3</f>
        <v>2.52</v>
      </c>
    </row>
    <row r="7">
      <c r="A7" s="3" t="s">
        <v>5</v>
      </c>
      <c r="B7" s="9">
        <v>10.0</v>
      </c>
      <c r="C7" s="10">
        <f>B7*C3</f>
        <v>15</v>
      </c>
      <c r="D7" s="11">
        <v>11.0</v>
      </c>
      <c r="E7" s="10">
        <f>D7*E3</f>
        <v>13.75</v>
      </c>
      <c r="F7" s="9">
        <v>13.0</v>
      </c>
      <c r="G7" s="10">
        <f>F7*G3</f>
        <v>13.91</v>
      </c>
      <c r="H7" s="11">
        <v>16.0</v>
      </c>
      <c r="I7" s="10">
        <f>H7*I3</f>
        <v>15.04</v>
      </c>
      <c r="J7" s="11">
        <v>17.0</v>
      </c>
      <c r="K7" s="10">
        <f>J7*K3</f>
        <v>14.11</v>
      </c>
      <c r="L7" s="11">
        <v>19.0</v>
      </c>
      <c r="M7" s="10">
        <f>L7*M3</f>
        <v>14.25</v>
      </c>
      <c r="N7" s="11">
        <v>21.0</v>
      </c>
      <c r="O7" s="10">
        <f>N7*O3</f>
        <v>14.28</v>
      </c>
      <c r="P7" s="14">
        <v>22.0</v>
      </c>
      <c r="Q7" s="15">
        <f>P7*Q3</f>
        <v>13.86</v>
      </c>
    </row>
    <row r="8">
      <c r="A8" s="3" t="s">
        <v>6</v>
      </c>
      <c r="P8" s="6">
        <v>56.0</v>
      </c>
      <c r="Q8" s="15">
        <f>P8*Q3</f>
        <v>35.28</v>
      </c>
    </row>
    <row r="9">
      <c r="A9" s="2"/>
    </row>
    <row r="10">
      <c r="O10" s="6" t="s">
        <v>7</v>
      </c>
      <c r="P10" s="10">
        <f t="shared" ref="P10:Q10" si="1">P4+P7</f>
        <v>44</v>
      </c>
      <c r="Q10" s="10">
        <f t="shared" si="1"/>
        <v>27.72</v>
      </c>
    </row>
    <row r="11">
      <c r="O11" s="6" t="s">
        <v>8</v>
      </c>
      <c r="P11" s="10">
        <f t="shared" ref="P11:Q11" si="2">P5+P7</f>
        <v>46</v>
      </c>
      <c r="Q11" s="10">
        <f t="shared" si="2"/>
        <v>28.98</v>
      </c>
    </row>
    <row r="12">
      <c r="A12" s="2"/>
      <c r="O12" s="6" t="s">
        <v>9</v>
      </c>
      <c r="Q12" s="10">
        <f>Q8+Q7+4</f>
        <v>53.14</v>
      </c>
    </row>
    <row r="13">
      <c r="A13" s="2"/>
    </row>
    <row r="14">
      <c r="A14" s="16" t="s">
        <v>10</v>
      </c>
    </row>
    <row r="15">
      <c r="A15" s="2"/>
      <c r="B15" s="6" t="s">
        <v>11</v>
      </c>
      <c r="C15" s="6" t="s">
        <v>12</v>
      </c>
      <c r="D15" s="6" t="s">
        <v>13</v>
      </c>
      <c r="F15" s="6" t="s">
        <v>14</v>
      </c>
      <c r="G15" s="6" t="s">
        <v>15</v>
      </c>
      <c r="H15" s="6" t="s">
        <v>16</v>
      </c>
    </row>
    <row r="16">
      <c r="A16" s="3" t="s">
        <v>17</v>
      </c>
      <c r="B16" s="6" t="s">
        <v>18</v>
      </c>
      <c r="C16" s="6" t="s">
        <v>19</v>
      </c>
      <c r="D16" s="6" t="s">
        <v>20</v>
      </c>
    </row>
    <row r="17">
      <c r="A17" s="3" t="s">
        <v>21</v>
      </c>
      <c r="B17" s="6" t="s">
        <v>22</v>
      </c>
      <c r="C17" s="6" t="s">
        <v>23</v>
      </c>
      <c r="D17" s="6" t="s">
        <v>24</v>
      </c>
    </row>
    <row r="18">
      <c r="A18" s="3" t="s">
        <v>25</v>
      </c>
      <c r="B18" s="6" t="s">
        <v>26</v>
      </c>
      <c r="C18" s="6" t="s">
        <v>27</v>
      </c>
      <c r="D18" s="6" t="s">
        <v>28</v>
      </c>
    </row>
    <row r="19">
      <c r="A19" s="3" t="s">
        <v>29</v>
      </c>
      <c r="B19" s="6" t="s">
        <v>30</v>
      </c>
      <c r="C19" s="6" t="s">
        <v>31</v>
      </c>
      <c r="D19" s="6" t="s">
        <v>32</v>
      </c>
    </row>
    <row r="20">
      <c r="A20" s="3" t="s">
        <v>33</v>
      </c>
      <c r="B20" s="6" t="s">
        <v>34</v>
      </c>
      <c r="C20" s="6" t="s">
        <v>35</v>
      </c>
      <c r="D20" s="6" t="s">
        <v>36</v>
      </c>
    </row>
    <row r="21">
      <c r="A21" s="3" t="s">
        <v>37</v>
      </c>
      <c r="B21" s="6" t="s">
        <v>38</v>
      </c>
      <c r="C21" s="6" t="s">
        <v>39</v>
      </c>
      <c r="D21" s="6" t="s">
        <v>40</v>
      </c>
    </row>
    <row r="22">
      <c r="A22" s="3" t="s">
        <v>41</v>
      </c>
      <c r="B22" s="6" t="s">
        <v>42</v>
      </c>
      <c r="C22" s="6" t="s">
        <v>43</v>
      </c>
      <c r="D22" s="6" t="s">
        <v>44</v>
      </c>
    </row>
    <row r="23">
      <c r="A23" s="3" t="s">
        <v>45</v>
      </c>
      <c r="B23" s="6" t="s">
        <v>35</v>
      </c>
      <c r="C23" s="6" t="s">
        <v>46</v>
      </c>
      <c r="D23" s="6" t="s">
        <v>47</v>
      </c>
    </row>
    <row r="24">
      <c r="A24" s="2"/>
    </row>
    <row r="25">
      <c r="A25" s="16" t="s">
        <v>48</v>
      </c>
    </row>
    <row r="26">
      <c r="A26" s="2"/>
      <c r="B26" s="6" t="s">
        <v>11</v>
      </c>
      <c r="C26" s="6" t="s">
        <v>12</v>
      </c>
      <c r="D26" s="6" t="s">
        <v>13</v>
      </c>
    </row>
    <row r="27">
      <c r="A27" s="3" t="s">
        <v>17</v>
      </c>
      <c r="B27" s="6" t="s">
        <v>49</v>
      </c>
      <c r="C27" s="6" t="s">
        <v>50</v>
      </c>
      <c r="D27" s="6" t="s">
        <v>51</v>
      </c>
    </row>
    <row r="28">
      <c r="A28" s="3" t="s">
        <v>21</v>
      </c>
      <c r="B28" s="6" t="s">
        <v>52</v>
      </c>
      <c r="C28" s="6" t="s">
        <v>53</v>
      </c>
      <c r="D28" s="6" t="s">
        <v>54</v>
      </c>
    </row>
    <row r="29">
      <c r="A29" s="3" t="s">
        <v>25</v>
      </c>
      <c r="B29" s="6" t="s">
        <v>55</v>
      </c>
      <c r="C29" s="6" t="s">
        <v>56</v>
      </c>
      <c r="D29" s="6" t="s">
        <v>57</v>
      </c>
    </row>
    <row r="30">
      <c r="A30" s="3" t="s">
        <v>29</v>
      </c>
      <c r="B30" s="6" t="s">
        <v>58</v>
      </c>
      <c r="C30" s="6" t="s">
        <v>31</v>
      </c>
      <c r="D30" s="6" t="s">
        <v>59</v>
      </c>
    </row>
    <row r="31">
      <c r="A31" s="3" t="s">
        <v>33</v>
      </c>
      <c r="B31" s="6" t="s">
        <v>47</v>
      </c>
      <c r="C31" s="6" t="s">
        <v>35</v>
      </c>
      <c r="D31" s="6" t="s">
        <v>60</v>
      </c>
    </row>
    <row r="32">
      <c r="A32" s="3" t="s">
        <v>37</v>
      </c>
      <c r="B32" s="6" t="s">
        <v>61</v>
      </c>
      <c r="C32" s="6" t="s">
        <v>62</v>
      </c>
      <c r="D32" s="6" t="s">
        <v>63</v>
      </c>
    </row>
    <row r="33">
      <c r="A33" s="3" t="s">
        <v>41</v>
      </c>
      <c r="B33" s="6" t="s">
        <v>64</v>
      </c>
      <c r="C33" s="6" t="s">
        <v>65</v>
      </c>
      <c r="D33" s="6" t="s">
        <v>66</v>
      </c>
    </row>
    <row r="34">
      <c r="A34" s="3" t="s">
        <v>45</v>
      </c>
      <c r="B34" s="6" t="s">
        <v>35</v>
      </c>
      <c r="C34" s="6" t="s">
        <v>46</v>
      </c>
      <c r="D34" s="6" t="s">
        <v>34</v>
      </c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6" t="s">
        <v>67</v>
      </c>
    </row>
    <row r="37">
      <c r="A37" s="2"/>
      <c r="B37" s="6" t="s">
        <v>11</v>
      </c>
      <c r="C37" s="6" t="s">
        <v>12</v>
      </c>
      <c r="D37" s="6" t="s">
        <v>13</v>
      </c>
    </row>
    <row r="38">
      <c r="A38" s="3" t="s">
        <v>17</v>
      </c>
      <c r="B38" s="6" t="s">
        <v>34</v>
      </c>
      <c r="C38" s="6" t="s">
        <v>68</v>
      </c>
      <c r="D38" s="6" t="s">
        <v>69</v>
      </c>
    </row>
    <row r="39">
      <c r="A39" s="3" t="s">
        <v>21</v>
      </c>
      <c r="B39" s="6" t="s">
        <v>70</v>
      </c>
      <c r="C39" s="6" t="s">
        <v>71</v>
      </c>
      <c r="D39" s="6" t="s">
        <v>72</v>
      </c>
    </row>
    <row r="40">
      <c r="A40" s="3" t="s">
        <v>25</v>
      </c>
      <c r="B40" s="6" t="s">
        <v>73</v>
      </c>
      <c r="C40" s="6" t="s">
        <v>74</v>
      </c>
      <c r="D40" s="6" t="s">
        <v>75</v>
      </c>
    </row>
    <row r="41">
      <c r="A41" s="3" t="s">
        <v>29</v>
      </c>
      <c r="B41" s="6" t="s">
        <v>69</v>
      </c>
      <c r="C41" s="6" t="s">
        <v>76</v>
      </c>
      <c r="D41" s="6" t="s">
        <v>77</v>
      </c>
    </row>
    <row r="42">
      <c r="A42" s="3" t="s">
        <v>33</v>
      </c>
      <c r="B42" s="6" t="s">
        <v>35</v>
      </c>
      <c r="C42" s="6" t="s">
        <v>76</v>
      </c>
      <c r="D42" s="6" t="s">
        <v>34</v>
      </c>
    </row>
    <row r="43">
      <c r="A43" s="3" t="s">
        <v>37</v>
      </c>
      <c r="B43" s="6" t="s">
        <v>78</v>
      </c>
      <c r="C43" s="6" t="s">
        <v>79</v>
      </c>
      <c r="D43" s="6" t="s">
        <v>80</v>
      </c>
    </row>
    <row r="44">
      <c r="A44" s="3" t="s">
        <v>41</v>
      </c>
      <c r="B44" s="6" t="s">
        <v>36</v>
      </c>
      <c r="C44" s="6" t="s">
        <v>76</v>
      </c>
      <c r="D44" s="6" t="s">
        <v>81</v>
      </c>
    </row>
    <row r="45">
      <c r="A45" s="3" t="s">
        <v>45</v>
      </c>
      <c r="B45" s="6" t="s">
        <v>35</v>
      </c>
      <c r="C45" s="6" t="s">
        <v>46</v>
      </c>
      <c r="D45" s="6" t="s">
        <v>35</v>
      </c>
    </row>
    <row r="46">
      <c r="A46" s="2"/>
    </row>
    <row r="47">
      <c r="A47" s="16" t="s">
        <v>82</v>
      </c>
    </row>
    <row r="48">
      <c r="A48" s="2"/>
      <c r="B48" s="6" t="s">
        <v>11</v>
      </c>
      <c r="C48" s="6" t="s">
        <v>12</v>
      </c>
      <c r="D48" s="6" t="s">
        <v>13</v>
      </c>
    </row>
    <row r="49">
      <c r="A49" s="3" t="s">
        <v>17</v>
      </c>
      <c r="B49" s="6" t="s">
        <v>35</v>
      </c>
      <c r="C49" s="6" t="s">
        <v>46</v>
      </c>
      <c r="D49" s="6" t="s">
        <v>50</v>
      </c>
    </row>
    <row r="50">
      <c r="A50" s="3" t="s">
        <v>21</v>
      </c>
      <c r="B50" s="6" t="s">
        <v>83</v>
      </c>
      <c r="C50" s="6" t="s">
        <v>84</v>
      </c>
      <c r="D50" s="6" t="s">
        <v>85</v>
      </c>
    </row>
    <row r="51">
      <c r="A51" s="3" t="s">
        <v>25</v>
      </c>
      <c r="B51" s="6" t="s">
        <v>86</v>
      </c>
      <c r="C51" s="6" t="s">
        <v>87</v>
      </c>
      <c r="D51" s="6" t="s">
        <v>88</v>
      </c>
      <c r="F51" s="6">
        <v>27.72</v>
      </c>
      <c r="G51" s="6">
        <v>28.98</v>
      </c>
      <c r="H51" s="6">
        <v>2.52</v>
      </c>
      <c r="I51" s="18">
        <f>5.24*32*32*F51+2.7*32*32*G51+6.01*32*32*H51</f>
        <v>244371.456</v>
      </c>
    </row>
    <row r="52">
      <c r="A52" s="3" t="s">
        <v>29</v>
      </c>
      <c r="B52" s="6" t="s">
        <v>76</v>
      </c>
      <c r="C52" s="6" t="s">
        <v>89</v>
      </c>
      <c r="D52" s="6" t="s">
        <v>90</v>
      </c>
    </row>
    <row r="53">
      <c r="A53" s="3" t="s">
        <v>33</v>
      </c>
      <c r="B53" s="6" t="s">
        <v>35</v>
      </c>
      <c r="C53" s="6" t="s">
        <v>89</v>
      </c>
      <c r="D53" s="6" t="s">
        <v>35</v>
      </c>
    </row>
    <row r="54">
      <c r="A54" s="3" t="s">
        <v>37</v>
      </c>
      <c r="B54" s="6" t="s">
        <v>91</v>
      </c>
      <c r="C54" s="6" t="s">
        <v>92</v>
      </c>
      <c r="D54" s="6" t="s">
        <v>93</v>
      </c>
    </row>
    <row r="55">
      <c r="A55" s="3" t="s">
        <v>41</v>
      </c>
      <c r="B55" s="6" t="s">
        <v>69</v>
      </c>
      <c r="C55" s="6" t="s">
        <v>76</v>
      </c>
      <c r="D55" s="6" t="s">
        <v>81</v>
      </c>
    </row>
    <row r="56">
      <c r="A56" s="3" t="s">
        <v>45</v>
      </c>
      <c r="B56" s="6" t="s">
        <v>35</v>
      </c>
      <c r="C56" s="6" t="s">
        <v>89</v>
      </c>
      <c r="D56" s="6" t="s">
        <v>35</v>
      </c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mergeCells count="5">
    <mergeCell ref="A1:Q1"/>
    <mergeCell ref="A14:D14"/>
    <mergeCell ref="A25:D25"/>
    <mergeCell ref="A36:D36"/>
    <mergeCell ref="A47:D4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3" max="3" width="19.63"/>
    <col customWidth="1" min="6" max="6" width="12.0"/>
    <col customWidth="1" min="22" max="22" width="7.63"/>
    <col customWidth="1" min="23" max="23" width="4.75"/>
    <col customWidth="1" min="24" max="24" width="17.5"/>
    <col customWidth="1" min="25" max="25" width="13.63"/>
  </cols>
  <sheetData>
    <row r="1">
      <c r="A1" s="19" t="s">
        <v>342</v>
      </c>
    </row>
    <row r="2">
      <c r="A2" s="20"/>
      <c r="B2" s="32" t="s">
        <v>106</v>
      </c>
      <c r="C2" s="33"/>
      <c r="D2" s="33"/>
      <c r="E2" s="33"/>
      <c r="F2" s="33"/>
      <c r="G2" s="33"/>
      <c r="H2" s="34"/>
      <c r="I2" s="35"/>
      <c r="J2" s="34"/>
      <c r="K2" s="36"/>
      <c r="L2" s="36"/>
      <c r="M2" s="37" t="s">
        <v>107</v>
      </c>
      <c r="N2" s="33"/>
      <c r="O2" s="33"/>
      <c r="P2" s="34"/>
      <c r="Q2" s="38" t="s">
        <v>108</v>
      </c>
      <c r="R2" s="34"/>
      <c r="S2" s="125"/>
      <c r="T2" s="125"/>
      <c r="U2" s="39" t="s">
        <v>109</v>
      </c>
      <c r="V2" s="33"/>
      <c r="W2" s="34"/>
    </row>
    <row r="3">
      <c r="A3" s="40"/>
      <c r="B3" s="41" t="s">
        <v>110</v>
      </c>
      <c r="C3" s="42" t="s">
        <v>111</v>
      </c>
      <c r="D3" s="43" t="s">
        <v>112</v>
      </c>
      <c r="E3" s="44" t="s">
        <v>113</v>
      </c>
      <c r="F3" s="41" t="s">
        <v>114</v>
      </c>
      <c r="G3" s="41" t="s">
        <v>115</v>
      </c>
      <c r="H3" s="45" t="s">
        <v>116</v>
      </c>
      <c r="I3" s="43" t="s">
        <v>117</v>
      </c>
      <c r="J3" s="43" t="s">
        <v>118</v>
      </c>
      <c r="K3" s="43" t="s">
        <v>119</v>
      </c>
      <c r="L3" s="43" t="s">
        <v>120</v>
      </c>
      <c r="M3" s="44" t="s">
        <v>121</v>
      </c>
      <c r="N3" s="44" t="s">
        <v>122</v>
      </c>
      <c r="O3" s="44" t="s">
        <v>123</v>
      </c>
      <c r="P3" s="44" t="s">
        <v>124</v>
      </c>
      <c r="Q3" s="43" t="s">
        <v>125</v>
      </c>
      <c r="R3" s="43" t="s">
        <v>126</v>
      </c>
      <c r="S3" s="43"/>
      <c r="T3" s="43"/>
      <c r="U3" s="43" t="s">
        <v>127</v>
      </c>
      <c r="V3" s="43" t="s">
        <v>128</v>
      </c>
      <c r="W3" s="43" t="s">
        <v>129</v>
      </c>
      <c r="X3" s="3" t="s">
        <v>130</v>
      </c>
      <c r="Y3" s="3" t="s">
        <v>131</v>
      </c>
    </row>
    <row r="4">
      <c r="A4" s="48" t="s">
        <v>623</v>
      </c>
      <c r="B4" s="6">
        <v>1.0</v>
      </c>
      <c r="C4" s="49">
        <f t="shared" ref="C4:C13" si="1">(F4/G4)*B4*H4</f>
        <v>6</v>
      </c>
      <c r="D4" s="6">
        <v>8.0</v>
      </c>
      <c r="E4" s="50">
        <v>1.535738134E9</v>
      </c>
      <c r="F4" s="6">
        <v>1.0</v>
      </c>
      <c r="G4" s="6">
        <v>1.0</v>
      </c>
      <c r="H4" s="10">
        <f t="shared" ref="H4:H13" si="2">ROUNDUP(E4/(M4*N4*O4*P4))</f>
        <v>6</v>
      </c>
      <c r="I4" s="6">
        <v>1.0</v>
      </c>
      <c r="J4" s="6">
        <v>1.0</v>
      </c>
      <c r="K4" s="6"/>
      <c r="L4" s="6"/>
      <c r="M4" s="6">
        <v>16.0</v>
      </c>
      <c r="N4" s="6">
        <v>8.0</v>
      </c>
      <c r="O4" s="6">
        <v>16.0</v>
      </c>
      <c r="P4" s="6">
        <v>131072.0</v>
      </c>
      <c r="Q4" s="10">
        <v>27.72</v>
      </c>
      <c r="R4" s="10">
        <v>28.98</v>
      </c>
      <c r="X4" s="18">
        <f t="shared" ref="X4:X5" si="3">C4*D4*I4*Q4+C4*D4*J4*R4</f>
        <v>2721.6</v>
      </c>
      <c r="Y4" s="50">
        <f>2820500000/14</f>
        <v>201464285.7</v>
      </c>
      <c r="Z4" s="6">
        <v>2820500.0</v>
      </c>
    </row>
    <row r="5">
      <c r="A5" s="48" t="s">
        <v>624</v>
      </c>
      <c r="B5" s="6">
        <v>1.0</v>
      </c>
      <c r="C5" s="49">
        <f t="shared" si="1"/>
        <v>6</v>
      </c>
      <c r="D5" s="6">
        <v>8.0</v>
      </c>
      <c r="E5" s="50">
        <v>1.535738134E9</v>
      </c>
      <c r="F5" s="6">
        <v>1.0</v>
      </c>
      <c r="G5" s="6">
        <v>1.0</v>
      </c>
      <c r="H5" s="10">
        <f t="shared" si="2"/>
        <v>6</v>
      </c>
      <c r="I5" s="6">
        <v>1.0</v>
      </c>
      <c r="J5" s="6">
        <v>1.0</v>
      </c>
      <c r="K5" s="6"/>
      <c r="L5" s="6"/>
      <c r="M5" s="6">
        <v>16.0</v>
      </c>
      <c r="N5" s="6">
        <v>8.0</v>
      </c>
      <c r="O5" s="6">
        <v>16.0</v>
      </c>
      <c r="P5" s="6">
        <v>131072.0</v>
      </c>
      <c r="Q5" s="10">
        <v>27.72</v>
      </c>
      <c r="R5" s="10">
        <v>28.98</v>
      </c>
      <c r="X5" s="18">
        <f t="shared" si="3"/>
        <v>2721.6</v>
      </c>
    </row>
    <row r="6">
      <c r="A6" s="48" t="s">
        <v>625</v>
      </c>
      <c r="B6" s="6">
        <v>1.0</v>
      </c>
      <c r="C6" s="49">
        <f t="shared" si="1"/>
        <v>6</v>
      </c>
      <c r="D6" s="6">
        <v>8.0</v>
      </c>
      <c r="E6" s="50">
        <v>1.535738134E9</v>
      </c>
      <c r="F6" s="6">
        <v>1.0</v>
      </c>
      <c r="G6" s="6">
        <v>1.0</v>
      </c>
      <c r="H6" s="10">
        <f t="shared" si="2"/>
        <v>6</v>
      </c>
      <c r="I6" s="10">
        <f t="shared" ref="I6:I8" si="4">2*D6*D6/D6</f>
        <v>16</v>
      </c>
      <c r="J6" s="10">
        <f t="shared" ref="J6:J8" si="5">D6*D6/D6</f>
        <v>8</v>
      </c>
      <c r="K6" s="10">
        <f t="shared" ref="K6:K8" si="6">5*D6*D6/D6</f>
        <v>40</v>
      </c>
      <c r="L6" s="6">
        <v>2.52</v>
      </c>
      <c r="M6" s="6">
        <v>16.0</v>
      </c>
      <c r="N6" s="6">
        <v>8.0</v>
      </c>
      <c r="O6" s="6">
        <v>16.0</v>
      </c>
      <c r="P6" s="6">
        <v>131072.0</v>
      </c>
      <c r="Q6" s="10">
        <v>27.72</v>
      </c>
      <c r="R6" s="10">
        <v>28.98</v>
      </c>
      <c r="X6" s="18">
        <f t="shared" ref="X6:X8" si="7">H6*D6*I6*Q6+H6*D6*J6*R6</f>
        <v>32417.28</v>
      </c>
    </row>
    <row r="7">
      <c r="A7" s="48" t="s">
        <v>626</v>
      </c>
      <c r="B7" s="6">
        <v>1.0</v>
      </c>
      <c r="C7" s="49">
        <f t="shared" si="1"/>
        <v>6</v>
      </c>
      <c r="D7" s="6">
        <v>8.0</v>
      </c>
      <c r="E7" s="50">
        <v>1.535738134E9</v>
      </c>
      <c r="F7" s="6">
        <v>1.0</v>
      </c>
      <c r="G7" s="6">
        <v>1.0</v>
      </c>
      <c r="H7" s="10">
        <f t="shared" si="2"/>
        <v>6</v>
      </c>
      <c r="I7" s="10">
        <f t="shared" si="4"/>
        <v>16</v>
      </c>
      <c r="J7" s="10">
        <f t="shared" si="5"/>
        <v>8</v>
      </c>
      <c r="K7" s="10">
        <f t="shared" si="6"/>
        <v>40</v>
      </c>
      <c r="L7" s="6">
        <v>2.52</v>
      </c>
      <c r="M7" s="6">
        <v>16.0</v>
      </c>
      <c r="N7" s="6">
        <v>8.0</v>
      </c>
      <c r="O7" s="6">
        <v>16.0</v>
      </c>
      <c r="P7" s="6">
        <v>131072.0</v>
      </c>
      <c r="Q7" s="10">
        <v>27.72</v>
      </c>
      <c r="R7" s="10">
        <v>28.98</v>
      </c>
      <c r="X7" s="18">
        <f t="shared" si="7"/>
        <v>32417.28</v>
      </c>
    </row>
    <row r="8">
      <c r="A8" s="48" t="s">
        <v>627</v>
      </c>
      <c r="B8" s="6">
        <v>1.0</v>
      </c>
      <c r="C8" s="49">
        <f t="shared" si="1"/>
        <v>6</v>
      </c>
      <c r="D8" s="6">
        <v>8.0</v>
      </c>
      <c r="E8" s="50">
        <v>1.535738134E9</v>
      </c>
      <c r="F8" s="6">
        <v>1.0</v>
      </c>
      <c r="G8" s="6">
        <v>1.0</v>
      </c>
      <c r="H8" s="10">
        <f t="shared" si="2"/>
        <v>6</v>
      </c>
      <c r="I8" s="10">
        <f t="shared" si="4"/>
        <v>16</v>
      </c>
      <c r="J8" s="10">
        <f t="shared" si="5"/>
        <v>8</v>
      </c>
      <c r="K8" s="10">
        <f t="shared" si="6"/>
        <v>40</v>
      </c>
      <c r="L8" s="6">
        <v>2.52</v>
      </c>
      <c r="M8" s="6">
        <v>16.0</v>
      </c>
      <c r="N8" s="6">
        <v>8.0</v>
      </c>
      <c r="O8" s="6">
        <v>16.0</v>
      </c>
      <c r="P8" s="6">
        <v>131072.0</v>
      </c>
      <c r="Q8" s="10">
        <v>27.72</v>
      </c>
      <c r="R8" s="10">
        <v>28.98</v>
      </c>
      <c r="X8" s="18">
        <f t="shared" si="7"/>
        <v>32417.28</v>
      </c>
    </row>
    <row r="9">
      <c r="A9" s="121" t="s">
        <v>628</v>
      </c>
      <c r="B9" s="6">
        <v>1.0</v>
      </c>
      <c r="C9" s="49">
        <f t="shared" si="1"/>
        <v>6</v>
      </c>
      <c r="D9" s="122" t="s">
        <v>564</v>
      </c>
      <c r="E9" s="50">
        <v>1.535738134E9</v>
      </c>
      <c r="F9" s="6">
        <v>1.0</v>
      </c>
      <c r="G9" s="6">
        <v>1.0</v>
      </c>
      <c r="H9" s="10">
        <f t="shared" si="2"/>
        <v>6</v>
      </c>
      <c r="M9" s="6">
        <v>16.0</v>
      </c>
      <c r="N9" s="6">
        <v>8.0</v>
      </c>
      <c r="O9" s="6">
        <v>16.0</v>
      </c>
      <c r="P9" s="6">
        <v>131072.0</v>
      </c>
      <c r="Q9" s="6" t="s">
        <v>564</v>
      </c>
      <c r="R9" s="6" t="s">
        <v>564</v>
      </c>
      <c r="S9" s="6"/>
      <c r="T9" s="6"/>
      <c r="U9" s="6">
        <v>10.0</v>
      </c>
      <c r="V9" s="10">
        <f t="shared" ref="V9:V13" si="8">P9</f>
        <v>131072</v>
      </c>
      <c r="W9" s="6">
        <v>3200.0</v>
      </c>
      <c r="X9" s="18">
        <f t="shared" ref="X9:X13" si="9">H9*U9*MIN(V9,E9)/(W9*10^6)*10^9</f>
        <v>2457600</v>
      </c>
    </row>
    <row r="10">
      <c r="A10" s="121" t="s">
        <v>629</v>
      </c>
      <c r="B10" s="6">
        <v>1.0</v>
      </c>
      <c r="C10" s="49">
        <f t="shared" si="1"/>
        <v>6</v>
      </c>
      <c r="D10" s="122" t="s">
        <v>564</v>
      </c>
      <c r="E10" s="50">
        <v>1.535738134E9</v>
      </c>
      <c r="F10" s="6">
        <v>1.0</v>
      </c>
      <c r="G10" s="6">
        <v>1.0</v>
      </c>
      <c r="H10" s="10">
        <f t="shared" si="2"/>
        <v>6</v>
      </c>
      <c r="M10" s="6">
        <v>16.0</v>
      </c>
      <c r="N10" s="6">
        <v>8.0</v>
      </c>
      <c r="O10" s="6">
        <v>16.0</v>
      </c>
      <c r="P10" s="6">
        <v>131072.0</v>
      </c>
      <c r="Q10" s="6" t="s">
        <v>564</v>
      </c>
      <c r="R10" s="6" t="s">
        <v>564</v>
      </c>
      <c r="S10" s="6"/>
      <c r="T10" s="6"/>
      <c r="U10" s="6">
        <v>10.0</v>
      </c>
      <c r="V10" s="10">
        <f t="shared" si="8"/>
        <v>131072</v>
      </c>
      <c r="W10" s="6">
        <v>3200.0</v>
      </c>
      <c r="X10" s="18">
        <f t="shared" si="9"/>
        <v>2457600</v>
      </c>
    </row>
    <row r="11">
      <c r="A11" s="121" t="s">
        <v>630</v>
      </c>
      <c r="B11" s="6">
        <v>1.0</v>
      </c>
      <c r="C11" s="49">
        <f t="shared" si="1"/>
        <v>6</v>
      </c>
      <c r="D11" s="122" t="s">
        <v>564</v>
      </c>
      <c r="E11" s="50">
        <v>1.535738134E9</v>
      </c>
      <c r="F11" s="6">
        <v>1.0</v>
      </c>
      <c r="G11" s="6">
        <v>1.0</v>
      </c>
      <c r="H11" s="10">
        <f t="shared" si="2"/>
        <v>6</v>
      </c>
      <c r="M11" s="6">
        <v>16.0</v>
      </c>
      <c r="N11" s="6">
        <v>8.0</v>
      </c>
      <c r="O11" s="6">
        <v>16.0</v>
      </c>
      <c r="P11" s="6">
        <v>131072.0</v>
      </c>
      <c r="Q11" s="6" t="s">
        <v>564</v>
      </c>
      <c r="R11" s="6" t="s">
        <v>564</v>
      </c>
      <c r="S11" s="6"/>
      <c r="T11" s="6"/>
      <c r="U11" s="6">
        <v>10.0</v>
      </c>
      <c r="V11" s="10">
        <f t="shared" si="8"/>
        <v>131072</v>
      </c>
      <c r="W11" s="6">
        <v>3200.0</v>
      </c>
      <c r="X11" s="18">
        <f t="shared" si="9"/>
        <v>2457600</v>
      </c>
    </row>
    <row r="12">
      <c r="A12" s="121" t="s">
        <v>631</v>
      </c>
      <c r="B12" s="6">
        <v>1.0</v>
      </c>
      <c r="C12" s="49">
        <f t="shared" si="1"/>
        <v>6</v>
      </c>
      <c r="D12" s="122" t="s">
        <v>564</v>
      </c>
      <c r="E12" s="50">
        <v>1.535738134E9</v>
      </c>
      <c r="F12" s="6">
        <v>1.0</v>
      </c>
      <c r="G12" s="6">
        <v>1.0</v>
      </c>
      <c r="H12" s="10">
        <f t="shared" si="2"/>
        <v>6</v>
      </c>
      <c r="M12" s="6">
        <v>16.0</v>
      </c>
      <c r="N12" s="6">
        <v>8.0</v>
      </c>
      <c r="O12" s="6">
        <v>16.0</v>
      </c>
      <c r="P12" s="6">
        <v>131072.0</v>
      </c>
      <c r="Q12" s="6" t="s">
        <v>564</v>
      </c>
      <c r="R12" s="6" t="s">
        <v>564</v>
      </c>
      <c r="S12" s="6"/>
      <c r="T12" s="6"/>
      <c r="U12" s="6">
        <v>10.0</v>
      </c>
      <c r="V12" s="10">
        <f t="shared" si="8"/>
        <v>131072</v>
      </c>
      <c r="W12" s="6">
        <v>3200.0</v>
      </c>
      <c r="X12" s="18">
        <f t="shared" si="9"/>
        <v>2457600</v>
      </c>
    </row>
    <row r="13">
      <c r="A13" s="121" t="s">
        <v>632</v>
      </c>
      <c r="B13" s="6">
        <v>1.0</v>
      </c>
      <c r="C13" s="49">
        <f t="shared" si="1"/>
        <v>6</v>
      </c>
      <c r="D13" s="122" t="s">
        <v>564</v>
      </c>
      <c r="E13" s="50">
        <v>1.535738134E9</v>
      </c>
      <c r="F13" s="6">
        <v>1.0</v>
      </c>
      <c r="G13" s="6">
        <v>1.0</v>
      </c>
      <c r="H13" s="10">
        <f t="shared" si="2"/>
        <v>6</v>
      </c>
      <c r="M13" s="6">
        <v>16.0</v>
      </c>
      <c r="N13" s="6">
        <v>8.0</v>
      </c>
      <c r="O13" s="6">
        <v>16.0</v>
      </c>
      <c r="P13" s="6">
        <v>131072.0</v>
      </c>
      <c r="Q13" s="6" t="s">
        <v>564</v>
      </c>
      <c r="R13" s="6" t="s">
        <v>564</v>
      </c>
      <c r="S13" s="6"/>
      <c r="T13" s="6"/>
      <c r="U13" s="6">
        <v>10.0</v>
      </c>
      <c r="V13" s="10">
        <f t="shared" si="8"/>
        <v>131072</v>
      </c>
      <c r="W13" s="6">
        <v>3200.0</v>
      </c>
      <c r="X13" s="18">
        <f t="shared" si="9"/>
        <v>2457600</v>
      </c>
    </row>
    <row r="14">
      <c r="A14" s="20"/>
      <c r="X14" s="18">
        <f>SUM(X3:X13)</f>
        <v>12390695.04</v>
      </c>
      <c r="Y14" s="73">
        <f>Y4/X14</f>
        <v>16.25932081</v>
      </c>
    </row>
    <row r="15">
      <c r="A15" s="20"/>
    </row>
    <row r="16">
      <c r="A16" s="19" t="s">
        <v>134</v>
      </c>
    </row>
    <row r="17">
      <c r="A17" s="20"/>
      <c r="B17" s="32" t="s">
        <v>106</v>
      </c>
      <c r="C17" s="33"/>
      <c r="D17" s="33"/>
      <c r="E17" s="33"/>
      <c r="F17" s="33"/>
      <c r="G17" s="33"/>
      <c r="H17" s="34"/>
      <c r="I17" s="35"/>
      <c r="J17" s="34"/>
      <c r="K17" s="36"/>
      <c r="L17" s="36"/>
      <c r="M17" s="37" t="s">
        <v>107</v>
      </c>
      <c r="N17" s="33"/>
      <c r="O17" s="33"/>
      <c r="P17" s="34"/>
      <c r="Q17" s="38" t="s">
        <v>108</v>
      </c>
      <c r="R17" s="34"/>
      <c r="S17" s="125"/>
      <c r="T17" s="125"/>
      <c r="U17" s="39" t="s">
        <v>109</v>
      </c>
      <c r="V17" s="33"/>
      <c r="W17" s="34"/>
    </row>
    <row r="18">
      <c r="A18" s="40"/>
      <c r="B18" s="41" t="s">
        <v>110</v>
      </c>
      <c r="C18" s="42" t="s">
        <v>111</v>
      </c>
      <c r="D18" s="43" t="s">
        <v>112</v>
      </c>
      <c r="E18" s="44" t="s">
        <v>113</v>
      </c>
      <c r="F18" s="41" t="s">
        <v>114</v>
      </c>
      <c r="G18" s="41" t="s">
        <v>115</v>
      </c>
      <c r="H18" s="45" t="s">
        <v>116</v>
      </c>
      <c r="I18" s="43" t="s">
        <v>117</v>
      </c>
      <c r="J18" s="43" t="s">
        <v>118</v>
      </c>
      <c r="K18" s="43" t="s">
        <v>119</v>
      </c>
      <c r="L18" s="43" t="s">
        <v>120</v>
      </c>
      <c r="M18" s="44" t="s">
        <v>121</v>
      </c>
      <c r="N18" s="44" t="s">
        <v>122</v>
      </c>
      <c r="O18" s="44" t="s">
        <v>123</v>
      </c>
      <c r="P18" s="44" t="s">
        <v>124</v>
      </c>
      <c r="Q18" s="43" t="s">
        <v>125</v>
      </c>
      <c r="R18" s="43" t="s">
        <v>126</v>
      </c>
      <c r="S18" s="43"/>
      <c r="T18" s="43"/>
      <c r="U18" s="43" t="s">
        <v>127</v>
      </c>
      <c r="V18" s="43" t="s">
        <v>128</v>
      </c>
      <c r="W18" s="43" t="s">
        <v>129</v>
      </c>
      <c r="X18" s="3" t="s">
        <v>130</v>
      </c>
      <c r="Y18" s="3" t="s">
        <v>131</v>
      </c>
    </row>
    <row r="19">
      <c r="A19" s="48" t="s">
        <v>623</v>
      </c>
      <c r="B19" s="6">
        <v>1.0</v>
      </c>
      <c r="C19" s="49">
        <f t="shared" ref="C19:C20" si="10">(F19/G19)*B19*H19</f>
        <v>3</v>
      </c>
      <c r="D19" s="6">
        <v>8.0</v>
      </c>
      <c r="E19" s="50">
        <v>1.535738134E9</v>
      </c>
      <c r="F19" s="6">
        <v>1.0</v>
      </c>
      <c r="G19" s="6">
        <v>1.0</v>
      </c>
      <c r="H19" s="10">
        <f t="shared" ref="H19:H20" si="11">ROUNDUP(E19/(M19*N19*O19*P19))</f>
        <v>3</v>
      </c>
      <c r="I19" s="6">
        <v>1.0</v>
      </c>
      <c r="J19" s="6">
        <v>1.0</v>
      </c>
      <c r="K19" s="6"/>
      <c r="L19" s="6"/>
      <c r="M19" s="6">
        <v>16.0</v>
      </c>
      <c r="N19" s="6">
        <v>8.0</v>
      </c>
      <c r="O19" s="6">
        <v>32.0</v>
      </c>
      <c r="P19" s="6">
        <v>131072.0</v>
      </c>
      <c r="Q19" s="10">
        <v>27.72</v>
      </c>
      <c r="R19" s="10">
        <v>28.98</v>
      </c>
      <c r="X19" s="18">
        <f t="shared" ref="X19:X20" si="12">C19*D19*I19*Q19+C19*D19*J19*R19</f>
        <v>1360.8</v>
      </c>
      <c r="Y19" s="50">
        <v>1.2192E8</v>
      </c>
    </row>
    <row r="20">
      <c r="A20" s="48" t="s">
        <v>624</v>
      </c>
      <c r="B20" s="6">
        <v>1.0</v>
      </c>
      <c r="C20" s="49">
        <f t="shared" si="10"/>
        <v>3</v>
      </c>
      <c r="D20" s="6">
        <v>8.0</v>
      </c>
      <c r="E20" s="50">
        <v>1.535738134E9</v>
      </c>
      <c r="F20" s="6">
        <v>1.0</v>
      </c>
      <c r="G20" s="6">
        <v>1.0</v>
      </c>
      <c r="H20" s="10">
        <f t="shared" si="11"/>
        <v>3</v>
      </c>
      <c r="I20" s="6">
        <v>1.0</v>
      </c>
      <c r="J20" s="6">
        <v>1.0</v>
      </c>
      <c r="K20" s="6"/>
      <c r="L20" s="6"/>
      <c r="M20" s="6">
        <v>16.0</v>
      </c>
      <c r="N20" s="6">
        <v>8.0</v>
      </c>
      <c r="O20" s="6">
        <v>32.0</v>
      </c>
      <c r="P20" s="6">
        <v>131072.0</v>
      </c>
      <c r="Q20" s="10">
        <v>27.72</v>
      </c>
      <c r="R20" s="10">
        <v>28.98</v>
      </c>
      <c r="X20" s="18">
        <f t="shared" si="12"/>
        <v>1360.8</v>
      </c>
    </row>
    <row r="21">
      <c r="A21" s="48"/>
      <c r="B21" s="6"/>
      <c r="C21" s="49"/>
      <c r="D21" s="6"/>
      <c r="E21" s="50"/>
      <c r="F21" s="6"/>
      <c r="G21" s="6"/>
      <c r="I21" s="56" t="s">
        <v>142</v>
      </c>
      <c r="J21" s="56" t="s">
        <v>143</v>
      </c>
      <c r="L21" s="6"/>
      <c r="P21" s="6"/>
      <c r="X21" s="18"/>
    </row>
    <row r="22">
      <c r="A22" s="48" t="s">
        <v>633</v>
      </c>
      <c r="B22" s="6">
        <v>1.0</v>
      </c>
      <c r="C22" s="49">
        <f t="shared" ref="C22:C29" si="13">(F22/G22)*B22*H22</f>
        <v>3</v>
      </c>
      <c r="D22" s="6">
        <v>8.0</v>
      </c>
      <c r="E22" s="50">
        <v>1.535738134E9</v>
      </c>
      <c r="F22" s="6">
        <v>1.0</v>
      </c>
      <c r="G22" s="6">
        <v>1.0</v>
      </c>
      <c r="H22" s="10">
        <f t="shared" ref="H22:H29" si="14">ROUNDUP(E22/(M22*N22*O22*P22))</f>
        <v>3</v>
      </c>
      <c r="I22" s="10">
        <f t="shared" ref="I22:I24" si="15">(11*D22*D22-5*D22-1)/D22</f>
        <v>82.875</v>
      </c>
      <c r="J22" s="6">
        <v>53.14</v>
      </c>
      <c r="M22" s="6">
        <v>16.0</v>
      </c>
      <c r="N22" s="6">
        <v>8.0</v>
      </c>
      <c r="O22" s="6">
        <v>32.0</v>
      </c>
      <c r="P22" s="6">
        <v>131072.0</v>
      </c>
      <c r="Q22" s="10">
        <v>27.72</v>
      </c>
      <c r="R22" s="10">
        <v>28.98</v>
      </c>
      <c r="X22" s="18">
        <f t="shared" ref="X22:X24" si="16">H22*D22*I22*J22</f>
        <v>105695.46</v>
      </c>
    </row>
    <row r="23">
      <c r="A23" s="48" t="s">
        <v>634</v>
      </c>
      <c r="B23" s="6">
        <v>1.0</v>
      </c>
      <c r="C23" s="49">
        <f t="shared" si="13"/>
        <v>3</v>
      </c>
      <c r="D23" s="6">
        <v>8.0</v>
      </c>
      <c r="E23" s="50">
        <v>1.535738134E9</v>
      </c>
      <c r="F23" s="6">
        <v>1.0</v>
      </c>
      <c r="G23" s="6">
        <v>1.0</v>
      </c>
      <c r="H23" s="10">
        <f t="shared" si="14"/>
        <v>3</v>
      </c>
      <c r="I23" s="10">
        <f t="shared" si="15"/>
        <v>82.875</v>
      </c>
      <c r="J23" s="6">
        <v>53.14</v>
      </c>
      <c r="M23" s="6">
        <v>16.0</v>
      </c>
      <c r="N23" s="6">
        <v>8.0</v>
      </c>
      <c r="O23" s="6">
        <v>32.0</v>
      </c>
      <c r="P23" s="6">
        <v>131072.0</v>
      </c>
      <c r="Q23" s="10">
        <v>27.72</v>
      </c>
      <c r="R23" s="10">
        <v>28.98</v>
      </c>
      <c r="X23" s="18">
        <f t="shared" si="16"/>
        <v>105695.46</v>
      </c>
    </row>
    <row r="24">
      <c r="A24" s="48" t="s">
        <v>635</v>
      </c>
      <c r="B24" s="6">
        <v>1.0</v>
      </c>
      <c r="C24" s="49">
        <f t="shared" si="13"/>
        <v>3</v>
      </c>
      <c r="D24" s="6">
        <v>8.0</v>
      </c>
      <c r="E24" s="50">
        <v>1.535738134E9</v>
      </c>
      <c r="F24" s="6">
        <v>1.0</v>
      </c>
      <c r="G24" s="6">
        <v>1.0</v>
      </c>
      <c r="H24" s="10">
        <f t="shared" si="14"/>
        <v>3</v>
      </c>
      <c r="I24" s="10">
        <f t="shared" si="15"/>
        <v>82.875</v>
      </c>
      <c r="J24" s="6">
        <v>53.14</v>
      </c>
      <c r="M24" s="6">
        <v>16.0</v>
      </c>
      <c r="N24" s="6">
        <v>8.0</v>
      </c>
      <c r="O24" s="6">
        <v>32.0</v>
      </c>
      <c r="P24" s="6">
        <v>131072.0</v>
      </c>
      <c r="Q24" s="10">
        <v>27.72</v>
      </c>
      <c r="R24" s="10">
        <v>28.98</v>
      </c>
      <c r="X24" s="18">
        <f t="shared" si="16"/>
        <v>105695.46</v>
      </c>
    </row>
    <row r="25">
      <c r="A25" s="121" t="s">
        <v>628</v>
      </c>
      <c r="B25" s="6">
        <v>1.0</v>
      </c>
      <c r="C25" s="49">
        <f t="shared" si="13"/>
        <v>3</v>
      </c>
      <c r="D25" s="122" t="s">
        <v>564</v>
      </c>
      <c r="E25" s="50">
        <v>1.535738134E9</v>
      </c>
      <c r="F25" s="6">
        <v>1.0</v>
      </c>
      <c r="G25" s="6">
        <v>1.0</v>
      </c>
      <c r="H25" s="10">
        <f t="shared" si="14"/>
        <v>3</v>
      </c>
      <c r="M25" s="6">
        <v>16.0</v>
      </c>
      <c r="N25" s="6">
        <v>8.0</v>
      </c>
      <c r="O25" s="6">
        <v>32.0</v>
      </c>
      <c r="P25" s="6">
        <v>131072.0</v>
      </c>
      <c r="Q25" s="6" t="s">
        <v>564</v>
      </c>
      <c r="R25" s="6" t="s">
        <v>564</v>
      </c>
      <c r="S25" s="6"/>
      <c r="T25" s="6"/>
      <c r="U25" s="6">
        <v>10.0</v>
      </c>
      <c r="V25" s="10">
        <f t="shared" ref="V25:V29" si="17">P25</f>
        <v>131072</v>
      </c>
      <c r="W25" s="6">
        <v>3200.0</v>
      </c>
      <c r="X25" s="18">
        <f t="shared" ref="X25:X29" si="18">H25*U25*MIN(V25,E25)/(W25*10^6)*10^9</f>
        <v>1228800</v>
      </c>
    </row>
    <row r="26">
      <c r="A26" s="121" t="s">
        <v>629</v>
      </c>
      <c r="B26" s="6">
        <v>1.0</v>
      </c>
      <c r="C26" s="49">
        <f t="shared" si="13"/>
        <v>3</v>
      </c>
      <c r="D26" s="122" t="s">
        <v>564</v>
      </c>
      <c r="E26" s="50">
        <v>1.535738134E9</v>
      </c>
      <c r="F26" s="6">
        <v>1.0</v>
      </c>
      <c r="G26" s="6">
        <v>1.0</v>
      </c>
      <c r="H26" s="10">
        <f t="shared" si="14"/>
        <v>3</v>
      </c>
      <c r="M26" s="6">
        <v>16.0</v>
      </c>
      <c r="N26" s="6">
        <v>8.0</v>
      </c>
      <c r="O26" s="6">
        <v>32.0</v>
      </c>
      <c r="P26" s="6">
        <v>131072.0</v>
      </c>
      <c r="Q26" s="6" t="s">
        <v>564</v>
      </c>
      <c r="R26" s="6" t="s">
        <v>564</v>
      </c>
      <c r="S26" s="6"/>
      <c r="T26" s="6"/>
      <c r="U26" s="6">
        <v>10.0</v>
      </c>
      <c r="V26" s="10">
        <f t="shared" si="17"/>
        <v>131072</v>
      </c>
      <c r="W26" s="6">
        <v>3200.0</v>
      </c>
      <c r="X26" s="18">
        <f t="shared" si="18"/>
        <v>1228800</v>
      </c>
    </row>
    <row r="27">
      <c r="A27" s="121" t="s">
        <v>630</v>
      </c>
      <c r="B27" s="6">
        <v>1.0</v>
      </c>
      <c r="C27" s="49">
        <f t="shared" si="13"/>
        <v>3</v>
      </c>
      <c r="D27" s="122" t="s">
        <v>564</v>
      </c>
      <c r="E27" s="50">
        <v>1.535738134E9</v>
      </c>
      <c r="F27" s="6">
        <v>1.0</v>
      </c>
      <c r="G27" s="6">
        <v>1.0</v>
      </c>
      <c r="H27" s="10">
        <f t="shared" si="14"/>
        <v>3</v>
      </c>
      <c r="M27" s="6">
        <v>16.0</v>
      </c>
      <c r="N27" s="6">
        <v>8.0</v>
      </c>
      <c r="O27" s="6">
        <v>32.0</v>
      </c>
      <c r="P27" s="6">
        <v>131072.0</v>
      </c>
      <c r="Q27" s="6" t="s">
        <v>564</v>
      </c>
      <c r="R27" s="6" t="s">
        <v>564</v>
      </c>
      <c r="S27" s="6"/>
      <c r="T27" s="6"/>
      <c r="U27" s="6">
        <v>10.0</v>
      </c>
      <c r="V27" s="10">
        <f t="shared" si="17"/>
        <v>131072</v>
      </c>
      <c r="W27" s="6">
        <v>3200.0</v>
      </c>
      <c r="X27" s="18">
        <f t="shared" si="18"/>
        <v>1228800</v>
      </c>
    </row>
    <row r="28">
      <c r="A28" s="121" t="s">
        <v>631</v>
      </c>
      <c r="B28" s="6">
        <v>1.0</v>
      </c>
      <c r="C28" s="49">
        <f t="shared" si="13"/>
        <v>3</v>
      </c>
      <c r="D28" s="122" t="s">
        <v>564</v>
      </c>
      <c r="E28" s="50">
        <v>1.535738134E9</v>
      </c>
      <c r="F28" s="6">
        <v>1.0</v>
      </c>
      <c r="G28" s="6">
        <v>1.0</v>
      </c>
      <c r="H28" s="10">
        <f t="shared" si="14"/>
        <v>3</v>
      </c>
      <c r="M28" s="6">
        <v>16.0</v>
      </c>
      <c r="N28" s="6">
        <v>8.0</v>
      </c>
      <c r="O28" s="6">
        <v>32.0</v>
      </c>
      <c r="P28" s="6">
        <v>131072.0</v>
      </c>
      <c r="Q28" s="6" t="s">
        <v>564</v>
      </c>
      <c r="R28" s="6" t="s">
        <v>564</v>
      </c>
      <c r="S28" s="6"/>
      <c r="T28" s="6"/>
      <c r="U28" s="6">
        <v>10.0</v>
      </c>
      <c r="V28" s="10">
        <f t="shared" si="17"/>
        <v>131072</v>
      </c>
      <c r="W28" s="6">
        <v>3200.0</v>
      </c>
      <c r="X28" s="18">
        <f t="shared" si="18"/>
        <v>1228800</v>
      </c>
    </row>
    <row r="29">
      <c r="A29" s="121" t="s">
        <v>632</v>
      </c>
      <c r="B29" s="6">
        <v>1.0</v>
      </c>
      <c r="C29" s="49">
        <f t="shared" si="13"/>
        <v>3</v>
      </c>
      <c r="D29" s="122" t="s">
        <v>564</v>
      </c>
      <c r="E29" s="50">
        <v>1.535738134E9</v>
      </c>
      <c r="F29" s="6">
        <v>1.0</v>
      </c>
      <c r="G29" s="6">
        <v>1.0</v>
      </c>
      <c r="H29" s="10">
        <f t="shared" si="14"/>
        <v>3</v>
      </c>
      <c r="M29" s="6">
        <v>16.0</v>
      </c>
      <c r="N29" s="6">
        <v>8.0</v>
      </c>
      <c r="O29" s="6">
        <v>32.0</v>
      </c>
      <c r="P29" s="6">
        <v>131072.0</v>
      </c>
      <c r="Q29" s="6" t="s">
        <v>564</v>
      </c>
      <c r="R29" s="6" t="s">
        <v>564</v>
      </c>
      <c r="S29" s="6"/>
      <c r="T29" s="6"/>
      <c r="U29" s="6">
        <v>10.0</v>
      </c>
      <c r="V29" s="10">
        <f t="shared" si="17"/>
        <v>131072</v>
      </c>
      <c r="W29" s="6">
        <v>3200.0</v>
      </c>
      <c r="X29" s="18">
        <f t="shared" si="18"/>
        <v>1228800</v>
      </c>
    </row>
    <row r="30">
      <c r="A30" s="20"/>
      <c r="X30" s="18">
        <f>sum(X19:X29)</f>
        <v>6463807.98</v>
      </c>
    </row>
    <row r="31">
      <c r="A31" s="19" t="s">
        <v>368</v>
      </c>
    </row>
    <row r="32">
      <c r="A32" s="20"/>
      <c r="B32" s="32" t="s">
        <v>106</v>
      </c>
      <c r="C32" s="33"/>
      <c r="D32" s="33"/>
      <c r="E32" s="33"/>
      <c r="F32" s="33"/>
      <c r="G32" s="33"/>
      <c r="H32" s="34"/>
      <c r="I32" s="35"/>
      <c r="J32" s="34"/>
      <c r="K32" s="36"/>
      <c r="L32" s="36"/>
      <c r="M32" s="37" t="s">
        <v>107</v>
      </c>
      <c r="N32" s="33"/>
      <c r="O32" s="33"/>
      <c r="P32" s="34"/>
      <c r="Q32" s="38" t="s">
        <v>108</v>
      </c>
      <c r="R32" s="34"/>
      <c r="S32" s="125"/>
      <c r="T32" s="125"/>
      <c r="U32" s="39" t="s">
        <v>109</v>
      </c>
      <c r="V32" s="33"/>
      <c r="W32" s="34"/>
    </row>
    <row r="33">
      <c r="A33" s="40"/>
      <c r="B33" s="41" t="s">
        <v>110</v>
      </c>
      <c r="C33" s="42" t="s">
        <v>111</v>
      </c>
      <c r="D33" s="43" t="s">
        <v>112</v>
      </c>
      <c r="E33" s="44" t="s">
        <v>113</v>
      </c>
      <c r="F33" s="41" t="s">
        <v>114</v>
      </c>
      <c r="G33" s="41" t="s">
        <v>115</v>
      </c>
      <c r="H33" s="45" t="s">
        <v>116</v>
      </c>
      <c r="I33" s="43" t="s">
        <v>117</v>
      </c>
      <c r="J33" s="43" t="s">
        <v>118</v>
      </c>
      <c r="K33" s="43" t="s">
        <v>119</v>
      </c>
      <c r="L33" s="43" t="s">
        <v>120</v>
      </c>
      <c r="M33" s="44" t="s">
        <v>121</v>
      </c>
      <c r="N33" s="44" t="s">
        <v>122</v>
      </c>
      <c r="O33" s="44" t="s">
        <v>123</v>
      </c>
      <c r="P33" s="44" t="s">
        <v>124</v>
      </c>
      <c r="Q33" s="43" t="s">
        <v>125</v>
      </c>
      <c r="R33" s="43" t="s">
        <v>126</v>
      </c>
      <c r="S33" s="43"/>
      <c r="T33" s="43"/>
      <c r="U33" s="43" t="s">
        <v>127</v>
      </c>
      <c r="V33" s="43" t="s">
        <v>128</v>
      </c>
      <c r="W33" s="43" t="s">
        <v>129</v>
      </c>
      <c r="X33" s="3" t="s">
        <v>130</v>
      </c>
      <c r="Y33" s="3" t="s">
        <v>131</v>
      </c>
    </row>
    <row r="34">
      <c r="A34" s="48" t="s">
        <v>623</v>
      </c>
      <c r="B34" s="6">
        <v>1.0</v>
      </c>
      <c r="C34" s="49">
        <f t="shared" ref="C34:C43" si="19">(F34/G34)*B34*H34</f>
        <v>46</v>
      </c>
      <c r="D34" s="6">
        <v>8.0</v>
      </c>
      <c r="E34" s="50">
        <v>1.535738134E9</v>
      </c>
      <c r="F34" s="6">
        <v>1.0</v>
      </c>
      <c r="G34" s="6">
        <v>1.0</v>
      </c>
      <c r="H34" s="10">
        <f t="shared" ref="H34:H43" si="20">ROUNDUP(E34/(M34*N34*O34*P34))</f>
        <v>46</v>
      </c>
      <c r="I34" s="6">
        <v>1.0</v>
      </c>
      <c r="J34" s="6">
        <v>1.0</v>
      </c>
      <c r="K34" s="6"/>
      <c r="L34" s="6"/>
      <c r="M34" s="6">
        <v>16.0</v>
      </c>
      <c r="N34" s="6">
        <v>8.0</v>
      </c>
      <c r="O34" s="6">
        <v>2.0</v>
      </c>
      <c r="P34" s="6">
        <v>131072.0</v>
      </c>
      <c r="Q34" s="10">
        <v>27.72</v>
      </c>
      <c r="R34" s="10">
        <v>28.98</v>
      </c>
      <c r="X34" s="18">
        <f t="shared" ref="X34:X35" si="21">C34*D34*I34*Q34+C34*D34*J34*R34</f>
        <v>20865.6</v>
      </c>
      <c r="Y34" s="50">
        <v>2.8205E9</v>
      </c>
      <c r="Z34" s="6">
        <v>2820500.0</v>
      </c>
    </row>
    <row r="35">
      <c r="A35" s="48" t="s">
        <v>624</v>
      </c>
      <c r="B35" s="6">
        <v>1.0</v>
      </c>
      <c r="C35" s="49">
        <f t="shared" si="19"/>
        <v>46</v>
      </c>
      <c r="D35" s="6">
        <v>8.0</v>
      </c>
      <c r="E35" s="50">
        <v>1.535738134E9</v>
      </c>
      <c r="F35" s="6">
        <v>1.0</v>
      </c>
      <c r="G35" s="6">
        <v>1.0</v>
      </c>
      <c r="H35" s="10">
        <f t="shared" si="20"/>
        <v>46</v>
      </c>
      <c r="I35" s="6">
        <v>1.0</v>
      </c>
      <c r="J35" s="6">
        <v>1.0</v>
      </c>
      <c r="K35" s="6"/>
      <c r="L35" s="6"/>
      <c r="M35" s="6">
        <v>16.0</v>
      </c>
      <c r="N35" s="6">
        <v>8.0</v>
      </c>
      <c r="O35" s="6">
        <v>2.0</v>
      </c>
      <c r="P35" s="6">
        <v>131072.0</v>
      </c>
      <c r="Q35" s="10">
        <v>27.72</v>
      </c>
      <c r="R35" s="10">
        <v>28.98</v>
      </c>
      <c r="X35" s="18">
        <f t="shared" si="21"/>
        <v>20865.6</v>
      </c>
    </row>
    <row r="36">
      <c r="A36" s="48" t="s">
        <v>625</v>
      </c>
      <c r="B36" s="6">
        <v>1.0</v>
      </c>
      <c r="C36" s="49">
        <f t="shared" si="19"/>
        <v>46</v>
      </c>
      <c r="D36" s="6">
        <v>8.0</v>
      </c>
      <c r="E36" s="50">
        <v>1.535738134E9</v>
      </c>
      <c r="F36" s="6">
        <v>1.0</v>
      </c>
      <c r="G36" s="6">
        <v>1.0</v>
      </c>
      <c r="H36" s="10">
        <f t="shared" si="20"/>
        <v>46</v>
      </c>
      <c r="I36" s="10">
        <f t="shared" ref="I36:I38" si="22">15.2*D36*D36/D36</f>
        <v>121.6</v>
      </c>
      <c r="J36" s="10">
        <f t="shared" ref="J36:J38" si="23">8.62*D36*D36/D36</f>
        <v>68.96</v>
      </c>
      <c r="K36" s="10">
        <f t="shared" ref="K36:K38" si="24">17.1*D36*D36/D36</f>
        <v>136.8</v>
      </c>
      <c r="L36" s="6">
        <v>2.52</v>
      </c>
      <c r="M36" s="6">
        <v>16.0</v>
      </c>
      <c r="N36" s="6">
        <v>8.0</v>
      </c>
      <c r="O36" s="6">
        <v>2.0</v>
      </c>
      <c r="P36" s="6">
        <v>131072.0</v>
      </c>
      <c r="Q36" s="10">
        <v>27.72</v>
      </c>
      <c r="R36" s="10">
        <v>28.98</v>
      </c>
      <c r="X36" s="18">
        <f t="shared" ref="X36:X38" si="25">H36*D36*I36*Q36+H36*D36*J36*R36</f>
        <v>1975870.31</v>
      </c>
    </row>
    <row r="37">
      <c r="A37" s="48" t="s">
        <v>626</v>
      </c>
      <c r="B37" s="6">
        <v>1.0</v>
      </c>
      <c r="C37" s="49">
        <f t="shared" si="19"/>
        <v>46</v>
      </c>
      <c r="D37" s="6">
        <v>8.0</v>
      </c>
      <c r="E37" s="50">
        <v>1.535738134E9</v>
      </c>
      <c r="F37" s="6">
        <v>1.0</v>
      </c>
      <c r="G37" s="6">
        <v>1.0</v>
      </c>
      <c r="H37" s="10">
        <f t="shared" si="20"/>
        <v>46</v>
      </c>
      <c r="I37" s="10">
        <f t="shared" si="22"/>
        <v>121.6</v>
      </c>
      <c r="J37" s="10">
        <f t="shared" si="23"/>
        <v>68.96</v>
      </c>
      <c r="K37" s="10">
        <f t="shared" si="24"/>
        <v>136.8</v>
      </c>
      <c r="L37" s="6">
        <v>2.52</v>
      </c>
      <c r="M37" s="6">
        <v>16.0</v>
      </c>
      <c r="N37" s="6">
        <v>8.0</v>
      </c>
      <c r="O37" s="6">
        <v>2.0</v>
      </c>
      <c r="P37" s="6">
        <v>131072.0</v>
      </c>
      <c r="Q37" s="10">
        <v>27.72</v>
      </c>
      <c r="R37" s="10">
        <v>28.98</v>
      </c>
      <c r="X37" s="18">
        <f t="shared" si="25"/>
        <v>1975870.31</v>
      </c>
    </row>
    <row r="38">
      <c r="A38" s="48" t="s">
        <v>627</v>
      </c>
      <c r="B38" s="6">
        <v>1.0</v>
      </c>
      <c r="C38" s="49">
        <f t="shared" si="19"/>
        <v>46</v>
      </c>
      <c r="D38" s="6">
        <v>8.0</v>
      </c>
      <c r="E38" s="50">
        <v>1.535738134E9</v>
      </c>
      <c r="F38" s="6">
        <v>1.0</v>
      </c>
      <c r="G38" s="6">
        <v>1.0</v>
      </c>
      <c r="H38" s="10">
        <f t="shared" si="20"/>
        <v>46</v>
      </c>
      <c r="I38" s="10">
        <f t="shared" si="22"/>
        <v>121.6</v>
      </c>
      <c r="J38" s="10">
        <f t="shared" si="23"/>
        <v>68.96</v>
      </c>
      <c r="K38" s="10">
        <f t="shared" si="24"/>
        <v>136.8</v>
      </c>
      <c r="L38" s="6">
        <v>2.52</v>
      </c>
      <c r="M38" s="6">
        <v>16.0</v>
      </c>
      <c r="N38" s="6">
        <v>8.0</v>
      </c>
      <c r="O38" s="6">
        <v>2.0</v>
      </c>
      <c r="P38" s="6">
        <v>131072.0</v>
      </c>
      <c r="Q38" s="10">
        <v>27.72</v>
      </c>
      <c r="R38" s="10">
        <v>28.98</v>
      </c>
      <c r="X38" s="18">
        <f t="shared" si="25"/>
        <v>1975870.31</v>
      </c>
    </row>
    <row r="39">
      <c r="A39" s="121" t="s">
        <v>628</v>
      </c>
      <c r="B39" s="6">
        <v>1.0</v>
      </c>
      <c r="C39" s="49">
        <f t="shared" si="19"/>
        <v>46</v>
      </c>
      <c r="D39" s="122" t="s">
        <v>564</v>
      </c>
      <c r="E39" s="50">
        <v>1.535738134E9</v>
      </c>
      <c r="F39" s="6">
        <v>1.0</v>
      </c>
      <c r="G39" s="6">
        <v>1.0</v>
      </c>
      <c r="H39" s="10">
        <f t="shared" si="20"/>
        <v>46</v>
      </c>
      <c r="M39" s="6">
        <v>16.0</v>
      </c>
      <c r="N39" s="6">
        <v>8.0</v>
      </c>
      <c r="O39" s="6">
        <v>2.0</v>
      </c>
      <c r="P39" s="6">
        <v>131072.0</v>
      </c>
      <c r="Q39" s="6" t="s">
        <v>564</v>
      </c>
      <c r="R39" s="6" t="s">
        <v>564</v>
      </c>
      <c r="S39" s="6"/>
      <c r="T39" s="6"/>
      <c r="U39" s="6">
        <v>10.0</v>
      </c>
      <c r="V39" s="10">
        <f t="shared" ref="V39:V43" si="26">P39</f>
        <v>131072</v>
      </c>
      <c r="W39" s="6">
        <v>3200.0</v>
      </c>
      <c r="X39" s="18">
        <f t="shared" ref="X39:X43" si="27">H39*U39*MIN(V39,E39)/(W39*10^6)*10^9</f>
        <v>18841600</v>
      </c>
    </row>
    <row r="40">
      <c r="A40" s="121" t="s">
        <v>629</v>
      </c>
      <c r="B40" s="6">
        <v>1.0</v>
      </c>
      <c r="C40" s="49">
        <f t="shared" si="19"/>
        <v>46</v>
      </c>
      <c r="D40" s="122" t="s">
        <v>564</v>
      </c>
      <c r="E40" s="50">
        <v>1.535738134E9</v>
      </c>
      <c r="F40" s="6">
        <v>1.0</v>
      </c>
      <c r="G40" s="6">
        <v>1.0</v>
      </c>
      <c r="H40" s="10">
        <f t="shared" si="20"/>
        <v>46</v>
      </c>
      <c r="M40" s="6">
        <v>16.0</v>
      </c>
      <c r="N40" s="6">
        <v>8.0</v>
      </c>
      <c r="O40" s="6">
        <v>2.0</v>
      </c>
      <c r="P40" s="6">
        <v>131072.0</v>
      </c>
      <c r="Q40" s="6" t="s">
        <v>564</v>
      </c>
      <c r="R40" s="6" t="s">
        <v>564</v>
      </c>
      <c r="S40" s="6"/>
      <c r="T40" s="6"/>
      <c r="U40" s="6">
        <v>10.0</v>
      </c>
      <c r="V40" s="10">
        <f t="shared" si="26"/>
        <v>131072</v>
      </c>
      <c r="W40" s="6">
        <v>3200.0</v>
      </c>
      <c r="X40" s="18">
        <f t="shared" si="27"/>
        <v>18841600</v>
      </c>
    </row>
    <row r="41">
      <c r="A41" s="121" t="s">
        <v>630</v>
      </c>
      <c r="B41" s="6">
        <v>1.0</v>
      </c>
      <c r="C41" s="49">
        <f t="shared" si="19"/>
        <v>46</v>
      </c>
      <c r="D41" s="122" t="s">
        <v>564</v>
      </c>
      <c r="E41" s="50">
        <v>1.535738134E9</v>
      </c>
      <c r="F41" s="6">
        <v>1.0</v>
      </c>
      <c r="G41" s="6">
        <v>1.0</v>
      </c>
      <c r="H41" s="10">
        <f t="shared" si="20"/>
        <v>46</v>
      </c>
      <c r="M41" s="6">
        <v>16.0</v>
      </c>
      <c r="N41" s="6">
        <v>8.0</v>
      </c>
      <c r="O41" s="6">
        <v>2.0</v>
      </c>
      <c r="P41" s="6">
        <v>131072.0</v>
      </c>
      <c r="Q41" s="6" t="s">
        <v>564</v>
      </c>
      <c r="R41" s="6" t="s">
        <v>564</v>
      </c>
      <c r="S41" s="6"/>
      <c r="T41" s="6"/>
      <c r="U41" s="6">
        <v>10.0</v>
      </c>
      <c r="V41" s="10">
        <f t="shared" si="26"/>
        <v>131072</v>
      </c>
      <c r="W41" s="6">
        <v>3200.0</v>
      </c>
      <c r="X41" s="18">
        <f t="shared" si="27"/>
        <v>18841600</v>
      </c>
    </row>
    <row r="42">
      <c r="A42" s="121" t="s">
        <v>631</v>
      </c>
      <c r="B42" s="6">
        <v>1.0</v>
      </c>
      <c r="C42" s="49">
        <f t="shared" si="19"/>
        <v>46</v>
      </c>
      <c r="D42" s="122" t="s">
        <v>564</v>
      </c>
      <c r="E42" s="50">
        <v>1.535738134E9</v>
      </c>
      <c r="F42" s="6">
        <v>1.0</v>
      </c>
      <c r="G42" s="6">
        <v>1.0</v>
      </c>
      <c r="H42" s="10">
        <f t="shared" si="20"/>
        <v>46</v>
      </c>
      <c r="M42" s="6">
        <v>16.0</v>
      </c>
      <c r="N42" s="6">
        <v>8.0</v>
      </c>
      <c r="O42" s="6">
        <v>2.0</v>
      </c>
      <c r="P42" s="6">
        <v>131072.0</v>
      </c>
      <c r="Q42" s="6" t="s">
        <v>564</v>
      </c>
      <c r="R42" s="6" t="s">
        <v>564</v>
      </c>
      <c r="S42" s="6"/>
      <c r="T42" s="6"/>
      <c r="U42" s="6">
        <v>10.0</v>
      </c>
      <c r="V42" s="10">
        <f t="shared" si="26"/>
        <v>131072</v>
      </c>
      <c r="W42" s="6">
        <v>3200.0</v>
      </c>
      <c r="X42" s="18">
        <f t="shared" si="27"/>
        <v>18841600</v>
      </c>
    </row>
    <row r="43">
      <c r="A43" s="121" t="s">
        <v>632</v>
      </c>
      <c r="B43" s="6">
        <v>1.0</v>
      </c>
      <c r="C43" s="49">
        <f t="shared" si="19"/>
        <v>46</v>
      </c>
      <c r="D43" s="122" t="s">
        <v>564</v>
      </c>
      <c r="E43" s="50">
        <v>1.535738134E9</v>
      </c>
      <c r="F43" s="6">
        <v>1.0</v>
      </c>
      <c r="G43" s="6">
        <v>1.0</v>
      </c>
      <c r="H43" s="10">
        <f t="shared" si="20"/>
        <v>46</v>
      </c>
      <c r="M43" s="6">
        <v>16.0</v>
      </c>
      <c r="N43" s="6">
        <v>8.0</v>
      </c>
      <c r="O43" s="6">
        <v>2.0</v>
      </c>
      <c r="P43" s="6">
        <v>131072.0</v>
      </c>
      <c r="Q43" s="6" t="s">
        <v>564</v>
      </c>
      <c r="R43" s="6" t="s">
        <v>564</v>
      </c>
      <c r="S43" s="6"/>
      <c r="T43" s="6"/>
      <c r="U43" s="6">
        <v>10.0</v>
      </c>
      <c r="V43" s="10">
        <f t="shared" si="26"/>
        <v>131072</v>
      </c>
      <c r="W43" s="6">
        <v>3200.0</v>
      </c>
      <c r="X43" s="18">
        <f t="shared" si="27"/>
        <v>18841600</v>
      </c>
    </row>
    <row r="44">
      <c r="A44" s="20"/>
      <c r="X44" s="18">
        <f>SUM(X33:X43)</f>
        <v>100177342.1</v>
      </c>
      <c r="Y44" s="73">
        <f>Y34/X44</f>
        <v>28.1550692</v>
      </c>
    </row>
    <row r="45">
      <c r="A45" s="20"/>
    </row>
    <row r="46">
      <c r="A46" s="75" t="s">
        <v>378</v>
      </c>
      <c r="AK46" s="76"/>
      <c r="AL46" s="76"/>
      <c r="AM46" s="76"/>
    </row>
    <row r="47">
      <c r="A47" s="91"/>
      <c r="B47" s="92" t="s">
        <v>106</v>
      </c>
      <c r="C47" s="89"/>
      <c r="D47" s="89"/>
      <c r="E47" s="89"/>
      <c r="F47" s="89"/>
      <c r="G47" s="89"/>
      <c r="H47" s="93"/>
      <c r="I47" s="94"/>
      <c r="J47" s="93"/>
      <c r="K47" s="95"/>
      <c r="L47" s="95"/>
      <c r="M47" s="96" t="s">
        <v>107</v>
      </c>
      <c r="N47" s="89"/>
      <c r="O47" s="89"/>
      <c r="P47" s="93"/>
      <c r="Q47" s="97" t="s">
        <v>108</v>
      </c>
      <c r="R47" s="93"/>
      <c r="S47" s="95"/>
      <c r="T47" s="95"/>
      <c r="U47" s="83" t="s">
        <v>109</v>
      </c>
      <c r="V47" s="89"/>
      <c r="W47" s="93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</row>
    <row r="48">
      <c r="A48" s="76"/>
      <c r="B48" s="99" t="s">
        <v>110</v>
      </c>
      <c r="C48" s="100" t="s">
        <v>111</v>
      </c>
      <c r="D48" s="76" t="s">
        <v>112</v>
      </c>
      <c r="E48" s="101" t="s">
        <v>113</v>
      </c>
      <c r="F48" s="102" t="s">
        <v>114</v>
      </c>
      <c r="G48" s="99" t="s">
        <v>115</v>
      </c>
      <c r="H48" s="103" t="s">
        <v>116</v>
      </c>
      <c r="I48" s="76" t="s">
        <v>117</v>
      </c>
      <c r="J48" s="76" t="s">
        <v>118</v>
      </c>
      <c r="K48" s="76" t="s">
        <v>119</v>
      </c>
      <c r="L48" s="76" t="s">
        <v>120</v>
      </c>
      <c r="M48" s="101" t="s">
        <v>121</v>
      </c>
      <c r="N48" s="101" t="s">
        <v>122</v>
      </c>
      <c r="O48" s="101" t="s">
        <v>123</v>
      </c>
      <c r="P48" s="101" t="s">
        <v>124</v>
      </c>
      <c r="Q48" s="76" t="s">
        <v>125</v>
      </c>
      <c r="R48" s="76" t="s">
        <v>126</v>
      </c>
      <c r="S48" s="76"/>
      <c r="T48" s="76"/>
      <c r="U48" s="76" t="s">
        <v>127</v>
      </c>
      <c r="V48" s="76" t="s">
        <v>128</v>
      </c>
      <c r="W48" s="76" t="s">
        <v>129</v>
      </c>
      <c r="X48" s="126" t="s">
        <v>130</v>
      </c>
      <c r="Y48" s="126" t="s">
        <v>131</v>
      </c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</row>
    <row r="49">
      <c r="A49" s="109" t="s">
        <v>623</v>
      </c>
      <c r="B49" s="107">
        <v>1.0</v>
      </c>
      <c r="C49" s="127">
        <f t="shared" ref="C49:C58" si="28">(F49/G49)*B49*H49</f>
        <v>3</v>
      </c>
      <c r="D49" s="107">
        <v>8.0</v>
      </c>
      <c r="E49" s="108">
        <v>1.535738134E9</v>
      </c>
      <c r="F49" s="107">
        <v>1.0</v>
      </c>
      <c r="G49" s="107">
        <v>1.0</v>
      </c>
      <c r="H49" s="107">
        <f t="shared" ref="H49:H58" si="29">ROUNDUP(E49/(M49*N49*O49*P49))</f>
        <v>3</v>
      </c>
      <c r="I49" s="107">
        <v>1.0</v>
      </c>
      <c r="J49" s="107">
        <v>1.0</v>
      </c>
      <c r="K49" s="76"/>
      <c r="L49" s="76"/>
      <c r="M49" s="107">
        <v>16.0</v>
      </c>
      <c r="N49" s="107">
        <v>8.0</v>
      </c>
      <c r="O49" s="107">
        <v>32.0</v>
      </c>
      <c r="P49" s="107">
        <v>131072.0</v>
      </c>
      <c r="Q49" s="107">
        <v>27.72</v>
      </c>
      <c r="R49" s="107">
        <v>28.98</v>
      </c>
      <c r="S49" s="76"/>
      <c r="T49" s="76"/>
      <c r="U49" s="76"/>
      <c r="V49" s="76"/>
      <c r="W49" s="76"/>
      <c r="X49" s="108">
        <f t="shared" ref="X49:X50" si="30">C49*D49*I49*Q49+C49*D49*J49*R49</f>
        <v>1360.8</v>
      </c>
      <c r="Y49" s="108">
        <v>2.8205E9</v>
      </c>
      <c r="Z49" s="107">
        <v>2820500.0</v>
      </c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</row>
    <row r="50">
      <c r="A50" s="109" t="s">
        <v>624</v>
      </c>
      <c r="B50" s="107">
        <v>1.0</v>
      </c>
      <c r="C50" s="127">
        <f t="shared" si="28"/>
        <v>3</v>
      </c>
      <c r="D50" s="107">
        <v>8.0</v>
      </c>
      <c r="E50" s="108">
        <v>1.535738134E9</v>
      </c>
      <c r="F50" s="107">
        <v>1.0</v>
      </c>
      <c r="G50" s="107">
        <v>1.0</v>
      </c>
      <c r="H50" s="107">
        <f t="shared" si="29"/>
        <v>3</v>
      </c>
      <c r="I50" s="107">
        <v>1.0</v>
      </c>
      <c r="J50" s="107">
        <v>1.0</v>
      </c>
      <c r="K50" s="76"/>
      <c r="L50" s="76"/>
      <c r="M50" s="107">
        <v>16.0</v>
      </c>
      <c r="N50" s="107">
        <v>8.0</v>
      </c>
      <c r="O50" s="107">
        <v>32.0</v>
      </c>
      <c r="P50" s="107">
        <v>131072.0</v>
      </c>
      <c r="Q50" s="107">
        <v>27.72</v>
      </c>
      <c r="R50" s="107">
        <v>28.98</v>
      </c>
      <c r="S50" s="76"/>
      <c r="T50" s="76"/>
      <c r="U50" s="76"/>
      <c r="V50" s="76"/>
      <c r="W50" s="76"/>
      <c r="X50" s="108">
        <f t="shared" si="30"/>
        <v>1360.8</v>
      </c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</row>
    <row r="51">
      <c r="A51" s="109" t="s">
        <v>625</v>
      </c>
      <c r="B51" s="107">
        <v>1.0</v>
      </c>
      <c r="C51" s="127">
        <f t="shared" si="28"/>
        <v>3</v>
      </c>
      <c r="D51" s="107">
        <v>8.0</v>
      </c>
      <c r="E51" s="108">
        <v>1.535738134E9</v>
      </c>
      <c r="F51" s="107">
        <v>1.0</v>
      </c>
      <c r="G51" s="107">
        <v>1.0</v>
      </c>
      <c r="H51" s="107">
        <f t="shared" si="29"/>
        <v>3</v>
      </c>
      <c r="I51" s="107">
        <f t="shared" ref="I51:I53" si="31">7.6*D51*D51/D51</f>
        <v>60.8</v>
      </c>
      <c r="J51" s="107">
        <f t="shared" ref="J51:J53" si="32">4.33*D51*D51/D51</f>
        <v>34.64</v>
      </c>
      <c r="K51" s="107">
        <f t="shared" ref="K51:K53" si="33">16*D51*D51/D51</f>
        <v>128</v>
      </c>
      <c r="L51" s="6">
        <v>2.52</v>
      </c>
      <c r="M51" s="107">
        <v>16.0</v>
      </c>
      <c r="N51" s="107">
        <v>8.0</v>
      </c>
      <c r="O51" s="107">
        <v>32.0</v>
      </c>
      <c r="P51" s="107">
        <v>131072.0</v>
      </c>
      <c r="Q51" s="107">
        <v>27.72</v>
      </c>
      <c r="R51" s="107">
        <v>28.98</v>
      </c>
      <c r="S51" s="76"/>
      <c r="T51" s="76"/>
      <c r="U51" s="76"/>
      <c r="V51" s="76"/>
      <c r="W51" s="76"/>
      <c r="X51" s="108">
        <f t="shared" ref="X51:X53" si="34">H51*D51*I51*Q51+H51*D51*J51*R51</f>
        <v>64541.8368</v>
      </c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</row>
    <row r="52">
      <c r="A52" s="109" t="s">
        <v>626</v>
      </c>
      <c r="B52" s="107">
        <v>1.0</v>
      </c>
      <c r="C52" s="127">
        <f t="shared" si="28"/>
        <v>3</v>
      </c>
      <c r="D52" s="107">
        <v>8.0</v>
      </c>
      <c r="E52" s="108">
        <v>1.535738134E9</v>
      </c>
      <c r="F52" s="107">
        <v>1.0</v>
      </c>
      <c r="G52" s="107">
        <v>1.0</v>
      </c>
      <c r="H52" s="107">
        <f t="shared" si="29"/>
        <v>3</v>
      </c>
      <c r="I52" s="107">
        <f t="shared" si="31"/>
        <v>60.8</v>
      </c>
      <c r="J52" s="107">
        <f t="shared" si="32"/>
        <v>34.64</v>
      </c>
      <c r="K52" s="107">
        <f t="shared" si="33"/>
        <v>128</v>
      </c>
      <c r="L52" s="6">
        <v>2.52</v>
      </c>
      <c r="M52" s="107">
        <v>16.0</v>
      </c>
      <c r="N52" s="107">
        <v>8.0</v>
      </c>
      <c r="O52" s="107">
        <v>32.0</v>
      </c>
      <c r="P52" s="107">
        <v>131072.0</v>
      </c>
      <c r="Q52" s="107">
        <v>27.72</v>
      </c>
      <c r="R52" s="107">
        <v>28.98</v>
      </c>
      <c r="S52" s="76"/>
      <c r="T52" s="76"/>
      <c r="U52" s="76"/>
      <c r="V52" s="76"/>
      <c r="W52" s="76"/>
      <c r="X52" s="108">
        <f t="shared" si="34"/>
        <v>64541.8368</v>
      </c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</row>
    <row r="53">
      <c r="A53" s="109" t="s">
        <v>627</v>
      </c>
      <c r="B53" s="107">
        <v>1.0</v>
      </c>
      <c r="C53" s="127">
        <f t="shared" si="28"/>
        <v>3</v>
      </c>
      <c r="D53" s="107">
        <v>8.0</v>
      </c>
      <c r="E53" s="108">
        <v>1.535738134E9</v>
      </c>
      <c r="F53" s="107">
        <v>1.0</v>
      </c>
      <c r="G53" s="107">
        <v>1.0</v>
      </c>
      <c r="H53" s="107">
        <f t="shared" si="29"/>
        <v>3</v>
      </c>
      <c r="I53" s="107">
        <f t="shared" si="31"/>
        <v>60.8</v>
      </c>
      <c r="J53" s="107">
        <f t="shared" si="32"/>
        <v>34.64</v>
      </c>
      <c r="K53" s="107">
        <f t="shared" si="33"/>
        <v>128</v>
      </c>
      <c r="L53" s="6">
        <v>2.52</v>
      </c>
      <c r="M53" s="107">
        <v>16.0</v>
      </c>
      <c r="N53" s="107">
        <v>8.0</v>
      </c>
      <c r="O53" s="107">
        <v>32.0</v>
      </c>
      <c r="P53" s="107">
        <v>131072.0</v>
      </c>
      <c r="Q53" s="107">
        <v>27.72</v>
      </c>
      <c r="R53" s="107">
        <v>28.98</v>
      </c>
      <c r="S53" s="76"/>
      <c r="T53" s="76"/>
      <c r="U53" s="76"/>
      <c r="V53" s="76"/>
      <c r="W53" s="76"/>
      <c r="X53" s="108">
        <f t="shared" si="34"/>
        <v>64541.8368</v>
      </c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</row>
    <row r="54">
      <c r="A54" s="128" t="s">
        <v>628</v>
      </c>
      <c r="B54" s="107">
        <v>1.0</v>
      </c>
      <c r="C54" s="127">
        <f t="shared" si="28"/>
        <v>3</v>
      </c>
      <c r="D54" s="129" t="s">
        <v>564</v>
      </c>
      <c r="E54" s="108">
        <v>1.535738134E9</v>
      </c>
      <c r="F54" s="107">
        <v>1.0</v>
      </c>
      <c r="G54" s="107">
        <v>1.0</v>
      </c>
      <c r="H54" s="107">
        <f t="shared" si="29"/>
        <v>3</v>
      </c>
      <c r="I54" s="76"/>
      <c r="J54" s="76"/>
      <c r="K54" s="76"/>
      <c r="L54" s="76"/>
      <c r="M54" s="107">
        <v>16.0</v>
      </c>
      <c r="N54" s="107">
        <v>8.0</v>
      </c>
      <c r="O54" s="107">
        <v>32.0</v>
      </c>
      <c r="P54" s="107">
        <v>131072.0</v>
      </c>
      <c r="Q54" s="76" t="s">
        <v>564</v>
      </c>
      <c r="R54" s="76" t="s">
        <v>564</v>
      </c>
      <c r="S54" s="76"/>
      <c r="T54" s="76"/>
      <c r="U54" s="107">
        <v>10.0</v>
      </c>
      <c r="V54" s="107">
        <f t="shared" ref="V54:V58" si="35">P54</f>
        <v>131072</v>
      </c>
      <c r="W54" s="107">
        <v>3200.0</v>
      </c>
      <c r="X54" s="108">
        <f t="shared" ref="X54:X58" si="36">H54*U54*MIN(V54,E54)/(W54*10^6)*10^9</f>
        <v>1228800</v>
      </c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</row>
    <row r="55">
      <c r="A55" s="128" t="s">
        <v>629</v>
      </c>
      <c r="B55" s="107">
        <v>1.0</v>
      </c>
      <c r="C55" s="127">
        <f t="shared" si="28"/>
        <v>3</v>
      </c>
      <c r="D55" s="129" t="s">
        <v>564</v>
      </c>
      <c r="E55" s="108">
        <v>1.535738134E9</v>
      </c>
      <c r="F55" s="107">
        <v>1.0</v>
      </c>
      <c r="G55" s="107">
        <v>1.0</v>
      </c>
      <c r="H55" s="107">
        <f t="shared" si="29"/>
        <v>3</v>
      </c>
      <c r="I55" s="76"/>
      <c r="J55" s="76"/>
      <c r="K55" s="76"/>
      <c r="L55" s="76"/>
      <c r="M55" s="107">
        <v>16.0</v>
      </c>
      <c r="N55" s="107">
        <v>8.0</v>
      </c>
      <c r="O55" s="107">
        <v>32.0</v>
      </c>
      <c r="P55" s="107">
        <v>131072.0</v>
      </c>
      <c r="Q55" s="76" t="s">
        <v>564</v>
      </c>
      <c r="R55" s="76" t="s">
        <v>564</v>
      </c>
      <c r="S55" s="76"/>
      <c r="T55" s="76"/>
      <c r="U55" s="107">
        <v>10.0</v>
      </c>
      <c r="V55" s="107">
        <f t="shared" si="35"/>
        <v>131072</v>
      </c>
      <c r="W55" s="107">
        <v>3200.0</v>
      </c>
      <c r="X55" s="108">
        <f t="shared" si="36"/>
        <v>1228800</v>
      </c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</row>
    <row r="56">
      <c r="A56" s="128" t="s">
        <v>630</v>
      </c>
      <c r="B56" s="107">
        <v>1.0</v>
      </c>
      <c r="C56" s="127">
        <f t="shared" si="28"/>
        <v>3</v>
      </c>
      <c r="D56" s="129" t="s">
        <v>564</v>
      </c>
      <c r="E56" s="108">
        <v>1.535738134E9</v>
      </c>
      <c r="F56" s="107">
        <v>1.0</v>
      </c>
      <c r="G56" s="107">
        <v>1.0</v>
      </c>
      <c r="H56" s="107">
        <f t="shared" si="29"/>
        <v>3</v>
      </c>
      <c r="I56" s="76"/>
      <c r="J56" s="76"/>
      <c r="K56" s="76"/>
      <c r="L56" s="76"/>
      <c r="M56" s="107">
        <v>16.0</v>
      </c>
      <c r="N56" s="107">
        <v>8.0</v>
      </c>
      <c r="O56" s="107">
        <v>32.0</v>
      </c>
      <c r="P56" s="107">
        <v>131072.0</v>
      </c>
      <c r="Q56" s="76" t="s">
        <v>564</v>
      </c>
      <c r="R56" s="76" t="s">
        <v>564</v>
      </c>
      <c r="S56" s="76"/>
      <c r="T56" s="76"/>
      <c r="U56" s="107">
        <v>10.0</v>
      </c>
      <c r="V56" s="107">
        <f t="shared" si="35"/>
        <v>131072</v>
      </c>
      <c r="W56" s="107">
        <v>3200.0</v>
      </c>
      <c r="X56" s="108">
        <f t="shared" si="36"/>
        <v>1228800</v>
      </c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</row>
    <row r="57">
      <c r="A57" s="128" t="s">
        <v>631</v>
      </c>
      <c r="B57" s="107">
        <v>1.0</v>
      </c>
      <c r="C57" s="127">
        <f t="shared" si="28"/>
        <v>3</v>
      </c>
      <c r="D57" s="129" t="s">
        <v>564</v>
      </c>
      <c r="E57" s="108">
        <v>1.535738134E9</v>
      </c>
      <c r="F57" s="107">
        <v>1.0</v>
      </c>
      <c r="G57" s="107">
        <v>1.0</v>
      </c>
      <c r="H57" s="107">
        <f t="shared" si="29"/>
        <v>3</v>
      </c>
      <c r="I57" s="76"/>
      <c r="J57" s="76"/>
      <c r="K57" s="76"/>
      <c r="L57" s="76"/>
      <c r="M57" s="107">
        <v>16.0</v>
      </c>
      <c r="N57" s="107">
        <v>8.0</v>
      </c>
      <c r="O57" s="107">
        <v>32.0</v>
      </c>
      <c r="P57" s="107">
        <v>131072.0</v>
      </c>
      <c r="Q57" s="76" t="s">
        <v>564</v>
      </c>
      <c r="R57" s="76" t="s">
        <v>564</v>
      </c>
      <c r="S57" s="76"/>
      <c r="T57" s="76"/>
      <c r="U57" s="107">
        <v>10.0</v>
      </c>
      <c r="V57" s="107">
        <f t="shared" si="35"/>
        <v>131072</v>
      </c>
      <c r="W57" s="107">
        <v>3200.0</v>
      </c>
      <c r="X57" s="108">
        <f t="shared" si="36"/>
        <v>1228800</v>
      </c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</row>
    <row r="58">
      <c r="A58" s="128" t="s">
        <v>632</v>
      </c>
      <c r="B58" s="107">
        <v>1.0</v>
      </c>
      <c r="C58" s="127">
        <f t="shared" si="28"/>
        <v>3</v>
      </c>
      <c r="D58" s="129" t="s">
        <v>564</v>
      </c>
      <c r="E58" s="108">
        <v>1.535738134E9</v>
      </c>
      <c r="F58" s="107">
        <v>1.0</v>
      </c>
      <c r="G58" s="107">
        <v>1.0</v>
      </c>
      <c r="H58" s="107">
        <f t="shared" si="29"/>
        <v>3</v>
      </c>
      <c r="I58" s="76"/>
      <c r="J58" s="76"/>
      <c r="K58" s="76"/>
      <c r="L58" s="76"/>
      <c r="M58" s="107">
        <v>16.0</v>
      </c>
      <c r="N58" s="107">
        <v>8.0</v>
      </c>
      <c r="O58" s="107">
        <v>32.0</v>
      </c>
      <c r="P58" s="107">
        <v>131072.0</v>
      </c>
      <c r="Q58" s="76" t="s">
        <v>564</v>
      </c>
      <c r="R58" s="76" t="s">
        <v>564</v>
      </c>
      <c r="S58" s="76"/>
      <c r="T58" s="76"/>
      <c r="U58" s="107">
        <v>10.0</v>
      </c>
      <c r="V58" s="107">
        <f t="shared" si="35"/>
        <v>131072</v>
      </c>
      <c r="W58" s="107">
        <v>3200.0</v>
      </c>
      <c r="X58" s="108">
        <f t="shared" si="36"/>
        <v>1228800</v>
      </c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</row>
    <row r="59">
      <c r="A59" s="76"/>
      <c r="B59" s="76"/>
      <c r="C59" s="76"/>
      <c r="D59" s="76"/>
      <c r="E59" s="76"/>
      <c r="F59" s="76"/>
      <c r="G59" s="76"/>
      <c r="H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108">
        <f>SUM(X48:X58)</f>
        <v>6340347.11</v>
      </c>
      <c r="Y59" s="130">
        <f>Y49/X59</f>
        <v>444.8494618</v>
      </c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</row>
    <row r="60">
      <c r="A60" s="75" t="s">
        <v>388</v>
      </c>
      <c r="AK60" s="76"/>
      <c r="AL60" s="76"/>
      <c r="AM60" s="76"/>
    </row>
    <row r="61">
      <c r="A61" s="91"/>
      <c r="B61" s="92" t="s">
        <v>106</v>
      </c>
      <c r="C61" s="89"/>
      <c r="D61" s="89"/>
      <c r="E61" s="89"/>
      <c r="F61" s="89"/>
      <c r="G61" s="89"/>
      <c r="H61" s="93"/>
      <c r="I61" s="94"/>
      <c r="J61" s="93"/>
      <c r="K61" s="95"/>
      <c r="L61" s="95"/>
      <c r="M61" s="96" t="s">
        <v>107</v>
      </c>
      <c r="N61" s="89"/>
      <c r="O61" s="89"/>
      <c r="P61" s="93"/>
      <c r="Q61" s="97" t="s">
        <v>108</v>
      </c>
      <c r="R61" s="93"/>
      <c r="S61" s="95"/>
      <c r="T61" s="95"/>
      <c r="U61" s="83" t="s">
        <v>109</v>
      </c>
      <c r="V61" s="89"/>
      <c r="W61" s="93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</row>
    <row r="62">
      <c r="A62" s="76"/>
      <c r="B62" s="99" t="s">
        <v>110</v>
      </c>
      <c r="C62" s="100" t="s">
        <v>111</v>
      </c>
      <c r="D62" s="76" t="s">
        <v>112</v>
      </c>
      <c r="E62" s="101" t="s">
        <v>113</v>
      </c>
      <c r="F62" s="102" t="s">
        <v>114</v>
      </c>
      <c r="G62" s="99" t="s">
        <v>115</v>
      </c>
      <c r="H62" s="103" t="s">
        <v>116</v>
      </c>
      <c r="I62" s="76" t="s">
        <v>117</v>
      </c>
      <c r="J62" s="76" t="s">
        <v>118</v>
      </c>
      <c r="K62" s="76" t="s">
        <v>119</v>
      </c>
      <c r="L62" s="76" t="s">
        <v>120</v>
      </c>
      <c r="M62" s="101" t="s">
        <v>121</v>
      </c>
      <c r="N62" s="101" t="s">
        <v>122</v>
      </c>
      <c r="O62" s="101" t="s">
        <v>123</v>
      </c>
      <c r="P62" s="101" t="s">
        <v>124</v>
      </c>
      <c r="Q62" s="76" t="s">
        <v>125</v>
      </c>
      <c r="R62" s="76" t="s">
        <v>126</v>
      </c>
      <c r="S62" s="76"/>
      <c r="T62" s="76"/>
      <c r="U62" s="76" t="s">
        <v>127</v>
      </c>
      <c r="V62" s="76" t="s">
        <v>128</v>
      </c>
      <c r="W62" s="76" t="s">
        <v>129</v>
      </c>
      <c r="X62" s="126" t="s">
        <v>130</v>
      </c>
      <c r="Y62" s="126" t="s">
        <v>131</v>
      </c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</row>
    <row r="63">
      <c r="A63" s="109" t="s">
        <v>623</v>
      </c>
      <c r="B63" s="107">
        <v>1.0</v>
      </c>
      <c r="C63" s="127">
        <f t="shared" ref="C63:C72" si="37">(F63/G63)*B63*H63</f>
        <v>12</v>
      </c>
      <c r="D63" s="107">
        <v>8.0</v>
      </c>
      <c r="E63" s="108">
        <v>1.535738134E9</v>
      </c>
      <c r="F63" s="107">
        <v>1.0</v>
      </c>
      <c r="G63" s="107">
        <v>1.0</v>
      </c>
      <c r="H63" s="107">
        <f t="shared" ref="H63:H72" si="38">ROUNDUP(E63/(M63*N63*O63*P63))</f>
        <v>12</v>
      </c>
      <c r="I63" s="107">
        <v>1.0</v>
      </c>
      <c r="J63" s="107">
        <v>1.0</v>
      </c>
      <c r="K63" s="76"/>
      <c r="L63" s="76"/>
      <c r="M63" s="107">
        <v>16.0</v>
      </c>
      <c r="N63" s="107">
        <v>8.0</v>
      </c>
      <c r="O63" s="110">
        <v>8.0</v>
      </c>
      <c r="P63" s="107">
        <v>131072.0</v>
      </c>
      <c r="Q63" s="107">
        <v>27.72</v>
      </c>
      <c r="R63" s="107">
        <v>28.98</v>
      </c>
      <c r="S63" s="76"/>
      <c r="T63" s="76"/>
      <c r="U63" s="76"/>
      <c r="V63" s="76"/>
      <c r="W63" s="76"/>
      <c r="X63" s="108">
        <f t="shared" ref="X63:X64" si="39">C63*D63*I63*Q63+C63*D63*J63*R63</f>
        <v>5443.2</v>
      </c>
      <c r="Y63" s="108">
        <v>2.8205E9</v>
      </c>
      <c r="Z63" s="107">
        <v>2820500.0</v>
      </c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</row>
    <row r="64">
      <c r="A64" s="109" t="s">
        <v>624</v>
      </c>
      <c r="B64" s="107">
        <v>1.0</v>
      </c>
      <c r="C64" s="127">
        <f t="shared" si="37"/>
        <v>12</v>
      </c>
      <c r="D64" s="107">
        <v>8.0</v>
      </c>
      <c r="E64" s="108">
        <v>1.535738134E9</v>
      </c>
      <c r="F64" s="107">
        <v>1.0</v>
      </c>
      <c r="G64" s="107">
        <v>1.0</v>
      </c>
      <c r="H64" s="107">
        <f t="shared" si="38"/>
        <v>12</v>
      </c>
      <c r="I64" s="107">
        <v>1.0</v>
      </c>
      <c r="J64" s="107">
        <v>1.0</v>
      </c>
      <c r="K64" s="76"/>
      <c r="L64" s="76"/>
      <c r="M64" s="107">
        <v>16.0</v>
      </c>
      <c r="N64" s="107">
        <v>8.0</v>
      </c>
      <c r="O64" s="110">
        <v>8.0</v>
      </c>
      <c r="P64" s="107">
        <v>131072.0</v>
      </c>
      <c r="Q64" s="107">
        <v>27.72</v>
      </c>
      <c r="R64" s="107">
        <v>28.98</v>
      </c>
      <c r="S64" s="76"/>
      <c r="T64" s="76"/>
      <c r="U64" s="76"/>
      <c r="V64" s="76"/>
      <c r="W64" s="76"/>
      <c r="X64" s="108">
        <f t="shared" si="39"/>
        <v>5443.2</v>
      </c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</row>
    <row r="65">
      <c r="A65" s="109" t="s">
        <v>625</v>
      </c>
      <c r="B65" s="107">
        <v>1.0</v>
      </c>
      <c r="C65" s="127">
        <f t="shared" si="37"/>
        <v>12</v>
      </c>
      <c r="D65" s="107">
        <v>8.0</v>
      </c>
      <c r="E65" s="108">
        <v>1.535738134E9</v>
      </c>
      <c r="F65" s="107">
        <v>1.0</v>
      </c>
      <c r="G65" s="107">
        <v>1.0</v>
      </c>
      <c r="H65" s="107">
        <f t="shared" si="38"/>
        <v>12</v>
      </c>
      <c r="I65" s="107">
        <f t="shared" ref="I65:I67" si="40">5.12*D65*D65/D65</f>
        <v>40.96</v>
      </c>
      <c r="J65" s="107">
        <f t="shared" ref="J65:J67" si="41">2.73*D65*D65/D65</f>
        <v>21.84</v>
      </c>
      <c r="K65" s="107">
        <f t="shared" ref="K65:K67" si="42">5.17*D65*D65/D65</f>
        <v>41.36</v>
      </c>
      <c r="L65" s="6">
        <v>2.52</v>
      </c>
      <c r="M65" s="107">
        <v>16.0</v>
      </c>
      <c r="N65" s="107">
        <v>8.0</v>
      </c>
      <c r="O65" s="110">
        <v>8.0</v>
      </c>
      <c r="P65" s="107">
        <v>131072.0</v>
      </c>
      <c r="Q65" s="107">
        <v>27.72</v>
      </c>
      <c r="R65" s="107">
        <v>28.98</v>
      </c>
      <c r="S65" s="76"/>
      <c r="T65" s="76"/>
      <c r="U65" s="76"/>
      <c r="V65" s="76"/>
      <c r="W65" s="76"/>
      <c r="X65" s="108">
        <f t="shared" ref="X65:X67" si="43">H65*D65*I65*Q65+H65*D65*J65*R65</f>
        <v>169760.1024</v>
      </c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</row>
    <row r="66">
      <c r="A66" s="109" t="s">
        <v>626</v>
      </c>
      <c r="B66" s="107">
        <v>1.0</v>
      </c>
      <c r="C66" s="127">
        <f t="shared" si="37"/>
        <v>12</v>
      </c>
      <c r="D66" s="107">
        <v>8.0</v>
      </c>
      <c r="E66" s="108">
        <v>1.535738134E9</v>
      </c>
      <c r="F66" s="107">
        <v>1.0</v>
      </c>
      <c r="G66" s="107">
        <v>1.0</v>
      </c>
      <c r="H66" s="107">
        <f t="shared" si="38"/>
        <v>12</v>
      </c>
      <c r="I66" s="107">
        <f t="shared" si="40"/>
        <v>40.96</v>
      </c>
      <c r="J66" s="107">
        <f t="shared" si="41"/>
        <v>21.84</v>
      </c>
      <c r="K66" s="107">
        <f t="shared" si="42"/>
        <v>41.36</v>
      </c>
      <c r="L66" s="6">
        <v>2.52</v>
      </c>
      <c r="M66" s="107">
        <v>16.0</v>
      </c>
      <c r="N66" s="107">
        <v>8.0</v>
      </c>
      <c r="O66" s="110">
        <v>8.0</v>
      </c>
      <c r="P66" s="107">
        <v>131072.0</v>
      </c>
      <c r="Q66" s="107">
        <v>27.72</v>
      </c>
      <c r="R66" s="107">
        <v>28.98</v>
      </c>
      <c r="S66" s="76"/>
      <c r="T66" s="76"/>
      <c r="U66" s="76"/>
      <c r="V66" s="76"/>
      <c r="W66" s="76"/>
      <c r="X66" s="108">
        <f t="shared" si="43"/>
        <v>169760.1024</v>
      </c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</row>
    <row r="67">
      <c r="A67" s="109" t="s">
        <v>627</v>
      </c>
      <c r="B67" s="107">
        <v>1.0</v>
      </c>
      <c r="C67" s="127">
        <f t="shared" si="37"/>
        <v>12</v>
      </c>
      <c r="D67" s="107">
        <v>8.0</v>
      </c>
      <c r="E67" s="108">
        <v>1.535738134E9</v>
      </c>
      <c r="F67" s="107">
        <v>1.0</v>
      </c>
      <c r="G67" s="107">
        <v>1.0</v>
      </c>
      <c r="H67" s="107">
        <f t="shared" si="38"/>
        <v>12</v>
      </c>
      <c r="I67" s="107">
        <f t="shared" si="40"/>
        <v>40.96</v>
      </c>
      <c r="J67" s="107">
        <f t="shared" si="41"/>
        <v>21.84</v>
      </c>
      <c r="K67" s="107">
        <f t="shared" si="42"/>
        <v>41.36</v>
      </c>
      <c r="L67" s="6">
        <v>2.52</v>
      </c>
      <c r="M67" s="107">
        <v>16.0</v>
      </c>
      <c r="N67" s="107">
        <v>8.0</v>
      </c>
      <c r="O67" s="110">
        <v>8.0</v>
      </c>
      <c r="P67" s="107">
        <v>131072.0</v>
      </c>
      <c r="Q67" s="107">
        <v>27.72</v>
      </c>
      <c r="R67" s="107">
        <v>28.98</v>
      </c>
      <c r="S67" s="76"/>
      <c r="T67" s="76"/>
      <c r="U67" s="76"/>
      <c r="V67" s="76"/>
      <c r="W67" s="76"/>
      <c r="X67" s="108">
        <f t="shared" si="43"/>
        <v>169760.1024</v>
      </c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</row>
    <row r="68">
      <c r="A68" s="128" t="s">
        <v>628</v>
      </c>
      <c r="B68" s="107">
        <v>1.0</v>
      </c>
      <c r="C68" s="127">
        <f t="shared" si="37"/>
        <v>12</v>
      </c>
      <c r="D68" s="129" t="s">
        <v>564</v>
      </c>
      <c r="E68" s="108">
        <v>1.535738134E9</v>
      </c>
      <c r="F68" s="107">
        <v>1.0</v>
      </c>
      <c r="G68" s="107">
        <v>1.0</v>
      </c>
      <c r="H68" s="107">
        <f t="shared" si="38"/>
        <v>12</v>
      </c>
      <c r="I68" s="76"/>
      <c r="J68" s="76"/>
      <c r="K68" s="76"/>
      <c r="L68" s="76"/>
      <c r="M68" s="107">
        <v>16.0</v>
      </c>
      <c r="N68" s="107">
        <v>8.0</v>
      </c>
      <c r="O68" s="110">
        <v>8.0</v>
      </c>
      <c r="P68" s="107">
        <v>131072.0</v>
      </c>
      <c r="Q68" s="76" t="s">
        <v>564</v>
      </c>
      <c r="R68" s="76" t="s">
        <v>564</v>
      </c>
      <c r="S68" s="76"/>
      <c r="T68" s="76"/>
      <c r="U68" s="107">
        <v>10.0</v>
      </c>
      <c r="V68" s="107">
        <f t="shared" ref="V68:V72" si="44">P68</f>
        <v>131072</v>
      </c>
      <c r="W68" s="107">
        <v>3200.0</v>
      </c>
      <c r="X68" s="108">
        <f t="shared" ref="X68:X72" si="45">H68*U68*MIN(V68,E68)/(W68*10^6)*10^9</f>
        <v>4915200</v>
      </c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</row>
    <row r="69">
      <c r="A69" s="128" t="s">
        <v>629</v>
      </c>
      <c r="B69" s="107">
        <v>1.0</v>
      </c>
      <c r="C69" s="127">
        <f t="shared" si="37"/>
        <v>12</v>
      </c>
      <c r="D69" s="129" t="s">
        <v>564</v>
      </c>
      <c r="E69" s="108">
        <v>1.535738134E9</v>
      </c>
      <c r="F69" s="107">
        <v>1.0</v>
      </c>
      <c r="G69" s="107">
        <v>1.0</v>
      </c>
      <c r="H69" s="107">
        <f t="shared" si="38"/>
        <v>12</v>
      </c>
      <c r="I69" s="76"/>
      <c r="J69" s="76"/>
      <c r="K69" s="76"/>
      <c r="L69" s="76"/>
      <c r="M69" s="107">
        <v>16.0</v>
      </c>
      <c r="N69" s="107">
        <v>8.0</v>
      </c>
      <c r="O69" s="110">
        <v>8.0</v>
      </c>
      <c r="P69" s="107">
        <v>131072.0</v>
      </c>
      <c r="Q69" s="76" t="s">
        <v>564</v>
      </c>
      <c r="R69" s="76" t="s">
        <v>564</v>
      </c>
      <c r="S69" s="76"/>
      <c r="T69" s="76"/>
      <c r="U69" s="107">
        <v>10.0</v>
      </c>
      <c r="V69" s="107">
        <f t="shared" si="44"/>
        <v>131072</v>
      </c>
      <c r="W69" s="107">
        <v>3200.0</v>
      </c>
      <c r="X69" s="108">
        <f t="shared" si="45"/>
        <v>4915200</v>
      </c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</row>
    <row r="70">
      <c r="A70" s="128" t="s">
        <v>630</v>
      </c>
      <c r="B70" s="107">
        <v>1.0</v>
      </c>
      <c r="C70" s="127">
        <f t="shared" si="37"/>
        <v>12</v>
      </c>
      <c r="D70" s="129" t="s">
        <v>564</v>
      </c>
      <c r="E70" s="108">
        <v>1.535738134E9</v>
      </c>
      <c r="F70" s="107">
        <v>1.0</v>
      </c>
      <c r="G70" s="107">
        <v>1.0</v>
      </c>
      <c r="H70" s="107">
        <f t="shared" si="38"/>
        <v>12</v>
      </c>
      <c r="I70" s="76"/>
      <c r="J70" s="76"/>
      <c r="K70" s="76"/>
      <c r="L70" s="76"/>
      <c r="M70" s="107">
        <v>16.0</v>
      </c>
      <c r="N70" s="107">
        <v>8.0</v>
      </c>
      <c r="O70" s="110">
        <v>8.0</v>
      </c>
      <c r="P70" s="107">
        <v>131072.0</v>
      </c>
      <c r="Q70" s="76" t="s">
        <v>564</v>
      </c>
      <c r="R70" s="76" t="s">
        <v>564</v>
      </c>
      <c r="S70" s="76"/>
      <c r="T70" s="76"/>
      <c r="U70" s="107">
        <v>10.0</v>
      </c>
      <c r="V70" s="107">
        <f t="shared" si="44"/>
        <v>131072</v>
      </c>
      <c r="W70" s="107">
        <v>3200.0</v>
      </c>
      <c r="X70" s="108">
        <f t="shared" si="45"/>
        <v>4915200</v>
      </c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</row>
    <row r="71">
      <c r="A71" s="128" t="s">
        <v>631</v>
      </c>
      <c r="B71" s="107">
        <v>1.0</v>
      </c>
      <c r="C71" s="127">
        <f t="shared" si="37"/>
        <v>12</v>
      </c>
      <c r="D71" s="129" t="s">
        <v>564</v>
      </c>
      <c r="E71" s="108">
        <v>1.535738134E9</v>
      </c>
      <c r="F71" s="107">
        <v>1.0</v>
      </c>
      <c r="G71" s="107">
        <v>1.0</v>
      </c>
      <c r="H71" s="107">
        <f t="shared" si="38"/>
        <v>12</v>
      </c>
      <c r="I71" s="76"/>
      <c r="J71" s="76"/>
      <c r="K71" s="76"/>
      <c r="L71" s="76"/>
      <c r="M71" s="107">
        <v>16.0</v>
      </c>
      <c r="N71" s="107">
        <v>8.0</v>
      </c>
      <c r="O71" s="110">
        <v>8.0</v>
      </c>
      <c r="P71" s="107">
        <v>131072.0</v>
      </c>
      <c r="Q71" s="76" t="s">
        <v>564</v>
      </c>
      <c r="R71" s="76" t="s">
        <v>564</v>
      </c>
      <c r="S71" s="76"/>
      <c r="T71" s="76"/>
      <c r="U71" s="107">
        <v>10.0</v>
      </c>
      <c r="V71" s="107">
        <f t="shared" si="44"/>
        <v>131072</v>
      </c>
      <c r="W71" s="107">
        <v>3200.0</v>
      </c>
      <c r="X71" s="108">
        <f t="shared" si="45"/>
        <v>4915200</v>
      </c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</row>
    <row r="72">
      <c r="A72" s="128" t="s">
        <v>632</v>
      </c>
      <c r="B72" s="107">
        <v>1.0</v>
      </c>
      <c r="C72" s="127">
        <f t="shared" si="37"/>
        <v>12</v>
      </c>
      <c r="D72" s="129" t="s">
        <v>564</v>
      </c>
      <c r="E72" s="108">
        <v>1.535738134E9</v>
      </c>
      <c r="F72" s="107">
        <v>1.0</v>
      </c>
      <c r="G72" s="107">
        <v>1.0</v>
      </c>
      <c r="H72" s="107">
        <f t="shared" si="38"/>
        <v>12</v>
      </c>
      <c r="I72" s="76"/>
      <c r="J72" s="76"/>
      <c r="K72" s="76"/>
      <c r="L72" s="76"/>
      <c r="M72" s="107">
        <v>16.0</v>
      </c>
      <c r="N72" s="107">
        <v>8.0</v>
      </c>
      <c r="O72" s="110">
        <v>8.0</v>
      </c>
      <c r="P72" s="107">
        <v>131072.0</v>
      </c>
      <c r="Q72" s="76" t="s">
        <v>564</v>
      </c>
      <c r="R72" s="76" t="s">
        <v>564</v>
      </c>
      <c r="S72" s="76"/>
      <c r="T72" s="76"/>
      <c r="U72" s="107">
        <v>10.0</v>
      </c>
      <c r="V72" s="107">
        <f t="shared" si="44"/>
        <v>131072</v>
      </c>
      <c r="W72" s="107">
        <v>3200.0</v>
      </c>
      <c r="X72" s="108">
        <f t="shared" si="45"/>
        <v>4915200</v>
      </c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</row>
    <row r="73">
      <c r="A73" s="20"/>
      <c r="X73" s="18">
        <f>sum(X63:X72)</f>
        <v>25096166.71</v>
      </c>
    </row>
    <row r="74">
      <c r="A74" s="75" t="s">
        <v>398</v>
      </c>
      <c r="AK74" s="76"/>
      <c r="AL74" s="76"/>
      <c r="AM74" s="76"/>
    </row>
    <row r="75">
      <c r="A75" s="91"/>
      <c r="B75" s="92" t="s">
        <v>106</v>
      </c>
      <c r="C75" s="89"/>
      <c r="D75" s="89"/>
      <c r="E75" s="89"/>
      <c r="F75" s="89"/>
      <c r="G75" s="89"/>
      <c r="H75" s="93"/>
      <c r="I75" s="94"/>
      <c r="J75" s="93"/>
      <c r="K75" s="95"/>
      <c r="L75" s="95"/>
      <c r="M75" s="96" t="s">
        <v>107</v>
      </c>
      <c r="N75" s="89"/>
      <c r="O75" s="89"/>
      <c r="P75" s="93"/>
      <c r="Q75" s="97" t="s">
        <v>108</v>
      </c>
      <c r="R75" s="93"/>
      <c r="S75" s="95"/>
      <c r="T75" s="95"/>
      <c r="U75" s="83" t="s">
        <v>109</v>
      </c>
      <c r="V75" s="89"/>
      <c r="W75" s="93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</row>
    <row r="76">
      <c r="A76" s="76"/>
      <c r="B76" s="99" t="s">
        <v>110</v>
      </c>
      <c r="C76" s="100" t="s">
        <v>111</v>
      </c>
      <c r="D76" s="76" t="s">
        <v>112</v>
      </c>
      <c r="E76" s="101" t="s">
        <v>113</v>
      </c>
      <c r="F76" s="102" t="s">
        <v>114</v>
      </c>
      <c r="G76" s="99" t="s">
        <v>115</v>
      </c>
      <c r="H76" s="103" t="s">
        <v>116</v>
      </c>
      <c r="I76" s="76" t="s">
        <v>117</v>
      </c>
      <c r="J76" s="76" t="s">
        <v>118</v>
      </c>
      <c r="K76" s="76" t="s">
        <v>119</v>
      </c>
      <c r="L76" s="76" t="s">
        <v>120</v>
      </c>
      <c r="M76" s="101" t="s">
        <v>121</v>
      </c>
      <c r="N76" s="101" t="s">
        <v>122</v>
      </c>
      <c r="O76" s="101" t="s">
        <v>123</v>
      </c>
      <c r="P76" s="101" t="s">
        <v>124</v>
      </c>
      <c r="Q76" s="76" t="s">
        <v>125</v>
      </c>
      <c r="R76" s="76" t="s">
        <v>126</v>
      </c>
      <c r="S76" s="76"/>
      <c r="T76" s="76"/>
      <c r="U76" s="76" t="s">
        <v>127</v>
      </c>
      <c r="V76" s="76" t="s">
        <v>128</v>
      </c>
      <c r="W76" s="76" t="s">
        <v>129</v>
      </c>
      <c r="X76" s="126" t="s">
        <v>130</v>
      </c>
      <c r="Y76" s="126" t="s">
        <v>131</v>
      </c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</row>
    <row r="77">
      <c r="A77" s="109" t="s">
        <v>623</v>
      </c>
      <c r="B77" s="107">
        <v>1.0</v>
      </c>
      <c r="C77" s="127">
        <f t="shared" ref="C77:C86" si="46">(F77/G77)*B77*H77</f>
        <v>3</v>
      </c>
      <c r="D77" s="107">
        <v>8.0</v>
      </c>
      <c r="E77" s="108">
        <v>1.535738134E9</v>
      </c>
      <c r="F77" s="107">
        <v>1.0</v>
      </c>
      <c r="G77" s="107">
        <v>1.0</v>
      </c>
      <c r="H77" s="107">
        <f t="shared" ref="H77:H86" si="47">ROUNDUP(E77/(M77*N77*O77*P77))</f>
        <v>3</v>
      </c>
      <c r="I77" s="107">
        <v>1.0</v>
      </c>
      <c r="J77" s="107">
        <v>1.0</v>
      </c>
      <c r="K77" s="76"/>
      <c r="L77" s="76"/>
      <c r="M77" s="107">
        <v>16.0</v>
      </c>
      <c r="N77" s="107">
        <v>8.0</v>
      </c>
      <c r="O77" s="107">
        <v>32.0</v>
      </c>
      <c r="P77" s="107">
        <v>131072.0</v>
      </c>
      <c r="Q77" s="107">
        <v>27.72</v>
      </c>
      <c r="R77" s="107">
        <v>28.98</v>
      </c>
      <c r="S77" s="76"/>
      <c r="T77" s="76"/>
      <c r="U77" s="76"/>
      <c r="V77" s="76"/>
      <c r="W77" s="76"/>
      <c r="X77" s="108">
        <f t="shared" ref="X77:X78" si="48">C77*D77*I77*Q77+C77*D77*J77*R77</f>
        <v>1360.8</v>
      </c>
      <c r="Y77" s="108">
        <v>2.8205E9</v>
      </c>
      <c r="Z77" s="107">
        <v>2820500.0</v>
      </c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</row>
    <row r="78">
      <c r="A78" s="109" t="s">
        <v>624</v>
      </c>
      <c r="B78" s="107">
        <v>1.0</v>
      </c>
      <c r="C78" s="127">
        <f t="shared" si="46"/>
        <v>3</v>
      </c>
      <c r="D78" s="107">
        <v>8.0</v>
      </c>
      <c r="E78" s="108">
        <v>1.535738134E9</v>
      </c>
      <c r="F78" s="107">
        <v>1.0</v>
      </c>
      <c r="G78" s="107">
        <v>1.0</v>
      </c>
      <c r="H78" s="107">
        <f t="shared" si="47"/>
        <v>3</v>
      </c>
      <c r="I78" s="107">
        <v>1.0</v>
      </c>
      <c r="J78" s="107">
        <v>1.0</v>
      </c>
      <c r="K78" s="76"/>
      <c r="L78" s="76"/>
      <c r="M78" s="107">
        <v>16.0</v>
      </c>
      <c r="N78" s="107">
        <v>8.0</v>
      </c>
      <c r="O78" s="107">
        <v>32.0</v>
      </c>
      <c r="P78" s="107">
        <v>131072.0</v>
      </c>
      <c r="Q78" s="107">
        <v>27.72</v>
      </c>
      <c r="R78" s="107">
        <v>28.98</v>
      </c>
      <c r="S78" s="76"/>
      <c r="T78" s="76"/>
      <c r="U78" s="76"/>
      <c r="V78" s="76"/>
      <c r="W78" s="76"/>
      <c r="X78" s="108">
        <f t="shared" si="48"/>
        <v>1360.8</v>
      </c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</row>
    <row r="79">
      <c r="A79" s="109" t="s">
        <v>625</v>
      </c>
      <c r="B79" s="107">
        <v>1.0</v>
      </c>
      <c r="C79" s="127">
        <f t="shared" si="46"/>
        <v>3</v>
      </c>
      <c r="D79" s="107">
        <v>8.0</v>
      </c>
      <c r="E79" s="108">
        <v>1.535738134E9</v>
      </c>
      <c r="F79" s="107">
        <v>1.0</v>
      </c>
      <c r="G79" s="107">
        <v>1.0</v>
      </c>
      <c r="H79" s="107">
        <f t="shared" si="47"/>
        <v>3</v>
      </c>
      <c r="I79" s="107">
        <f t="shared" ref="I79:I81" si="49">3.32*D79*D79/D79</f>
        <v>26.56</v>
      </c>
      <c r="J79" s="107">
        <f t="shared" ref="J79:J81" si="50">1.8*D79*D79/D79</f>
        <v>14.4</v>
      </c>
      <c r="K79" s="107">
        <f t="shared" ref="K79:K81" si="51">4.3*D79*D79/D79</f>
        <v>34.4</v>
      </c>
      <c r="L79" s="6">
        <v>2.52</v>
      </c>
      <c r="M79" s="107">
        <v>16.0</v>
      </c>
      <c r="N79" s="107">
        <v>8.0</v>
      </c>
      <c r="O79" s="107">
        <v>32.0</v>
      </c>
      <c r="P79" s="107">
        <v>131072.0</v>
      </c>
      <c r="Q79" s="107">
        <v>27.72</v>
      </c>
      <c r="R79" s="107">
        <v>28.98</v>
      </c>
      <c r="S79" s="76"/>
      <c r="T79" s="76"/>
      <c r="U79" s="76"/>
      <c r="V79" s="76"/>
      <c r="W79" s="76"/>
      <c r="X79" s="108">
        <f t="shared" ref="X79:X81" si="52">H79*D79*I79*Q79+H79*D79*J79*R79</f>
        <v>27685.3248</v>
      </c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</row>
    <row r="80">
      <c r="A80" s="109" t="s">
        <v>626</v>
      </c>
      <c r="B80" s="107">
        <v>1.0</v>
      </c>
      <c r="C80" s="127">
        <f t="shared" si="46"/>
        <v>3</v>
      </c>
      <c r="D80" s="107">
        <v>8.0</v>
      </c>
      <c r="E80" s="108">
        <v>1.535738134E9</v>
      </c>
      <c r="F80" s="107">
        <v>1.0</v>
      </c>
      <c r="G80" s="107">
        <v>1.0</v>
      </c>
      <c r="H80" s="107">
        <f t="shared" si="47"/>
        <v>3</v>
      </c>
      <c r="I80" s="107">
        <f t="shared" si="49"/>
        <v>26.56</v>
      </c>
      <c r="J80" s="107">
        <f t="shared" si="50"/>
        <v>14.4</v>
      </c>
      <c r="K80" s="107">
        <f t="shared" si="51"/>
        <v>34.4</v>
      </c>
      <c r="L80" s="6">
        <v>2.52</v>
      </c>
      <c r="M80" s="107">
        <v>16.0</v>
      </c>
      <c r="N80" s="107">
        <v>8.0</v>
      </c>
      <c r="O80" s="107">
        <v>32.0</v>
      </c>
      <c r="P80" s="107">
        <v>131072.0</v>
      </c>
      <c r="Q80" s="107">
        <v>27.72</v>
      </c>
      <c r="R80" s="107">
        <v>28.98</v>
      </c>
      <c r="S80" s="76"/>
      <c r="T80" s="76"/>
      <c r="U80" s="76"/>
      <c r="V80" s="76"/>
      <c r="W80" s="76"/>
      <c r="X80" s="108">
        <f t="shared" si="52"/>
        <v>27685.3248</v>
      </c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</row>
    <row r="81">
      <c r="A81" s="109" t="s">
        <v>627</v>
      </c>
      <c r="B81" s="107">
        <v>1.0</v>
      </c>
      <c r="C81" s="127">
        <f t="shared" si="46"/>
        <v>3</v>
      </c>
      <c r="D81" s="107">
        <v>8.0</v>
      </c>
      <c r="E81" s="108">
        <v>1.535738134E9</v>
      </c>
      <c r="F81" s="107">
        <v>1.0</v>
      </c>
      <c r="G81" s="107">
        <v>1.0</v>
      </c>
      <c r="H81" s="107">
        <f t="shared" si="47"/>
        <v>3</v>
      </c>
      <c r="I81" s="107">
        <f t="shared" si="49"/>
        <v>26.56</v>
      </c>
      <c r="J81" s="107">
        <f t="shared" si="50"/>
        <v>14.4</v>
      </c>
      <c r="K81" s="107">
        <f t="shared" si="51"/>
        <v>34.4</v>
      </c>
      <c r="L81" s="6">
        <v>2.52</v>
      </c>
      <c r="M81" s="107">
        <v>16.0</v>
      </c>
      <c r="N81" s="107">
        <v>8.0</v>
      </c>
      <c r="O81" s="107">
        <v>32.0</v>
      </c>
      <c r="P81" s="107">
        <v>131072.0</v>
      </c>
      <c r="Q81" s="107">
        <v>27.72</v>
      </c>
      <c r="R81" s="107">
        <v>28.98</v>
      </c>
      <c r="S81" s="76"/>
      <c r="T81" s="76"/>
      <c r="U81" s="76"/>
      <c r="V81" s="76"/>
      <c r="W81" s="76"/>
      <c r="X81" s="108">
        <f t="shared" si="52"/>
        <v>27685.3248</v>
      </c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</row>
    <row r="82">
      <c r="A82" s="128" t="s">
        <v>628</v>
      </c>
      <c r="B82" s="107">
        <v>1.0</v>
      </c>
      <c r="C82" s="127">
        <f t="shared" si="46"/>
        <v>3</v>
      </c>
      <c r="D82" s="129" t="s">
        <v>564</v>
      </c>
      <c r="E82" s="108">
        <v>1.535738134E9</v>
      </c>
      <c r="F82" s="107">
        <v>1.0</v>
      </c>
      <c r="G82" s="107">
        <v>1.0</v>
      </c>
      <c r="H82" s="107">
        <f t="shared" si="47"/>
        <v>3</v>
      </c>
      <c r="I82" s="76"/>
      <c r="J82" s="76"/>
      <c r="K82" s="76"/>
      <c r="L82" s="76"/>
      <c r="M82" s="107">
        <v>16.0</v>
      </c>
      <c r="N82" s="107">
        <v>8.0</v>
      </c>
      <c r="O82" s="107">
        <v>32.0</v>
      </c>
      <c r="P82" s="107">
        <v>131072.0</v>
      </c>
      <c r="Q82" s="76" t="s">
        <v>564</v>
      </c>
      <c r="R82" s="76" t="s">
        <v>564</v>
      </c>
      <c r="S82" s="76"/>
      <c r="T82" s="76"/>
      <c r="U82" s="107">
        <v>10.0</v>
      </c>
      <c r="V82" s="107">
        <f t="shared" ref="V82:V86" si="53">P82</f>
        <v>131072</v>
      </c>
      <c r="W82" s="107">
        <v>3200.0</v>
      </c>
      <c r="X82" s="108">
        <f t="shared" ref="X82:X86" si="54">H82*U82*MIN(V82,E82)/(W82*10^6)*10^9</f>
        <v>1228800</v>
      </c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</row>
    <row r="83">
      <c r="A83" s="128" t="s">
        <v>629</v>
      </c>
      <c r="B83" s="107">
        <v>1.0</v>
      </c>
      <c r="C83" s="127">
        <f t="shared" si="46"/>
        <v>3</v>
      </c>
      <c r="D83" s="129" t="s">
        <v>564</v>
      </c>
      <c r="E83" s="108">
        <v>1.535738134E9</v>
      </c>
      <c r="F83" s="107">
        <v>1.0</v>
      </c>
      <c r="G83" s="107">
        <v>1.0</v>
      </c>
      <c r="H83" s="107">
        <f t="shared" si="47"/>
        <v>3</v>
      </c>
      <c r="I83" s="76"/>
      <c r="J83" s="76"/>
      <c r="K83" s="76"/>
      <c r="L83" s="76"/>
      <c r="M83" s="107">
        <v>16.0</v>
      </c>
      <c r="N83" s="107">
        <v>8.0</v>
      </c>
      <c r="O83" s="107">
        <v>32.0</v>
      </c>
      <c r="P83" s="107">
        <v>131072.0</v>
      </c>
      <c r="Q83" s="76" t="s">
        <v>564</v>
      </c>
      <c r="R83" s="76" t="s">
        <v>564</v>
      </c>
      <c r="S83" s="76"/>
      <c r="T83" s="76"/>
      <c r="U83" s="107">
        <v>10.0</v>
      </c>
      <c r="V83" s="107">
        <f t="shared" si="53"/>
        <v>131072</v>
      </c>
      <c r="W83" s="107">
        <v>3200.0</v>
      </c>
      <c r="X83" s="108">
        <f t="shared" si="54"/>
        <v>1228800</v>
      </c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</row>
    <row r="84">
      <c r="A84" s="128" t="s">
        <v>630</v>
      </c>
      <c r="B84" s="107">
        <v>1.0</v>
      </c>
      <c r="C84" s="127">
        <f t="shared" si="46"/>
        <v>3</v>
      </c>
      <c r="D84" s="129" t="s">
        <v>564</v>
      </c>
      <c r="E84" s="108">
        <v>1.535738134E9</v>
      </c>
      <c r="F84" s="107">
        <v>1.0</v>
      </c>
      <c r="G84" s="107">
        <v>1.0</v>
      </c>
      <c r="H84" s="107">
        <f t="shared" si="47"/>
        <v>3</v>
      </c>
      <c r="I84" s="76"/>
      <c r="J84" s="76"/>
      <c r="K84" s="76"/>
      <c r="L84" s="76"/>
      <c r="M84" s="107">
        <v>16.0</v>
      </c>
      <c r="N84" s="107">
        <v>8.0</v>
      </c>
      <c r="O84" s="107">
        <v>32.0</v>
      </c>
      <c r="P84" s="107">
        <v>131072.0</v>
      </c>
      <c r="Q84" s="76" t="s">
        <v>564</v>
      </c>
      <c r="R84" s="76" t="s">
        <v>564</v>
      </c>
      <c r="S84" s="76"/>
      <c r="T84" s="76"/>
      <c r="U84" s="107">
        <v>10.0</v>
      </c>
      <c r="V84" s="107">
        <f t="shared" si="53"/>
        <v>131072</v>
      </c>
      <c r="W84" s="107">
        <v>3200.0</v>
      </c>
      <c r="X84" s="108">
        <f t="shared" si="54"/>
        <v>1228800</v>
      </c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</row>
    <row r="85">
      <c r="A85" s="128" t="s">
        <v>631</v>
      </c>
      <c r="B85" s="107">
        <v>1.0</v>
      </c>
      <c r="C85" s="127">
        <f t="shared" si="46"/>
        <v>3</v>
      </c>
      <c r="D85" s="129" t="s">
        <v>564</v>
      </c>
      <c r="E85" s="108">
        <v>1.535738134E9</v>
      </c>
      <c r="F85" s="107">
        <v>1.0</v>
      </c>
      <c r="G85" s="107">
        <v>1.0</v>
      </c>
      <c r="H85" s="107">
        <f t="shared" si="47"/>
        <v>3</v>
      </c>
      <c r="I85" s="76"/>
      <c r="J85" s="76"/>
      <c r="K85" s="76"/>
      <c r="L85" s="76"/>
      <c r="M85" s="107">
        <v>16.0</v>
      </c>
      <c r="N85" s="107">
        <v>8.0</v>
      </c>
      <c r="O85" s="107">
        <v>32.0</v>
      </c>
      <c r="P85" s="107">
        <v>131072.0</v>
      </c>
      <c r="Q85" s="76" t="s">
        <v>564</v>
      </c>
      <c r="R85" s="76" t="s">
        <v>564</v>
      </c>
      <c r="S85" s="76"/>
      <c r="T85" s="76"/>
      <c r="U85" s="107">
        <v>10.0</v>
      </c>
      <c r="V85" s="107">
        <f t="shared" si="53"/>
        <v>131072</v>
      </c>
      <c r="W85" s="107">
        <v>3200.0</v>
      </c>
      <c r="X85" s="108">
        <f t="shared" si="54"/>
        <v>1228800</v>
      </c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</row>
    <row r="86">
      <c r="A86" s="128" t="s">
        <v>632</v>
      </c>
      <c r="B86" s="107">
        <v>1.0</v>
      </c>
      <c r="C86" s="127">
        <f t="shared" si="46"/>
        <v>3</v>
      </c>
      <c r="D86" s="129" t="s">
        <v>564</v>
      </c>
      <c r="E86" s="108">
        <v>1.535738134E9</v>
      </c>
      <c r="F86" s="107">
        <v>1.0</v>
      </c>
      <c r="G86" s="107">
        <v>1.0</v>
      </c>
      <c r="H86" s="107">
        <f t="shared" si="47"/>
        <v>3</v>
      </c>
      <c r="I86" s="76"/>
      <c r="J86" s="76"/>
      <c r="K86" s="76"/>
      <c r="L86" s="76"/>
      <c r="M86" s="107">
        <v>16.0</v>
      </c>
      <c r="N86" s="107">
        <v>8.0</v>
      </c>
      <c r="O86" s="107">
        <v>32.0</v>
      </c>
      <c r="P86" s="107">
        <v>131072.0</v>
      </c>
      <c r="Q86" s="76" t="s">
        <v>564</v>
      </c>
      <c r="R86" s="76" t="s">
        <v>564</v>
      </c>
      <c r="S86" s="76"/>
      <c r="T86" s="76"/>
      <c r="U86" s="107">
        <v>10.0</v>
      </c>
      <c r="V86" s="107">
        <f t="shared" si="53"/>
        <v>131072</v>
      </c>
      <c r="W86" s="107">
        <v>3200.0</v>
      </c>
      <c r="X86" s="108">
        <f t="shared" si="54"/>
        <v>1228800</v>
      </c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</row>
    <row r="87">
      <c r="A87" s="20"/>
      <c r="X87" s="18">
        <f>sum(X77:X86)</f>
        <v>6229777.574</v>
      </c>
    </row>
    <row r="88">
      <c r="A88" s="20"/>
    </row>
    <row r="89">
      <c r="A89" s="19" t="s">
        <v>636</v>
      </c>
    </row>
    <row r="90">
      <c r="A90" s="20"/>
      <c r="B90" s="32" t="s">
        <v>106</v>
      </c>
      <c r="C90" s="33"/>
      <c r="D90" s="33"/>
      <c r="E90" s="33"/>
      <c r="F90" s="33"/>
      <c r="G90" s="33"/>
      <c r="H90" s="34"/>
      <c r="I90" s="35"/>
      <c r="J90" s="34"/>
      <c r="K90" s="36"/>
      <c r="L90" s="36"/>
      <c r="M90" s="37" t="s">
        <v>107</v>
      </c>
      <c r="N90" s="33"/>
      <c r="O90" s="33"/>
      <c r="P90" s="34"/>
      <c r="Q90" s="38" t="s">
        <v>108</v>
      </c>
      <c r="R90" s="34"/>
      <c r="S90" s="125"/>
      <c r="T90" s="125"/>
      <c r="U90" s="39" t="s">
        <v>109</v>
      </c>
      <c r="V90" s="33"/>
      <c r="W90" s="34"/>
    </row>
    <row r="91">
      <c r="A91" s="40"/>
      <c r="B91" s="41" t="s">
        <v>110</v>
      </c>
      <c r="C91" s="42" t="s">
        <v>111</v>
      </c>
      <c r="D91" s="43" t="s">
        <v>112</v>
      </c>
      <c r="E91" s="44" t="s">
        <v>113</v>
      </c>
      <c r="F91" s="41" t="s">
        <v>114</v>
      </c>
      <c r="G91" s="41" t="s">
        <v>115</v>
      </c>
      <c r="H91" s="45" t="s">
        <v>116</v>
      </c>
      <c r="I91" s="43" t="s">
        <v>117</v>
      </c>
      <c r="J91" s="43" t="s">
        <v>118</v>
      </c>
      <c r="K91" s="43" t="s">
        <v>119</v>
      </c>
      <c r="L91" s="43" t="s">
        <v>120</v>
      </c>
      <c r="M91" s="44" t="s">
        <v>121</v>
      </c>
      <c r="N91" s="44" t="s">
        <v>122</v>
      </c>
      <c r="O91" s="44" t="s">
        <v>123</v>
      </c>
      <c r="P91" s="44" t="s">
        <v>124</v>
      </c>
      <c r="Q91" s="43" t="s">
        <v>125</v>
      </c>
      <c r="R91" s="43" t="s">
        <v>126</v>
      </c>
      <c r="S91" s="43"/>
      <c r="T91" s="43"/>
      <c r="U91" s="43" t="s">
        <v>127</v>
      </c>
      <c r="V91" s="43" t="s">
        <v>128</v>
      </c>
      <c r="W91" s="43" t="s">
        <v>129</v>
      </c>
      <c r="X91" s="3" t="s">
        <v>130</v>
      </c>
      <c r="Y91" s="3" t="s">
        <v>131</v>
      </c>
    </row>
    <row r="92">
      <c r="A92" s="48" t="s">
        <v>623</v>
      </c>
      <c r="B92" s="6">
        <v>1.0</v>
      </c>
      <c r="C92" s="49">
        <f t="shared" ref="C92:C101" si="55">(F92/G92)*B92*H92</f>
        <v>3</v>
      </c>
      <c r="D92" s="6">
        <v>8.0</v>
      </c>
      <c r="E92" s="50">
        <v>1.535738134E9</v>
      </c>
      <c r="F92" s="6">
        <v>1.0</v>
      </c>
      <c r="G92" s="6">
        <v>1.0</v>
      </c>
      <c r="H92" s="10">
        <f t="shared" ref="H92:H101" si="56">ROUNDUP(E92/(M92*N92*O92*P92))</f>
        <v>3</v>
      </c>
      <c r="I92" s="6">
        <v>1.0</v>
      </c>
      <c r="J92" s="6">
        <v>1.0</v>
      </c>
      <c r="K92" s="6"/>
      <c r="L92" s="6"/>
      <c r="M92" s="6">
        <v>16.0</v>
      </c>
      <c r="N92" s="6">
        <v>8.0</v>
      </c>
      <c r="O92" s="6">
        <v>32.0</v>
      </c>
      <c r="P92" s="6">
        <v>131072.0</v>
      </c>
      <c r="Q92" s="10">
        <v>27.72</v>
      </c>
      <c r="R92" s="10">
        <v>28.98</v>
      </c>
      <c r="X92" s="18">
        <f t="shared" ref="X92:X93" si="57">C92*D92*I92*Q92+C92*D92*J92*R92</f>
        <v>1360.8</v>
      </c>
      <c r="Y92" s="50">
        <v>2.8205E9</v>
      </c>
      <c r="Z92" s="6">
        <v>2820500.0</v>
      </c>
    </row>
    <row r="93">
      <c r="A93" s="48" t="s">
        <v>624</v>
      </c>
      <c r="B93" s="6">
        <v>1.0</v>
      </c>
      <c r="C93" s="49">
        <f t="shared" si="55"/>
        <v>3</v>
      </c>
      <c r="D93" s="6">
        <v>8.0</v>
      </c>
      <c r="E93" s="50">
        <v>1.535738134E9</v>
      </c>
      <c r="F93" s="6">
        <v>1.0</v>
      </c>
      <c r="G93" s="6">
        <v>1.0</v>
      </c>
      <c r="H93" s="10">
        <f t="shared" si="56"/>
        <v>3</v>
      </c>
      <c r="I93" s="6">
        <v>1.0</v>
      </c>
      <c r="J93" s="6">
        <v>1.0</v>
      </c>
      <c r="K93" s="6"/>
      <c r="L93" s="6"/>
      <c r="M93" s="6">
        <v>16.0</v>
      </c>
      <c r="N93" s="6">
        <v>8.0</v>
      </c>
      <c r="O93" s="6">
        <v>32.0</v>
      </c>
      <c r="P93" s="6">
        <v>131072.0</v>
      </c>
      <c r="Q93" s="10">
        <v>27.72</v>
      </c>
      <c r="R93" s="10">
        <v>28.98</v>
      </c>
      <c r="X93" s="18">
        <f t="shared" si="57"/>
        <v>1360.8</v>
      </c>
    </row>
    <row r="94">
      <c r="A94" s="48" t="s">
        <v>625</v>
      </c>
      <c r="B94" s="6">
        <v>1.0</v>
      </c>
      <c r="C94" s="49">
        <f t="shared" si="55"/>
        <v>3</v>
      </c>
      <c r="D94" s="6">
        <v>8.0</v>
      </c>
      <c r="E94" s="50">
        <v>1.535738134E9</v>
      </c>
      <c r="F94" s="6">
        <v>1.0</v>
      </c>
      <c r="G94" s="6">
        <v>1.0</v>
      </c>
      <c r="H94" s="10">
        <f t="shared" si="56"/>
        <v>3</v>
      </c>
      <c r="I94" s="10">
        <f t="shared" ref="I94:I96" si="58">2*D94*D94/D94</f>
        <v>16</v>
      </c>
      <c r="J94" s="10">
        <f t="shared" ref="J94:J96" si="59">D94*D94/D94</f>
        <v>8</v>
      </c>
      <c r="K94" s="10">
        <f t="shared" ref="K94:K96" si="60">5*D94*D94/D94</f>
        <v>40</v>
      </c>
      <c r="L94" s="6">
        <v>2.52</v>
      </c>
      <c r="M94" s="6">
        <v>16.0</v>
      </c>
      <c r="N94" s="6">
        <v>8.0</v>
      </c>
      <c r="O94" s="6">
        <v>32.0</v>
      </c>
      <c r="P94" s="6">
        <v>131072.0</v>
      </c>
      <c r="Q94" s="10">
        <v>27.72</v>
      </c>
      <c r="R94" s="10">
        <v>28.98</v>
      </c>
      <c r="X94" s="18">
        <f t="shared" ref="X94:X96" si="61">H94*D94*I94*Q94+H94*D94*J94*R94</f>
        <v>16208.64</v>
      </c>
    </row>
    <row r="95">
      <c r="A95" s="48" t="s">
        <v>626</v>
      </c>
      <c r="B95" s="6">
        <v>1.0</v>
      </c>
      <c r="C95" s="49">
        <f t="shared" si="55"/>
        <v>3</v>
      </c>
      <c r="D95" s="6">
        <v>8.0</v>
      </c>
      <c r="E95" s="50">
        <v>1.535738134E9</v>
      </c>
      <c r="F95" s="6">
        <v>1.0</v>
      </c>
      <c r="G95" s="6">
        <v>1.0</v>
      </c>
      <c r="H95" s="10">
        <f t="shared" si="56"/>
        <v>3</v>
      </c>
      <c r="I95" s="10">
        <f t="shared" si="58"/>
        <v>16</v>
      </c>
      <c r="J95" s="10">
        <f t="shared" si="59"/>
        <v>8</v>
      </c>
      <c r="K95" s="10">
        <f t="shared" si="60"/>
        <v>40</v>
      </c>
      <c r="L95" s="6">
        <v>2.52</v>
      </c>
      <c r="M95" s="6">
        <v>16.0</v>
      </c>
      <c r="N95" s="6">
        <v>8.0</v>
      </c>
      <c r="O95" s="6">
        <v>32.0</v>
      </c>
      <c r="P95" s="6">
        <v>131072.0</v>
      </c>
      <c r="Q95" s="10">
        <v>27.72</v>
      </c>
      <c r="R95" s="10">
        <v>28.98</v>
      </c>
      <c r="X95" s="18">
        <f t="shared" si="61"/>
        <v>16208.64</v>
      </c>
    </row>
    <row r="96">
      <c r="A96" s="48" t="s">
        <v>627</v>
      </c>
      <c r="B96" s="6">
        <v>1.0</v>
      </c>
      <c r="C96" s="49">
        <f t="shared" si="55"/>
        <v>3</v>
      </c>
      <c r="D96" s="6">
        <v>8.0</v>
      </c>
      <c r="E96" s="50">
        <v>1.535738134E9</v>
      </c>
      <c r="F96" s="6">
        <v>1.0</v>
      </c>
      <c r="G96" s="6">
        <v>1.0</v>
      </c>
      <c r="H96" s="10">
        <f t="shared" si="56"/>
        <v>3</v>
      </c>
      <c r="I96" s="10">
        <f t="shared" si="58"/>
        <v>16</v>
      </c>
      <c r="J96" s="10">
        <f t="shared" si="59"/>
        <v>8</v>
      </c>
      <c r="K96" s="10">
        <f t="shared" si="60"/>
        <v>40</v>
      </c>
      <c r="L96" s="6">
        <v>2.52</v>
      </c>
      <c r="M96" s="6">
        <v>16.0</v>
      </c>
      <c r="N96" s="6">
        <v>8.0</v>
      </c>
      <c r="O96" s="6">
        <v>32.0</v>
      </c>
      <c r="P96" s="6">
        <v>131072.0</v>
      </c>
      <c r="Q96" s="10">
        <v>27.72</v>
      </c>
      <c r="R96" s="10">
        <v>28.98</v>
      </c>
      <c r="X96" s="18">
        <f t="shared" si="61"/>
        <v>16208.64</v>
      </c>
    </row>
    <row r="97">
      <c r="A97" s="121" t="s">
        <v>628</v>
      </c>
      <c r="B97" s="6">
        <v>1.0</v>
      </c>
      <c r="C97" s="49">
        <f t="shared" si="55"/>
        <v>3</v>
      </c>
      <c r="D97" s="122" t="s">
        <v>564</v>
      </c>
      <c r="E97" s="50">
        <v>1.535738134E9</v>
      </c>
      <c r="F97" s="6">
        <v>1.0</v>
      </c>
      <c r="G97" s="6">
        <v>1.0</v>
      </c>
      <c r="H97" s="10">
        <f t="shared" si="56"/>
        <v>3</v>
      </c>
      <c r="M97" s="6">
        <v>16.0</v>
      </c>
      <c r="N97" s="6">
        <v>8.0</v>
      </c>
      <c r="O97" s="6">
        <v>32.0</v>
      </c>
      <c r="P97" s="6">
        <v>131072.0</v>
      </c>
      <c r="Q97" s="6" t="s">
        <v>564</v>
      </c>
      <c r="R97" s="6" t="s">
        <v>564</v>
      </c>
      <c r="S97" s="6"/>
      <c r="T97" s="6"/>
      <c r="U97" s="6">
        <v>10.0</v>
      </c>
      <c r="V97" s="10">
        <f t="shared" ref="V97:V101" si="62">P97</f>
        <v>131072</v>
      </c>
      <c r="W97" s="6">
        <v>3200.0</v>
      </c>
      <c r="X97" s="18">
        <f t="shared" ref="X97:X101" si="63">H97*U97*MIN(V97,E97)/(W97*10^6)*10^9</f>
        <v>1228800</v>
      </c>
    </row>
    <row r="98">
      <c r="A98" s="121" t="s">
        <v>629</v>
      </c>
      <c r="B98" s="6">
        <v>1.0</v>
      </c>
      <c r="C98" s="49">
        <f t="shared" si="55"/>
        <v>3</v>
      </c>
      <c r="D98" s="122" t="s">
        <v>564</v>
      </c>
      <c r="E98" s="50">
        <v>1.535738134E9</v>
      </c>
      <c r="F98" s="6">
        <v>1.0</v>
      </c>
      <c r="G98" s="6">
        <v>1.0</v>
      </c>
      <c r="H98" s="10">
        <f t="shared" si="56"/>
        <v>3</v>
      </c>
      <c r="M98" s="6">
        <v>16.0</v>
      </c>
      <c r="N98" s="6">
        <v>8.0</v>
      </c>
      <c r="O98" s="6">
        <v>32.0</v>
      </c>
      <c r="P98" s="6">
        <v>131072.0</v>
      </c>
      <c r="Q98" s="6" t="s">
        <v>564</v>
      </c>
      <c r="R98" s="6" t="s">
        <v>564</v>
      </c>
      <c r="S98" s="6"/>
      <c r="T98" s="6"/>
      <c r="U98" s="6">
        <v>10.0</v>
      </c>
      <c r="V98" s="10">
        <f t="shared" si="62"/>
        <v>131072</v>
      </c>
      <c r="W98" s="6">
        <v>3200.0</v>
      </c>
      <c r="X98" s="18">
        <f t="shared" si="63"/>
        <v>1228800</v>
      </c>
    </row>
    <row r="99">
      <c r="A99" s="121" t="s">
        <v>630</v>
      </c>
      <c r="B99" s="6">
        <v>1.0</v>
      </c>
      <c r="C99" s="49">
        <f t="shared" si="55"/>
        <v>3</v>
      </c>
      <c r="D99" s="122" t="s">
        <v>564</v>
      </c>
      <c r="E99" s="50">
        <v>1.535738134E9</v>
      </c>
      <c r="F99" s="6">
        <v>1.0</v>
      </c>
      <c r="G99" s="6">
        <v>1.0</v>
      </c>
      <c r="H99" s="10">
        <f t="shared" si="56"/>
        <v>3</v>
      </c>
      <c r="M99" s="6">
        <v>16.0</v>
      </c>
      <c r="N99" s="6">
        <v>8.0</v>
      </c>
      <c r="O99" s="6">
        <v>32.0</v>
      </c>
      <c r="P99" s="6">
        <v>131072.0</v>
      </c>
      <c r="Q99" s="6" t="s">
        <v>564</v>
      </c>
      <c r="R99" s="6" t="s">
        <v>564</v>
      </c>
      <c r="S99" s="6"/>
      <c r="T99" s="6"/>
      <c r="U99" s="6">
        <v>10.0</v>
      </c>
      <c r="V99" s="10">
        <f t="shared" si="62"/>
        <v>131072</v>
      </c>
      <c r="W99" s="6">
        <v>3200.0</v>
      </c>
      <c r="X99" s="18">
        <f t="shared" si="63"/>
        <v>1228800</v>
      </c>
    </row>
    <row r="100">
      <c r="A100" s="121" t="s">
        <v>631</v>
      </c>
      <c r="B100" s="6">
        <v>1.0</v>
      </c>
      <c r="C100" s="49">
        <f t="shared" si="55"/>
        <v>3</v>
      </c>
      <c r="D100" s="122" t="s">
        <v>564</v>
      </c>
      <c r="E100" s="50">
        <v>1.535738134E9</v>
      </c>
      <c r="F100" s="6">
        <v>1.0</v>
      </c>
      <c r="G100" s="6">
        <v>1.0</v>
      </c>
      <c r="H100" s="10">
        <f t="shared" si="56"/>
        <v>3</v>
      </c>
      <c r="M100" s="6">
        <v>16.0</v>
      </c>
      <c r="N100" s="6">
        <v>8.0</v>
      </c>
      <c r="O100" s="6">
        <v>32.0</v>
      </c>
      <c r="P100" s="6">
        <v>131072.0</v>
      </c>
      <c r="Q100" s="6" t="s">
        <v>564</v>
      </c>
      <c r="R100" s="6" t="s">
        <v>564</v>
      </c>
      <c r="S100" s="6"/>
      <c r="T100" s="6"/>
      <c r="U100" s="6">
        <v>10.0</v>
      </c>
      <c r="V100" s="10">
        <f t="shared" si="62"/>
        <v>131072</v>
      </c>
      <c r="W100" s="6">
        <v>3200.0</v>
      </c>
      <c r="X100" s="18">
        <f t="shared" si="63"/>
        <v>1228800</v>
      </c>
    </row>
    <row r="101">
      <c r="A101" s="121" t="s">
        <v>632</v>
      </c>
      <c r="B101" s="6">
        <v>1.0</v>
      </c>
      <c r="C101" s="49">
        <f t="shared" si="55"/>
        <v>3</v>
      </c>
      <c r="D101" s="122" t="s">
        <v>564</v>
      </c>
      <c r="E101" s="50">
        <v>1.535738134E9</v>
      </c>
      <c r="F101" s="6">
        <v>1.0</v>
      </c>
      <c r="G101" s="6">
        <v>1.0</v>
      </c>
      <c r="H101" s="10">
        <f t="shared" si="56"/>
        <v>3</v>
      </c>
      <c r="M101" s="6">
        <v>16.0</v>
      </c>
      <c r="N101" s="6">
        <v>8.0</v>
      </c>
      <c r="O101" s="6">
        <v>32.0</v>
      </c>
      <c r="P101" s="6">
        <v>131072.0</v>
      </c>
      <c r="Q101" s="6" t="s">
        <v>564</v>
      </c>
      <c r="R101" s="6" t="s">
        <v>564</v>
      </c>
      <c r="S101" s="6"/>
      <c r="T101" s="6"/>
      <c r="U101" s="6">
        <v>10.0</v>
      </c>
      <c r="V101" s="10">
        <f t="shared" si="62"/>
        <v>131072</v>
      </c>
      <c r="W101" s="6">
        <v>3200.0</v>
      </c>
      <c r="X101" s="18">
        <f t="shared" si="63"/>
        <v>1228800</v>
      </c>
    </row>
    <row r="102">
      <c r="A102" s="20"/>
      <c r="X102" s="18">
        <f>SUM(X91:X101)</f>
        <v>6195347.52</v>
      </c>
      <c r="Y102" s="73">
        <f>Y92/X102</f>
        <v>455.2609827</v>
      </c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</sheetData>
  <mergeCells count="42">
    <mergeCell ref="I75:J75"/>
    <mergeCell ref="M75:P75"/>
    <mergeCell ref="B61:H61"/>
    <mergeCell ref="I61:J61"/>
    <mergeCell ref="M61:P61"/>
    <mergeCell ref="Q61:R61"/>
    <mergeCell ref="U61:W61"/>
    <mergeCell ref="A74:AJ74"/>
    <mergeCell ref="B75:H75"/>
    <mergeCell ref="A1:AJ1"/>
    <mergeCell ref="B2:H2"/>
    <mergeCell ref="I2:J2"/>
    <mergeCell ref="M2:P2"/>
    <mergeCell ref="Q2:R2"/>
    <mergeCell ref="U2:W2"/>
    <mergeCell ref="A16:AJ16"/>
    <mergeCell ref="I32:J32"/>
    <mergeCell ref="M32:P32"/>
    <mergeCell ref="Q32:R32"/>
    <mergeCell ref="U32:W32"/>
    <mergeCell ref="B17:H17"/>
    <mergeCell ref="I17:J17"/>
    <mergeCell ref="M17:P17"/>
    <mergeCell ref="Q17:R17"/>
    <mergeCell ref="U17:W17"/>
    <mergeCell ref="A31:AJ31"/>
    <mergeCell ref="B32:H32"/>
    <mergeCell ref="A46:AJ46"/>
    <mergeCell ref="B47:H47"/>
    <mergeCell ref="I47:J47"/>
    <mergeCell ref="M47:P47"/>
    <mergeCell ref="Q47:R47"/>
    <mergeCell ref="U47:W47"/>
    <mergeCell ref="A60:AJ60"/>
    <mergeCell ref="Q75:R75"/>
    <mergeCell ref="U75:W75"/>
    <mergeCell ref="A89:AJ89"/>
    <mergeCell ref="B90:H90"/>
    <mergeCell ref="I90:J90"/>
    <mergeCell ref="M90:P90"/>
    <mergeCell ref="Q90:R90"/>
    <mergeCell ref="U90:W9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38"/>
    <col customWidth="1" min="4" max="4" width="19.63"/>
    <col customWidth="1" min="7" max="7" width="12.0"/>
    <col customWidth="1" min="27" max="27" width="17.5"/>
    <col customWidth="1" min="28" max="28" width="13.63"/>
  </cols>
  <sheetData>
    <row r="1">
      <c r="A1" s="19" t="s">
        <v>342</v>
      </c>
    </row>
    <row r="2">
      <c r="B2" s="20"/>
      <c r="D2" s="6" t="s">
        <v>95</v>
      </c>
      <c r="F2" s="21" t="s">
        <v>96</v>
      </c>
      <c r="H2" s="21" t="s">
        <v>96</v>
      </c>
      <c r="I2" s="6" t="s">
        <v>95</v>
      </c>
    </row>
    <row r="3">
      <c r="A3" s="31"/>
      <c r="B3" s="131"/>
      <c r="C3" s="23" t="s">
        <v>637</v>
      </c>
      <c r="D3" s="24" t="s">
        <v>638</v>
      </c>
      <c r="E3" s="25"/>
      <c r="F3" s="132" t="s">
        <v>639</v>
      </c>
      <c r="G3" s="27" t="s">
        <v>100</v>
      </c>
      <c r="H3" s="26" t="s">
        <v>640</v>
      </c>
      <c r="I3" s="26" t="s">
        <v>641</v>
      </c>
      <c r="J3" s="28"/>
      <c r="K3" s="28"/>
      <c r="L3" s="28"/>
      <c r="M3" s="28"/>
      <c r="N3" s="29"/>
      <c r="O3" s="26" t="s">
        <v>642</v>
      </c>
      <c r="P3" s="29"/>
      <c r="Q3" s="29"/>
      <c r="R3" s="29"/>
      <c r="S3" s="26" t="s">
        <v>643</v>
      </c>
      <c r="T3" s="26" t="s">
        <v>644</v>
      </c>
      <c r="U3" s="52"/>
      <c r="V3" s="52"/>
      <c r="W3" s="52" t="s">
        <v>645</v>
      </c>
      <c r="X3" s="30" t="s">
        <v>646</v>
      </c>
      <c r="Y3" s="31"/>
      <c r="Z3" s="52"/>
      <c r="AA3" s="52" t="s">
        <v>647</v>
      </c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116"/>
      <c r="S4" s="38" t="s">
        <v>108</v>
      </c>
      <c r="T4" s="33"/>
      <c r="U4" s="33"/>
      <c r="V4" s="33"/>
      <c r="W4" s="34"/>
      <c r="X4" s="39" t="s">
        <v>109</v>
      </c>
      <c r="Y4" s="33"/>
      <c r="Z4" s="34"/>
    </row>
    <row r="5">
      <c r="A5" s="47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560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280</v>
      </c>
      <c r="S5" s="43" t="s">
        <v>648</v>
      </c>
      <c r="T5" s="43" t="s">
        <v>649</v>
      </c>
      <c r="U5" s="6"/>
      <c r="V5" s="6"/>
      <c r="W5" s="6" t="s">
        <v>196</v>
      </c>
      <c r="X5" s="43" t="s">
        <v>127</v>
      </c>
      <c r="Y5" s="43" t="s">
        <v>128</v>
      </c>
      <c r="Z5" s="43" t="s">
        <v>129</v>
      </c>
      <c r="AA5" s="3" t="s">
        <v>130</v>
      </c>
      <c r="AB5" s="3" t="s">
        <v>131</v>
      </c>
      <c r="AE5" s="47"/>
      <c r="AF5" s="47"/>
      <c r="AG5" s="47"/>
      <c r="AH5" s="47"/>
      <c r="AI5" s="47"/>
      <c r="AJ5" s="47"/>
      <c r="AK5" s="47"/>
      <c r="AL5" s="47"/>
      <c r="AM5" s="47"/>
      <c r="AN5" s="47"/>
    </row>
    <row r="6">
      <c r="B6" s="117" t="s">
        <v>650</v>
      </c>
      <c r="C6" s="6">
        <v>1.0</v>
      </c>
      <c r="D6" s="133">
        <v>1.0</v>
      </c>
      <c r="E6" s="6">
        <v>1.0</v>
      </c>
      <c r="F6" s="119">
        <v>4.68750001E8</v>
      </c>
      <c r="G6" s="6">
        <v>1.0</v>
      </c>
      <c r="H6" s="6">
        <v>1.0</v>
      </c>
      <c r="I6" s="134">
        <f t="shared" ref="I6:I9" si="1">ROUNDUP(F6/(Q6*N6*O6*P6))</f>
        <v>1</v>
      </c>
      <c r="J6" s="6" t="s">
        <v>564</v>
      </c>
      <c r="K6" s="6" t="s">
        <v>564</v>
      </c>
      <c r="L6" s="6"/>
      <c r="M6" s="6"/>
      <c r="N6" s="6">
        <v>16.0</v>
      </c>
      <c r="O6" s="6">
        <v>8.0</v>
      </c>
      <c r="P6" s="6">
        <v>32.0</v>
      </c>
      <c r="Q6" s="6">
        <v>131072.0</v>
      </c>
      <c r="R6" s="6">
        <v>4096.0</v>
      </c>
      <c r="S6" s="10">
        <v>27.72</v>
      </c>
      <c r="T6" s="10">
        <v>28.98</v>
      </c>
      <c r="W6" s="10">
        <v>2.52</v>
      </c>
      <c r="Z6" s="18"/>
      <c r="AA6" s="18">
        <f t="shared" ref="AA6:AA8" si="2">E6*W6*R6*2</f>
        <v>20643.84</v>
      </c>
      <c r="AB6" s="119">
        <v>7.591792E7</v>
      </c>
    </row>
    <row r="7">
      <c r="B7" s="117" t="s">
        <v>651</v>
      </c>
      <c r="C7" s="6">
        <v>1.0</v>
      </c>
      <c r="D7" s="133">
        <v>1.0</v>
      </c>
      <c r="E7" s="6">
        <v>1.0</v>
      </c>
      <c r="F7" s="119">
        <v>4.68750001E8</v>
      </c>
      <c r="G7" s="6">
        <v>1.0</v>
      </c>
      <c r="H7" s="6">
        <v>1.0</v>
      </c>
      <c r="I7" s="134">
        <f t="shared" si="1"/>
        <v>1</v>
      </c>
      <c r="J7" s="6" t="s">
        <v>564</v>
      </c>
      <c r="K7" s="6" t="s">
        <v>564</v>
      </c>
      <c r="L7" s="6"/>
      <c r="M7" s="6"/>
      <c r="N7" s="6">
        <v>16.0</v>
      </c>
      <c r="O7" s="6">
        <v>8.0</v>
      </c>
      <c r="P7" s="6">
        <v>32.0</v>
      </c>
      <c r="Q7" s="6">
        <v>131072.0</v>
      </c>
      <c r="R7" s="6">
        <v>4096.0</v>
      </c>
      <c r="S7" s="10">
        <v>27.72</v>
      </c>
      <c r="T7" s="10">
        <v>28.98</v>
      </c>
      <c r="W7" s="10">
        <v>2.52</v>
      </c>
      <c r="Z7" s="18"/>
      <c r="AA7" s="18">
        <f t="shared" si="2"/>
        <v>20643.84</v>
      </c>
    </row>
    <row r="8">
      <c r="B8" s="117" t="s">
        <v>652</v>
      </c>
      <c r="C8" s="6">
        <v>1.0</v>
      </c>
      <c r="D8" s="133">
        <v>1.0</v>
      </c>
      <c r="E8" s="6">
        <v>1.0</v>
      </c>
      <c r="F8" s="119">
        <v>4.68750001E8</v>
      </c>
      <c r="G8" s="6">
        <v>1.0</v>
      </c>
      <c r="H8" s="6">
        <v>1.0</v>
      </c>
      <c r="I8" s="134">
        <f t="shared" si="1"/>
        <v>1</v>
      </c>
      <c r="J8" s="6" t="s">
        <v>564</v>
      </c>
      <c r="K8" s="6" t="s">
        <v>564</v>
      </c>
      <c r="L8" s="6"/>
      <c r="M8" s="6"/>
      <c r="N8" s="6">
        <v>16.0</v>
      </c>
      <c r="O8" s="6">
        <v>8.0</v>
      </c>
      <c r="P8" s="6">
        <v>32.0</v>
      </c>
      <c r="Q8" s="6">
        <v>131072.0</v>
      </c>
      <c r="R8" s="6">
        <v>4096.0</v>
      </c>
      <c r="S8" s="10">
        <v>27.72</v>
      </c>
      <c r="T8" s="10">
        <v>28.98</v>
      </c>
      <c r="W8" s="10">
        <v>2.52</v>
      </c>
      <c r="Z8" s="18"/>
      <c r="AA8" s="18">
        <f t="shared" si="2"/>
        <v>20643.84</v>
      </c>
    </row>
    <row r="9">
      <c r="A9" s="135" t="s">
        <v>653</v>
      </c>
      <c r="B9" s="136" t="s">
        <v>654</v>
      </c>
      <c r="C9" s="9">
        <v>1.0</v>
      </c>
      <c r="D9" s="137">
        <v>256.0</v>
      </c>
      <c r="E9" s="9">
        <v>1.0</v>
      </c>
      <c r="F9" s="138">
        <v>4.68750001E8</v>
      </c>
      <c r="G9" s="9">
        <v>256.0</v>
      </c>
      <c r="H9" s="9">
        <v>1.0</v>
      </c>
      <c r="I9" s="139">
        <f t="shared" si="1"/>
        <v>1</v>
      </c>
      <c r="J9" s="9">
        <v>1.0</v>
      </c>
      <c r="K9" s="9">
        <v>1.0</v>
      </c>
      <c r="L9" s="9"/>
      <c r="M9" s="9"/>
      <c r="N9" s="9">
        <v>16.0</v>
      </c>
      <c r="O9" s="6">
        <v>8.0</v>
      </c>
      <c r="P9" s="6">
        <v>32.0</v>
      </c>
      <c r="Q9" s="6">
        <v>131072.0</v>
      </c>
      <c r="R9" s="6">
        <v>4096.0</v>
      </c>
      <c r="S9" s="140">
        <v>27.72</v>
      </c>
      <c r="T9" s="140">
        <v>28.98</v>
      </c>
      <c r="U9" s="140"/>
      <c r="V9" s="140"/>
      <c r="W9" s="140">
        <v>2.52</v>
      </c>
      <c r="X9" s="140"/>
      <c r="Y9" s="140"/>
      <c r="Z9" s="141"/>
      <c r="AA9" s="141">
        <f>D9*E9*J9*S9+D9*E9*K9*T9</f>
        <v>14515.2</v>
      </c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</row>
    <row r="10">
      <c r="B10" s="117" t="s">
        <v>655</v>
      </c>
      <c r="C10" s="6">
        <v>1.0</v>
      </c>
      <c r="D10" s="133">
        <v>256.0</v>
      </c>
      <c r="E10" s="6">
        <v>8.0</v>
      </c>
      <c r="F10" s="119">
        <v>4.68750001E8</v>
      </c>
      <c r="G10" s="6">
        <v>256.0</v>
      </c>
      <c r="H10" s="6">
        <v>1.0</v>
      </c>
      <c r="I10" s="133">
        <v>1.0</v>
      </c>
      <c r="J10" s="6" t="s">
        <v>564</v>
      </c>
      <c r="K10" s="6" t="s">
        <v>564</v>
      </c>
      <c r="L10" s="6"/>
      <c r="M10" s="6"/>
      <c r="N10" s="6">
        <v>16.0</v>
      </c>
      <c r="O10" s="6">
        <v>8.0</v>
      </c>
      <c r="P10" s="6">
        <v>32.0</v>
      </c>
      <c r="Q10" s="6">
        <v>131072.0</v>
      </c>
      <c r="R10" s="6">
        <v>4096.0</v>
      </c>
      <c r="S10" s="10">
        <v>27.72</v>
      </c>
      <c r="T10" s="10">
        <v>28.98</v>
      </c>
      <c r="W10" s="10">
        <v>2.52</v>
      </c>
      <c r="Z10" s="18"/>
      <c r="AA10" s="141">
        <f>R10*W10*2</f>
        <v>20643.84</v>
      </c>
    </row>
    <row r="11" ht="16.5" customHeight="1">
      <c r="B11" s="142" t="s">
        <v>656</v>
      </c>
      <c r="C11" s="143">
        <v>1.0</v>
      </c>
      <c r="D11" s="144">
        <f t="shared" ref="D11:D13" si="3">(G11/H11)*C11*I11</f>
        <v>256</v>
      </c>
      <c r="E11" s="143">
        <v>8.0</v>
      </c>
      <c r="F11" s="145">
        <v>4.68750001E8</v>
      </c>
      <c r="G11" s="143">
        <v>256.0</v>
      </c>
      <c r="H11" s="143">
        <v>1.0</v>
      </c>
      <c r="I11" s="146">
        <f t="shared" ref="I11:I13" si="4">ROUNDUP(F11/(Q11*N11*O11*P11))</f>
        <v>1</v>
      </c>
      <c r="J11" s="143">
        <v>2.0</v>
      </c>
      <c r="K11" s="143">
        <v>1.0</v>
      </c>
      <c r="L11" s="143">
        <v>3.0</v>
      </c>
      <c r="M11" s="143">
        <v>2.52</v>
      </c>
      <c r="N11" s="143">
        <v>16.0</v>
      </c>
      <c r="O11" s="6">
        <v>8.0</v>
      </c>
      <c r="P11" s="6">
        <v>32.0</v>
      </c>
      <c r="Q11" s="6">
        <v>131072.0</v>
      </c>
      <c r="R11" s="143">
        <v>4096.0</v>
      </c>
      <c r="S11" s="147">
        <v>27.72</v>
      </c>
      <c r="T11" s="147">
        <v>28.98</v>
      </c>
      <c r="U11" s="147"/>
      <c r="V11" s="147"/>
      <c r="W11" s="147">
        <v>2.52</v>
      </c>
      <c r="X11" s="147"/>
      <c r="Y11" s="147"/>
      <c r="Z11" s="148"/>
      <c r="AA11" s="148">
        <f t="shared" ref="AA11:AA12" si="5">D11*E11*J11*S11+D11*E11*K11*T11+D11*E11*L11*M11</f>
        <v>188375.04</v>
      </c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>
      <c r="B12" s="117" t="s">
        <v>657</v>
      </c>
      <c r="C12" s="6">
        <v>1.0</v>
      </c>
      <c r="D12" s="133">
        <f t="shared" si="3"/>
        <v>256</v>
      </c>
      <c r="E12" s="6">
        <v>8.0</v>
      </c>
      <c r="F12" s="119">
        <v>4.68750001E8</v>
      </c>
      <c r="G12" s="6">
        <v>256.0</v>
      </c>
      <c r="H12" s="6">
        <v>1.0</v>
      </c>
      <c r="I12" s="134">
        <f t="shared" si="4"/>
        <v>1</v>
      </c>
      <c r="J12" s="6">
        <v>2.0</v>
      </c>
      <c r="K12" s="6">
        <v>1.0</v>
      </c>
      <c r="L12" s="6">
        <v>2.0</v>
      </c>
      <c r="M12" s="6">
        <v>2.52</v>
      </c>
      <c r="N12" s="6">
        <v>16.0</v>
      </c>
      <c r="O12" s="6">
        <v>8.0</v>
      </c>
      <c r="P12" s="6">
        <v>32.0</v>
      </c>
      <c r="Q12" s="6">
        <v>131072.0</v>
      </c>
      <c r="R12" s="6">
        <v>4096.0</v>
      </c>
      <c r="S12" s="10">
        <v>27.72</v>
      </c>
      <c r="T12" s="10">
        <v>28.98</v>
      </c>
      <c r="W12" s="10">
        <v>2.52</v>
      </c>
      <c r="Z12" s="18"/>
      <c r="AA12" s="141">
        <f t="shared" si="5"/>
        <v>183214.08</v>
      </c>
    </row>
    <row r="13">
      <c r="B13" s="149" t="s">
        <v>658</v>
      </c>
      <c r="C13" s="143">
        <v>1.0</v>
      </c>
      <c r="D13" s="144">
        <f t="shared" si="3"/>
        <v>7168</v>
      </c>
      <c r="E13" s="150" t="s">
        <v>564</v>
      </c>
      <c r="F13" s="145">
        <v>4.68750001E8</v>
      </c>
      <c r="G13" s="143">
        <v>256.0</v>
      </c>
      <c r="H13" s="143">
        <v>1.0</v>
      </c>
      <c r="I13" s="146">
        <f t="shared" si="4"/>
        <v>28</v>
      </c>
      <c r="J13" s="143" t="s">
        <v>564</v>
      </c>
      <c r="K13" s="143" t="s">
        <v>564</v>
      </c>
      <c r="L13" s="143"/>
      <c r="M13" s="143"/>
      <c r="N13" s="143">
        <v>16.0</v>
      </c>
      <c r="O13" s="6">
        <v>8.0</v>
      </c>
      <c r="P13" s="151">
        <v>1.0</v>
      </c>
      <c r="Q13" s="6">
        <v>131072.0</v>
      </c>
      <c r="R13" s="143">
        <v>4096.0</v>
      </c>
      <c r="S13" s="147">
        <v>27.72</v>
      </c>
      <c r="T13" s="147">
        <v>28.98</v>
      </c>
      <c r="U13" s="147"/>
      <c r="V13" s="147"/>
      <c r="W13" s="147">
        <v>2.52</v>
      </c>
      <c r="X13" s="147"/>
      <c r="Y13" s="147"/>
      <c r="Z13" s="147"/>
      <c r="AA13" s="148">
        <f>I13*(N13*O13*P13*Q13/N13)*1.01*0.63</f>
        <v>18681849.45</v>
      </c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>
      <c r="B14" s="20"/>
      <c r="D14" s="134"/>
      <c r="Z14" s="6" t="s">
        <v>204</v>
      </c>
      <c r="AA14" s="18">
        <f>sum(AA11+AA13)</f>
        <v>18870224.49</v>
      </c>
    </row>
    <row r="15">
      <c r="A15" s="71"/>
      <c r="B15" s="152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15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</row>
    <row r="16">
      <c r="A16" s="19" t="s">
        <v>134</v>
      </c>
    </row>
    <row r="17">
      <c r="B17" s="20"/>
      <c r="D17" s="6" t="s">
        <v>95</v>
      </c>
      <c r="F17" s="21" t="s">
        <v>96</v>
      </c>
      <c r="H17" s="21" t="s">
        <v>96</v>
      </c>
      <c r="I17" s="6" t="s">
        <v>95</v>
      </c>
    </row>
    <row r="18">
      <c r="A18" s="31"/>
      <c r="B18" s="131"/>
      <c r="C18" s="23" t="s">
        <v>659</v>
      </c>
      <c r="D18" s="24" t="s">
        <v>638</v>
      </c>
      <c r="E18" s="25"/>
      <c r="F18" s="132" t="s">
        <v>660</v>
      </c>
      <c r="G18" s="27" t="s">
        <v>100</v>
      </c>
      <c r="H18" s="26" t="s">
        <v>661</v>
      </c>
      <c r="I18" s="26" t="s">
        <v>662</v>
      </c>
      <c r="J18" s="28"/>
      <c r="K18" s="28"/>
      <c r="L18" s="28"/>
      <c r="M18" s="28"/>
      <c r="N18" s="29"/>
      <c r="O18" s="26" t="s">
        <v>642</v>
      </c>
      <c r="P18" s="29"/>
      <c r="Q18" s="29"/>
      <c r="R18" s="29"/>
      <c r="S18" s="26" t="s">
        <v>663</v>
      </c>
      <c r="T18" s="26" t="s">
        <v>664</v>
      </c>
      <c r="U18" s="52"/>
      <c r="V18" s="52"/>
      <c r="W18" s="52" t="s">
        <v>665</v>
      </c>
      <c r="X18" s="30" t="s">
        <v>666</v>
      </c>
      <c r="Y18" s="31"/>
      <c r="Z18" s="52"/>
      <c r="AA18" s="52" t="s">
        <v>667</v>
      </c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>
      <c r="B19" s="20"/>
      <c r="C19" s="32" t="s">
        <v>106</v>
      </c>
      <c r="D19" s="33"/>
      <c r="E19" s="33"/>
      <c r="F19" s="33"/>
      <c r="G19" s="33"/>
      <c r="H19" s="33"/>
      <c r="I19" s="34"/>
      <c r="J19" s="35"/>
      <c r="K19" s="34"/>
      <c r="L19" s="36"/>
      <c r="M19" s="36"/>
      <c r="N19" s="37" t="s">
        <v>107</v>
      </c>
      <c r="O19" s="33"/>
      <c r="P19" s="33"/>
      <c r="Q19" s="34"/>
      <c r="R19" s="116"/>
      <c r="S19" s="38" t="s">
        <v>108</v>
      </c>
      <c r="T19" s="33"/>
      <c r="U19" s="33"/>
      <c r="V19" s="33"/>
      <c r="W19" s="34"/>
      <c r="X19" s="39" t="s">
        <v>109</v>
      </c>
      <c r="Y19" s="33"/>
      <c r="Z19" s="34"/>
    </row>
    <row r="20">
      <c r="A20" s="47"/>
      <c r="B20" s="40"/>
      <c r="C20" s="41" t="s">
        <v>110</v>
      </c>
      <c r="D20" s="42" t="s">
        <v>111</v>
      </c>
      <c r="E20" s="43" t="s">
        <v>112</v>
      </c>
      <c r="F20" s="44" t="s">
        <v>113</v>
      </c>
      <c r="G20" s="41" t="s">
        <v>114</v>
      </c>
      <c r="H20" s="41" t="s">
        <v>115</v>
      </c>
      <c r="I20" s="45" t="s">
        <v>116</v>
      </c>
      <c r="J20" s="43" t="s">
        <v>117</v>
      </c>
      <c r="K20" s="43" t="s">
        <v>118</v>
      </c>
      <c r="L20" s="43" t="s">
        <v>119</v>
      </c>
      <c r="M20" s="43" t="s">
        <v>560</v>
      </c>
      <c r="N20" s="44" t="s">
        <v>121</v>
      </c>
      <c r="O20" s="44" t="s">
        <v>122</v>
      </c>
      <c r="P20" s="44" t="s">
        <v>123</v>
      </c>
      <c r="Q20" s="44" t="s">
        <v>124</v>
      </c>
      <c r="R20" s="43" t="s">
        <v>280</v>
      </c>
      <c r="S20" s="43" t="s">
        <v>648</v>
      </c>
      <c r="T20" s="43" t="s">
        <v>649</v>
      </c>
      <c r="U20" s="6"/>
      <c r="V20" s="6"/>
      <c r="W20" s="6" t="s">
        <v>196</v>
      </c>
      <c r="X20" s="43" t="s">
        <v>127</v>
      </c>
      <c r="Y20" s="43" t="s">
        <v>128</v>
      </c>
      <c r="Z20" s="43" t="s">
        <v>129</v>
      </c>
      <c r="AA20" s="3" t="s">
        <v>130</v>
      </c>
      <c r="AB20" s="3" t="s">
        <v>131</v>
      </c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>
      <c r="B21" s="117" t="s">
        <v>650</v>
      </c>
      <c r="C21" s="6">
        <v>1.0</v>
      </c>
      <c r="D21" s="133">
        <v>1.0</v>
      </c>
      <c r="E21" s="6">
        <v>1.0</v>
      </c>
      <c r="F21" s="119">
        <v>4.68750001E8</v>
      </c>
      <c r="G21" s="6">
        <v>1.0</v>
      </c>
      <c r="H21" s="6">
        <v>1.0</v>
      </c>
      <c r="I21" s="134">
        <f t="shared" ref="I21:I23" si="6">ROUNDUP(F21/(Q21*N21*O21*P21))</f>
        <v>1</v>
      </c>
      <c r="J21" s="6" t="s">
        <v>564</v>
      </c>
      <c r="K21" s="6" t="s">
        <v>564</v>
      </c>
      <c r="L21" s="6"/>
      <c r="M21" s="6"/>
      <c r="N21" s="6">
        <v>16.0</v>
      </c>
      <c r="O21" s="6">
        <v>8.0</v>
      </c>
      <c r="P21" s="6">
        <v>32.0</v>
      </c>
      <c r="Q21" s="6">
        <v>262144.0</v>
      </c>
      <c r="R21" s="6">
        <v>4096.0</v>
      </c>
      <c r="S21" s="10">
        <v>27.72</v>
      </c>
      <c r="T21" s="10">
        <v>28.98</v>
      </c>
      <c r="W21" s="10">
        <v>2.52</v>
      </c>
      <c r="Z21" s="18"/>
      <c r="AA21" s="18">
        <f t="shared" ref="AA21:AA23" si="7">E21*W21*R21*2</f>
        <v>20643.84</v>
      </c>
      <c r="AB21" s="119">
        <v>7.591792E7</v>
      </c>
    </row>
    <row r="22">
      <c r="B22" s="117" t="s">
        <v>651</v>
      </c>
      <c r="C22" s="6">
        <v>1.0</v>
      </c>
      <c r="D22" s="133">
        <v>1.0</v>
      </c>
      <c r="E22" s="6">
        <v>1.0</v>
      </c>
      <c r="F22" s="119">
        <v>4.68750001E8</v>
      </c>
      <c r="G22" s="6">
        <v>1.0</v>
      </c>
      <c r="H22" s="6">
        <v>1.0</v>
      </c>
      <c r="I22" s="134">
        <f t="shared" si="6"/>
        <v>1</v>
      </c>
      <c r="J22" s="6" t="s">
        <v>564</v>
      </c>
      <c r="K22" s="6" t="s">
        <v>564</v>
      </c>
      <c r="L22" s="6"/>
      <c r="M22" s="6"/>
      <c r="N22" s="6">
        <v>16.0</v>
      </c>
      <c r="O22" s="6">
        <v>8.0</v>
      </c>
      <c r="P22" s="6">
        <v>32.0</v>
      </c>
      <c r="Q22" s="6">
        <v>262144.0</v>
      </c>
      <c r="R22" s="6">
        <v>4096.0</v>
      </c>
      <c r="S22" s="10">
        <v>27.72</v>
      </c>
      <c r="T22" s="10">
        <v>28.98</v>
      </c>
      <c r="W22" s="10">
        <v>2.52</v>
      </c>
      <c r="Z22" s="18"/>
      <c r="AA22" s="18">
        <f t="shared" si="7"/>
        <v>20643.84</v>
      </c>
    </row>
    <row r="23">
      <c r="B23" s="117" t="s">
        <v>652</v>
      </c>
      <c r="C23" s="6">
        <v>1.0</v>
      </c>
      <c r="D23" s="133">
        <v>1.0</v>
      </c>
      <c r="E23" s="6">
        <v>1.0</v>
      </c>
      <c r="F23" s="119">
        <v>4.68750001E8</v>
      </c>
      <c r="G23" s="6">
        <v>1.0</v>
      </c>
      <c r="H23" s="6">
        <v>1.0</v>
      </c>
      <c r="I23" s="134">
        <f t="shared" si="6"/>
        <v>1</v>
      </c>
      <c r="J23" s="6" t="s">
        <v>564</v>
      </c>
      <c r="K23" s="6" t="s">
        <v>564</v>
      </c>
      <c r="L23" s="6"/>
      <c r="M23" s="6"/>
      <c r="N23" s="6">
        <v>16.0</v>
      </c>
      <c r="O23" s="6">
        <v>8.0</v>
      </c>
      <c r="P23" s="6">
        <v>32.0</v>
      </c>
      <c r="Q23" s="6">
        <v>262144.0</v>
      </c>
      <c r="R23" s="6">
        <v>4096.0</v>
      </c>
      <c r="S23" s="10">
        <v>27.72</v>
      </c>
      <c r="T23" s="10">
        <v>28.98</v>
      </c>
      <c r="W23" s="10">
        <v>2.52</v>
      </c>
      <c r="Z23" s="18"/>
      <c r="AA23" s="18">
        <f t="shared" si="7"/>
        <v>20643.84</v>
      </c>
    </row>
    <row r="24">
      <c r="A24" s="135"/>
      <c r="B24" s="136"/>
      <c r="C24" s="9"/>
      <c r="D24" s="137"/>
      <c r="E24" s="9"/>
      <c r="F24" s="138"/>
      <c r="G24" s="9"/>
      <c r="H24" s="9"/>
      <c r="I24" s="139"/>
      <c r="J24" s="56" t="s">
        <v>142</v>
      </c>
      <c r="K24" s="56" t="s">
        <v>143</v>
      </c>
      <c r="L24" s="9"/>
      <c r="M24" s="9"/>
      <c r="N24" s="9"/>
      <c r="O24" s="6"/>
      <c r="Q24" s="6"/>
      <c r="R24" s="6"/>
      <c r="S24" s="140"/>
      <c r="T24" s="140"/>
      <c r="U24" s="140"/>
      <c r="V24" s="140"/>
      <c r="W24" s="140"/>
      <c r="X24" s="140"/>
      <c r="Y24" s="140"/>
      <c r="Z24" s="141"/>
      <c r="AA24" s="141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</row>
    <row r="25">
      <c r="A25" s="135" t="s">
        <v>668</v>
      </c>
      <c r="B25" s="136" t="s">
        <v>669</v>
      </c>
      <c r="C25" s="9">
        <v>1.0</v>
      </c>
      <c r="D25" s="137">
        <v>256.0</v>
      </c>
      <c r="E25" s="9">
        <v>1.0</v>
      </c>
      <c r="F25" s="138">
        <v>4.68750001E8</v>
      </c>
      <c r="G25" s="9">
        <v>256.0</v>
      </c>
      <c r="H25" s="9">
        <v>1.0</v>
      </c>
      <c r="I25" s="139">
        <f>ROUNDUP(F25/(Q25*N25*O25*P25))</f>
        <v>1</v>
      </c>
      <c r="J25" s="9">
        <v>1.0</v>
      </c>
      <c r="K25" s="143">
        <v>53.14</v>
      </c>
      <c r="L25" s="9"/>
      <c r="M25" s="9"/>
      <c r="N25" s="9">
        <v>16.0</v>
      </c>
      <c r="O25" s="6">
        <v>8.0</v>
      </c>
      <c r="P25" s="6">
        <v>32.0</v>
      </c>
      <c r="Q25" s="6">
        <v>262144.0</v>
      </c>
      <c r="R25" s="6">
        <v>4096.0</v>
      </c>
      <c r="S25" s="140">
        <v>27.72</v>
      </c>
      <c r="T25" s="140">
        <v>28.98</v>
      </c>
      <c r="U25" s="140"/>
      <c r="V25" s="140"/>
      <c r="W25" s="140">
        <v>2.52</v>
      </c>
      <c r="X25" s="140"/>
      <c r="Y25" s="140"/>
      <c r="Z25" s="141"/>
      <c r="AA25" s="141">
        <f>D25*E25*J25*K25</f>
        <v>13603.84</v>
      </c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</row>
    <row r="26">
      <c r="B26" s="117" t="s">
        <v>655</v>
      </c>
      <c r="C26" s="6">
        <v>1.0</v>
      </c>
      <c r="D26" s="133">
        <v>256.0</v>
      </c>
      <c r="E26" s="6">
        <v>8.0</v>
      </c>
      <c r="F26" s="119">
        <v>4.68750001E8</v>
      </c>
      <c r="G26" s="6">
        <v>256.0</v>
      </c>
      <c r="H26" s="6">
        <v>1.0</v>
      </c>
      <c r="I26" s="133">
        <v>1.0</v>
      </c>
      <c r="J26" s="6" t="s">
        <v>564</v>
      </c>
      <c r="K26" s="6" t="s">
        <v>564</v>
      </c>
      <c r="L26" s="6"/>
      <c r="M26" s="6"/>
      <c r="N26" s="6">
        <v>16.0</v>
      </c>
      <c r="O26" s="6">
        <v>8.0</v>
      </c>
      <c r="P26" s="6">
        <v>32.0</v>
      </c>
      <c r="Q26" s="6">
        <v>262144.0</v>
      </c>
      <c r="R26" s="6">
        <v>4096.0</v>
      </c>
      <c r="S26" s="10">
        <v>27.72</v>
      </c>
      <c r="T26" s="10">
        <v>28.98</v>
      </c>
      <c r="W26" s="10">
        <v>2.52</v>
      </c>
      <c r="Z26" s="18"/>
      <c r="AA26" s="141">
        <f>R26*W26*2</f>
        <v>20643.84</v>
      </c>
    </row>
    <row r="27" ht="16.5" customHeight="1">
      <c r="B27" s="142"/>
      <c r="C27" s="143"/>
      <c r="D27" s="144"/>
      <c r="E27" s="143"/>
      <c r="F27" s="145"/>
      <c r="G27" s="143"/>
      <c r="H27" s="143"/>
      <c r="I27" s="146"/>
      <c r="J27" s="56" t="s">
        <v>142</v>
      </c>
      <c r="K27" s="56" t="s">
        <v>143</v>
      </c>
      <c r="L27" s="143"/>
      <c r="M27" s="143"/>
      <c r="N27" s="143"/>
      <c r="O27" s="143"/>
      <c r="P27" s="143"/>
      <c r="Q27" s="143"/>
      <c r="R27" s="143"/>
      <c r="S27" s="147"/>
      <c r="T27" s="147"/>
      <c r="U27" s="147"/>
      <c r="V27" s="147"/>
      <c r="W27" s="147"/>
      <c r="X27" s="147"/>
      <c r="Y27" s="147"/>
      <c r="Z27" s="148"/>
      <c r="AA27" s="148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</row>
    <row r="28" ht="16.5" customHeight="1">
      <c r="B28" s="142" t="s">
        <v>670</v>
      </c>
      <c r="C28" s="143">
        <v>1.0</v>
      </c>
      <c r="D28" s="144">
        <f t="shared" ref="D28:D30" si="8">(G28/H28)*C28*I28</f>
        <v>256</v>
      </c>
      <c r="E28" s="143">
        <v>8.0</v>
      </c>
      <c r="F28" s="145">
        <v>4.68750001E8</v>
      </c>
      <c r="G28" s="143">
        <v>256.0</v>
      </c>
      <c r="H28" s="143">
        <v>1.0</v>
      </c>
      <c r="I28" s="146">
        <f t="shared" ref="I28:I30" si="9">ROUNDUP(F28/(Q28*N28*O28*P28))</f>
        <v>1</v>
      </c>
      <c r="J28" s="143">
        <v>4.0</v>
      </c>
      <c r="K28" s="143">
        <v>53.14</v>
      </c>
      <c r="L28" s="143"/>
      <c r="M28" s="143"/>
      <c r="N28" s="143">
        <v>16.0</v>
      </c>
      <c r="O28" s="143">
        <v>8.0</v>
      </c>
      <c r="P28" s="143">
        <v>32.0</v>
      </c>
      <c r="Q28" s="143">
        <v>262144.0</v>
      </c>
      <c r="R28" s="143">
        <v>4096.0</v>
      </c>
      <c r="S28" s="147">
        <v>27.72</v>
      </c>
      <c r="T28" s="147">
        <v>28.98</v>
      </c>
      <c r="U28" s="147"/>
      <c r="V28" s="147"/>
      <c r="W28" s="147">
        <v>2.52</v>
      </c>
      <c r="X28" s="147"/>
      <c r="Y28" s="147"/>
      <c r="Z28" s="148"/>
      <c r="AA28" s="148">
        <f t="shared" ref="AA28:AA29" si="10">D28*E28*J28*K28</f>
        <v>435322.88</v>
      </c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</row>
    <row r="29">
      <c r="B29" s="117" t="s">
        <v>671</v>
      </c>
      <c r="C29" s="6">
        <v>1.0</v>
      </c>
      <c r="D29" s="133">
        <f t="shared" si="8"/>
        <v>256</v>
      </c>
      <c r="E29" s="6">
        <v>8.0</v>
      </c>
      <c r="F29" s="119">
        <v>4.68750001E8</v>
      </c>
      <c r="G29" s="6">
        <v>256.0</v>
      </c>
      <c r="H29" s="6">
        <v>1.0</v>
      </c>
      <c r="I29" s="134">
        <f t="shared" si="9"/>
        <v>1</v>
      </c>
      <c r="J29" s="6">
        <v>1.0</v>
      </c>
      <c r="K29" s="143">
        <v>53.14</v>
      </c>
      <c r="N29" s="6">
        <v>16.0</v>
      </c>
      <c r="O29" s="143">
        <v>8.0</v>
      </c>
      <c r="P29" s="143">
        <v>32.0</v>
      </c>
      <c r="Q29" s="6">
        <v>262144.0</v>
      </c>
      <c r="R29" s="6">
        <v>4096.0</v>
      </c>
      <c r="S29" s="10">
        <v>27.72</v>
      </c>
      <c r="T29" s="10">
        <v>28.98</v>
      </c>
      <c r="W29" s="10">
        <v>2.52</v>
      </c>
      <c r="Z29" s="18"/>
      <c r="AA29" s="148">
        <f t="shared" si="10"/>
        <v>108830.72</v>
      </c>
    </row>
    <row r="30">
      <c r="B30" s="149" t="s">
        <v>658</v>
      </c>
      <c r="C30" s="143">
        <v>1.0</v>
      </c>
      <c r="D30" s="144">
        <f t="shared" si="8"/>
        <v>3584</v>
      </c>
      <c r="E30" s="150" t="s">
        <v>564</v>
      </c>
      <c r="F30" s="145">
        <v>4.68750001E8</v>
      </c>
      <c r="G30" s="143">
        <v>256.0</v>
      </c>
      <c r="H30" s="143">
        <v>1.0</v>
      </c>
      <c r="I30" s="146">
        <f t="shared" si="9"/>
        <v>14</v>
      </c>
      <c r="J30" s="143" t="s">
        <v>564</v>
      </c>
      <c r="K30" s="143" t="s">
        <v>564</v>
      </c>
      <c r="L30" s="143"/>
      <c r="M30" s="143"/>
      <c r="N30" s="143">
        <v>16.0</v>
      </c>
      <c r="O30" s="143">
        <v>8.0</v>
      </c>
      <c r="P30" s="151">
        <v>1.0</v>
      </c>
      <c r="Q30" s="143">
        <v>262144.0</v>
      </c>
      <c r="R30" s="143">
        <v>4096.0</v>
      </c>
      <c r="S30" s="147">
        <v>27.72</v>
      </c>
      <c r="T30" s="147">
        <v>28.98</v>
      </c>
      <c r="U30" s="147"/>
      <c r="V30" s="147"/>
      <c r="W30" s="147">
        <v>2.52</v>
      </c>
      <c r="X30" s="147"/>
      <c r="Y30" s="147"/>
      <c r="Z30" s="147"/>
      <c r="AA30" s="148">
        <f>I30*(N30*O30*P30*Q30/N30)*1.01*0.63</f>
        <v>18681849.45</v>
      </c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</row>
    <row r="31">
      <c r="B31" s="20"/>
      <c r="Z31" s="6" t="s">
        <v>204</v>
      </c>
      <c r="AA31" s="18">
        <f>sum(AA21:AA30)</f>
        <v>19322182.25</v>
      </c>
    </row>
    <row r="32">
      <c r="B32" s="20"/>
    </row>
    <row r="33">
      <c r="A33" s="19" t="s">
        <v>368</v>
      </c>
    </row>
    <row r="34">
      <c r="B34" s="20"/>
      <c r="D34" s="6" t="s">
        <v>95</v>
      </c>
      <c r="F34" s="21" t="s">
        <v>96</v>
      </c>
      <c r="H34" s="21" t="s">
        <v>96</v>
      </c>
      <c r="I34" s="6" t="s">
        <v>95</v>
      </c>
    </row>
    <row r="35">
      <c r="A35" s="31"/>
      <c r="B35" s="131"/>
      <c r="C35" s="23" t="s">
        <v>672</v>
      </c>
      <c r="D35" s="24" t="s">
        <v>638</v>
      </c>
      <c r="E35" s="25"/>
      <c r="F35" s="132" t="s">
        <v>673</v>
      </c>
      <c r="G35" s="27" t="s">
        <v>100</v>
      </c>
      <c r="H35" s="26" t="s">
        <v>674</v>
      </c>
      <c r="I35" s="26" t="s">
        <v>675</v>
      </c>
      <c r="J35" s="28"/>
      <c r="K35" s="28"/>
      <c r="L35" s="28"/>
      <c r="M35" s="28"/>
      <c r="N35" s="29"/>
      <c r="O35" s="26" t="s">
        <v>642</v>
      </c>
      <c r="P35" s="29"/>
      <c r="Q35" s="29"/>
      <c r="R35" s="29"/>
      <c r="S35" s="26" t="s">
        <v>676</v>
      </c>
      <c r="T35" s="26" t="s">
        <v>677</v>
      </c>
      <c r="U35" s="52"/>
      <c r="V35" s="52"/>
      <c r="W35" s="52" t="s">
        <v>678</v>
      </c>
      <c r="X35" s="30" t="s">
        <v>679</v>
      </c>
      <c r="Y35" s="31"/>
      <c r="Z35" s="52"/>
      <c r="AA35" s="52" t="s">
        <v>680</v>
      </c>
      <c r="AE35" s="31"/>
      <c r="AF35" s="31"/>
      <c r="AG35" s="31"/>
      <c r="AH35" s="31"/>
      <c r="AI35" s="31"/>
      <c r="AJ35" s="31"/>
      <c r="AK35" s="31"/>
      <c r="AL35" s="31"/>
    </row>
    <row r="36">
      <c r="B36" s="20"/>
      <c r="C36" s="32" t="s">
        <v>106</v>
      </c>
      <c r="D36" s="33"/>
      <c r="E36" s="33"/>
      <c r="F36" s="33"/>
      <c r="G36" s="33"/>
      <c r="H36" s="33"/>
      <c r="I36" s="34"/>
      <c r="J36" s="35"/>
      <c r="K36" s="34"/>
      <c r="L36" s="36"/>
      <c r="M36" s="36"/>
      <c r="N36" s="37" t="s">
        <v>107</v>
      </c>
      <c r="O36" s="33"/>
      <c r="P36" s="33"/>
      <c r="Q36" s="34"/>
      <c r="R36" s="116"/>
      <c r="S36" s="38" t="s">
        <v>108</v>
      </c>
      <c r="T36" s="33"/>
      <c r="U36" s="33"/>
      <c r="V36" s="33"/>
      <c r="W36" s="34"/>
      <c r="X36" s="39" t="s">
        <v>109</v>
      </c>
      <c r="Y36" s="33"/>
      <c r="Z36" s="34"/>
    </row>
    <row r="37">
      <c r="A37" s="47"/>
      <c r="B37" s="40"/>
      <c r="C37" s="41" t="s">
        <v>110</v>
      </c>
      <c r="D37" s="42" t="s">
        <v>111</v>
      </c>
      <c r="E37" s="43" t="s">
        <v>112</v>
      </c>
      <c r="F37" s="44" t="s">
        <v>113</v>
      </c>
      <c r="G37" s="41" t="s">
        <v>114</v>
      </c>
      <c r="H37" s="41" t="s">
        <v>115</v>
      </c>
      <c r="I37" s="45" t="s">
        <v>116</v>
      </c>
      <c r="J37" s="43" t="s">
        <v>117</v>
      </c>
      <c r="K37" s="43" t="s">
        <v>118</v>
      </c>
      <c r="L37" s="43" t="s">
        <v>119</v>
      </c>
      <c r="M37" s="43" t="s">
        <v>560</v>
      </c>
      <c r="N37" s="44" t="s">
        <v>121</v>
      </c>
      <c r="O37" s="44" t="s">
        <v>122</v>
      </c>
      <c r="P37" s="44" t="s">
        <v>123</v>
      </c>
      <c r="Q37" s="44" t="s">
        <v>124</v>
      </c>
      <c r="R37" s="43" t="s">
        <v>280</v>
      </c>
      <c r="S37" s="43" t="s">
        <v>648</v>
      </c>
      <c r="T37" s="43" t="s">
        <v>649</v>
      </c>
      <c r="U37" s="6"/>
      <c r="V37" s="6"/>
      <c r="W37" s="6" t="s">
        <v>196</v>
      </c>
      <c r="X37" s="43" t="s">
        <v>127</v>
      </c>
      <c r="Y37" s="43" t="s">
        <v>128</v>
      </c>
      <c r="Z37" s="43" t="s">
        <v>129</v>
      </c>
      <c r="AA37" s="3" t="s">
        <v>130</v>
      </c>
      <c r="AB37" s="3" t="s">
        <v>131</v>
      </c>
      <c r="AE37" s="47"/>
      <c r="AF37" s="47"/>
      <c r="AG37" s="47"/>
      <c r="AH37" s="47"/>
      <c r="AI37" s="47"/>
      <c r="AJ37" s="47"/>
      <c r="AK37" s="47"/>
      <c r="AL37" s="47"/>
    </row>
    <row r="38">
      <c r="B38" s="117" t="s">
        <v>650</v>
      </c>
      <c r="C38" s="6">
        <v>1.0</v>
      </c>
      <c r="D38" s="133">
        <v>1.0</v>
      </c>
      <c r="E38" s="6">
        <v>1.0</v>
      </c>
      <c r="F38" s="119">
        <v>4.68750001E8</v>
      </c>
      <c r="G38" s="6">
        <v>1.0</v>
      </c>
      <c r="H38" s="6">
        <v>1.0</v>
      </c>
      <c r="I38" s="134">
        <f t="shared" ref="I38:I41" si="11">ROUNDUP(F38/(Q38*N38*O38*P38))</f>
        <v>14</v>
      </c>
      <c r="J38" s="6" t="s">
        <v>564</v>
      </c>
      <c r="K38" s="6" t="s">
        <v>564</v>
      </c>
      <c r="L38" s="6"/>
      <c r="M38" s="6"/>
      <c r="N38" s="6">
        <v>16.0</v>
      </c>
      <c r="O38" s="6">
        <v>8.0</v>
      </c>
      <c r="P38" s="6">
        <v>2.0</v>
      </c>
      <c r="Q38" s="6">
        <v>131072.0</v>
      </c>
      <c r="R38" s="6">
        <v>4096.0</v>
      </c>
      <c r="S38" s="10">
        <v>27.72</v>
      </c>
      <c r="T38" s="10">
        <v>28.98</v>
      </c>
      <c r="W38" s="10">
        <v>2.52</v>
      </c>
      <c r="Z38" s="18"/>
      <c r="AA38" s="18">
        <f t="shared" ref="AA38:AA40" si="12">E38*W38*R38*2</f>
        <v>20643.84</v>
      </c>
      <c r="AB38" s="119">
        <v>7.591792E7</v>
      </c>
    </row>
    <row r="39">
      <c r="B39" s="117" t="s">
        <v>651</v>
      </c>
      <c r="C39" s="6">
        <v>1.0</v>
      </c>
      <c r="D39" s="133">
        <v>1.0</v>
      </c>
      <c r="E39" s="6">
        <v>1.0</v>
      </c>
      <c r="F39" s="119">
        <v>4.68750001E8</v>
      </c>
      <c r="G39" s="6">
        <v>1.0</v>
      </c>
      <c r="H39" s="6">
        <v>1.0</v>
      </c>
      <c r="I39" s="134">
        <f t="shared" si="11"/>
        <v>14</v>
      </c>
      <c r="J39" s="6" t="s">
        <v>564</v>
      </c>
      <c r="K39" s="6" t="s">
        <v>564</v>
      </c>
      <c r="L39" s="6"/>
      <c r="M39" s="6"/>
      <c r="N39" s="6">
        <v>16.0</v>
      </c>
      <c r="O39" s="6">
        <v>8.0</v>
      </c>
      <c r="P39" s="6">
        <v>2.0</v>
      </c>
      <c r="Q39" s="6">
        <v>131072.0</v>
      </c>
      <c r="R39" s="6">
        <v>4096.0</v>
      </c>
      <c r="S39" s="10">
        <v>27.72</v>
      </c>
      <c r="T39" s="10">
        <v>28.98</v>
      </c>
      <c r="W39" s="10">
        <v>2.52</v>
      </c>
      <c r="Z39" s="18"/>
      <c r="AA39" s="18">
        <f t="shared" si="12"/>
        <v>20643.84</v>
      </c>
    </row>
    <row r="40">
      <c r="B40" s="117" t="s">
        <v>652</v>
      </c>
      <c r="C40" s="6">
        <v>1.0</v>
      </c>
      <c r="D40" s="133">
        <v>1.0</v>
      </c>
      <c r="E40" s="6">
        <v>1.0</v>
      </c>
      <c r="F40" s="119">
        <v>4.68750001E8</v>
      </c>
      <c r="G40" s="6">
        <v>1.0</v>
      </c>
      <c r="H40" s="6">
        <v>1.0</v>
      </c>
      <c r="I40" s="134">
        <f t="shared" si="11"/>
        <v>14</v>
      </c>
      <c r="J40" s="6" t="s">
        <v>564</v>
      </c>
      <c r="K40" s="6" t="s">
        <v>564</v>
      </c>
      <c r="L40" s="6"/>
      <c r="M40" s="6"/>
      <c r="N40" s="6">
        <v>16.0</v>
      </c>
      <c r="O40" s="6">
        <v>8.0</v>
      </c>
      <c r="P40" s="6">
        <v>2.0</v>
      </c>
      <c r="Q40" s="6">
        <v>131072.0</v>
      </c>
      <c r="R40" s="6">
        <v>4096.0</v>
      </c>
      <c r="S40" s="10">
        <v>27.72</v>
      </c>
      <c r="T40" s="10">
        <v>28.98</v>
      </c>
      <c r="W40" s="10">
        <v>2.52</v>
      </c>
      <c r="Z40" s="18"/>
      <c r="AA40" s="18">
        <f t="shared" si="12"/>
        <v>20643.84</v>
      </c>
    </row>
    <row r="41">
      <c r="A41" s="135" t="s">
        <v>681</v>
      </c>
      <c r="B41" s="136" t="s">
        <v>654</v>
      </c>
      <c r="C41" s="9">
        <v>1.0</v>
      </c>
      <c r="D41" s="137">
        <v>256.0</v>
      </c>
      <c r="E41" s="9">
        <v>1.0</v>
      </c>
      <c r="F41" s="138">
        <v>4.68750001E8</v>
      </c>
      <c r="G41" s="9">
        <v>256.0</v>
      </c>
      <c r="H41" s="9">
        <v>1.0</v>
      </c>
      <c r="I41" s="139">
        <f t="shared" si="11"/>
        <v>14</v>
      </c>
      <c r="J41" s="9">
        <v>1.0</v>
      </c>
      <c r="K41" s="9">
        <v>1.0</v>
      </c>
      <c r="L41" s="9"/>
      <c r="M41" s="9"/>
      <c r="N41" s="9">
        <v>16.0</v>
      </c>
      <c r="O41" s="6">
        <v>8.0</v>
      </c>
      <c r="P41" s="6">
        <v>2.0</v>
      </c>
      <c r="Q41" s="6">
        <v>131072.0</v>
      </c>
      <c r="R41" s="6">
        <v>4096.0</v>
      </c>
      <c r="S41" s="140">
        <v>27.72</v>
      </c>
      <c r="T41" s="140">
        <v>28.98</v>
      </c>
      <c r="U41" s="140"/>
      <c r="V41" s="140"/>
      <c r="W41" s="140">
        <v>2.52</v>
      </c>
      <c r="X41" s="140"/>
      <c r="Y41" s="140"/>
      <c r="Z41" s="141"/>
      <c r="AA41" s="141">
        <f>D41*E41*J41*S41+D41*E41*K41*T41</f>
        <v>14515.2</v>
      </c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</row>
    <row r="42">
      <c r="B42" s="117" t="s">
        <v>655</v>
      </c>
      <c r="C42" s="6">
        <v>1.0</v>
      </c>
      <c r="D42" s="133">
        <v>256.0</v>
      </c>
      <c r="E42" s="6">
        <v>8.0</v>
      </c>
      <c r="F42" s="119">
        <v>4.68750001E8</v>
      </c>
      <c r="G42" s="6">
        <v>256.0</v>
      </c>
      <c r="H42" s="6">
        <v>1.0</v>
      </c>
      <c r="I42" s="133">
        <v>1.0</v>
      </c>
      <c r="J42" s="6" t="s">
        <v>564</v>
      </c>
      <c r="K42" s="6" t="s">
        <v>564</v>
      </c>
      <c r="L42" s="6"/>
      <c r="M42" s="6"/>
      <c r="N42" s="6">
        <v>16.0</v>
      </c>
      <c r="O42" s="6">
        <v>8.0</v>
      </c>
      <c r="P42" s="6">
        <v>2.0</v>
      </c>
      <c r="Q42" s="6">
        <v>131072.0</v>
      </c>
      <c r="R42" s="6">
        <v>4096.0</v>
      </c>
      <c r="S42" s="10">
        <v>27.72</v>
      </c>
      <c r="T42" s="10">
        <v>28.98</v>
      </c>
      <c r="W42" s="10">
        <v>2.52</v>
      </c>
      <c r="Z42" s="18"/>
      <c r="AA42" s="141">
        <f>R42*W42*2</f>
        <v>20643.84</v>
      </c>
    </row>
    <row r="43">
      <c r="B43" s="142" t="s">
        <v>656</v>
      </c>
      <c r="C43" s="143">
        <v>1.0</v>
      </c>
      <c r="D43" s="144">
        <f t="shared" ref="D43:D45" si="13">(G43/H43)*C43*I43</f>
        <v>3584</v>
      </c>
      <c r="E43" s="143">
        <v>8.0</v>
      </c>
      <c r="F43" s="145">
        <v>4.68750001E8</v>
      </c>
      <c r="G43" s="143">
        <v>256.0</v>
      </c>
      <c r="H43" s="143">
        <v>1.0</v>
      </c>
      <c r="I43" s="146">
        <f t="shared" ref="I43:I45" si="14">ROUNDUP(F43/(Q43*N43*O43*P43))</f>
        <v>14</v>
      </c>
      <c r="J43" s="6">
        <v>4.0</v>
      </c>
      <c r="K43" s="6">
        <v>2.0</v>
      </c>
      <c r="L43" s="6">
        <v>6.0</v>
      </c>
      <c r="M43" s="6">
        <v>2.52</v>
      </c>
      <c r="N43" s="143">
        <v>16.0</v>
      </c>
      <c r="O43" s="6">
        <v>8.0</v>
      </c>
      <c r="P43" s="6">
        <v>2.0</v>
      </c>
      <c r="Q43" s="6">
        <v>131072.0</v>
      </c>
      <c r="R43" s="143">
        <v>4096.0</v>
      </c>
      <c r="S43" s="147">
        <v>27.72</v>
      </c>
      <c r="T43" s="147">
        <v>28.98</v>
      </c>
      <c r="U43" s="147"/>
      <c r="V43" s="147"/>
      <c r="W43" s="147">
        <v>2.52</v>
      </c>
      <c r="X43" s="147"/>
      <c r="Y43" s="147"/>
      <c r="Z43" s="148"/>
      <c r="AA43" s="148">
        <f t="shared" ref="AA43:AA44" si="15">D43*E43*J43*S43+D43*E43*K43*T43+D43*E43*L43*M43</f>
        <v>5274501.12</v>
      </c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</row>
    <row r="44">
      <c r="B44" s="117" t="s">
        <v>657</v>
      </c>
      <c r="C44" s="6">
        <v>1.0</v>
      </c>
      <c r="D44" s="133">
        <f t="shared" si="13"/>
        <v>3584</v>
      </c>
      <c r="E44" s="6">
        <v>8.0</v>
      </c>
      <c r="F44" s="119">
        <v>4.68750001E8</v>
      </c>
      <c r="G44" s="6">
        <v>256.0</v>
      </c>
      <c r="H44" s="6">
        <v>1.0</v>
      </c>
      <c r="I44" s="134">
        <f t="shared" si="14"/>
        <v>14</v>
      </c>
      <c r="J44" s="6">
        <v>2.0</v>
      </c>
      <c r="K44" s="6">
        <v>1.0</v>
      </c>
      <c r="L44" s="6">
        <v>3.0</v>
      </c>
      <c r="M44" s="6">
        <v>2.52</v>
      </c>
      <c r="N44" s="6">
        <v>16.0</v>
      </c>
      <c r="O44" s="6">
        <v>8.0</v>
      </c>
      <c r="P44" s="6">
        <v>2.0</v>
      </c>
      <c r="Q44" s="6">
        <v>131072.0</v>
      </c>
      <c r="R44" s="6">
        <v>4096.0</v>
      </c>
      <c r="S44" s="10">
        <v>27.72</v>
      </c>
      <c r="T44" s="10">
        <v>28.98</v>
      </c>
      <c r="W44" s="10">
        <v>2.52</v>
      </c>
      <c r="Z44" s="18"/>
      <c r="AA44" s="141">
        <f t="shared" si="15"/>
        <v>2637250.56</v>
      </c>
    </row>
    <row r="45">
      <c r="B45" s="149" t="s">
        <v>658</v>
      </c>
      <c r="C45" s="143">
        <v>1.0</v>
      </c>
      <c r="D45" s="144">
        <f t="shared" si="13"/>
        <v>7168</v>
      </c>
      <c r="E45" s="150" t="s">
        <v>564</v>
      </c>
      <c r="F45" s="145">
        <v>4.68750001E8</v>
      </c>
      <c r="G45" s="143">
        <v>256.0</v>
      </c>
      <c r="H45" s="143">
        <v>1.0</v>
      </c>
      <c r="I45" s="146">
        <f t="shared" si="14"/>
        <v>28</v>
      </c>
      <c r="J45" s="143" t="s">
        <v>564</v>
      </c>
      <c r="K45" s="143" t="s">
        <v>564</v>
      </c>
      <c r="L45" s="143"/>
      <c r="M45" s="143"/>
      <c r="N45" s="143">
        <v>16.0</v>
      </c>
      <c r="O45" s="6">
        <v>8.0</v>
      </c>
      <c r="P45" s="151">
        <v>1.0</v>
      </c>
      <c r="Q45" s="6">
        <v>131072.0</v>
      </c>
      <c r="R45" s="143">
        <v>4096.0</v>
      </c>
      <c r="S45" s="147">
        <v>27.72</v>
      </c>
      <c r="T45" s="147">
        <v>28.98</v>
      </c>
      <c r="U45" s="147"/>
      <c r="V45" s="147"/>
      <c r="W45" s="147">
        <v>2.52</v>
      </c>
      <c r="X45" s="147"/>
      <c r="Y45" s="147"/>
      <c r="Z45" s="147"/>
      <c r="AA45" s="148">
        <f>I45*(N45*O45*P45*Q45/N45)*1.01*0.63</f>
        <v>18681849.45</v>
      </c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</row>
    <row r="46">
      <c r="B46" s="20"/>
      <c r="D46" s="134"/>
      <c r="Z46" s="6" t="s">
        <v>204</v>
      </c>
      <c r="AA46" s="18">
        <f>sum(AA43+AA45)</f>
        <v>23956350.57</v>
      </c>
    </row>
    <row r="47">
      <c r="A47" s="71"/>
      <c r="B47" s="152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15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</row>
    <row r="48">
      <c r="A48" s="19" t="s">
        <v>378</v>
      </c>
    </row>
    <row r="49">
      <c r="B49" s="20"/>
      <c r="D49" s="6" t="s">
        <v>95</v>
      </c>
      <c r="F49" s="21" t="s">
        <v>96</v>
      </c>
      <c r="H49" s="21" t="s">
        <v>96</v>
      </c>
      <c r="I49" s="6" t="s">
        <v>95</v>
      </c>
    </row>
    <row r="50">
      <c r="A50" s="31"/>
      <c r="B50" s="131"/>
      <c r="C50" s="23" t="s">
        <v>682</v>
      </c>
      <c r="D50" s="24" t="s">
        <v>638</v>
      </c>
      <c r="E50" s="25"/>
      <c r="F50" s="132" t="s">
        <v>683</v>
      </c>
      <c r="G50" s="27" t="s">
        <v>100</v>
      </c>
      <c r="H50" s="26" t="s">
        <v>684</v>
      </c>
      <c r="I50" s="26" t="s">
        <v>685</v>
      </c>
      <c r="J50" s="28"/>
      <c r="K50" s="28"/>
      <c r="L50" s="28"/>
      <c r="M50" s="28"/>
      <c r="N50" s="29"/>
      <c r="O50" s="26" t="s">
        <v>642</v>
      </c>
      <c r="P50" s="29"/>
      <c r="Q50" s="29"/>
      <c r="R50" s="29"/>
      <c r="S50" s="26" t="s">
        <v>686</v>
      </c>
      <c r="T50" s="26" t="s">
        <v>687</v>
      </c>
      <c r="U50" s="52"/>
      <c r="V50" s="52"/>
      <c r="W50" s="52" t="s">
        <v>688</v>
      </c>
      <c r="X50" s="30" t="s">
        <v>689</v>
      </c>
      <c r="Y50" s="31"/>
      <c r="Z50" s="52"/>
      <c r="AA50" s="52" t="s">
        <v>690</v>
      </c>
      <c r="AE50" s="31"/>
      <c r="AF50" s="31"/>
      <c r="AG50" s="31"/>
      <c r="AH50" s="31"/>
      <c r="AI50" s="31"/>
      <c r="AJ50" s="31"/>
      <c r="AK50" s="31"/>
      <c r="AL50" s="31"/>
    </row>
    <row r="51">
      <c r="B51" s="20"/>
      <c r="C51" s="32" t="s">
        <v>106</v>
      </c>
      <c r="D51" s="33"/>
      <c r="E51" s="33"/>
      <c r="F51" s="33"/>
      <c r="G51" s="33"/>
      <c r="H51" s="33"/>
      <c r="I51" s="34"/>
      <c r="J51" s="35"/>
      <c r="K51" s="34"/>
      <c r="L51" s="36"/>
      <c r="M51" s="36"/>
      <c r="N51" s="37" t="s">
        <v>107</v>
      </c>
      <c r="O51" s="33"/>
      <c r="P51" s="33"/>
      <c r="Q51" s="34"/>
      <c r="R51" s="116"/>
      <c r="S51" s="38" t="s">
        <v>108</v>
      </c>
      <c r="T51" s="33"/>
      <c r="U51" s="33"/>
      <c r="V51" s="33"/>
      <c r="W51" s="34"/>
      <c r="X51" s="39" t="s">
        <v>109</v>
      </c>
      <c r="Y51" s="33"/>
      <c r="Z51" s="34"/>
    </row>
    <row r="52">
      <c r="A52" s="47"/>
      <c r="B52" s="40"/>
      <c r="C52" s="41" t="s">
        <v>110</v>
      </c>
      <c r="D52" s="42" t="s">
        <v>111</v>
      </c>
      <c r="E52" s="43" t="s">
        <v>112</v>
      </c>
      <c r="F52" s="44" t="s">
        <v>113</v>
      </c>
      <c r="G52" s="41" t="s">
        <v>114</v>
      </c>
      <c r="H52" s="41" t="s">
        <v>115</v>
      </c>
      <c r="I52" s="45" t="s">
        <v>116</v>
      </c>
      <c r="J52" s="43" t="s">
        <v>117</v>
      </c>
      <c r="K52" s="43" t="s">
        <v>118</v>
      </c>
      <c r="L52" s="43" t="s">
        <v>119</v>
      </c>
      <c r="M52" s="43" t="s">
        <v>560</v>
      </c>
      <c r="N52" s="44" t="s">
        <v>121</v>
      </c>
      <c r="O52" s="44" t="s">
        <v>122</v>
      </c>
      <c r="P52" s="44" t="s">
        <v>123</v>
      </c>
      <c r="Q52" s="44" t="s">
        <v>124</v>
      </c>
      <c r="R52" s="43" t="s">
        <v>280</v>
      </c>
      <c r="S52" s="43" t="s">
        <v>648</v>
      </c>
      <c r="T52" s="43" t="s">
        <v>649</v>
      </c>
      <c r="U52" s="6"/>
      <c r="V52" s="6"/>
      <c r="W52" s="6" t="s">
        <v>196</v>
      </c>
      <c r="X52" s="43" t="s">
        <v>127</v>
      </c>
      <c r="Y52" s="43" t="s">
        <v>128</v>
      </c>
      <c r="Z52" s="43" t="s">
        <v>129</v>
      </c>
      <c r="AA52" s="3" t="s">
        <v>130</v>
      </c>
      <c r="AB52" s="3" t="s">
        <v>131</v>
      </c>
      <c r="AE52" s="47"/>
      <c r="AF52" s="47"/>
      <c r="AG52" s="47"/>
      <c r="AH52" s="47"/>
      <c r="AI52" s="47"/>
      <c r="AJ52" s="47"/>
      <c r="AK52" s="47"/>
      <c r="AL52" s="47"/>
    </row>
    <row r="53">
      <c r="B53" s="117" t="s">
        <v>650</v>
      </c>
      <c r="C53" s="6">
        <v>1.0</v>
      </c>
      <c r="D53" s="133">
        <v>1.0</v>
      </c>
      <c r="E53" s="6">
        <v>1.0</v>
      </c>
      <c r="F53" s="119">
        <v>4.68750001E8</v>
      </c>
      <c r="G53" s="6">
        <v>1.0</v>
      </c>
      <c r="H53" s="6">
        <v>1.0</v>
      </c>
      <c r="I53" s="134">
        <f t="shared" ref="I53:I56" si="16">ROUNDUP(F53/(Q53*N53*O53*P53))</f>
        <v>1</v>
      </c>
      <c r="J53" s="6" t="s">
        <v>564</v>
      </c>
      <c r="K53" s="6" t="s">
        <v>564</v>
      </c>
      <c r="L53" s="6"/>
      <c r="M53" s="6"/>
      <c r="N53" s="6">
        <v>16.0</v>
      </c>
      <c r="O53" s="6">
        <v>8.0</v>
      </c>
      <c r="P53" s="6">
        <v>32.0</v>
      </c>
      <c r="Q53" s="6">
        <v>131072.0</v>
      </c>
      <c r="R53" s="6">
        <v>4096.0</v>
      </c>
      <c r="S53" s="10">
        <v>27.72</v>
      </c>
      <c r="T53" s="10">
        <v>28.98</v>
      </c>
      <c r="W53" s="10">
        <v>2.52</v>
      </c>
      <c r="Z53" s="18"/>
      <c r="AA53" s="18">
        <f t="shared" ref="AA53:AA55" si="17">E53*W53*R53*2</f>
        <v>20643.84</v>
      </c>
      <c r="AB53" s="119">
        <v>7.591792E7</v>
      </c>
    </row>
    <row r="54">
      <c r="B54" s="117" t="s">
        <v>651</v>
      </c>
      <c r="C54" s="6">
        <v>1.0</v>
      </c>
      <c r="D54" s="133">
        <v>1.0</v>
      </c>
      <c r="E54" s="6">
        <v>1.0</v>
      </c>
      <c r="F54" s="119">
        <v>4.68750001E8</v>
      </c>
      <c r="G54" s="6">
        <v>1.0</v>
      </c>
      <c r="H54" s="6">
        <v>1.0</v>
      </c>
      <c r="I54" s="134">
        <f t="shared" si="16"/>
        <v>1</v>
      </c>
      <c r="J54" s="6" t="s">
        <v>564</v>
      </c>
      <c r="K54" s="6" t="s">
        <v>564</v>
      </c>
      <c r="L54" s="6"/>
      <c r="M54" s="6"/>
      <c r="N54" s="6">
        <v>16.0</v>
      </c>
      <c r="O54" s="6">
        <v>8.0</v>
      </c>
      <c r="P54" s="6">
        <v>32.0</v>
      </c>
      <c r="Q54" s="6">
        <v>131072.0</v>
      </c>
      <c r="R54" s="6">
        <v>4096.0</v>
      </c>
      <c r="S54" s="10">
        <v>27.72</v>
      </c>
      <c r="T54" s="10">
        <v>28.98</v>
      </c>
      <c r="W54" s="10">
        <v>2.52</v>
      </c>
      <c r="Z54" s="18"/>
      <c r="AA54" s="18">
        <f t="shared" si="17"/>
        <v>20643.84</v>
      </c>
    </row>
    <row r="55">
      <c r="B55" s="117" t="s">
        <v>652</v>
      </c>
      <c r="C55" s="6">
        <v>1.0</v>
      </c>
      <c r="D55" s="133">
        <v>1.0</v>
      </c>
      <c r="E55" s="6">
        <v>1.0</v>
      </c>
      <c r="F55" s="119">
        <v>4.68750001E8</v>
      </c>
      <c r="G55" s="6">
        <v>1.0</v>
      </c>
      <c r="H55" s="6">
        <v>1.0</v>
      </c>
      <c r="I55" s="134">
        <f t="shared" si="16"/>
        <v>1</v>
      </c>
      <c r="J55" s="6" t="s">
        <v>564</v>
      </c>
      <c r="K55" s="6" t="s">
        <v>564</v>
      </c>
      <c r="L55" s="6"/>
      <c r="M55" s="6"/>
      <c r="N55" s="6">
        <v>16.0</v>
      </c>
      <c r="O55" s="6">
        <v>8.0</v>
      </c>
      <c r="P55" s="6">
        <v>32.0</v>
      </c>
      <c r="Q55" s="6">
        <v>131072.0</v>
      </c>
      <c r="R55" s="6">
        <v>4096.0</v>
      </c>
      <c r="S55" s="10">
        <v>27.72</v>
      </c>
      <c r="T55" s="10">
        <v>28.98</v>
      </c>
      <c r="W55" s="10">
        <v>2.52</v>
      </c>
      <c r="Z55" s="18"/>
      <c r="AA55" s="18">
        <f t="shared" si="17"/>
        <v>20643.84</v>
      </c>
    </row>
    <row r="56">
      <c r="A56" s="135" t="s">
        <v>691</v>
      </c>
      <c r="B56" s="136" t="s">
        <v>654</v>
      </c>
      <c r="C56" s="9">
        <v>1.0</v>
      </c>
      <c r="D56" s="137">
        <v>256.0</v>
      </c>
      <c r="E56" s="9">
        <v>1.0</v>
      </c>
      <c r="F56" s="138">
        <v>4.68750001E8</v>
      </c>
      <c r="G56" s="9">
        <v>256.0</v>
      </c>
      <c r="H56" s="9">
        <v>1.0</v>
      </c>
      <c r="I56" s="139">
        <f t="shared" si="16"/>
        <v>1</v>
      </c>
      <c r="J56" s="9">
        <v>1.0</v>
      </c>
      <c r="K56" s="9">
        <v>1.0</v>
      </c>
      <c r="L56" s="9"/>
      <c r="M56" s="9"/>
      <c r="N56" s="9">
        <v>16.0</v>
      </c>
      <c r="O56" s="6">
        <v>8.0</v>
      </c>
      <c r="P56" s="6">
        <v>32.0</v>
      </c>
      <c r="Q56" s="6">
        <v>131072.0</v>
      </c>
      <c r="R56" s="6">
        <v>4096.0</v>
      </c>
      <c r="S56" s="140">
        <v>27.72</v>
      </c>
      <c r="T56" s="140">
        <v>28.98</v>
      </c>
      <c r="U56" s="140"/>
      <c r="V56" s="140"/>
      <c r="W56" s="140">
        <v>2.52</v>
      </c>
      <c r="X56" s="140"/>
      <c r="Y56" s="140"/>
      <c r="Z56" s="141"/>
      <c r="AA56" s="141">
        <f>D56*E56*J56*S56+D56*E56*K56*T56</f>
        <v>14515.2</v>
      </c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</row>
    <row r="57">
      <c r="B57" s="117" t="s">
        <v>655</v>
      </c>
      <c r="C57" s="6">
        <v>1.0</v>
      </c>
      <c r="D57" s="133">
        <v>256.0</v>
      </c>
      <c r="E57" s="6">
        <v>8.0</v>
      </c>
      <c r="F57" s="119">
        <v>4.68750001E8</v>
      </c>
      <c r="G57" s="6">
        <v>256.0</v>
      </c>
      <c r="H57" s="6">
        <v>1.0</v>
      </c>
      <c r="I57" s="133">
        <v>1.0</v>
      </c>
      <c r="J57" s="6" t="s">
        <v>564</v>
      </c>
      <c r="K57" s="6" t="s">
        <v>564</v>
      </c>
      <c r="L57" s="6"/>
      <c r="M57" s="6"/>
      <c r="N57" s="6">
        <v>16.0</v>
      </c>
      <c r="O57" s="6">
        <v>8.0</v>
      </c>
      <c r="P57" s="6">
        <v>32.0</v>
      </c>
      <c r="Q57" s="6">
        <v>131072.0</v>
      </c>
      <c r="R57" s="6">
        <v>4096.0</v>
      </c>
      <c r="S57" s="10">
        <v>27.72</v>
      </c>
      <c r="T57" s="10">
        <v>28.98</v>
      </c>
      <c r="W57" s="10">
        <v>2.52</v>
      </c>
      <c r="Z57" s="18"/>
      <c r="AA57" s="141">
        <f>R57*W57*2</f>
        <v>20643.84</v>
      </c>
    </row>
    <row r="58">
      <c r="B58" s="142" t="s">
        <v>656</v>
      </c>
      <c r="C58" s="143">
        <v>1.0</v>
      </c>
      <c r="D58" s="144">
        <f t="shared" ref="D58:D60" si="18">(G58/H58)*C58*I58</f>
        <v>256</v>
      </c>
      <c r="E58" s="143">
        <v>8.0</v>
      </c>
      <c r="F58" s="145">
        <v>4.68750001E8</v>
      </c>
      <c r="G58" s="143">
        <v>256.0</v>
      </c>
      <c r="H58" s="143">
        <v>1.0</v>
      </c>
      <c r="I58" s="146">
        <f t="shared" ref="I58:I60" si="19">ROUNDUP(F58/(Q58*N58*O58*P58))</f>
        <v>1</v>
      </c>
      <c r="J58" s="6">
        <v>3.0</v>
      </c>
      <c r="K58" s="6">
        <v>2.0</v>
      </c>
      <c r="L58" s="6">
        <v>12.0</v>
      </c>
      <c r="M58" s="6">
        <v>2.52</v>
      </c>
      <c r="N58" s="143">
        <v>16.0</v>
      </c>
      <c r="O58" s="6">
        <v>8.0</v>
      </c>
      <c r="P58" s="6">
        <v>32.0</v>
      </c>
      <c r="Q58" s="6">
        <v>131072.0</v>
      </c>
      <c r="R58" s="143">
        <v>4096.0</v>
      </c>
      <c r="S58" s="147">
        <v>27.72</v>
      </c>
      <c r="T58" s="147">
        <v>28.98</v>
      </c>
      <c r="U58" s="147"/>
      <c r="V58" s="147"/>
      <c r="W58" s="147">
        <v>2.52</v>
      </c>
      <c r="X58" s="147"/>
      <c r="Y58" s="147"/>
      <c r="Z58" s="148"/>
      <c r="AA58" s="148">
        <f t="shared" ref="AA58:AA59" si="20">D58*E58*J58*S58+D58*E58*K58*T58+D58*E58*L58*M58</f>
        <v>350945.28</v>
      </c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</row>
    <row r="59">
      <c r="B59" s="117" t="s">
        <v>657</v>
      </c>
      <c r="C59" s="6">
        <v>1.0</v>
      </c>
      <c r="D59" s="133">
        <f t="shared" si="18"/>
        <v>256</v>
      </c>
      <c r="E59" s="6">
        <v>8.0</v>
      </c>
      <c r="F59" s="119">
        <v>4.68750001E8</v>
      </c>
      <c r="G59" s="6">
        <v>256.0</v>
      </c>
      <c r="H59" s="6">
        <v>1.0</v>
      </c>
      <c r="I59" s="134">
        <f t="shared" si="19"/>
        <v>1</v>
      </c>
      <c r="J59" s="6">
        <v>2.0</v>
      </c>
      <c r="K59" s="6">
        <v>1.0</v>
      </c>
      <c r="L59" s="6">
        <v>4.0</v>
      </c>
      <c r="M59" s="6">
        <v>2.52</v>
      </c>
      <c r="N59" s="6">
        <v>16.0</v>
      </c>
      <c r="O59" s="6">
        <v>8.0</v>
      </c>
      <c r="P59" s="6">
        <v>32.0</v>
      </c>
      <c r="Q59" s="6">
        <v>131072.0</v>
      </c>
      <c r="R59" s="6">
        <v>4096.0</v>
      </c>
      <c r="S59" s="10">
        <v>27.72</v>
      </c>
      <c r="T59" s="10">
        <v>28.98</v>
      </c>
      <c r="W59" s="10">
        <v>2.52</v>
      </c>
      <c r="Z59" s="18"/>
      <c r="AA59" s="141">
        <f t="shared" si="20"/>
        <v>193536</v>
      </c>
    </row>
    <row r="60">
      <c r="B60" s="149" t="s">
        <v>658</v>
      </c>
      <c r="C60" s="143">
        <v>1.0</v>
      </c>
      <c r="D60" s="144">
        <f t="shared" si="18"/>
        <v>7168</v>
      </c>
      <c r="E60" s="150" t="s">
        <v>564</v>
      </c>
      <c r="F60" s="145">
        <v>4.68750001E8</v>
      </c>
      <c r="G60" s="143">
        <v>256.0</v>
      </c>
      <c r="H60" s="143">
        <v>1.0</v>
      </c>
      <c r="I60" s="146">
        <f t="shared" si="19"/>
        <v>28</v>
      </c>
      <c r="J60" s="143" t="s">
        <v>564</v>
      </c>
      <c r="K60" s="143" t="s">
        <v>564</v>
      </c>
      <c r="L60" s="143"/>
      <c r="M60" s="143"/>
      <c r="N60" s="143">
        <v>16.0</v>
      </c>
      <c r="O60" s="6">
        <v>8.0</v>
      </c>
      <c r="P60" s="151">
        <v>1.0</v>
      </c>
      <c r="Q60" s="6">
        <v>131072.0</v>
      </c>
      <c r="R60" s="143">
        <v>4096.0</v>
      </c>
      <c r="S60" s="147">
        <v>27.72</v>
      </c>
      <c r="T60" s="147">
        <v>28.98</v>
      </c>
      <c r="U60" s="147"/>
      <c r="V60" s="147"/>
      <c r="W60" s="147">
        <v>2.52</v>
      </c>
      <c r="X60" s="147"/>
      <c r="Y60" s="147"/>
      <c r="Z60" s="147"/>
      <c r="AA60" s="148">
        <f>I60*(N60*O60*P60*Q60/N60)*1.01*0.63</f>
        <v>18681849.45</v>
      </c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</row>
    <row r="61">
      <c r="B61" s="20"/>
      <c r="D61" s="134"/>
      <c r="Z61" s="6" t="s">
        <v>204</v>
      </c>
      <c r="AA61" s="18">
        <f>sum(AA58+AA60)</f>
        <v>19032794.73</v>
      </c>
    </row>
    <row r="62">
      <c r="B62" s="20"/>
    </row>
    <row r="63">
      <c r="A63" s="19" t="s">
        <v>388</v>
      </c>
    </row>
    <row r="64">
      <c r="B64" s="20"/>
      <c r="D64" s="6" t="s">
        <v>95</v>
      </c>
      <c r="F64" s="21" t="s">
        <v>96</v>
      </c>
      <c r="H64" s="21" t="s">
        <v>96</v>
      </c>
      <c r="I64" s="6" t="s">
        <v>95</v>
      </c>
    </row>
    <row r="65">
      <c r="A65" s="31"/>
      <c r="B65" s="131"/>
      <c r="C65" s="23" t="s">
        <v>692</v>
      </c>
      <c r="D65" s="24" t="s">
        <v>638</v>
      </c>
      <c r="E65" s="25"/>
      <c r="F65" s="132" t="s">
        <v>693</v>
      </c>
      <c r="G65" s="27" t="s">
        <v>100</v>
      </c>
      <c r="H65" s="26" t="s">
        <v>694</v>
      </c>
      <c r="I65" s="26" t="s">
        <v>695</v>
      </c>
      <c r="J65" s="28"/>
      <c r="K65" s="28"/>
      <c r="L65" s="28"/>
      <c r="M65" s="28"/>
      <c r="N65" s="29"/>
      <c r="O65" s="26" t="s">
        <v>642</v>
      </c>
      <c r="P65" s="29"/>
      <c r="Q65" s="29"/>
      <c r="R65" s="29"/>
      <c r="S65" s="26" t="s">
        <v>696</v>
      </c>
      <c r="T65" s="26" t="s">
        <v>697</v>
      </c>
      <c r="U65" s="52"/>
      <c r="V65" s="52"/>
      <c r="W65" s="52" t="s">
        <v>698</v>
      </c>
      <c r="X65" s="30" t="s">
        <v>699</v>
      </c>
      <c r="Y65" s="31"/>
      <c r="Z65" s="52"/>
      <c r="AA65" s="52" t="s">
        <v>700</v>
      </c>
      <c r="AE65" s="31"/>
      <c r="AF65" s="31"/>
      <c r="AG65" s="31"/>
      <c r="AH65" s="31"/>
      <c r="AI65" s="31"/>
      <c r="AJ65" s="31"/>
      <c r="AK65" s="31"/>
      <c r="AL65" s="31"/>
    </row>
    <row r="66">
      <c r="B66" s="20"/>
      <c r="C66" s="32" t="s">
        <v>106</v>
      </c>
      <c r="D66" s="33"/>
      <c r="E66" s="33"/>
      <c r="F66" s="33"/>
      <c r="G66" s="33"/>
      <c r="H66" s="33"/>
      <c r="I66" s="34"/>
      <c r="J66" s="35"/>
      <c r="K66" s="34"/>
      <c r="L66" s="36"/>
      <c r="M66" s="36"/>
      <c r="N66" s="37" t="s">
        <v>107</v>
      </c>
      <c r="O66" s="33"/>
      <c r="P66" s="33"/>
      <c r="Q66" s="34"/>
      <c r="R66" s="116"/>
      <c r="S66" s="38" t="s">
        <v>108</v>
      </c>
      <c r="T66" s="33"/>
      <c r="U66" s="33"/>
      <c r="V66" s="33"/>
      <c r="W66" s="34"/>
      <c r="X66" s="39" t="s">
        <v>109</v>
      </c>
      <c r="Y66" s="33"/>
      <c r="Z66" s="34"/>
    </row>
    <row r="67">
      <c r="A67" s="47"/>
      <c r="B67" s="40"/>
      <c r="C67" s="41" t="s">
        <v>110</v>
      </c>
      <c r="D67" s="42" t="s">
        <v>111</v>
      </c>
      <c r="E67" s="43" t="s">
        <v>112</v>
      </c>
      <c r="F67" s="44" t="s">
        <v>113</v>
      </c>
      <c r="G67" s="41" t="s">
        <v>114</v>
      </c>
      <c r="H67" s="41" t="s">
        <v>115</v>
      </c>
      <c r="I67" s="45" t="s">
        <v>116</v>
      </c>
      <c r="J67" s="43" t="s">
        <v>117</v>
      </c>
      <c r="K67" s="43" t="s">
        <v>118</v>
      </c>
      <c r="L67" s="43" t="s">
        <v>119</v>
      </c>
      <c r="M67" s="43" t="s">
        <v>560</v>
      </c>
      <c r="N67" s="44" t="s">
        <v>121</v>
      </c>
      <c r="O67" s="44" t="s">
        <v>122</v>
      </c>
      <c r="P67" s="44" t="s">
        <v>123</v>
      </c>
      <c r="Q67" s="44" t="s">
        <v>124</v>
      </c>
      <c r="R67" s="43" t="s">
        <v>280</v>
      </c>
      <c r="S67" s="43" t="s">
        <v>648</v>
      </c>
      <c r="T67" s="43" t="s">
        <v>649</v>
      </c>
      <c r="U67" s="6"/>
      <c r="V67" s="6"/>
      <c r="W67" s="6" t="s">
        <v>196</v>
      </c>
      <c r="X67" s="43" t="s">
        <v>127</v>
      </c>
      <c r="Y67" s="43" t="s">
        <v>128</v>
      </c>
      <c r="Z67" s="43" t="s">
        <v>129</v>
      </c>
      <c r="AA67" s="3" t="s">
        <v>130</v>
      </c>
      <c r="AB67" s="3" t="s">
        <v>131</v>
      </c>
      <c r="AE67" s="47"/>
      <c r="AF67" s="47"/>
      <c r="AG67" s="47"/>
      <c r="AH67" s="47"/>
      <c r="AI67" s="47"/>
      <c r="AJ67" s="47"/>
      <c r="AK67" s="47"/>
      <c r="AL67" s="47"/>
    </row>
    <row r="68">
      <c r="B68" s="117" t="s">
        <v>650</v>
      </c>
      <c r="C68" s="6">
        <v>1.0</v>
      </c>
      <c r="D68" s="133">
        <v>1.0</v>
      </c>
      <c r="E68" s="6">
        <v>1.0</v>
      </c>
      <c r="F68" s="119">
        <v>4.68750001E8</v>
      </c>
      <c r="G68" s="6">
        <v>1.0</v>
      </c>
      <c r="H68" s="6">
        <v>1.0</v>
      </c>
      <c r="I68" s="134">
        <f t="shared" ref="I68:I71" si="21">ROUNDUP(F68/(Q68*N68*O68*P68))</f>
        <v>4</v>
      </c>
      <c r="J68" s="6" t="s">
        <v>564</v>
      </c>
      <c r="K68" s="6" t="s">
        <v>564</v>
      </c>
      <c r="L68" s="6"/>
      <c r="M68" s="6"/>
      <c r="N68" s="6">
        <v>16.0</v>
      </c>
      <c r="O68" s="6">
        <v>8.0</v>
      </c>
      <c r="P68" s="6">
        <v>8.0</v>
      </c>
      <c r="Q68" s="6">
        <v>131072.0</v>
      </c>
      <c r="R68" s="6">
        <v>4096.0</v>
      </c>
      <c r="S68" s="10">
        <v>27.72</v>
      </c>
      <c r="T68" s="10">
        <v>28.98</v>
      </c>
      <c r="W68" s="10">
        <v>2.52</v>
      </c>
      <c r="Z68" s="18"/>
      <c r="AA68" s="18">
        <f t="shared" ref="AA68:AA70" si="22">E68*W68*R68*2</f>
        <v>20643.84</v>
      </c>
      <c r="AB68" s="119">
        <v>7.591792E7</v>
      </c>
    </row>
    <row r="69">
      <c r="B69" s="117" t="s">
        <v>651</v>
      </c>
      <c r="C69" s="6">
        <v>1.0</v>
      </c>
      <c r="D69" s="133">
        <v>1.0</v>
      </c>
      <c r="E69" s="6">
        <v>1.0</v>
      </c>
      <c r="F69" s="119">
        <v>4.68750001E8</v>
      </c>
      <c r="G69" s="6">
        <v>1.0</v>
      </c>
      <c r="H69" s="6">
        <v>1.0</v>
      </c>
      <c r="I69" s="134">
        <f t="shared" si="21"/>
        <v>4</v>
      </c>
      <c r="J69" s="6" t="s">
        <v>564</v>
      </c>
      <c r="K69" s="6" t="s">
        <v>564</v>
      </c>
      <c r="L69" s="6"/>
      <c r="M69" s="6"/>
      <c r="N69" s="6">
        <v>16.0</v>
      </c>
      <c r="O69" s="6">
        <v>8.0</v>
      </c>
      <c r="P69" s="6">
        <v>8.0</v>
      </c>
      <c r="Q69" s="6">
        <v>131072.0</v>
      </c>
      <c r="R69" s="6">
        <v>4096.0</v>
      </c>
      <c r="S69" s="10">
        <v>27.72</v>
      </c>
      <c r="T69" s="10">
        <v>28.98</v>
      </c>
      <c r="W69" s="10">
        <v>2.52</v>
      </c>
      <c r="Z69" s="18"/>
      <c r="AA69" s="18">
        <f t="shared" si="22"/>
        <v>20643.84</v>
      </c>
    </row>
    <row r="70">
      <c r="B70" s="117" t="s">
        <v>652</v>
      </c>
      <c r="C70" s="6">
        <v>1.0</v>
      </c>
      <c r="D70" s="133">
        <v>1.0</v>
      </c>
      <c r="E70" s="6">
        <v>1.0</v>
      </c>
      <c r="F70" s="119">
        <v>4.68750001E8</v>
      </c>
      <c r="G70" s="6">
        <v>1.0</v>
      </c>
      <c r="H70" s="6">
        <v>1.0</v>
      </c>
      <c r="I70" s="134">
        <f t="shared" si="21"/>
        <v>4</v>
      </c>
      <c r="J70" s="6" t="s">
        <v>564</v>
      </c>
      <c r="K70" s="6" t="s">
        <v>564</v>
      </c>
      <c r="L70" s="6"/>
      <c r="M70" s="6"/>
      <c r="N70" s="6">
        <v>16.0</v>
      </c>
      <c r="O70" s="6">
        <v>8.0</v>
      </c>
      <c r="P70" s="6">
        <v>8.0</v>
      </c>
      <c r="Q70" s="6">
        <v>131072.0</v>
      </c>
      <c r="R70" s="6">
        <v>4096.0</v>
      </c>
      <c r="S70" s="10">
        <v>27.72</v>
      </c>
      <c r="T70" s="10">
        <v>28.98</v>
      </c>
      <c r="W70" s="10">
        <v>2.52</v>
      </c>
      <c r="Z70" s="18"/>
      <c r="AA70" s="18">
        <f t="shared" si="22"/>
        <v>20643.84</v>
      </c>
    </row>
    <row r="71">
      <c r="A71" s="135" t="s">
        <v>701</v>
      </c>
      <c r="B71" s="136" t="s">
        <v>654</v>
      </c>
      <c r="C71" s="9">
        <v>1.0</v>
      </c>
      <c r="D71" s="137">
        <v>256.0</v>
      </c>
      <c r="E71" s="9">
        <v>1.0</v>
      </c>
      <c r="F71" s="138">
        <v>4.68750001E8</v>
      </c>
      <c r="G71" s="9">
        <v>256.0</v>
      </c>
      <c r="H71" s="9">
        <v>1.0</v>
      </c>
      <c r="I71" s="139">
        <f t="shared" si="21"/>
        <v>4</v>
      </c>
      <c r="J71" s="9">
        <v>1.0</v>
      </c>
      <c r="K71" s="9">
        <v>1.0</v>
      </c>
      <c r="L71" s="9"/>
      <c r="M71" s="9"/>
      <c r="N71" s="9">
        <v>16.0</v>
      </c>
      <c r="O71" s="6">
        <v>8.0</v>
      </c>
      <c r="P71" s="6">
        <v>8.0</v>
      </c>
      <c r="Q71" s="6">
        <v>131072.0</v>
      </c>
      <c r="R71" s="6">
        <v>4096.0</v>
      </c>
      <c r="S71" s="140">
        <v>27.72</v>
      </c>
      <c r="T71" s="140">
        <v>28.98</v>
      </c>
      <c r="U71" s="140"/>
      <c r="V71" s="140"/>
      <c r="W71" s="140">
        <v>2.52</v>
      </c>
      <c r="X71" s="140"/>
      <c r="Y71" s="140"/>
      <c r="Z71" s="141"/>
      <c r="AA71" s="141">
        <f>D71*E71*J71*S71+D71*E71*K71*T71</f>
        <v>14515.2</v>
      </c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</row>
    <row r="72">
      <c r="B72" s="117" t="s">
        <v>655</v>
      </c>
      <c r="C72" s="6">
        <v>1.0</v>
      </c>
      <c r="D72" s="133">
        <v>256.0</v>
      </c>
      <c r="E72" s="6">
        <v>8.0</v>
      </c>
      <c r="F72" s="119">
        <v>4.68750001E8</v>
      </c>
      <c r="G72" s="6">
        <v>256.0</v>
      </c>
      <c r="H72" s="6">
        <v>1.0</v>
      </c>
      <c r="I72" s="133">
        <v>1.0</v>
      </c>
      <c r="J72" s="6" t="s">
        <v>564</v>
      </c>
      <c r="K72" s="6" t="s">
        <v>564</v>
      </c>
      <c r="L72" s="6"/>
      <c r="M72" s="6"/>
      <c r="N72" s="6">
        <v>16.0</v>
      </c>
      <c r="O72" s="6">
        <v>8.0</v>
      </c>
      <c r="P72" s="6">
        <v>8.0</v>
      </c>
      <c r="Q72" s="6">
        <v>131072.0</v>
      </c>
      <c r="R72" s="6">
        <v>4096.0</v>
      </c>
      <c r="S72" s="10">
        <v>27.72</v>
      </c>
      <c r="T72" s="10">
        <v>28.98</v>
      </c>
      <c r="W72" s="10">
        <v>2.52</v>
      </c>
      <c r="Z72" s="18"/>
      <c r="AA72" s="141">
        <f>R72*W72*2</f>
        <v>20643.84</v>
      </c>
    </row>
    <row r="73">
      <c r="B73" s="142" t="s">
        <v>656</v>
      </c>
      <c r="C73" s="143">
        <v>1.0</v>
      </c>
      <c r="D73" s="144">
        <f t="shared" ref="D73:D75" si="23">(G73/H73)*C73*I73</f>
        <v>1024</v>
      </c>
      <c r="E73" s="143">
        <v>8.0</v>
      </c>
      <c r="F73" s="145">
        <v>4.68750001E8</v>
      </c>
      <c r="G73" s="143">
        <v>256.0</v>
      </c>
      <c r="H73" s="143">
        <v>1.0</v>
      </c>
      <c r="I73" s="146">
        <f t="shared" ref="I73:I75" si="24">ROUNDUP(F73/(Q73*N73*O73*P73))</f>
        <v>4</v>
      </c>
      <c r="J73" s="6">
        <v>2.0</v>
      </c>
      <c r="K73" s="10">
        <f>(E73+1)/E73</f>
        <v>1.125</v>
      </c>
      <c r="L73" s="6">
        <v>4.0</v>
      </c>
      <c r="M73" s="6">
        <v>2.52</v>
      </c>
      <c r="N73" s="143">
        <v>16.0</v>
      </c>
      <c r="O73" s="6">
        <v>8.0</v>
      </c>
      <c r="P73" s="6">
        <v>8.0</v>
      </c>
      <c r="Q73" s="6">
        <v>131072.0</v>
      </c>
      <c r="R73" s="143">
        <v>4096.0</v>
      </c>
      <c r="S73" s="147">
        <v>27.72</v>
      </c>
      <c r="T73" s="147">
        <v>28.98</v>
      </c>
      <c r="U73" s="147"/>
      <c r="V73" s="147"/>
      <c r="W73" s="147">
        <v>2.52</v>
      </c>
      <c r="X73" s="147"/>
      <c r="Y73" s="147"/>
      <c r="Z73" s="148"/>
      <c r="AA73" s="148">
        <f t="shared" ref="AA73:AA74" si="25">D73*E73*J73*S73+D73*E73*K73*T73+D73*E73*L73*M73</f>
        <v>803819.52</v>
      </c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</row>
    <row r="74">
      <c r="B74" s="117" t="s">
        <v>657</v>
      </c>
      <c r="C74" s="6">
        <v>1.0</v>
      </c>
      <c r="D74" s="133">
        <f t="shared" si="23"/>
        <v>1024</v>
      </c>
      <c r="E74" s="6">
        <v>8.0</v>
      </c>
      <c r="F74" s="119">
        <v>4.68750001E8</v>
      </c>
      <c r="G74" s="6">
        <v>256.0</v>
      </c>
      <c r="H74" s="6">
        <v>1.0</v>
      </c>
      <c r="I74" s="134">
        <f t="shared" si="24"/>
        <v>4</v>
      </c>
      <c r="J74" s="6">
        <v>2.0</v>
      </c>
      <c r="K74" s="6">
        <v>1.0</v>
      </c>
      <c r="L74" s="6">
        <v>2.0</v>
      </c>
      <c r="M74" s="6">
        <v>2.52</v>
      </c>
      <c r="N74" s="6">
        <v>16.0</v>
      </c>
      <c r="O74" s="6">
        <v>8.0</v>
      </c>
      <c r="P74" s="6">
        <v>8.0</v>
      </c>
      <c r="Q74" s="6">
        <v>131072.0</v>
      </c>
      <c r="R74" s="6">
        <v>4096.0</v>
      </c>
      <c r="S74" s="10">
        <v>27.72</v>
      </c>
      <c r="T74" s="10">
        <v>28.98</v>
      </c>
      <c r="W74" s="10">
        <v>2.52</v>
      </c>
      <c r="Z74" s="18"/>
      <c r="AA74" s="141">
        <f t="shared" si="25"/>
        <v>732856.32</v>
      </c>
    </row>
    <row r="75">
      <c r="B75" s="149" t="s">
        <v>658</v>
      </c>
      <c r="C75" s="143">
        <v>1.0</v>
      </c>
      <c r="D75" s="144">
        <f t="shared" si="23"/>
        <v>7168</v>
      </c>
      <c r="E75" s="150" t="s">
        <v>564</v>
      </c>
      <c r="F75" s="145">
        <v>4.68750001E8</v>
      </c>
      <c r="G75" s="143">
        <v>256.0</v>
      </c>
      <c r="H75" s="143">
        <v>1.0</v>
      </c>
      <c r="I75" s="146">
        <f t="shared" si="24"/>
        <v>28</v>
      </c>
      <c r="J75" s="143" t="s">
        <v>564</v>
      </c>
      <c r="K75" s="143" t="s">
        <v>564</v>
      </c>
      <c r="L75" s="143"/>
      <c r="M75" s="143"/>
      <c r="N75" s="143">
        <v>16.0</v>
      </c>
      <c r="O75" s="6">
        <v>8.0</v>
      </c>
      <c r="P75" s="151">
        <v>1.0</v>
      </c>
      <c r="Q75" s="6">
        <v>131072.0</v>
      </c>
      <c r="R75" s="143">
        <v>4096.0</v>
      </c>
      <c r="S75" s="147">
        <v>27.72</v>
      </c>
      <c r="T75" s="147">
        <v>28.98</v>
      </c>
      <c r="U75" s="147"/>
      <c r="V75" s="147"/>
      <c r="W75" s="147">
        <v>2.52</v>
      </c>
      <c r="X75" s="147"/>
      <c r="Y75" s="147"/>
      <c r="Z75" s="147"/>
      <c r="AA75" s="148">
        <f>I75*(N75*O75*P75*Q75/N75)*1.01*0.63</f>
        <v>18681849.45</v>
      </c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</row>
    <row r="76">
      <c r="B76" s="20"/>
      <c r="D76" s="134"/>
      <c r="Z76" s="6" t="s">
        <v>204</v>
      </c>
      <c r="AA76" s="18">
        <f>sum(AA73+AA75)</f>
        <v>19485668.97</v>
      </c>
    </row>
    <row r="77">
      <c r="B77" s="20"/>
    </row>
    <row r="78">
      <c r="A78" s="19" t="s">
        <v>398</v>
      </c>
    </row>
    <row r="79">
      <c r="B79" s="20"/>
      <c r="D79" s="6" t="s">
        <v>95</v>
      </c>
      <c r="F79" s="21" t="s">
        <v>96</v>
      </c>
      <c r="H79" s="21" t="s">
        <v>96</v>
      </c>
      <c r="I79" s="6" t="s">
        <v>95</v>
      </c>
    </row>
    <row r="80">
      <c r="A80" s="31"/>
      <c r="B80" s="131"/>
      <c r="C80" s="23" t="s">
        <v>702</v>
      </c>
      <c r="D80" s="24" t="s">
        <v>638</v>
      </c>
      <c r="E80" s="25"/>
      <c r="F80" s="132" t="s">
        <v>703</v>
      </c>
      <c r="G80" s="27" t="s">
        <v>100</v>
      </c>
      <c r="H80" s="26" t="s">
        <v>704</v>
      </c>
      <c r="I80" s="26" t="s">
        <v>705</v>
      </c>
      <c r="J80" s="28"/>
      <c r="K80" s="28"/>
      <c r="L80" s="28"/>
      <c r="M80" s="28"/>
      <c r="N80" s="29"/>
      <c r="O80" s="26" t="s">
        <v>642</v>
      </c>
      <c r="P80" s="29"/>
      <c r="Q80" s="29"/>
      <c r="R80" s="29"/>
      <c r="S80" s="26" t="s">
        <v>706</v>
      </c>
      <c r="T80" s="26" t="s">
        <v>707</v>
      </c>
      <c r="U80" s="52"/>
      <c r="V80" s="52"/>
      <c r="W80" s="52" t="s">
        <v>708</v>
      </c>
      <c r="X80" s="30" t="s">
        <v>709</v>
      </c>
      <c r="Y80" s="31"/>
      <c r="Z80" s="52"/>
      <c r="AA80" s="52" t="s">
        <v>710</v>
      </c>
      <c r="AE80" s="31"/>
      <c r="AF80" s="31"/>
      <c r="AG80" s="31"/>
      <c r="AH80" s="31"/>
      <c r="AI80" s="31"/>
      <c r="AJ80" s="31"/>
      <c r="AK80" s="31"/>
      <c r="AL80" s="31"/>
    </row>
    <row r="81">
      <c r="B81" s="20"/>
      <c r="C81" s="32" t="s">
        <v>106</v>
      </c>
      <c r="D81" s="33"/>
      <c r="E81" s="33"/>
      <c r="F81" s="33"/>
      <c r="G81" s="33"/>
      <c r="H81" s="33"/>
      <c r="I81" s="34"/>
      <c r="J81" s="35"/>
      <c r="K81" s="34"/>
      <c r="L81" s="36"/>
      <c r="M81" s="36"/>
      <c r="N81" s="37" t="s">
        <v>107</v>
      </c>
      <c r="O81" s="33"/>
      <c r="P81" s="33"/>
      <c r="Q81" s="34"/>
      <c r="R81" s="116"/>
      <c r="S81" s="38" t="s">
        <v>108</v>
      </c>
      <c r="T81" s="33"/>
      <c r="U81" s="33"/>
      <c r="V81" s="33"/>
      <c r="W81" s="34"/>
      <c r="X81" s="39" t="s">
        <v>109</v>
      </c>
      <c r="Y81" s="33"/>
      <c r="Z81" s="34"/>
    </row>
    <row r="82">
      <c r="A82" s="47"/>
      <c r="B82" s="40"/>
      <c r="C82" s="41" t="s">
        <v>110</v>
      </c>
      <c r="D82" s="42" t="s">
        <v>111</v>
      </c>
      <c r="E82" s="43" t="s">
        <v>112</v>
      </c>
      <c r="F82" s="44" t="s">
        <v>113</v>
      </c>
      <c r="G82" s="41" t="s">
        <v>114</v>
      </c>
      <c r="H82" s="41" t="s">
        <v>115</v>
      </c>
      <c r="I82" s="45" t="s">
        <v>116</v>
      </c>
      <c r="J82" s="43" t="s">
        <v>117</v>
      </c>
      <c r="K82" s="43" t="s">
        <v>118</v>
      </c>
      <c r="L82" s="43" t="s">
        <v>119</v>
      </c>
      <c r="M82" s="43" t="s">
        <v>560</v>
      </c>
      <c r="N82" s="44" t="s">
        <v>121</v>
      </c>
      <c r="O82" s="44" t="s">
        <v>122</v>
      </c>
      <c r="P82" s="44" t="s">
        <v>123</v>
      </c>
      <c r="Q82" s="44" t="s">
        <v>124</v>
      </c>
      <c r="R82" s="43" t="s">
        <v>280</v>
      </c>
      <c r="S82" s="43" t="s">
        <v>648</v>
      </c>
      <c r="T82" s="43" t="s">
        <v>649</v>
      </c>
      <c r="U82" s="6"/>
      <c r="V82" s="6"/>
      <c r="W82" s="6" t="s">
        <v>196</v>
      </c>
      <c r="X82" s="43" t="s">
        <v>127</v>
      </c>
      <c r="Y82" s="43" t="s">
        <v>128</v>
      </c>
      <c r="Z82" s="43" t="s">
        <v>129</v>
      </c>
      <c r="AA82" s="3" t="s">
        <v>130</v>
      </c>
      <c r="AB82" s="3" t="s">
        <v>131</v>
      </c>
      <c r="AE82" s="47"/>
      <c r="AF82" s="47"/>
      <c r="AG82" s="47"/>
      <c r="AH82" s="47"/>
      <c r="AI82" s="47"/>
      <c r="AJ82" s="47"/>
      <c r="AK82" s="47"/>
      <c r="AL82" s="47"/>
    </row>
    <row r="83">
      <c r="B83" s="117" t="s">
        <v>650</v>
      </c>
      <c r="C83" s="6">
        <v>1.0</v>
      </c>
      <c r="D83" s="133">
        <v>1.0</v>
      </c>
      <c r="E83" s="6">
        <v>1.0</v>
      </c>
      <c r="F83" s="119">
        <v>4.68750001E8</v>
      </c>
      <c r="G83" s="6">
        <v>1.0</v>
      </c>
      <c r="H83" s="6">
        <v>1.0</v>
      </c>
      <c r="I83" s="134">
        <f t="shared" ref="I83:I86" si="26">ROUNDUP(F83/(Q83*N83*O83*P83))</f>
        <v>1</v>
      </c>
      <c r="J83" s="6" t="s">
        <v>564</v>
      </c>
      <c r="K83" s="6" t="s">
        <v>564</v>
      </c>
      <c r="L83" s="6"/>
      <c r="M83" s="6"/>
      <c r="N83" s="6">
        <v>16.0</v>
      </c>
      <c r="O83" s="6">
        <v>8.0</v>
      </c>
      <c r="P83" s="6">
        <v>32.0</v>
      </c>
      <c r="Q83" s="6">
        <v>131072.0</v>
      </c>
      <c r="R83" s="6">
        <v>4096.0</v>
      </c>
      <c r="S83" s="10">
        <v>27.72</v>
      </c>
      <c r="T83" s="10">
        <v>28.98</v>
      </c>
      <c r="W83" s="10">
        <v>2.52</v>
      </c>
      <c r="Z83" s="18"/>
      <c r="AA83" s="18">
        <f t="shared" ref="AA83:AA85" si="27">E83*W83*R83*2</f>
        <v>20643.84</v>
      </c>
      <c r="AB83" s="119">
        <v>7.591792E7</v>
      </c>
    </row>
    <row r="84">
      <c r="B84" s="117" t="s">
        <v>651</v>
      </c>
      <c r="C84" s="6">
        <v>1.0</v>
      </c>
      <c r="D84" s="133">
        <v>1.0</v>
      </c>
      <c r="E84" s="6">
        <v>1.0</v>
      </c>
      <c r="F84" s="119">
        <v>4.68750001E8</v>
      </c>
      <c r="G84" s="6">
        <v>1.0</v>
      </c>
      <c r="H84" s="6">
        <v>1.0</v>
      </c>
      <c r="I84" s="134">
        <f t="shared" si="26"/>
        <v>1</v>
      </c>
      <c r="J84" s="6" t="s">
        <v>564</v>
      </c>
      <c r="K84" s="6" t="s">
        <v>564</v>
      </c>
      <c r="L84" s="6"/>
      <c r="M84" s="6"/>
      <c r="N84" s="6">
        <v>16.0</v>
      </c>
      <c r="O84" s="6">
        <v>8.0</v>
      </c>
      <c r="P84" s="6">
        <v>32.0</v>
      </c>
      <c r="Q84" s="6">
        <v>131072.0</v>
      </c>
      <c r="R84" s="6">
        <v>4096.0</v>
      </c>
      <c r="S84" s="10">
        <v>27.72</v>
      </c>
      <c r="T84" s="10">
        <v>28.98</v>
      </c>
      <c r="W84" s="10">
        <v>2.52</v>
      </c>
      <c r="Z84" s="18"/>
      <c r="AA84" s="18">
        <f t="shared" si="27"/>
        <v>20643.84</v>
      </c>
    </row>
    <row r="85">
      <c r="B85" s="117" t="s">
        <v>652</v>
      </c>
      <c r="C85" s="6">
        <v>1.0</v>
      </c>
      <c r="D85" s="133">
        <v>1.0</v>
      </c>
      <c r="E85" s="6">
        <v>1.0</v>
      </c>
      <c r="F85" s="119">
        <v>4.68750001E8</v>
      </c>
      <c r="G85" s="6">
        <v>1.0</v>
      </c>
      <c r="H85" s="6">
        <v>1.0</v>
      </c>
      <c r="I85" s="134">
        <f t="shared" si="26"/>
        <v>1</v>
      </c>
      <c r="J85" s="6" t="s">
        <v>564</v>
      </c>
      <c r="K85" s="6" t="s">
        <v>564</v>
      </c>
      <c r="L85" s="6"/>
      <c r="M85" s="6"/>
      <c r="N85" s="6">
        <v>16.0</v>
      </c>
      <c r="O85" s="6">
        <v>8.0</v>
      </c>
      <c r="P85" s="6">
        <v>32.0</v>
      </c>
      <c r="Q85" s="6">
        <v>131072.0</v>
      </c>
      <c r="R85" s="6">
        <v>4096.0</v>
      </c>
      <c r="S85" s="10">
        <v>27.72</v>
      </c>
      <c r="T85" s="10">
        <v>28.98</v>
      </c>
      <c r="W85" s="10">
        <v>2.52</v>
      </c>
      <c r="Z85" s="18"/>
      <c r="AA85" s="18">
        <f t="shared" si="27"/>
        <v>20643.84</v>
      </c>
    </row>
    <row r="86">
      <c r="A86" s="135" t="s">
        <v>711</v>
      </c>
      <c r="B86" s="136" t="s">
        <v>654</v>
      </c>
      <c r="C86" s="9">
        <v>1.0</v>
      </c>
      <c r="D86" s="137">
        <v>256.0</v>
      </c>
      <c r="E86" s="9">
        <v>1.0</v>
      </c>
      <c r="F86" s="138">
        <v>4.68750001E8</v>
      </c>
      <c r="G86" s="9">
        <v>256.0</v>
      </c>
      <c r="H86" s="9">
        <v>1.0</v>
      </c>
      <c r="I86" s="139">
        <f t="shared" si="26"/>
        <v>1</v>
      </c>
      <c r="J86" s="9">
        <v>1.0</v>
      </c>
      <c r="K86" s="9">
        <v>1.0</v>
      </c>
      <c r="L86" s="9"/>
      <c r="M86" s="9"/>
      <c r="N86" s="9">
        <v>16.0</v>
      </c>
      <c r="O86" s="6">
        <v>8.0</v>
      </c>
      <c r="P86" s="6">
        <v>32.0</v>
      </c>
      <c r="Q86" s="6">
        <v>131072.0</v>
      </c>
      <c r="R86" s="6">
        <v>4096.0</v>
      </c>
      <c r="S86" s="140">
        <v>27.72</v>
      </c>
      <c r="T86" s="140">
        <v>28.98</v>
      </c>
      <c r="U86" s="140"/>
      <c r="V86" s="140"/>
      <c r="W86" s="140">
        <v>2.52</v>
      </c>
      <c r="X86" s="140"/>
      <c r="Y86" s="140"/>
      <c r="Z86" s="141"/>
      <c r="AA86" s="141">
        <f>D86*E86*J86*S86+D86*E86*K86*T86</f>
        <v>14515.2</v>
      </c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</row>
    <row r="87">
      <c r="B87" s="117" t="s">
        <v>655</v>
      </c>
      <c r="C87" s="6">
        <v>1.0</v>
      </c>
      <c r="D87" s="133">
        <v>256.0</v>
      </c>
      <c r="E87" s="6">
        <v>8.0</v>
      </c>
      <c r="F87" s="119">
        <v>4.68750001E8</v>
      </c>
      <c r="G87" s="6">
        <v>256.0</v>
      </c>
      <c r="H87" s="6">
        <v>1.0</v>
      </c>
      <c r="I87" s="133">
        <v>1.0</v>
      </c>
      <c r="J87" s="6" t="s">
        <v>564</v>
      </c>
      <c r="K87" s="6" t="s">
        <v>564</v>
      </c>
      <c r="L87" s="6"/>
      <c r="M87" s="6"/>
      <c r="N87" s="6">
        <v>16.0</v>
      </c>
      <c r="O87" s="6">
        <v>8.0</v>
      </c>
      <c r="P87" s="6">
        <v>32.0</v>
      </c>
      <c r="Q87" s="6">
        <v>131072.0</v>
      </c>
      <c r="R87" s="6">
        <v>4096.0</v>
      </c>
      <c r="S87" s="10">
        <v>27.72</v>
      </c>
      <c r="T87" s="10">
        <v>28.98</v>
      </c>
      <c r="W87" s="10">
        <v>2.52</v>
      </c>
      <c r="Z87" s="18"/>
      <c r="AA87" s="141">
        <f>R87*W87*2</f>
        <v>20643.84</v>
      </c>
    </row>
    <row r="88">
      <c r="B88" s="142" t="s">
        <v>656</v>
      </c>
      <c r="C88" s="143">
        <v>1.0</v>
      </c>
      <c r="D88" s="144">
        <f t="shared" ref="D88:D90" si="28">(G88/H88)*C88*I88</f>
        <v>256</v>
      </c>
      <c r="E88" s="143">
        <v>8.0</v>
      </c>
      <c r="F88" s="145">
        <v>4.68750001E8</v>
      </c>
      <c r="G88" s="143">
        <v>256.0</v>
      </c>
      <c r="H88" s="143">
        <v>1.0</v>
      </c>
      <c r="I88" s="146">
        <f t="shared" ref="I88:I90" si="29">ROUNDUP(F88/(Q88*N88*O88*P88))</f>
        <v>1</v>
      </c>
      <c r="J88" s="6">
        <v>2.0</v>
      </c>
      <c r="K88" s="6">
        <v>1.0</v>
      </c>
      <c r="L88" s="6">
        <v>2.0</v>
      </c>
      <c r="M88" s="6">
        <v>2.52</v>
      </c>
      <c r="N88" s="143">
        <v>16.0</v>
      </c>
      <c r="O88" s="6">
        <v>8.0</v>
      </c>
      <c r="P88" s="6">
        <v>32.0</v>
      </c>
      <c r="Q88" s="6">
        <v>131072.0</v>
      </c>
      <c r="R88" s="143">
        <v>4096.0</v>
      </c>
      <c r="S88" s="147">
        <v>27.72</v>
      </c>
      <c r="T88" s="147">
        <v>28.98</v>
      </c>
      <c r="U88" s="147"/>
      <c r="V88" s="147"/>
      <c r="W88" s="147">
        <v>2.52</v>
      </c>
      <c r="X88" s="147"/>
      <c r="Y88" s="147"/>
      <c r="Z88" s="148"/>
      <c r="AA88" s="148">
        <f t="shared" ref="AA88:AA89" si="30">D88*E88*J88*S88+D88*E88*K88*T88+D88*E88*L88*M88</f>
        <v>183214.08</v>
      </c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</row>
    <row r="89">
      <c r="B89" s="117" t="s">
        <v>657</v>
      </c>
      <c r="C89" s="6">
        <v>1.0</v>
      </c>
      <c r="D89" s="133">
        <f t="shared" si="28"/>
        <v>256</v>
      </c>
      <c r="E89" s="6">
        <v>8.0</v>
      </c>
      <c r="F89" s="119">
        <v>4.68750001E8</v>
      </c>
      <c r="G89" s="6">
        <v>256.0</v>
      </c>
      <c r="H89" s="6">
        <v>1.0</v>
      </c>
      <c r="I89" s="134">
        <f t="shared" si="29"/>
        <v>1</v>
      </c>
      <c r="J89" s="6">
        <v>2.0</v>
      </c>
      <c r="K89" s="6">
        <v>1.0</v>
      </c>
      <c r="L89" s="6">
        <v>2.0</v>
      </c>
      <c r="M89" s="6">
        <v>2.52</v>
      </c>
      <c r="N89" s="6">
        <v>16.0</v>
      </c>
      <c r="O89" s="6">
        <v>8.0</v>
      </c>
      <c r="P89" s="6">
        <v>32.0</v>
      </c>
      <c r="Q89" s="6">
        <v>131072.0</v>
      </c>
      <c r="R89" s="6">
        <v>4096.0</v>
      </c>
      <c r="S89" s="10">
        <v>27.72</v>
      </c>
      <c r="T89" s="10">
        <v>28.98</v>
      </c>
      <c r="W89" s="10">
        <v>2.52</v>
      </c>
      <c r="Z89" s="18"/>
      <c r="AA89" s="141">
        <f t="shared" si="30"/>
        <v>183214.08</v>
      </c>
    </row>
    <row r="90">
      <c r="B90" s="149" t="s">
        <v>658</v>
      </c>
      <c r="C90" s="143">
        <v>1.0</v>
      </c>
      <c r="D90" s="144">
        <f t="shared" si="28"/>
        <v>7168</v>
      </c>
      <c r="E90" s="150" t="s">
        <v>564</v>
      </c>
      <c r="F90" s="145">
        <v>4.68750001E8</v>
      </c>
      <c r="G90" s="143">
        <v>256.0</v>
      </c>
      <c r="H90" s="143">
        <v>1.0</v>
      </c>
      <c r="I90" s="146">
        <f t="shared" si="29"/>
        <v>28</v>
      </c>
      <c r="J90" s="143" t="s">
        <v>564</v>
      </c>
      <c r="K90" s="143" t="s">
        <v>564</v>
      </c>
      <c r="L90" s="143"/>
      <c r="M90" s="143"/>
      <c r="N90" s="143">
        <v>16.0</v>
      </c>
      <c r="O90" s="6">
        <v>8.0</v>
      </c>
      <c r="P90" s="153">
        <v>1.0</v>
      </c>
      <c r="Q90" s="6">
        <v>131072.0</v>
      </c>
      <c r="R90" s="143">
        <v>4096.0</v>
      </c>
      <c r="S90" s="147">
        <v>27.72</v>
      </c>
      <c r="T90" s="147">
        <v>28.98</v>
      </c>
      <c r="U90" s="147"/>
      <c r="V90" s="147"/>
      <c r="W90" s="147">
        <v>2.52</v>
      </c>
      <c r="X90" s="147"/>
      <c r="Y90" s="147"/>
      <c r="Z90" s="147"/>
      <c r="AA90" s="148">
        <f>I90*(N90*O90*P90*Q90/N90)*1.01*0.63</f>
        <v>18681849.45</v>
      </c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</row>
    <row r="91">
      <c r="B91" s="20"/>
      <c r="D91" s="134"/>
      <c r="Z91" s="6" t="s">
        <v>204</v>
      </c>
      <c r="AA91" s="18">
        <f>sum(AA88+AA90)</f>
        <v>18865063.53</v>
      </c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</sheetData>
  <mergeCells count="42">
    <mergeCell ref="A1:AL1"/>
    <mergeCell ref="C4:I4"/>
    <mergeCell ref="J4:K4"/>
    <mergeCell ref="N4:Q4"/>
    <mergeCell ref="S4:W4"/>
    <mergeCell ref="X4:Z4"/>
    <mergeCell ref="A16:AL16"/>
    <mergeCell ref="A9:A13"/>
    <mergeCell ref="C19:I19"/>
    <mergeCell ref="J19:K19"/>
    <mergeCell ref="N19:Q19"/>
    <mergeCell ref="S19:W19"/>
    <mergeCell ref="X19:Z19"/>
    <mergeCell ref="A33:AL33"/>
    <mergeCell ref="A25:A30"/>
    <mergeCell ref="C36:I36"/>
    <mergeCell ref="J36:K36"/>
    <mergeCell ref="N36:Q36"/>
    <mergeCell ref="S36:W36"/>
    <mergeCell ref="X36:Z36"/>
    <mergeCell ref="A48:AL48"/>
    <mergeCell ref="A41:A45"/>
    <mergeCell ref="C51:I51"/>
    <mergeCell ref="J51:K51"/>
    <mergeCell ref="N51:Q51"/>
    <mergeCell ref="S51:W51"/>
    <mergeCell ref="X51:Z51"/>
    <mergeCell ref="A63:AL63"/>
    <mergeCell ref="A71:A75"/>
    <mergeCell ref="C81:I81"/>
    <mergeCell ref="J81:K81"/>
    <mergeCell ref="N81:Q81"/>
    <mergeCell ref="S81:W81"/>
    <mergeCell ref="X81:Z81"/>
    <mergeCell ref="A86:A90"/>
    <mergeCell ref="A56:A60"/>
    <mergeCell ref="C66:I66"/>
    <mergeCell ref="J66:K66"/>
    <mergeCell ref="N66:Q66"/>
    <mergeCell ref="S66:W66"/>
    <mergeCell ref="X66:Z66"/>
    <mergeCell ref="A78:AL7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38"/>
    <col customWidth="1" min="4" max="4" width="19.63"/>
    <col customWidth="1" min="7" max="7" width="12.0"/>
    <col customWidth="1" min="23" max="23" width="7.63"/>
    <col customWidth="1" min="24" max="24" width="4.75"/>
    <col customWidth="1" min="25" max="25" width="17.5"/>
  </cols>
  <sheetData>
    <row r="1">
      <c r="B1" s="20"/>
      <c r="D1" s="6" t="s">
        <v>95</v>
      </c>
      <c r="F1" s="21" t="s">
        <v>96</v>
      </c>
      <c r="G1" s="21" t="s">
        <v>96</v>
      </c>
      <c r="H1" s="21" t="s">
        <v>96</v>
      </c>
      <c r="I1" s="6" t="s">
        <v>95</v>
      </c>
    </row>
    <row r="2">
      <c r="A2" s="19" t="s">
        <v>94</v>
      </c>
    </row>
    <row r="3">
      <c r="A3" s="31"/>
      <c r="B3" s="154" t="s">
        <v>712</v>
      </c>
      <c r="C3" s="23" t="s">
        <v>713</v>
      </c>
      <c r="D3" s="24" t="s">
        <v>714</v>
      </c>
      <c r="E3" s="25"/>
      <c r="F3" s="155" t="s">
        <v>715</v>
      </c>
      <c r="G3" s="27" t="s">
        <v>716</v>
      </c>
      <c r="H3" s="26" t="s">
        <v>717</v>
      </c>
      <c r="I3" s="26" t="s">
        <v>718</v>
      </c>
      <c r="J3" s="28"/>
      <c r="K3" s="28"/>
      <c r="L3" s="29"/>
      <c r="M3" s="29"/>
      <c r="N3" s="29"/>
      <c r="O3" s="29"/>
      <c r="P3" s="29"/>
      <c r="Q3" s="29"/>
      <c r="R3" s="29"/>
      <c r="S3" s="26" t="s">
        <v>719</v>
      </c>
      <c r="T3" s="26" t="s">
        <v>720</v>
      </c>
      <c r="U3" s="52" t="s">
        <v>721</v>
      </c>
      <c r="V3" s="30" t="s">
        <v>722</v>
      </c>
      <c r="W3" s="31"/>
      <c r="X3" s="31"/>
      <c r="Y3" s="31"/>
      <c r="Z3" s="31"/>
      <c r="AA3" s="31"/>
      <c r="AB3" s="31"/>
      <c r="AG3" s="31"/>
      <c r="AH3" s="31"/>
      <c r="AI3" s="31"/>
      <c r="AJ3" s="31"/>
      <c r="AK3" s="31"/>
      <c r="AL3" s="31"/>
    </row>
    <row r="4"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116"/>
      <c r="M4" s="116"/>
      <c r="N4" s="37" t="s">
        <v>107</v>
      </c>
      <c r="O4" s="33"/>
      <c r="P4" s="33"/>
      <c r="Q4" s="34"/>
      <c r="R4" s="116"/>
      <c r="S4" s="156" t="s">
        <v>723</v>
      </c>
      <c r="T4" s="33"/>
      <c r="U4" s="34"/>
      <c r="V4" s="39" t="s">
        <v>109</v>
      </c>
      <c r="W4" s="33"/>
      <c r="X4" s="34"/>
      <c r="Y4" s="6" t="s">
        <v>724</v>
      </c>
    </row>
    <row r="5">
      <c r="A5" s="47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4"/>
      <c r="M5" s="44"/>
      <c r="N5" s="44" t="s">
        <v>121</v>
      </c>
      <c r="O5" s="44" t="s">
        <v>122</v>
      </c>
      <c r="P5" s="44" t="s">
        <v>123</v>
      </c>
      <c r="Q5" s="44" t="s">
        <v>124</v>
      </c>
      <c r="R5" s="44"/>
      <c r="S5" s="43" t="s">
        <v>648</v>
      </c>
      <c r="T5" s="43" t="s">
        <v>649</v>
      </c>
      <c r="U5" s="6" t="s">
        <v>196</v>
      </c>
      <c r="V5" s="43" t="s">
        <v>127</v>
      </c>
      <c r="W5" s="43" t="s">
        <v>128</v>
      </c>
      <c r="X5" s="43" t="s">
        <v>129</v>
      </c>
      <c r="Y5" s="47"/>
      <c r="Z5" s="47"/>
      <c r="AA5" s="47"/>
      <c r="AB5" s="47"/>
      <c r="AG5" s="47"/>
      <c r="AH5" s="47"/>
      <c r="AI5" s="47"/>
      <c r="AJ5" s="47"/>
      <c r="AK5" s="47"/>
      <c r="AL5" s="47"/>
    </row>
    <row r="6">
      <c r="A6" s="157" t="s">
        <v>725</v>
      </c>
      <c r="B6" s="121" t="s">
        <v>726</v>
      </c>
      <c r="C6" s="6">
        <v>1.0</v>
      </c>
      <c r="D6" s="158">
        <v>2.0</v>
      </c>
      <c r="E6" s="122" t="s">
        <v>564</v>
      </c>
      <c r="F6" s="6">
        <v>8388608.0</v>
      </c>
      <c r="G6" s="6">
        <v>250.0</v>
      </c>
      <c r="I6" s="10">
        <f>ROUNDUP(F6/(N6*O6*P6*Q6))</f>
        <v>1</v>
      </c>
      <c r="J6" s="6" t="s">
        <v>564</v>
      </c>
      <c r="K6" s="6" t="s">
        <v>564</v>
      </c>
      <c r="L6" s="6"/>
      <c r="M6" s="6"/>
      <c r="N6" s="6">
        <v>16.0</v>
      </c>
      <c r="O6" s="6">
        <v>8.0</v>
      </c>
      <c r="P6" s="6">
        <v>32.0</v>
      </c>
      <c r="Q6" s="6">
        <v>131072.0</v>
      </c>
      <c r="R6" s="6"/>
      <c r="S6" s="10">
        <v>27.72</v>
      </c>
      <c r="T6" s="10">
        <v>28.98</v>
      </c>
      <c r="U6" s="10">
        <v>2.52</v>
      </c>
      <c r="V6" s="6">
        <v>1.0</v>
      </c>
      <c r="W6" s="10">
        <f>Q6</f>
        <v>131072</v>
      </c>
      <c r="X6" s="6">
        <v>3200.0</v>
      </c>
      <c r="Y6" s="18">
        <f>D6*V6*min(W6,F6)/(X6*10^6)*10^9</f>
        <v>81920</v>
      </c>
    </row>
    <row r="7">
      <c r="A7" s="159"/>
      <c r="AL7" s="159"/>
    </row>
    <row r="8">
      <c r="B8" s="121"/>
      <c r="D8" s="49"/>
      <c r="Y8" s="18"/>
    </row>
    <row r="9">
      <c r="B9" s="20"/>
      <c r="D9" s="6" t="s">
        <v>95</v>
      </c>
      <c r="F9" s="21" t="s">
        <v>96</v>
      </c>
      <c r="G9" s="21" t="s">
        <v>96</v>
      </c>
      <c r="H9" s="21" t="s">
        <v>96</v>
      </c>
      <c r="I9" s="6" t="s">
        <v>95</v>
      </c>
    </row>
    <row r="10">
      <c r="A10" s="31"/>
      <c r="B10" s="112" t="s">
        <v>727</v>
      </c>
      <c r="C10" s="23" t="s">
        <v>728</v>
      </c>
      <c r="D10" s="24" t="s">
        <v>729</v>
      </c>
      <c r="E10" s="25"/>
      <c r="F10" s="155" t="s">
        <v>730</v>
      </c>
      <c r="G10" s="27" t="s">
        <v>731</v>
      </c>
      <c r="H10" s="26" t="s">
        <v>732</v>
      </c>
      <c r="I10" s="26" t="s">
        <v>733</v>
      </c>
      <c r="J10" s="28"/>
      <c r="K10" s="28"/>
      <c r="L10" s="29"/>
      <c r="M10" s="29"/>
      <c r="N10" s="29"/>
      <c r="O10" s="29"/>
      <c r="P10" s="29"/>
      <c r="Q10" s="29"/>
      <c r="R10" s="29"/>
      <c r="S10" s="26" t="s">
        <v>734</v>
      </c>
      <c r="T10" s="26" t="s">
        <v>735</v>
      </c>
      <c r="U10" s="52" t="s">
        <v>736</v>
      </c>
      <c r="V10" s="30" t="s">
        <v>737</v>
      </c>
      <c r="W10" s="31"/>
      <c r="X10" s="31"/>
      <c r="Y10" s="114" t="s">
        <v>738</v>
      </c>
      <c r="Z10" s="31"/>
      <c r="AA10" s="31"/>
      <c r="AB10" s="31"/>
      <c r="AG10" s="31"/>
      <c r="AH10" s="31"/>
      <c r="AI10" s="31"/>
      <c r="AJ10" s="31"/>
      <c r="AK10" s="31"/>
      <c r="AL10" s="31"/>
    </row>
    <row r="11">
      <c r="B11" s="20"/>
      <c r="C11" s="32" t="s">
        <v>106</v>
      </c>
      <c r="D11" s="33"/>
      <c r="E11" s="33"/>
      <c r="F11" s="33"/>
      <c r="G11" s="33"/>
      <c r="H11" s="33"/>
      <c r="I11" s="34"/>
      <c r="J11" s="35"/>
      <c r="K11" s="34"/>
      <c r="L11" s="116"/>
      <c r="M11" s="116"/>
      <c r="N11" s="37" t="s">
        <v>107</v>
      </c>
      <c r="O11" s="33"/>
      <c r="P11" s="33"/>
      <c r="Q11" s="34"/>
      <c r="R11" s="116"/>
      <c r="S11" s="156" t="s">
        <v>723</v>
      </c>
      <c r="T11" s="33"/>
      <c r="U11" s="34"/>
      <c r="V11" s="39" t="s">
        <v>109</v>
      </c>
      <c r="W11" s="33"/>
      <c r="X11" s="34"/>
      <c r="Y11" s="3" t="s">
        <v>130</v>
      </c>
      <c r="Z11" s="3" t="s">
        <v>131</v>
      </c>
    </row>
    <row r="12">
      <c r="A12" s="47"/>
      <c r="B12" s="40"/>
      <c r="C12" s="41" t="s">
        <v>110</v>
      </c>
      <c r="D12" s="42" t="s">
        <v>111</v>
      </c>
      <c r="E12" s="43" t="s">
        <v>112</v>
      </c>
      <c r="F12" s="44" t="s">
        <v>113</v>
      </c>
      <c r="G12" s="41" t="s">
        <v>114</v>
      </c>
      <c r="H12" s="41" t="s">
        <v>115</v>
      </c>
      <c r="I12" s="45" t="s">
        <v>116</v>
      </c>
      <c r="J12" s="43" t="s">
        <v>117</v>
      </c>
      <c r="K12" s="43" t="s">
        <v>118</v>
      </c>
      <c r="L12" s="43" t="s">
        <v>119</v>
      </c>
      <c r="M12" s="43" t="s">
        <v>560</v>
      </c>
      <c r="N12" s="44" t="s">
        <v>121</v>
      </c>
      <c r="O12" s="44" t="s">
        <v>122</v>
      </c>
      <c r="P12" s="44" t="s">
        <v>123</v>
      </c>
      <c r="Q12" s="44" t="s">
        <v>124</v>
      </c>
      <c r="R12" s="43" t="s">
        <v>280</v>
      </c>
      <c r="S12" s="43" t="s">
        <v>648</v>
      </c>
      <c r="T12" s="43" t="s">
        <v>649</v>
      </c>
      <c r="U12" s="6" t="s">
        <v>196</v>
      </c>
      <c r="V12" s="43" t="s">
        <v>127</v>
      </c>
      <c r="W12" s="43" t="s">
        <v>128</v>
      </c>
      <c r="X12" s="43" t="s">
        <v>129</v>
      </c>
      <c r="Y12" s="47"/>
      <c r="Z12" s="47"/>
      <c r="AA12" s="47"/>
      <c r="AB12" s="47"/>
      <c r="AG12" s="47"/>
      <c r="AH12" s="47"/>
      <c r="AI12" s="47"/>
      <c r="AJ12" s="47"/>
      <c r="AK12" s="47"/>
      <c r="AL12" s="47"/>
    </row>
    <row r="13">
      <c r="A13" s="157" t="s">
        <v>739</v>
      </c>
      <c r="B13" s="48" t="s">
        <v>740</v>
      </c>
      <c r="C13" s="6">
        <v>1.0</v>
      </c>
      <c r="D13" s="158">
        <v>250.0</v>
      </c>
      <c r="E13" s="6">
        <v>32.0</v>
      </c>
      <c r="F13" s="6">
        <v>8388608.0</v>
      </c>
      <c r="I13" s="10">
        <f t="shared" ref="I13:I16" si="1">ROUNDUP(F13/(N13*O13*P13*Q13))</f>
        <v>2</v>
      </c>
      <c r="J13" s="6" t="s">
        <v>564</v>
      </c>
      <c r="K13" s="6" t="s">
        <v>564</v>
      </c>
      <c r="L13" s="6"/>
      <c r="M13" s="6"/>
      <c r="N13" s="6">
        <v>1.0</v>
      </c>
      <c r="O13" s="6">
        <v>1.0</v>
      </c>
      <c r="P13" s="6">
        <v>32.0</v>
      </c>
      <c r="Q13" s="6">
        <v>131072.0</v>
      </c>
      <c r="R13" s="6">
        <v>4096.0</v>
      </c>
      <c r="S13" s="10">
        <v>27.72</v>
      </c>
      <c r="T13" s="10">
        <v>28.98</v>
      </c>
      <c r="U13" s="10">
        <v>2.52</v>
      </c>
      <c r="Y13" s="18">
        <f>D13*E13*R13*U13</f>
        <v>82575360</v>
      </c>
      <c r="Z13" s="18">
        <v>1.2655586730124695E10</v>
      </c>
      <c r="AA13" s="50"/>
      <c r="AB13" s="50"/>
    </row>
    <row r="14" ht="16.5" customHeight="1">
      <c r="B14" s="62" t="s">
        <v>741</v>
      </c>
      <c r="C14" s="6">
        <v>1.0</v>
      </c>
      <c r="D14" s="158">
        <v>250.0</v>
      </c>
      <c r="E14" s="6">
        <v>32.0</v>
      </c>
      <c r="F14" s="6">
        <v>8388608.0</v>
      </c>
      <c r="I14" s="10">
        <f t="shared" si="1"/>
        <v>2</v>
      </c>
      <c r="J14" s="6">
        <v>2.0</v>
      </c>
      <c r="K14" s="6">
        <v>1.0</v>
      </c>
      <c r="L14" s="6">
        <v>3.0</v>
      </c>
      <c r="M14" s="6">
        <v>2.52</v>
      </c>
      <c r="N14" s="6">
        <v>1.0</v>
      </c>
      <c r="O14" s="6">
        <v>1.0</v>
      </c>
      <c r="P14" s="6">
        <v>32.0</v>
      </c>
      <c r="Q14" s="6">
        <v>131072.0</v>
      </c>
      <c r="R14" s="6">
        <v>4096.0</v>
      </c>
      <c r="S14" s="10">
        <v>27.72</v>
      </c>
      <c r="T14" s="10">
        <v>28.98</v>
      </c>
      <c r="U14" s="10">
        <v>2.52</v>
      </c>
      <c r="Y14" s="18">
        <f t="shared" ref="Y14:Y15" si="2">I14*(D14*E14*J14*S14+D14*E14*K14*T14+D14*E14*L14*M14)</f>
        <v>1471680</v>
      </c>
      <c r="AB14" s="50"/>
    </row>
    <row r="15">
      <c r="B15" s="62" t="s">
        <v>742</v>
      </c>
      <c r="C15" s="6">
        <v>1.0</v>
      </c>
      <c r="D15" s="158">
        <f>((D13 * D13) - D13)/2</f>
        <v>31125</v>
      </c>
      <c r="E15" s="6">
        <v>32.0</v>
      </c>
      <c r="F15" s="6">
        <v>8388608.0</v>
      </c>
      <c r="I15" s="10">
        <f t="shared" si="1"/>
        <v>2</v>
      </c>
      <c r="J15" s="10">
        <f>1.9*E15*E15/E15</f>
        <v>60.8</v>
      </c>
      <c r="K15" s="10">
        <f>E15*E15/E15</f>
        <v>32</v>
      </c>
      <c r="L15" s="6">
        <f>3.55*E15*E15/E15</f>
        <v>113.6</v>
      </c>
      <c r="M15" s="6">
        <v>2.52</v>
      </c>
      <c r="N15" s="6">
        <v>1.0</v>
      </c>
      <c r="O15" s="6">
        <v>1.0</v>
      </c>
      <c r="P15" s="6">
        <v>32.0</v>
      </c>
      <c r="Q15" s="6">
        <v>131072.0</v>
      </c>
      <c r="R15" s="6">
        <v>4096.0</v>
      </c>
      <c r="S15" s="10">
        <v>27.72</v>
      </c>
      <c r="T15" s="10">
        <v>28.98</v>
      </c>
      <c r="U15" s="10">
        <v>2.52</v>
      </c>
      <c r="Y15" s="18">
        <f t="shared" si="2"/>
        <v>5774823936</v>
      </c>
      <c r="AB15" s="50"/>
    </row>
    <row r="16">
      <c r="B16" s="160" t="s">
        <v>743</v>
      </c>
      <c r="C16" s="9">
        <v>1.0</v>
      </c>
      <c r="D16" s="161">
        <f>((D13 * D13) - D13)/2</f>
        <v>31125</v>
      </c>
      <c r="E16" s="9">
        <v>32.0</v>
      </c>
      <c r="F16" s="9">
        <v>250.0</v>
      </c>
      <c r="G16" s="162"/>
      <c r="H16" s="140"/>
      <c r="I16" s="140">
        <f t="shared" si="1"/>
        <v>1</v>
      </c>
      <c r="J16" s="140"/>
      <c r="K16" s="140"/>
      <c r="L16" s="6"/>
      <c r="M16" s="6"/>
      <c r="N16" s="6">
        <v>1.0</v>
      </c>
      <c r="O16" s="6">
        <v>1.0</v>
      </c>
      <c r="P16" s="6">
        <v>32.0</v>
      </c>
      <c r="Q16" s="6">
        <v>131072.0</v>
      </c>
      <c r="R16" s="6">
        <v>4096.0</v>
      </c>
      <c r="S16" s="140">
        <v>27.72</v>
      </c>
      <c r="T16" s="140">
        <v>28.98</v>
      </c>
      <c r="U16" s="140">
        <v>2.52</v>
      </c>
      <c r="V16" s="9">
        <v>1.0</v>
      </c>
      <c r="W16" s="140">
        <f>Q16</f>
        <v>131072</v>
      </c>
      <c r="X16" s="9">
        <v>3200.0</v>
      </c>
      <c r="Y16" s="141">
        <f>D16*V16*MIN(W16/64,F16/64)/(X16*10^6)*10^9</f>
        <v>37994.38477</v>
      </c>
      <c r="Z16" s="140"/>
      <c r="AA16" s="9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</row>
    <row r="17">
      <c r="B17" s="20"/>
      <c r="X17" s="6" t="s">
        <v>204</v>
      </c>
      <c r="Y17" s="18">
        <f>sum(Y13:Y14,Y15)</f>
        <v>5858870976</v>
      </c>
    </row>
    <row r="18">
      <c r="A18" s="47"/>
      <c r="B18" s="40"/>
      <c r="C18" s="47"/>
      <c r="D18" s="47"/>
      <c r="E18" s="47"/>
      <c r="F18" s="47"/>
      <c r="G18" s="47"/>
      <c r="H18" s="47"/>
      <c r="I18" s="47"/>
      <c r="J18" s="47"/>
      <c r="K18" s="47"/>
      <c r="L18" s="43"/>
      <c r="M18" s="43"/>
      <c r="N18" s="43"/>
      <c r="O18" s="47"/>
      <c r="P18" s="47"/>
      <c r="Q18" s="47"/>
      <c r="R18" s="47"/>
      <c r="S18" s="47"/>
      <c r="T18" s="47"/>
      <c r="U18" s="47"/>
      <c r="V18" s="47"/>
      <c r="W18" s="47"/>
      <c r="X18" s="43" t="s">
        <v>744</v>
      </c>
      <c r="Y18" s="69">
        <f>Y17+Y6</f>
        <v>5858952896</v>
      </c>
      <c r="Z18" s="47"/>
      <c r="AA18" s="43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</row>
    <row r="19">
      <c r="B19" s="20"/>
    </row>
    <row r="20">
      <c r="A20" s="19" t="s">
        <v>134</v>
      </c>
    </row>
    <row r="21">
      <c r="A21" s="31"/>
      <c r="B21" s="154" t="s">
        <v>745</v>
      </c>
      <c r="C21" s="23" t="s">
        <v>746</v>
      </c>
      <c r="D21" s="24" t="s">
        <v>747</v>
      </c>
      <c r="E21" s="25"/>
      <c r="F21" s="155" t="s">
        <v>748</v>
      </c>
      <c r="G21" s="27" t="s">
        <v>749</v>
      </c>
      <c r="H21" s="26" t="s">
        <v>750</v>
      </c>
      <c r="I21" s="26" t="s">
        <v>751</v>
      </c>
      <c r="J21" s="28"/>
      <c r="K21" s="28"/>
      <c r="L21" s="29"/>
      <c r="M21" s="29"/>
      <c r="N21" s="29"/>
      <c r="O21" s="29"/>
      <c r="P21" s="29"/>
      <c r="Q21" s="29"/>
      <c r="R21" s="29"/>
      <c r="S21" s="26" t="s">
        <v>752</v>
      </c>
      <c r="T21" s="26" t="s">
        <v>753</v>
      </c>
      <c r="U21" s="52" t="s">
        <v>754</v>
      </c>
      <c r="V21" s="30" t="s">
        <v>755</v>
      </c>
      <c r="W21" s="31"/>
      <c r="X21" s="31"/>
      <c r="Y21" s="31"/>
      <c r="Z21" s="31"/>
      <c r="AA21" s="31"/>
      <c r="AB21" s="31"/>
      <c r="AG21" s="31"/>
      <c r="AH21" s="31"/>
      <c r="AI21" s="31"/>
      <c r="AJ21" s="31"/>
      <c r="AK21" s="31"/>
      <c r="AL21" s="31"/>
    </row>
    <row r="22">
      <c r="B22" s="20"/>
      <c r="C22" s="32" t="s">
        <v>106</v>
      </c>
      <c r="D22" s="33"/>
      <c r="E22" s="33"/>
      <c r="F22" s="33"/>
      <c r="G22" s="33"/>
      <c r="H22" s="33"/>
      <c r="I22" s="34"/>
      <c r="J22" s="35"/>
      <c r="K22" s="34"/>
      <c r="L22" s="116"/>
      <c r="M22" s="116"/>
      <c r="N22" s="37" t="s">
        <v>107</v>
      </c>
      <c r="O22" s="33"/>
      <c r="P22" s="33"/>
      <c r="Q22" s="34"/>
      <c r="R22" s="116"/>
      <c r="S22" s="156" t="s">
        <v>723</v>
      </c>
      <c r="T22" s="33"/>
      <c r="U22" s="34"/>
      <c r="V22" s="39" t="s">
        <v>109</v>
      </c>
      <c r="W22" s="33"/>
      <c r="X22" s="34"/>
      <c r="Y22" s="6" t="s">
        <v>724</v>
      </c>
    </row>
    <row r="23">
      <c r="A23" s="47"/>
      <c r="B23" s="40"/>
      <c r="C23" s="41" t="s">
        <v>110</v>
      </c>
      <c r="D23" s="42" t="s">
        <v>111</v>
      </c>
      <c r="E23" s="43" t="s">
        <v>112</v>
      </c>
      <c r="F23" s="44" t="s">
        <v>113</v>
      </c>
      <c r="G23" s="41" t="s">
        <v>114</v>
      </c>
      <c r="H23" s="41" t="s">
        <v>115</v>
      </c>
      <c r="I23" s="45" t="s">
        <v>116</v>
      </c>
      <c r="J23" s="43" t="s">
        <v>117</v>
      </c>
      <c r="K23" s="43" t="s">
        <v>118</v>
      </c>
      <c r="L23" s="44"/>
      <c r="M23" s="44"/>
      <c r="N23" s="44" t="s">
        <v>121</v>
      </c>
      <c r="O23" s="44" t="s">
        <v>122</v>
      </c>
      <c r="P23" s="44" t="s">
        <v>123</v>
      </c>
      <c r="Q23" s="44" t="s">
        <v>124</v>
      </c>
      <c r="R23" s="44"/>
      <c r="S23" s="43" t="s">
        <v>648</v>
      </c>
      <c r="T23" s="43" t="s">
        <v>649</v>
      </c>
      <c r="U23" s="6" t="s">
        <v>196</v>
      </c>
      <c r="V23" s="43" t="s">
        <v>127</v>
      </c>
      <c r="W23" s="43" t="s">
        <v>128</v>
      </c>
      <c r="X23" s="43" t="s">
        <v>129</v>
      </c>
      <c r="Y23" s="47"/>
      <c r="Z23" s="47"/>
      <c r="AA23" s="47"/>
      <c r="AB23" s="47"/>
      <c r="AG23" s="47"/>
      <c r="AH23" s="47"/>
      <c r="AI23" s="47"/>
      <c r="AJ23" s="47"/>
      <c r="AK23" s="47"/>
      <c r="AL23" s="47"/>
    </row>
    <row r="24">
      <c r="A24" s="157" t="s">
        <v>725</v>
      </c>
      <c r="B24" s="121" t="s">
        <v>726</v>
      </c>
      <c r="C24" s="6">
        <v>1.0</v>
      </c>
      <c r="D24" s="158">
        <v>2.0</v>
      </c>
      <c r="E24" s="122" t="s">
        <v>564</v>
      </c>
      <c r="F24" s="6">
        <v>8388608.0</v>
      </c>
      <c r="G24" s="6">
        <v>250.0</v>
      </c>
      <c r="I24" s="10">
        <f>ROUNDUP(F24/(N24*O24*P24*Q24))</f>
        <v>1</v>
      </c>
      <c r="J24" s="6" t="s">
        <v>564</v>
      </c>
      <c r="K24" s="6" t="s">
        <v>564</v>
      </c>
      <c r="L24" s="6"/>
      <c r="M24" s="6"/>
      <c r="N24" s="6">
        <v>16.0</v>
      </c>
      <c r="O24" s="6">
        <v>8.0</v>
      </c>
      <c r="P24" s="6">
        <v>1.0</v>
      </c>
      <c r="Q24" s="6">
        <v>131072.0</v>
      </c>
      <c r="R24" s="6"/>
      <c r="S24" s="10">
        <v>27.72</v>
      </c>
      <c r="T24" s="10">
        <v>28.98</v>
      </c>
      <c r="U24" s="10">
        <v>2.52</v>
      </c>
      <c r="V24" s="6">
        <v>1.0</v>
      </c>
      <c r="W24" s="10">
        <f>Q24</f>
        <v>131072</v>
      </c>
      <c r="X24" s="6">
        <v>3200.0</v>
      </c>
      <c r="Y24" s="18">
        <f>D24*V24*min(W24,F24)/(X24*10^6)*10^9</f>
        <v>81920</v>
      </c>
    </row>
    <row r="25">
      <c r="A25" s="159"/>
      <c r="AL25" s="159"/>
    </row>
    <row r="26">
      <c r="B26" s="121"/>
      <c r="D26" s="49"/>
      <c r="Y26" s="18"/>
    </row>
    <row r="27">
      <c r="B27" s="20"/>
      <c r="D27" s="6" t="s">
        <v>95</v>
      </c>
      <c r="F27" s="21" t="s">
        <v>96</v>
      </c>
      <c r="G27" s="21" t="s">
        <v>96</v>
      </c>
      <c r="H27" s="21" t="s">
        <v>96</v>
      </c>
      <c r="I27" s="6" t="s">
        <v>95</v>
      </c>
    </row>
    <row r="28">
      <c r="A28" s="31"/>
      <c r="B28" s="112" t="s">
        <v>756</v>
      </c>
      <c r="C28" s="23" t="s">
        <v>757</v>
      </c>
      <c r="D28" s="24" t="s">
        <v>729</v>
      </c>
      <c r="E28" s="25"/>
      <c r="F28" s="155" t="s">
        <v>758</v>
      </c>
      <c r="G28" s="27" t="s">
        <v>759</v>
      </c>
      <c r="H28" s="26" t="s">
        <v>760</v>
      </c>
      <c r="I28" s="26" t="s">
        <v>761</v>
      </c>
      <c r="J28" s="28"/>
      <c r="K28" s="28"/>
      <c r="L28" s="29"/>
      <c r="M28" s="29"/>
      <c r="N28" s="29"/>
      <c r="O28" s="29"/>
      <c r="P28" s="29"/>
      <c r="Q28" s="29"/>
      <c r="R28" s="29"/>
      <c r="S28" s="26" t="s">
        <v>762</v>
      </c>
      <c r="T28" s="26" t="s">
        <v>763</v>
      </c>
      <c r="U28" s="52" t="s">
        <v>764</v>
      </c>
      <c r="V28" s="30" t="s">
        <v>765</v>
      </c>
      <c r="W28" s="31"/>
      <c r="X28" s="31"/>
      <c r="Y28" s="114" t="s">
        <v>738</v>
      </c>
      <c r="Z28" s="31"/>
      <c r="AA28" s="31"/>
      <c r="AB28" s="31"/>
      <c r="AG28" s="31"/>
      <c r="AH28" s="31"/>
      <c r="AI28" s="31"/>
      <c r="AJ28" s="31"/>
      <c r="AK28" s="31"/>
      <c r="AL28" s="31"/>
    </row>
    <row r="29">
      <c r="B29" s="20"/>
      <c r="C29" s="32" t="s">
        <v>106</v>
      </c>
      <c r="D29" s="33"/>
      <c r="E29" s="33"/>
      <c r="F29" s="33"/>
      <c r="G29" s="33"/>
      <c r="H29" s="33"/>
      <c r="I29" s="34"/>
      <c r="J29" s="35"/>
      <c r="K29" s="34"/>
      <c r="L29" s="116"/>
      <c r="M29" s="116"/>
      <c r="N29" s="37" t="s">
        <v>107</v>
      </c>
      <c r="O29" s="33"/>
      <c r="P29" s="33"/>
      <c r="Q29" s="34"/>
      <c r="R29" s="116"/>
      <c r="S29" s="156" t="s">
        <v>723</v>
      </c>
      <c r="T29" s="33"/>
      <c r="U29" s="34"/>
      <c r="V29" s="39" t="s">
        <v>109</v>
      </c>
      <c r="W29" s="33"/>
      <c r="X29" s="34"/>
      <c r="Y29" s="3" t="s">
        <v>130</v>
      </c>
      <c r="Z29" s="3" t="s">
        <v>131</v>
      </c>
    </row>
    <row r="30">
      <c r="A30" s="47"/>
      <c r="B30" s="40"/>
      <c r="C30" s="41" t="s">
        <v>110</v>
      </c>
      <c r="D30" s="42" t="s">
        <v>111</v>
      </c>
      <c r="E30" s="43" t="s">
        <v>112</v>
      </c>
      <c r="F30" s="44" t="s">
        <v>113</v>
      </c>
      <c r="G30" s="41" t="s">
        <v>114</v>
      </c>
      <c r="H30" s="41" t="s">
        <v>115</v>
      </c>
      <c r="I30" s="45" t="s">
        <v>116</v>
      </c>
      <c r="J30" s="43" t="s">
        <v>117</v>
      </c>
      <c r="K30" s="43" t="s">
        <v>118</v>
      </c>
      <c r="L30" s="43" t="s">
        <v>119</v>
      </c>
      <c r="M30" s="43" t="s">
        <v>560</v>
      </c>
      <c r="N30" s="44" t="s">
        <v>121</v>
      </c>
      <c r="O30" s="44" t="s">
        <v>122</v>
      </c>
      <c r="P30" s="44" t="s">
        <v>123</v>
      </c>
      <c r="Q30" s="44" t="s">
        <v>124</v>
      </c>
      <c r="R30" s="43" t="s">
        <v>280</v>
      </c>
      <c r="S30" s="43" t="s">
        <v>648</v>
      </c>
      <c r="T30" s="43" t="s">
        <v>649</v>
      </c>
      <c r="U30" s="6" t="s">
        <v>196</v>
      </c>
      <c r="V30" s="43" t="s">
        <v>127</v>
      </c>
      <c r="W30" s="43" t="s">
        <v>128</v>
      </c>
      <c r="X30" s="43" t="s">
        <v>129</v>
      </c>
      <c r="Y30" s="47"/>
      <c r="Z30" s="47"/>
      <c r="AA30" s="47"/>
      <c r="AB30" s="47"/>
      <c r="AG30" s="47"/>
      <c r="AH30" s="47"/>
      <c r="AI30" s="47"/>
      <c r="AJ30" s="47"/>
      <c r="AK30" s="47"/>
      <c r="AL30" s="47"/>
    </row>
    <row r="31">
      <c r="A31" s="157" t="s">
        <v>739</v>
      </c>
      <c r="B31" s="48" t="s">
        <v>740</v>
      </c>
      <c r="C31" s="6">
        <v>1.0</v>
      </c>
      <c r="D31" s="158">
        <v>250.0</v>
      </c>
      <c r="E31" s="6">
        <v>32.0</v>
      </c>
      <c r="F31" s="6">
        <v>8388608.0</v>
      </c>
      <c r="I31" s="10">
        <f>ROUNDUP(F31/(N31*O31*P31*Q31))</f>
        <v>2</v>
      </c>
      <c r="J31" s="6" t="s">
        <v>564</v>
      </c>
      <c r="K31" s="6" t="s">
        <v>564</v>
      </c>
      <c r="L31" s="6"/>
      <c r="M31" s="6"/>
      <c r="N31" s="6">
        <v>1.0</v>
      </c>
      <c r="O31" s="6">
        <v>1.0</v>
      </c>
      <c r="P31" s="6">
        <v>32.0</v>
      </c>
      <c r="Q31" s="6">
        <v>131072.0</v>
      </c>
      <c r="R31" s="6">
        <v>4096.0</v>
      </c>
      <c r="S31" s="10">
        <v>27.72</v>
      </c>
      <c r="T31" s="10">
        <v>28.98</v>
      </c>
      <c r="U31" s="10">
        <v>2.52</v>
      </c>
      <c r="Y31" s="18">
        <f>D31*E31*R31*U31</f>
        <v>82575360</v>
      </c>
      <c r="Z31" s="18">
        <v>7.737020907709145E10</v>
      </c>
    </row>
    <row r="32" ht="16.5" customHeight="1">
      <c r="B32" s="62"/>
      <c r="C32" s="6"/>
      <c r="D32" s="158"/>
      <c r="E32" s="6"/>
      <c r="F32" s="6"/>
      <c r="J32" s="56" t="s">
        <v>142</v>
      </c>
      <c r="K32" s="56" t="s">
        <v>143</v>
      </c>
      <c r="L32" s="6"/>
      <c r="M32" s="6"/>
      <c r="N32" s="6"/>
      <c r="O32" s="6"/>
      <c r="P32" s="6"/>
      <c r="Q32" s="6"/>
      <c r="R32" s="6"/>
      <c r="Y32" s="18"/>
    </row>
    <row r="33" ht="16.5" customHeight="1">
      <c r="B33" s="62" t="s">
        <v>766</v>
      </c>
      <c r="C33" s="6">
        <v>1.0</v>
      </c>
      <c r="D33" s="158">
        <v>250.0</v>
      </c>
      <c r="E33" s="6">
        <v>32.0</v>
      </c>
      <c r="F33" s="6">
        <v>8388608.0</v>
      </c>
      <c r="I33" s="10">
        <f t="shared" ref="I33:I35" si="3">ROUNDUP(F33/(N33*O33*P33*Q33))</f>
        <v>2</v>
      </c>
      <c r="J33" s="6">
        <v>8.0</v>
      </c>
      <c r="K33" s="6">
        <v>53.14</v>
      </c>
      <c r="N33" s="6">
        <v>1.0</v>
      </c>
      <c r="O33" s="6">
        <v>1.0</v>
      </c>
      <c r="P33" s="6">
        <v>32.0</v>
      </c>
      <c r="Q33" s="6">
        <v>131072.0</v>
      </c>
      <c r="R33" s="6">
        <v>4096.0</v>
      </c>
      <c r="S33" s="10">
        <v>27.72</v>
      </c>
      <c r="T33" s="10">
        <v>28.98</v>
      </c>
      <c r="U33" s="10">
        <v>2.52</v>
      </c>
      <c r="Y33" s="18">
        <f t="shared" ref="Y33:Y34" si="4">I33*(D33*E33*J33*K33)</f>
        <v>6801920</v>
      </c>
    </row>
    <row r="34">
      <c r="B34" s="62" t="s">
        <v>767</v>
      </c>
      <c r="C34" s="6">
        <v>1.0</v>
      </c>
      <c r="D34" s="158">
        <f>((D31 * D31) - D31)/2</f>
        <v>31125</v>
      </c>
      <c r="E34" s="6">
        <v>32.0</v>
      </c>
      <c r="F34" s="6">
        <v>8388608.0</v>
      </c>
      <c r="I34" s="10">
        <f t="shared" si="3"/>
        <v>2</v>
      </c>
      <c r="J34" s="10">
        <f>(11*E34*E34-5*E34-1)/E34</f>
        <v>346.96875</v>
      </c>
      <c r="K34" s="6">
        <v>53.14</v>
      </c>
      <c r="N34" s="6">
        <v>1.0</v>
      </c>
      <c r="O34" s="6">
        <v>1.0</v>
      </c>
      <c r="P34" s="6">
        <v>32.0</v>
      </c>
      <c r="Q34" s="6">
        <v>131072.0</v>
      </c>
      <c r="R34" s="6">
        <v>4096.0</v>
      </c>
      <c r="S34" s="10">
        <v>27.72</v>
      </c>
      <c r="T34" s="10">
        <v>28.98</v>
      </c>
      <c r="U34" s="10">
        <v>2.52</v>
      </c>
      <c r="Y34" s="18">
        <f t="shared" si="4"/>
        <v>36728335395</v>
      </c>
    </row>
    <row r="35">
      <c r="B35" s="160" t="s">
        <v>743</v>
      </c>
      <c r="C35" s="9">
        <v>1.0</v>
      </c>
      <c r="D35" s="161">
        <f>((D31 * D31) - D31)/2</f>
        <v>31125</v>
      </c>
      <c r="E35" s="9">
        <v>32.0</v>
      </c>
      <c r="F35" s="9">
        <v>250.0</v>
      </c>
      <c r="G35" s="162"/>
      <c r="H35" s="140"/>
      <c r="I35" s="140">
        <f t="shared" si="3"/>
        <v>1</v>
      </c>
      <c r="J35" s="140"/>
      <c r="K35" s="140"/>
      <c r="L35" s="6"/>
      <c r="M35" s="6"/>
      <c r="N35" s="6">
        <v>1.0</v>
      </c>
      <c r="O35" s="6">
        <v>1.0</v>
      </c>
      <c r="P35" s="6">
        <v>32.0</v>
      </c>
      <c r="Q35" s="6">
        <v>131072.0</v>
      </c>
      <c r="R35" s="6">
        <v>4096.0</v>
      </c>
      <c r="S35" s="140">
        <v>27.72</v>
      </c>
      <c r="T35" s="140">
        <v>28.98</v>
      </c>
      <c r="U35" s="140">
        <v>2.52</v>
      </c>
      <c r="V35" s="9">
        <v>1.0</v>
      </c>
      <c r="W35" s="140">
        <f>Q35</f>
        <v>131072</v>
      </c>
      <c r="X35" s="9">
        <v>3200.0</v>
      </c>
      <c r="Y35" s="141">
        <f>D35*V35*MIN(W35/64,F35/64)/(X35*10^6)*10^9</f>
        <v>37994.38477</v>
      </c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</row>
    <row r="36">
      <c r="B36" s="20"/>
      <c r="X36" s="6" t="s">
        <v>768</v>
      </c>
      <c r="Y36" s="18">
        <f>sum(Y31:Y34)</f>
        <v>36817712675</v>
      </c>
    </row>
    <row r="37">
      <c r="B37" s="20"/>
      <c r="X37" s="6" t="s">
        <v>769</v>
      </c>
      <c r="Y37" s="18">
        <f>Y36+Y24</f>
        <v>36817794595</v>
      </c>
    </row>
    <row r="38">
      <c r="B38" s="20"/>
    </row>
    <row r="39">
      <c r="A39" s="19" t="s">
        <v>493</v>
      </c>
    </row>
    <row r="40">
      <c r="A40" s="31"/>
      <c r="B40" s="154" t="s">
        <v>770</v>
      </c>
      <c r="C40" s="23" t="s">
        <v>771</v>
      </c>
      <c r="D40" s="24" t="s">
        <v>772</v>
      </c>
      <c r="E40" s="25"/>
      <c r="F40" s="155" t="s">
        <v>773</v>
      </c>
      <c r="G40" s="27" t="s">
        <v>774</v>
      </c>
      <c r="H40" s="26" t="s">
        <v>775</v>
      </c>
      <c r="I40" s="26" t="s">
        <v>776</v>
      </c>
      <c r="J40" s="28"/>
      <c r="K40" s="28"/>
      <c r="L40" s="29"/>
      <c r="M40" s="29"/>
      <c r="N40" s="29"/>
      <c r="O40" s="29"/>
      <c r="P40" s="29"/>
      <c r="Q40" s="29"/>
      <c r="R40" s="29"/>
      <c r="S40" s="26" t="s">
        <v>777</v>
      </c>
      <c r="T40" s="26" t="s">
        <v>778</v>
      </c>
      <c r="U40" s="52" t="s">
        <v>779</v>
      </c>
      <c r="V40" s="30" t="s">
        <v>780</v>
      </c>
      <c r="W40" s="31"/>
      <c r="X40" s="31"/>
      <c r="Y40" s="31"/>
      <c r="Z40" s="31"/>
      <c r="AA40" s="31"/>
      <c r="AB40" s="31"/>
      <c r="AG40" s="31"/>
      <c r="AH40" s="31"/>
      <c r="AI40" s="31"/>
      <c r="AJ40" s="31"/>
      <c r="AK40" s="31"/>
      <c r="AL40" s="31"/>
    </row>
    <row r="41">
      <c r="B41" s="20"/>
      <c r="C41" s="32" t="s">
        <v>106</v>
      </c>
      <c r="D41" s="33"/>
      <c r="E41" s="33"/>
      <c r="F41" s="33"/>
      <c r="G41" s="33"/>
      <c r="H41" s="33"/>
      <c r="I41" s="34"/>
      <c r="J41" s="35"/>
      <c r="K41" s="34"/>
      <c r="L41" s="116"/>
      <c r="M41" s="116"/>
      <c r="N41" s="37" t="s">
        <v>107</v>
      </c>
      <c r="O41" s="33"/>
      <c r="P41" s="33"/>
      <c r="Q41" s="34"/>
      <c r="R41" s="116"/>
      <c r="S41" s="156" t="s">
        <v>723</v>
      </c>
      <c r="T41" s="33"/>
      <c r="U41" s="34"/>
      <c r="V41" s="39" t="s">
        <v>109</v>
      </c>
      <c r="W41" s="33"/>
      <c r="X41" s="34"/>
      <c r="Y41" s="6" t="s">
        <v>724</v>
      </c>
    </row>
    <row r="42">
      <c r="A42" s="47"/>
      <c r="B42" s="40"/>
      <c r="C42" s="41" t="s">
        <v>110</v>
      </c>
      <c r="D42" s="42" t="s">
        <v>111</v>
      </c>
      <c r="E42" s="43" t="s">
        <v>112</v>
      </c>
      <c r="F42" s="44" t="s">
        <v>113</v>
      </c>
      <c r="G42" s="41" t="s">
        <v>114</v>
      </c>
      <c r="H42" s="41" t="s">
        <v>115</v>
      </c>
      <c r="I42" s="45" t="s">
        <v>116</v>
      </c>
      <c r="J42" s="43" t="s">
        <v>117</v>
      </c>
      <c r="K42" s="43" t="s">
        <v>118</v>
      </c>
      <c r="L42" s="44"/>
      <c r="M42" s="44"/>
      <c r="N42" s="44" t="s">
        <v>121</v>
      </c>
      <c r="O42" s="44" t="s">
        <v>122</v>
      </c>
      <c r="P42" s="44" t="s">
        <v>123</v>
      </c>
      <c r="Q42" s="44" t="s">
        <v>124</v>
      </c>
      <c r="R42" s="44"/>
      <c r="S42" s="43" t="s">
        <v>648</v>
      </c>
      <c r="T42" s="43" t="s">
        <v>649</v>
      </c>
      <c r="U42" s="6" t="s">
        <v>196</v>
      </c>
      <c r="V42" s="43" t="s">
        <v>127</v>
      </c>
      <c r="W42" s="43" t="s">
        <v>128</v>
      </c>
      <c r="X42" s="43" t="s">
        <v>129</v>
      </c>
      <c r="Y42" s="47"/>
      <c r="Z42" s="47"/>
      <c r="AA42" s="47"/>
      <c r="AB42" s="47"/>
      <c r="AG42" s="47"/>
      <c r="AH42" s="47"/>
      <c r="AI42" s="47"/>
      <c r="AJ42" s="47"/>
      <c r="AK42" s="47"/>
      <c r="AL42" s="47"/>
    </row>
    <row r="43">
      <c r="A43" s="157" t="s">
        <v>725</v>
      </c>
      <c r="B43" s="163" t="s">
        <v>726</v>
      </c>
      <c r="C43" s="6">
        <v>1.0</v>
      </c>
      <c r="D43" s="158">
        <v>2.0</v>
      </c>
      <c r="E43" s="122" t="s">
        <v>564</v>
      </c>
      <c r="F43" s="6">
        <v>8388608.0</v>
      </c>
      <c r="G43" s="6">
        <v>250.0</v>
      </c>
      <c r="I43" s="10">
        <f>ROUNDUP(F43/(N43*O43*P43*Q43))</f>
        <v>1</v>
      </c>
      <c r="J43" s="6" t="s">
        <v>564</v>
      </c>
      <c r="K43" s="6" t="s">
        <v>564</v>
      </c>
      <c r="L43" s="6"/>
      <c r="M43" s="6"/>
      <c r="N43" s="6">
        <v>16.0</v>
      </c>
      <c r="O43" s="6">
        <v>8.0</v>
      </c>
      <c r="P43" s="6">
        <v>32.0</v>
      </c>
      <c r="Q43" s="6">
        <v>131072.0</v>
      </c>
      <c r="R43" s="6"/>
      <c r="S43" s="10">
        <v>27.72</v>
      </c>
      <c r="T43" s="10">
        <v>28.98</v>
      </c>
      <c r="U43" s="10">
        <v>2.52</v>
      </c>
      <c r="V43" s="6">
        <v>1.0</v>
      </c>
      <c r="W43" s="10">
        <f>Q43</f>
        <v>131072</v>
      </c>
      <c r="X43" s="6">
        <v>3200.0</v>
      </c>
      <c r="Y43" s="18">
        <f>D43*V43*min(W43,F43)/(X43*10^6)*10^9</f>
        <v>81920</v>
      </c>
    </row>
    <row r="44">
      <c r="A44" s="159"/>
      <c r="AL44" s="159"/>
    </row>
    <row r="45">
      <c r="B45" s="121"/>
      <c r="D45" s="49"/>
      <c r="Y45" s="18"/>
    </row>
    <row r="46">
      <c r="B46" s="20"/>
      <c r="D46" s="6" t="s">
        <v>95</v>
      </c>
      <c r="F46" s="21" t="s">
        <v>96</v>
      </c>
      <c r="G46" s="21" t="s">
        <v>96</v>
      </c>
      <c r="H46" s="21" t="s">
        <v>96</v>
      </c>
      <c r="I46" s="6" t="s">
        <v>95</v>
      </c>
    </row>
    <row r="47">
      <c r="A47" s="31"/>
      <c r="B47" s="112" t="s">
        <v>781</v>
      </c>
      <c r="C47" s="23" t="s">
        <v>782</v>
      </c>
      <c r="D47" s="24" t="s">
        <v>729</v>
      </c>
      <c r="E47" s="25"/>
      <c r="F47" s="155" t="s">
        <v>783</v>
      </c>
      <c r="G47" s="27" t="s">
        <v>784</v>
      </c>
      <c r="H47" s="26" t="s">
        <v>785</v>
      </c>
      <c r="I47" s="26" t="s">
        <v>786</v>
      </c>
      <c r="J47" s="28"/>
      <c r="K47" s="28"/>
      <c r="L47" s="29"/>
      <c r="M47" s="29"/>
      <c r="N47" s="29"/>
      <c r="O47" s="29"/>
      <c r="P47" s="29"/>
      <c r="Q47" s="29"/>
      <c r="R47" s="29"/>
      <c r="S47" s="26" t="s">
        <v>787</v>
      </c>
      <c r="T47" s="26" t="s">
        <v>788</v>
      </c>
      <c r="U47" s="52" t="s">
        <v>789</v>
      </c>
      <c r="V47" s="30" t="s">
        <v>790</v>
      </c>
      <c r="W47" s="31"/>
      <c r="X47" s="31"/>
      <c r="Y47" s="114" t="s">
        <v>738</v>
      </c>
      <c r="Z47" s="31"/>
      <c r="AA47" s="31"/>
      <c r="AB47" s="31"/>
      <c r="AG47" s="31"/>
      <c r="AH47" s="31"/>
      <c r="AI47" s="31"/>
      <c r="AJ47" s="31"/>
      <c r="AK47" s="31"/>
      <c r="AL47" s="31"/>
    </row>
    <row r="48">
      <c r="B48" s="20"/>
      <c r="C48" s="32" t="s">
        <v>106</v>
      </c>
      <c r="D48" s="33"/>
      <c r="E48" s="33"/>
      <c r="F48" s="33"/>
      <c r="G48" s="33"/>
      <c r="H48" s="33"/>
      <c r="I48" s="34"/>
      <c r="J48" s="35"/>
      <c r="K48" s="34"/>
      <c r="L48" s="116"/>
      <c r="M48" s="116"/>
      <c r="N48" s="37" t="s">
        <v>107</v>
      </c>
      <c r="O48" s="33"/>
      <c r="P48" s="33"/>
      <c r="Q48" s="34"/>
      <c r="R48" s="116"/>
      <c r="S48" s="156" t="s">
        <v>723</v>
      </c>
      <c r="T48" s="33"/>
      <c r="U48" s="34"/>
      <c r="V48" s="39" t="s">
        <v>109</v>
      </c>
      <c r="W48" s="33"/>
      <c r="X48" s="34"/>
      <c r="Y48" s="3" t="s">
        <v>130</v>
      </c>
      <c r="Z48" s="3" t="s">
        <v>131</v>
      </c>
    </row>
    <row r="49">
      <c r="A49" s="47"/>
      <c r="B49" s="40"/>
      <c r="C49" s="41" t="s">
        <v>110</v>
      </c>
      <c r="D49" s="42" t="s">
        <v>111</v>
      </c>
      <c r="E49" s="43" t="s">
        <v>112</v>
      </c>
      <c r="F49" s="44" t="s">
        <v>113</v>
      </c>
      <c r="G49" s="41" t="s">
        <v>114</v>
      </c>
      <c r="H49" s="41" t="s">
        <v>115</v>
      </c>
      <c r="I49" s="45" t="s">
        <v>116</v>
      </c>
      <c r="J49" s="43" t="s">
        <v>117</v>
      </c>
      <c r="K49" s="43" t="s">
        <v>118</v>
      </c>
      <c r="L49" s="43" t="s">
        <v>119</v>
      </c>
      <c r="M49" s="43" t="s">
        <v>560</v>
      </c>
      <c r="N49" s="44" t="s">
        <v>121</v>
      </c>
      <c r="O49" s="44" t="s">
        <v>122</v>
      </c>
      <c r="P49" s="44" t="s">
        <v>123</v>
      </c>
      <c r="Q49" s="44" t="s">
        <v>124</v>
      </c>
      <c r="R49" s="43" t="s">
        <v>280</v>
      </c>
      <c r="S49" s="43" t="s">
        <v>648</v>
      </c>
      <c r="T49" s="43" t="s">
        <v>649</v>
      </c>
      <c r="U49" s="6" t="s">
        <v>196</v>
      </c>
      <c r="V49" s="43" t="s">
        <v>127</v>
      </c>
      <c r="W49" s="43" t="s">
        <v>128</v>
      </c>
      <c r="X49" s="43" t="s">
        <v>129</v>
      </c>
      <c r="Y49" s="47"/>
      <c r="Z49" s="47"/>
      <c r="AA49" s="47"/>
      <c r="AB49" s="47"/>
      <c r="AG49" s="47"/>
      <c r="AH49" s="47"/>
      <c r="AI49" s="47"/>
      <c r="AJ49" s="47"/>
      <c r="AK49" s="47"/>
      <c r="AL49" s="47"/>
    </row>
    <row r="50">
      <c r="A50" s="157" t="s">
        <v>739</v>
      </c>
      <c r="B50" s="57" t="s">
        <v>740</v>
      </c>
      <c r="C50" s="6">
        <v>1.0</v>
      </c>
      <c r="D50" s="158">
        <v>250.0</v>
      </c>
      <c r="E50" s="6">
        <v>32.0</v>
      </c>
      <c r="F50" s="6">
        <v>8388608.0</v>
      </c>
      <c r="I50" s="10">
        <f t="shared" ref="I50:I53" si="5">ROUNDUP(F50/(N50*O50*P50*Q50))</f>
        <v>2</v>
      </c>
      <c r="J50" s="6" t="s">
        <v>564</v>
      </c>
      <c r="K50" s="6" t="s">
        <v>564</v>
      </c>
      <c r="L50" s="6"/>
      <c r="M50" s="6"/>
      <c r="N50" s="6">
        <v>1.0</v>
      </c>
      <c r="O50" s="6">
        <v>1.0</v>
      </c>
      <c r="P50" s="6">
        <v>32.0</v>
      </c>
      <c r="Q50" s="6">
        <v>131072.0</v>
      </c>
      <c r="R50" s="6">
        <v>4096.0</v>
      </c>
      <c r="S50" s="10">
        <v>27.72</v>
      </c>
      <c r="T50" s="10">
        <v>28.98</v>
      </c>
      <c r="U50" s="10">
        <v>2.52</v>
      </c>
      <c r="Y50" s="18">
        <f>D50*E50*R50*U50</f>
        <v>82575360</v>
      </c>
      <c r="Z50" s="50">
        <v>5.522784E9</v>
      </c>
    </row>
    <row r="51" ht="16.5" customHeight="1">
      <c r="B51" s="62" t="s">
        <v>741</v>
      </c>
      <c r="C51" s="6">
        <v>1.0</v>
      </c>
      <c r="D51" s="158">
        <v>250.0</v>
      </c>
      <c r="E51" s="6">
        <v>32.0</v>
      </c>
      <c r="F51" s="6">
        <v>8388608.0</v>
      </c>
      <c r="I51" s="10">
        <f t="shared" si="5"/>
        <v>2</v>
      </c>
      <c r="J51" s="10">
        <f>1.3*E51*E51/E51</f>
        <v>41.6</v>
      </c>
      <c r="K51" s="10">
        <f>0.7*E51*E51/E51</f>
        <v>22.4</v>
      </c>
      <c r="L51" s="6">
        <f>1.6*E51*E51/E51</f>
        <v>51.2</v>
      </c>
      <c r="M51" s="6">
        <v>2.52</v>
      </c>
      <c r="N51" s="6">
        <v>1.0</v>
      </c>
      <c r="O51" s="6">
        <v>1.0</v>
      </c>
      <c r="P51" s="6">
        <v>32.0</v>
      </c>
      <c r="Q51" s="6">
        <v>131072.0</v>
      </c>
      <c r="R51" s="6">
        <v>4096.0</v>
      </c>
      <c r="S51" s="10">
        <v>27.72</v>
      </c>
      <c r="T51" s="10">
        <v>28.98</v>
      </c>
      <c r="U51" s="10">
        <v>2.52</v>
      </c>
      <c r="Y51" s="18">
        <f t="shared" ref="Y51:Y52" si="6">I51*(D51*E51*J51*S51+D51*E51*K51*T51+D51*E51*L51*M51)</f>
        <v>30901248</v>
      </c>
    </row>
    <row r="52">
      <c r="B52" s="62" t="s">
        <v>742</v>
      </c>
      <c r="C52" s="6">
        <v>1.0</v>
      </c>
      <c r="D52" s="158">
        <f>((D50 * D50) - D50)/2</f>
        <v>31125</v>
      </c>
      <c r="E52" s="6">
        <v>32.0</v>
      </c>
      <c r="F52" s="6">
        <v>8388608.0</v>
      </c>
      <c r="I52" s="10">
        <f t="shared" si="5"/>
        <v>2</v>
      </c>
      <c r="J52" s="10">
        <f>1.8*E52*E52/E52</f>
        <v>57.6</v>
      </c>
      <c r="K52" s="10">
        <f>E52*E52/E52</f>
        <v>32</v>
      </c>
      <c r="L52" s="6">
        <f>3*E52*E52/E52</f>
        <v>96</v>
      </c>
      <c r="M52" s="6">
        <v>2.52</v>
      </c>
      <c r="N52" s="6">
        <v>1.0</v>
      </c>
      <c r="O52" s="6">
        <v>1.0</v>
      </c>
      <c r="P52" s="6">
        <v>32.0</v>
      </c>
      <c r="Q52" s="6">
        <v>131072.0</v>
      </c>
      <c r="R52" s="6">
        <v>4096.0</v>
      </c>
      <c r="S52" s="10">
        <v>27.72</v>
      </c>
      <c r="T52" s="10">
        <v>28.98</v>
      </c>
      <c r="U52" s="10">
        <v>2.52</v>
      </c>
      <c r="Y52" s="18">
        <f t="shared" si="6"/>
        <v>5509776384</v>
      </c>
    </row>
    <row r="53">
      <c r="B53" s="160" t="s">
        <v>743</v>
      </c>
      <c r="C53" s="9">
        <v>1.0</v>
      </c>
      <c r="D53" s="161">
        <f>((D50 * D50) - D50)/2</f>
        <v>31125</v>
      </c>
      <c r="E53" s="9">
        <v>32.0</v>
      </c>
      <c r="F53" s="9">
        <v>250.0</v>
      </c>
      <c r="G53" s="162"/>
      <c r="H53" s="140"/>
      <c r="I53" s="140">
        <f t="shared" si="5"/>
        <v>1</v>
      </c>
      <c r="J53" s="140"/>
      <c r="K53" s="140"/>
      <c r="L53" s="6"/>
      <c r="M53" s="6"/>
      <c r="N53" s="6">
        <v>1.0</v>
      </c>
      <c r="O53" s="6">
        <v>1.0</v>
      </c>
      <c r="P53" s="6">
        <v>32.0</v>
      </c>
      <c r="Q53" s="6">
        <v>131072.0</v>
      </c>
      <c r="R53" s="6">
        <v>4096.0</v>
      </c>
      <c r="S53" s="140">
        <v>27.72</v>
      </c>
      <c r="T53" s="140">
        <v>28.98</v>
      </c>
      <c r="U53" s="140">
        <v>2.52</v>
      </c>
      <c r="V53" s="9">
        <v>1.0</v>
      </c>
      <c r="W53" s="140">
        <f>Q53</f>
        <v>131072</v>
      </c>
      <c r="X53" s="9">
        <v>3200.0</v>
      </c>
      <c r="Y53" s="141">
        <f>D53*V53*MIN(W53/64,F53/64)/(X53*10^6)*10^9</f>
        <v>37994.38477</v>
      </c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</row>
    <row r="54">
      <c r="B54" s="20"/>
      <c r="X54" s="6" t="s">
        <v>204</v>
      </c>
      <c r="Y54" s="18">
        <f>sum(Y50:Y51,Y52)</f>
        <v>5623252992</v>
      </c>
    </row>
    <row r="55">
      <c r="A55" s="47"/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3"/>
      <c r="M55" s="43"/>
      <c r="N55" s="43">
        <v>1.0</v>
      </c>
      <c r="O55" s="47"/>
      <c r="P55" s="47"/>
      <c r="Q55" s="47"/>
      <c r="R55" s="47"/>
      <c r="S55" s="47"/>
      <c r="T55" s="47"/>
      <c r="U55" s="47"/>
      <c r="V55" s="47"/>
      <c r="W55" s="47"/>
      <c r="X55" s="43" t="s">
        <v>744</v>
      </c>
      <c r="Y55" s="69">
        <f>Y54+Y43</f>
        <v>5623334912</v>
      </c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</row>
    <row r="56">
      <c r="A56" s="19" t="s">
        <v>226</v>
      </c>
    </row>
    <row r="57">
      <c r="A57" s="31"/>
      <c r="B57" s="154" t="s">
        <v>791</v>
      </c>
      <c r="C57" s="23" t="s">
        <v>792</v>
      </c>
      <c r="D57" s="24" t="s">
        <v>793</v>
      </c>
      <c r="E57" s="25"/>
      <c r="F57" s="155" t="s">
        <v>794</v>
      </c>
      <c r="G57" s="27" t="s">
        <v>795</v>
      </c>
      <c r="H57" s="26" t="s">
        <v>796</v>
      </c>
      <c r="I57" s="26" t="s">
        <v>797</v>
      </c>
      <c r="J57" s="28"/>
      <c r="K57" s="28"/>
      <c r="L57" s="29"/>
      <c r="M57" s="29"/>
      <c r="N57" s="29"/>
      <c r="O57" s="29"/>
      <c r="P57" s="29"/>
      <c r="Q57" s="29"/>
      <c r="R57" s="29"/>
      <c r="S57" s="26" t="s">
        <v>798</v>
      </c>
      <c r="T57" s="26" t="s">
        <v>799</v>
      </c>
      <c r="U57" s="52" t="s">
        <v>800</v>
      </c>
      <c r="V57" s="30" t="s">
        <v>801</v>
      </c>
      <c r="W57" s="31"/>
      <c r="X57" s="31"/>
      <c r="Y57" s="31"/>
      <c r="Z57" s="31"/>
      <c r="AA57" s="31"/>
      <c r="AB57" s="31"/>
      <c r="AG57" s="31"/>
      <c r="AH57" s="31"/>
      <c r="AI57" s="31"/>
      <c r="AJ57" s="31"/>
      <c r="AK57" s="31"/>
      <c r="AL57" s="31"/>
    </row>
    <row r="58">
      <c r="B58" s="20"/>
      <c r="C58" s="32" t="s">
        <v>106</v>
      </c>
      <c r="D58" s="33"/>
      <c r="E58" s="33"/>
      <c r="F58" s="33"/>
      <c r="G58" s="33"/>
      <c r="H58" s="33"/>
      <c r="I58" s="34"/>
      <c r="J58" s="35"/>
      <c r="K58" s="34"/>
      <c r="L58" s="116"/>
      <c r="M58" s="116"/>
      <c r="N58" s="37" t="s">
        <v>107</v>
      </c>
      <c r="O58" s="33"/>
      <c r="P58" s="33"/>
      <c r="Q58" s="34"/>
      <c r="R58" s="116"/>
      <c r="S58" s="156" t="s">
        <v>723</v>
      </c>
      <c r="T58" s="33"/>
      <c r="U58" s="34"/>
      <c r="V58" s="39" t="s">
        <v>109</v>
      </c>
      <c r="W58" s="33"/>
      <c r="X58" s="34"/>
      <c r="Y58" s="6" t="s">
        <v>724</v>
      </c>
    </row>
    <row r="59">
      <c r="A59" s="47"/>
      <c r="B59" s="40"/>
      <c r="C59" s="41" t="s">
        <v>110</v>
      </c>
      <c r="D59" s="42" t="s">
        <v>111</v>
      </c>
      <c r="E59" s="43" t="s">
        <v>112</v>
      </c>
      <c r="F59" s="44" t="s">
        <v>113</v>
      </c>
      <c r="G59" s="41" t="s">
        <v>114</v>
      </c>
      <c r="H59" s="41" t="s">
        <v>115</v>
      </c>
      <c r="I59" s="45" t="s">
        <v>116</v>
      </c>
      <c r="J59" s="43" t="s">
        <v>117</v>
      </c>
      <c r="K59" s="43" t="s">
        <v>118</v>
      </c>
      <c r="L59" s="44"/>
      <c r="M59" s="44"/>
      <c r="N59" s="44" t="s">
        <v>121</v>
      </c>
      <c r="O59" s="44" t="s">
        <v>122</v>
      </c>
      <c r="P59" s="44" t="s">
        <v>123</v>
      </c>
      <c r="Q59" s="44" t="s">
        <v>124</v>
      </c>
      <c r="R59" s="44"/>
      <c r="S59" s="43" t="s">
        <v>648</v>
      </c>
      <c r="T59" s="43" t="s">
        <v>649</v>
      </c>
      <c r="U59" s="6" t="s">
        <v>196</v>
      </c>
      <c r="V59" s="43" t="s">
        <v>127</v>
      </c>
      <c r="W59" s="43" t="s">
        <v>128</v>
      </c>
      <c r="X59" s="43" t="s">
        <v>129</v>
      </c>
      <c r="Y59" s="47"/>
      <c r="Z59" s="47"/>
      <c r="AA59" s="47"/>
      <c r="AB59" s="47"/>
      <c r="AG59" s="47"/>
      <c r="AH59" s="47"/>
      <c r="AI59" s="47"/>
      <c r="AJ59" s="47"/>
      <c r="AK59" s="47"/>
      <c r="AL59" s="47"/>
    </row>
    <row r="60">
      <c r="A60" s="157" t="s">
        <v>725</v>
      </c>
      <c r="B60" s="121" t="s">
        <v>726</v>
      </c>
      <c r="C60" s="6">
        <v>1.0</v>
      </c>
      <c r="D60" s="158">
        <v>2.0</v>
      </c>
      <c r="E60" s="122" t="s">
        <v>564</v>
      </c>
      <c r="F60" s="6">
        <v>8388608.0</v>
      </c>
      <c r="G60" s="6">
        <v>250.0</v>
      </c>
      <c r="I60" s="10">
        <f>ROUNDUP(F60/(N60*O60*P60*Q60))</f>
        <v>1</v>
      </c>
      <c r="J60" s="6" t="s">
        <v>564</v>
      </c>
      <c r="K60" s="6" t="s">
        <v>564</v>
      </c>
      <c r="L60" s="6"/>
      <c r="M60" s="6"/>
      <c r="N60" s="6">
        <v>16.0</v>
      </c>
      <c r="O60" s="6">
        <v>8.0</v>
      </c>
      <c r="P60" s="6">
        <v>2.0</v>
      </c>
      <c r="Q60" s="6">
        <v>131072.0</v>
      </c>
      <c r="R60" s="6"/>
      <c r="S60" s="10">
        <v>27.72</v>
      </c>
      <c r="T60" s="10">
        <v>28.98</v>
      </c>
      <c r="U60" s="10">
        <v>2.52</v>
      </c>
      <c r="V60" s="6">
        <v>1.0</v>
      </c>
      <c r="W60" s="10">
        <f>Q60</f>
        <v>131072</v>
      </c>
      <c r="X60" s="6">
        <v>3200.0</v>
      </c>
      <c r="Y60" s="18">
        <f>D60*V60*min(W60,F60)/(X60*10^6)*10^9</f>
        <v>81920</v>
      </c>
    </row>
    <row r="61">
      <c r="A61" s="159"/>
      <c r="AL61" s="159"/>
    </row>
    <row r="62">
      <c r="B62" s="121"/>
      <c r="D62" s="49"/>
      <c r="Y62" s="18"/>
    </row>
    <row r="63">
      <c r="B63" s="20"/>
      <c r="D63" s="6" t="s">
        <v>95</v>
      </c>
      <c r="F63" s="21" t="s">
        <v>96</v>
      </c>
      <c r="G63" s="21" t="s">
        <v>96</v>
      </c>
      <c r="H63" s="21" t="s">
        <v>96</v>
      </c>
      <c r="I63" s="6" t="s">
        <v>95</v>
      </c>
    </row>
    <row r="64">
      <c r="A64" s="31"/>
      <c r="B64" s="112" t="s">
        <v>802</v>
      </c>
      <c r="C64" s="23" t="s">
        <v>803</v>
      </c>
      <c r="D64" s="24" t="s">
        <v>729</v>
      </c>
      <c r="E64" s="25"/>
      <c r="F64" s="155" t="s">
        <v>804</v>
      </c>
      <c r="G64" s="27" t="s">
        <v>805</v>
      </c>
      <c r="H64" s="26" t="s">
        <v>806</v>
      </c>
      <c r="I64" s="26" t="s">
        <v>807</v>
      </c>
      <c r="J64" s="28"/>
      <c r="K64" s="28"/>
      <c r="L64" s="29"/>
      <c r="M64" s="29"/>
      <c r="N64" s="29"/>
      <c r="O64" s="29"/>
      <c r="P64" s="29"/>
      <c r="Q64" s="29"/>
      <c r="R64" s="29"/>
      <c r="S64" s="26" t="s">
        <v>808</v>
      </c>
      <c r="T64" s="26" t="s">
        <v>809</v>
      </c>
      <c r="U64" s="52" t="s">
        <v>810</v>
      </c>
      <c r="V64" s="30" t="s">
        <v>811</v>
      </c>
      <c r="W64" s="31"/>
      <c r="X64" s="31"/>
      <c r="Y64" s="114" t="s">
        <v>738</v>
      </c>
      <c r="Z64" s="31"/>
      <c r="AA64" s="31"/>
      <c r="AB64" s="31"/>
      <c r="AG64" s="31"/>
      <c r="AH64" s="31"/>
      <c r="AI64" s="31"/>
      <c r="AJ64" s="31"/>
      <c r="AK64" s="31"/>
      <c r="AL64" s="31"/>
    </row>
    <row r="65">
      <c r="B65" s="20"/>
      <c r="C65" s="32" t="s">
        <v>106</v>
      </c>
      <c r="D65" s="33"/>
      <c r="E65" s="33"/>
      <c r="F65" s="33"/>
      <c r="G65" s="33"/>
      <c r="H65" s="33"/>
      <c r="I65" s="34"/>
      <c r="J65" s="35"/>
      <c r="K65" s="34"/>
      <c r="L65" s="116"/>
      <c r="M65" s="116"/>
      <c r="N65" s="37" t="s">
        <v>107</v>
      </c>
      <c r="O65" s="33"/>
      <c r="P65" s="33"/>
      <c r="Q65" s="34"/>
      <c r="R65" s="116"/>
      <c r="S65" s="156" t="s">
        <v>723</v>
      </c>
      <c r="T65" s="33"/>
      <c r="U65" s="34"/>
      <c r="V65" s="39" t="s">
        <v>109</v>
      </c>
      <c r="W65" s="33"/>
      <c r="X65" s="34"/>
      <c r="Y65" s="3" t="s">
        <v>130</v>
      </c>
      <c r="Z65" s="3" t="s">
        <v>131</v>
      </c>
    </row>
    <row r="66">
      <c r="A66" s="47"/>
      <c r="B66" s="40"/>
      <c r="C66" s="41" t="s">
        <v>110</v>
      </c>
      <c r="D66" s="42" t="s">
        <v>111</v>
      </c>
      <c r="E66" s="43" t="s">
        <v>112</v>
      </c>
      <c r="F66" s="44" t="s">
        <v>113</v>
      </c>
      <c r="G66" s="41" t="s">
        <v>114</v>
      </c>
      <c r="H66" s="41" t="s">
        <v>115</v>
      </c>
      <c r="I66" s="45" t="s">
        <v>116</v>
      </c>
      <c r="J66" s="43" t="s">
        <v>117</v>
      </c>
      <c r="K66" s="43" t="s">
        <v>118</v>
      </c>
      <c r="L66" s="43" t="s">
        <v>119</v>
      </c>
      <c r="M66" s="43" t="s">
        <v>560</v>
      </c>
      <c r="N66" s="44" t="s">
        <v>121</v>
      </c>
      <c r="O66" s="44" t="s">
        <v>122</v>
      </c>
      <c r="P66" s="44" t="s">
        <v>123</v>
      </c>
      <c r="Q66" s="44" t="s">
        <v>124</v>
      </c>
      <c r="R66" s="43" t="s">
        <v>280</v>
      </c>
      <c r="S66" s="43" t="s">
        <v>648</v>
      </c>
      <c r="T66" s="43" t="s">
        <v>649</v>
      </c>
      <c r="U66" s="6" t="s">
        <v>196</v>
      </c>
      <c r="V66" s="43" t="s">
        <v>127</v>
      </c>
      <c r="W66" s="43" t="s">
        <v>128</v>
      </c>
      <c r="X66" s="43" t="s">
        <v>129</v>
      </c>
      <c r="Y66" s="47"/>
      <c r="Z66" s="47"/>
      <c r="AA66" s="47"/>
      <c r="AB66" s="47"/>
      <c r="AG66" s="47"/>
      <c r="AH66" s="47"/>
      <c r="AI66" s="47"/>
      <c r="AJ66" s="47"/>
      <c r="AK66" s="47"/>
      <c r="AL66" s="47"/>
    </row>
    <row r="67">
      <c r="A67" s="157" t="s">
        <v>739</v>
      </c>
      <c r="B67" s="48" t="s">
        <v>740</v>
      </c>
      <c r="C67" s="6">
        <v>1.0</v>
      </c>
      <c r="D67" s="158">
        <v>250.0</v>
      </c>
      <c r="E67" s="6">
        <v>32.0</v>
      </c>
      <c r="F67" s="6">
        <v>8388608.0</v>
      </c>
      <c r="I67" s="10">
        <f t="shared" ref="I67:I70" si="7">ROUNDUP(F67/(N67*O67*P67*Q67))</f>
        <v>32</v>
      </c>
      <c r="J67" s="6" t="s">
        <v>564</v>
      </c>
      <c r="K67" s="6" t="s">
        <v>564</v>
      </c>
      <c r="L67" s="6"/>
      <c r="M67" s="6"/>
      <c r="N67" s="6">
        <v>1.0</v>
      </c>
      <c r="O67" s="6">
        <v>1.0</v>
      </c>
      <c r="P67" s="6">
        <v>2.0</v>
      </c>
      <c r="Q67" s="6">
        <v>131072.0</v>
      </c>
      <c r="R67" s="6">
        <v>4096.0</v>
      </c>
      <c r="S67" s="10">
        <v>27.72</v>
      </c>
      <c r="T67" s="10">
        <v>28.98</v>
      </c>
      <c r="U67" s="10">
        <v>2.52</v>
      </c>
      <c r="Y67" s="18">
        <f>D67*E67*R67*U67</f>
        <v>82575360</v>
      </c>
      <c r="Z67" s="18">
        <v>1.2655586730124695E10</v>
      </c>
      <c r="AA67" s="50"/>
      <c r="AB67" s="50"/>
    </row>
    <row r="68">
      <c r="B68" s="62" t="s">
        <v>741</v>
      </c>
      <c r="C68" s="6">
        <v>1.0</v>
      </c>
      <c r="D68" s="158">
        <v>250.0</v>
      </c>
      <c r="E68" s="6">
        <v>32.0</v>
      </c>
      <c r="F68" s="6">
        <v>8388608.0</v>
      </c>
      <c r="I68" s="10">
        <f t="shared" si="7"/>
        <v>32</v>
      </c>
      <c r="J68" s="10">
        <f>11*E68/E68</f>
        <v>11</v>
      </c>
      <c r="K68" s="10">
        <f>(6*E68+1)/E68</f>
        <v>6.03125</v>
      </c>
      <c r="L68" s="10">
        <f>(13*E68+1)/E68</f>
        <v>13.03125</v>
      </c>
      <c r="M68" s="6">
        <v>2.52</v>
      </c>
      <c r="N68" s="6">
        <v>1.0</v>
      </c>
      <c r="O68" s="6">
        <v>1.0</v>
      </c>
      <c r="P68" s="6">
        <v>2.0</v>
      </c>
      <c r="Q68" s="6">
        <v>131072.0</v>
      </c>
      <c r="R68" s="6">
        <v>4096.0</v>
      </c>
      <c r="S68" s="10">
        <v>27.72</v>
      </c>
      <c r="T68" s="10">
        <v>28.98</v>
      </c>
      <c r="U68" s="10">
        <v>2.52</v>
      </c>
      <c r="Y68" s="18">
        <f t="shared" ref="Y68:Y69" si="8">I68*(D68*E68*J68*S68+D68*E68*K68*T68+D68*E68*L68*M68)</f>
        <v>131211360</v>
      </c>
      <c r="AB68" s="50"/>
    </row>
    <row r="69">
      <c r="B69" s="62" t="s">
        <v>742</v>
      </c>
      <c r="C69" s="6">
        <v>1.0</v>
      </c>
      <c r="D69" s="158">
        <f>((D67 * D67) - D67)/2</f>
        <v>31125</v>
      </c>
      <c r="E69" s="6">
        <v>32.0</v>
      </c>
      <c r="F69" s="6">
        <v>8388608.0</v>
      </c>
      <c r="I69" s="10">
        <f t="shared" si="7"/>
        <v>32</v>
      </c>
      <c r="J69" s="10">
        <f>15.2*E69*E69/E69</f>
        <v>486.4</v>
      </c>
      <c r="K69" s="10">
        <f>8.62*E69*E69/E69</f>
        <v>275.84</v>
      </c>
      <c r="L69" s="10">
        <f>17.1*E69*E69/E69</f>
        <v>547.2</v>
      </c>
      <c r="M69" s="6">
        <v>2.52</v>
      </c>
      <c r="N69" s="6">
        <v>1.0</v>
      </c>
      <c r="O69" s="6">
        <v>1.0</v>
      </c>
      <c r="P69" s="6">
        <v>2.0</v>
      </c>
      <c r="Q69" s="6">
        <v>131072.0</v>
      </c>
      <c r="R69" s="6">
        <v>4096.0</v>
      </c>
      <c r="S69" s="10">
        <v>27.72</v>
      </c>
      <c r="T69" s="10">
        <v>28.98</v>
      </c>
      <c r="U69" s="10">
        <v>2.52</v>
      </c>
      <c r="Y69" s="18">
        <f t="shared" si="8"/>
        <v>728459904614</v>
      </c>
      <c r="AB69" s="50"/>
    </row>
    <row r="70">
      <c r="B70" s="160" t="s">
        <v>743</v>
      </c>
      <c r="C70" s="9">
        <v>1.0</v>
      </c>
      <c r="D70" s="161">
        <f>((D67 * D67) - D67)/2</f>
        <v>31125</v>
      </c>
      <c r="E70" s="9">
        <v>32.0</v>
      </c>
      <c r="F70" s="9">
        <v>250.0</v>
      </c>
      <c r="G70" s="162"/>
      <c r="H70" s="140"/>
      <c r="I70" s="140">
        <f t="shared" si="7"/>
        <v>1</v>
      </c>
      <c r="J70" s="140"/>
      <c r="K70" s="140"/>
      <c r="L70" s="6"/>
      <c r="M70" s="6"/>
      <c r="N70" s="6">
        <v>1.0</v>
      </c>
      <c r="O70" s="6">
        <v>1.0</v>
      </c>
      <c r="P70" s="6">
        <v>2.0</v>
      </c>
      <c r="Q70" s="6">
        <v>131072.0</v>
      </c>
      <c r="R70" s="6">
        <v>4096.0</v>
      </c>
      <c r="S70" s="140">
        <v>27.72</v>
      </c>
      <c r="T70" s="140">
        <v>28.98</v>
      </c>
      <c r="U70" s="140">
        <v>2.52</v>
      </c>
      <c r="V70" s="9">
        <v>1.0</v>
      </c>
      <c r="W70" s="140">
        <f>Q70</f>
        <v>131072</v>
      </c>
      <c r="X70" s="9">
        <v>3200.0</v>
      </c>
      <c r="Y70" s="141">
        <f>D70*V70*MIN(W70/64,F70/64)/(X70*10^6)*10^9</f>
        <v>37994.38477</v>
      </c>
      <c r="Z70" s="140"/>
      <c r="AA70" s="9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</row>
    <row r="71">
      <c r="B71" s="20"/>
      <c r="X71" s="6" t="s">
        <v>204</v>
      </c>
      <c r="Y71" s="18">
        <f>sum(Y67:Y68,Y69)</f>
        <v>728673691334</v>
      </c>
    </row>
    <row r="72">
      <c r="A72" s="47"/>
      <c r="B72" s="40"/>
      <c r="C72" s="47"/>
      <c r="D72" s="47"/>
      <c r="E72" s="47"/>
      <c r="F72" s="47"/>
      <c r="G72" s="47"/>
      <c r="H72" s="47"/>
      <c r="I72" s="47"/>
      <c r="J72" s="47"/>
      <c r="K72" s="47"/>
      <c r="L72" s="43"/>
      <c r="M72" s="43"/>
      <c r="N72" s="43">
        <v>1.0</v>
      </c>
      <c r="O72" s="47"/>
      <c r="P72" s="47"/>
      <c r="Q72" s="47"/>
      <c r="R72" s="47"/>
      <c r="S72" s="47"/>
      <c r="T72" s="47"/>
      <c r="U72" s="47"/>
      <c r="V72" s="47"/>
      <c r="W72" s="47"/>
      <c r="X72" s="43" t="s">
        <v>744</v>
      </c>
      <c r="Y72" s="69">
        <f>Y71+Y60</f>
        <v>728673773254</v>
      </c>
      <c r="Z72" s="47"/>
      <c r="AA72" s="43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</row>
    <row r="73">
      <c r="B73" s="20"/>
    </row>
    <row r="74">
      <c r="A74" s="19" t="s">
        <v>237</v>
      </c>
    </row>
    <row r="75">
      <c r="A75" s="31"/>
      <c r="B75" s="154" t="s">
        <v>812</v>
      </c>
      <c r="C75" s="23" t="s">
        <v>813</v>
      </c>
      <c r="D75" s="24" t="s">
        <v>814</v>
      </c>
      <c r="E75" s="25"/>
      <c r="F75" s="155" t="s">
        <v>815</v>
      </c>
      <c r="G75" s="27" t="s">
        <v>816</v>
      </c>
      <c r="H75" s="26" t="s">
        <v>817</v>
      </c>
      <c r="I75" s="26" t="s">
        <v>818</v>
      </c>
      <c r="J75" s="28"/>
      <c r="K75" s="28"/>
      <c r="L75" s="29"/>
      <c r="M75" s="29"/>
      <c r="N75" s="29"/>
      <c r="O75" s="29"/>
      <c r="P75" s="29"/>
      <c r="Q75" s="29"/>
      <c r="R75" s="29"/>
      <c r="S75" s="26" t="s">
        <v>819</v>
      </c>
      <c r="T75" s="26" t="s">
        <v>820</v>
      </c>
      <c r="U75" s="52" t="s">
        <v>821</v>
      </c>
      <c r="V75" s="30" t="s">
        <v>822</v>
      </c>
      <c r="W75" s="31"/>
      <c r="X75" s="31"/>
      <c r="Y75" s="31"/>
      <c r="Z75" s="31"/>
      <c r="AA75" s="31"/>
      <c r="AB75" s="31"/>
      <c r="AG75" s="31"/>
      <c r="AH75" s="31"/>
      <c r="AI75" s="31"/>
      <c r="AJ75" s="31"/>
      <c r="AK75" s="31"/>
      <c r="AL75" s="31"/>
    </row>
    <row r="76">
      <c r="B76" s="20"/>
      <c r="C76" s="32" t="s">
        <v>106</v>
      </c>
      <c r="D76" s="33"/>
      <c r="E76" s="33"/>
      <c r="F76" s="33"/>
      <c r="G76" s="33"/>
      <c r="H76" s="33"/>
      <c r="I76" s="34"/>
      <c r="J76" s="35"/>
      <c r="K76" s="34"/>
      <c r="L76" s="116"/>
      <c r="M76" s="116"/>
      <c r="N76" s="37" t="s">
        <v>107</v>
      </c>
      <c r="O76" s="33"/>
      <c r="P76" s="33"/>
      <c r="Q76" s="34"/>
      <c r="R76" s="116"/>
      <c r="S76" s="156" t="s">
        <v>723</v>
      </c>
      <c r="T76" s="33"/>
      <c r="U76" s="34"/>
      <c r="V76" s="39" t="s">
        <v>109</v>
      </c>
      <c r="W76" s="33"/>
      <c r="X76" s="34"/>
      <c r="Y76" s="6" t="s">
        <v>724</v>
      </c>
    </row>
    <row r="77">
      <c r="A77" s="47"/>
      <c r="B77" s="40"/>
      <c r="C77" s="41" t="s">
        <v>110</v>
      </c>
      <c r="D77" s="42" t="s">
        <v>111</v>
      </c>
      <c r="E77" s="43" t="s">
        <v>112</v>
      </c>
      <c r="F77" s="44" t="s">
        <v>113</v>
      </c>
      <c r="G77" s="41" t="s">
        <v>114</v>
      </c>
      <c r="H77" s="41" t="s">
        <v>115</v>
      </c>
      <c r="I77" s="45" t="s">
        <v>116</v>
      </c>
      <c r="J77" s="43" t="s">
        <v>117</v>
      </c>
      <c r="K77" s="43" t="s">
        <v>118</v>
      </c>
      <c r="L77" s="44"/>
      <c r="M77" s="44"/>
      <c r="N77" s="44" t="s">
        <v>121</v>
      </c>
      <c r="O77" s="44" t="s">
        <v>122</v>
      </c>
      <c r="P77" s="44" t="s">
        <v>123</v>
      </c>
      <c r="Q77" s="44" t="s">
        <v>124</v>
      </c>
      <c r="R77" s="44"/>
      <c r="S77" s="43" t="s">
        <v>648</v>
      </c>
      <c r="T77" s="43" t="s">
        <v>649</v>
      </c>
      <c r="U77" s="6" t="s">
        <v>196</v>
      </c>
      <c r="V77" s="43" t="s">
        <v>127</v>
      </c>
      <c r="W77" s="43" t="s">
        <v>128</v>
      </c>
      <c r="X77" s="43" t="s">
        <v>129</v>
      </c>
      <c r="Y77" s="47"/>
      <c r="Z77" s="47"/>
      <c r="AA77" s="47"/>
      <c r="AB77" s="47"/>
      <c r="AG77" s="47"/>
      <c r="AH77" s="47"/>
      <c r="AI77" s="47"/>
      <c r="AJ77" s="47"/>
      <c r="AK77" s="47"/>
      <c r="AL77" s="47"/>
    </row>
    <row r="78">
      <c r="A78" s="157" t="s">
        <v>725</v>
      </c>
      <c r="B78" s="121" t="s">
        <v>726</v>
      </c>
      <c r="C78" s="6">
        <v>1.0</v>
      </c>
      <c r="D78" s="158">
        <v>2.0</v>
      </c>
      <c r="E78" s="122" t="s">
        <v>564</v>
      </c>
      <c r="F78" s="6">
        <v>8388608.0</v>
      </c>
      <c r="G78" s="6">
        <v>250.0</v>
      </c>
      <c r="I78" s="10">
        <f>ROUNDUP(F78/(N78*O78*P78*Q78))</f>
        <v>1</v>
      </c>
      <c r="J78" s="6" t="s">
        <v>564</v>
      </c>
      <c r="K78" s="6" t="s">
        <v>564</v>
      </c>
      <c r="L78" s="6"/>
      <c r="M78" s="6"/>
      <c r="N78" s="6">
        <v>16.0</v>
      </c>
      <c r="O78" s="6">
        <v>8.0</v>
      </c>
      <c r="P78" s="6">
        <v>32.0</v>
      </c>
      <c r="Q78" s="6">
        <v>131072.0</v>
      </c>
      <c r="R78" s="6"/>
      <c r="S78" s="10">
        <v>27.72</v>
      </c>
      <c r="T78" s="10">
        <v>28.98</v>
      </c>
      <c r="U78" s="10">
        <v>2.52</v>
      </c>
      <c r="V78" s="6">
        <v>1.0</v>
      </c>
      <c r="W78" s="10">
        <f>Q78</f>
        <v>131072</v>
      </c>
      <c r="X78" s="6">
        <v>3200.0</v>
      </c>
      <c r="Y78" s="18">
        <f>D78*V78*min(W78,F78)/(X78*10^6)*10^9</f>
        <v>81920</v>
      </c>
    </row>
    <row r="79">
      <c r="A79" s="159"/>
      <c r="AL79" s="159"/>
    </row>
    <row r="80">
      <c r="B80" s="121"/>
      <c r="D80" s="49"/>
      <c r="Y80" s="18"/>
    </row>
    <row r="81">
      <c r="B81" s="20"/>
      <c r="D81" s="6" t="s">
        <v>95</v>
      </c>
      <c r="F81" s="21" t="s">
        <v>96</v>
      </c>
      <c r="G81" s="21" t="s">
        <v>96</v>
      </c>
      <c r="H81" s="21" t="s">
        <v>96</v>
      </c>
      <c r="I81" s="6" t="s">
        <v>95</v>
      </c>
    </row>
    <row r="82">
      <c r="A82" s="31"/>
      <c r="B82" s="112" t="s">
        <v>823</v>
      </c>
      <c r="C82" s="23" t="s">
        <v>824</v>
      </c>
      <c r="D82" s="24" t="s">
        <v>729</v>
      </c>
      <c r="E82" s="25"/>
      <c r="F82" s="155" t="s">
        <v>825</v>
      </c>
      <c r="G82" s="27" t="s">
        <v>826</v>
      </c>
      <c r="H82" s="26" t="s">
        <v>827</v>
      </c>
      <c r="I82" s="26" t="s">
        <v>828</v>
      </c>
      <c r="J82" s="28"/>
      <c r="K82" s="28"/>
      <c r="L82" s="29"/>
      <c r="M82" s="29"/>
      <c r="N82" s="29"/>
      <c r="O82" s="29"/>
      <c r="P82" s="29"/>
      <c r="Q82" s="29"/>
      <c r="R82" s="29"/>
      <c r="S82" s="26" t="s">
        <v>829</v>
      </c>
      <c r="T82" s="26" t="s">
        <v>830</v>
      </c>
      <c r="U82" s="52" t="s">
        <v>831</v>
      </c>
      <c r="V82" s="30" t="s">
        <v>832</v>
      </c>
      <c r="W82" s="31"/>
      <c r="X82" s="31"/>
      <c r="Y82" s="114" t="s">
        <v>738</v>
      </c>
      <c r="Z82" s="31"/>
      <c r="AA82" s="31"/>
      <c r="AB82" s="31"/>
      <c r="AG82" s="31"/>
      <c r="AH82" s="31"/>
      <c r="AI82" s="31"/>
      <c r="AJ82" s="31"/>
      <c r="AK82" s="31"/>
      <c r="AL82" s="31"/>
    </row>
    <row r="83">
      <c r="B83" s="20"/>
      <c r="C83" s="32" t="s">
        <v>106</v>
      </c>
      <c r="D83" s="33"/>
      <c r="E83" s="33"/>
      <c r="F83" s="33"/>
      <c r="G83" s="33"/>
      <c r="H83" s="33"/>
      <c r="I83" s="34"/>
      <c r="J83" s="35"/>
      <c r="K83" s="34"/>
      <c r="L83" s="116"/>
      <c r="M83" s="116"/>
      <c r="N83" s="37" t="s">
        <v>107</v>
      </c>
      <c r="O83" s="33"/>
      <c r="P83" s="33"/>
      <c r="Q83" s="34"/>
      <c r="R83" s="116"/>
      <c r="S83" s="156" t="s">
        <v>723</v>
      </c>
      <c r="T83" s="33"/>
      <c r="U83" s="34"/>
      <c r="V83" s="39" t="s">
        <v>109</v>
      </c>
      <c r="W83" s="33"/>
      <c r="X83" s="34"/>
      <c r="Y83" s="3" t="s">
        <v>130</v>
      </c>
      <c r="Z83" s="3" t="s">
        <v>131</v>
      </c>
    </row>
    <row r="84">
      <c r="A84" s="47"/>
      <c r="B84" s="40"/>
      <c r="C84" s="41" t="s">
        <v>110</v>
      </c>
      <c r="D84" s="42" t="s">
        <v>111</v>
      </c>
      <c r="E84" s="43" t="s">
        <v>112</v>
      </c>
      <c r="F84" s="44" t="s">
        <v>113</v>
      </c>
      <c r="G84" s="41" t="s">
        <v>114</v>
      </c>
      <c r="H84" s="41" t="s">
        <v>115</v>
      </c>
      <c r="I84" s="45" t="s">
        <v>116</v>
      </c>
      <c r="J84" s="43" t="s">
        <v>117</v>
      </c>
      <c r="K84" s="43" t="s">
        <v>118</v>
      </c>
      <c r="L84" s="43" t="s">
        <v>119</v>
      </c>
      <c r="M84" s="43" t="s">
        <v>560</v>
      </c>
      <c r="N84" s="44" t="s">
        <v>121</v>
      </c>
      <c r="O84" s="44" t="s">
        <v>122</v>
      </c>
      <c r="P84" s="44" t="s">
        <v>123</v>
      </c>
      <c r="Q84" s="44" t="s">
        <v>124</v>
      </c>
      <c r="R84" s="43" t="s">
        <v>280</v>
      </c>
      <c r="S84" s="43" t="s">
        <v>648</v>
      </c>
      <c r="T84" s="43" t="s">
        <v>649</v>
      </c>
      <c r="U84" s="6" t="s">
        <v>196</v>
      </c>
      <c r="V84" s="43" t="s">
        <v>127</v>
      </c>
      <c r="W84" s="43" t="s">
        <v>128</v>
      </c>
      <c r="X84" s="43" t="s">
        <v>129</v>
      </c>
      <c r="Y84" s="47"/>
      <c r="Z84" s="47"/>
      <c r="AA84" s="47"/>
      <c r="AB84" s="47"/>
      <c r="AG84" s="47"/>
      <c r="AH84" s="47"/>
      <c r="AI84" s="47"/>
      <c r="AJ84" s="47"/>
      <c r="AK84" s="47"/>
      <c r="AL84" s="47"/>
    </row>
    <row r="85">
      <c r="A85" s="157" t="s">
        <v>739</v>
      </c>
      <c r="B85" s="48" t="s">
        <v>740</v>
      </c>
      <c r="C85" s="6">
        <v>1.0</v>
      </c>
      <c r="D85" s="158">
        <v>250.0</v>
      </c>
      <c r="E85" s="6">
        <v>32.0</v>
      </c>
      <c r="F85" s="6">
        <v>8388608.0</v>
      </c>
      <c r="I85" s="10">
        <f t="shared" ref="I85:I88" si="9">ROUNDUP(F85/(N85*O85*P85*Q85))</f>
        <v>2</v>
      </c>
      <c r="J85" s="6" t="s">
        <v>564</v>
      </c>
      <c r="K85" s="6" t="s">
        <v>564</v>
      </c>
      <c r="L85" s="6"/>
      <c r="M85" s="6"/>
      <c r="N85" s="6">
        <v>1.0</v>
      </c>
      <c r="O85" s="6">
        <v>1.0</v>
      </c>
      <c r="P85" s="6">
        <v>32.0</v>
      </c>
      <c r="Q85" s="6">
        <v>131072.0</v>
      </c>
      <c r="R85" s="6">
        <v>4096.0</v>
      </c>
      <c r="S85" s="10">
        <v>27.72</v>
      </c>
      <c r="T85" s="10">
        <v>28.98</v>
      </c>
      <c r="U85" s="10">
        <v>2.52</v>
      </c>
      <c r="Y85" s="18">
        <f>D85*E85*R85*U85</f>
        <v>82575360</v>
      </c>
      <c r="Z85" s="18">
        <v>1.2655586730124695E10</v>
      </c>
      <c r="AA85" s="50"/>
      <c r="AB85" s="50"/>
    </row>
    <row r="86">
      <c r="B86" s="62" t="s">
        <v>741</v>
      </c>
      <c r="C86" s="6">
        <v>1.0</v>
      </c>
      <c r="D86" s="158">
        <v>250.0</v>
      </c>
      <c r="E86" s="6">
        <v>32.0</v>
      </c>
      <c r="F86" s="6">
        <v>8388608.0</v>
      </c>
      <c r="I86" s="10">
        <f t="shared" si="9"/>
        <v>2</v>
      </c>
      <c r="J86" s="6">
        <v>5.0</v>
      </c>
      <c r="K86" s="10">
        <f>(3*E86+1)/E86</f>
        <v>3.03125</v>
      </c>
      <c r="L86" s="10">
        <f>(9*E86+1)/E86</f>
        <v>9.03125</v>
      </c>
      <c r="M86" s="6">
        <v>2.52</v>
      </c>
      <c r="N86" s="6">
        <v>1.0</v>
      </c>
      <c r="O86" s="6">
        <v>1.0</v>
      </c>
      <c r="P86" s="6">
        <v>32.0</v>
      </c>
      <c r="Q86" s="6">
        <v>131072.0</v>
      </c>
      <c r="R86" s="6">
        <v>4096.0</v>
      </c>
      <c r="S86" s="10">
        <v>27.72</v>
      </c>
      <c r="T86" s="10">
        <v>28.98</v>
      </c>
      <c r="U86" s="10">
        <v>2.52</v>
      </c>
      <c r="Y86" s="18">
        <f t="shared" ref="Y86:Y87" si="10">I86*(D86*E86*J86*S86+D86*E86*K86*T86+D86*E86*L86*M86)</f>
        <v>3987270</v>
      </c>
      <c r="AB86" s="50"/>
    </row>
    <row r="87">
      <c r="B87" s="62" t="s">
        <v>742</v>
      </c>
      <c r="C87" s="6">
        <v>1.0</v>
      </c>
      <c r="D87" s="158">
        <f>((D85 * D85) - D85)/2</f>
        <v>31125</v>
      </c>
      <c r="E87" s="6">
        <v>32.0</v>
      </c>
      <c r="F87" s="6">
        <v>8388608.0</v>
      </c>
      <c r="I87" s="10">
        <f t="shared" si="9"/>
        <v>2</v>
      </c>
      <c r="J87" s="10">
        <f>7.6*E87*E87/E87</f>
        <v>243.2</v>
      </c>
      <c r="K87" s="10">
        <f>4.33*E87*E87/E87</f>
        <v>138.56</v>
      </c>
      <c r="L87" s="10">
        <f>16*E87*E87/E87</f>
        <v>512</v>
      </c>
      <c r="M87" s="6">
        <v>2.52</v>
      </c>
      <c r="N87" s="6">
        <v>1.0</v>
      </c>
      <c r="O87" s="6">
        <v>1.0</v>
      </c>
      <c r="P87" s="6">
        <v>32.0</v>
      </c>
      <c r="Q87" s="6">
        <v>131072.0</v>
      </c>
      <c r="R87" s="6">
        <v>4096.0</v>
      </c>
      <c r="S87" s="10">
        <v>27.72</v>
      </c>
      <c r="T87" s="10">
        <v>28.98</v>
      </c>
      <c r="U87" s="10">
        <v>2.52</v>
      </c>
      <c r="Y87" s="18">
        <f t="shared" si="10"/>
        <v>23998047898</v>
      </c>
      <c r="AB87" s="50"/>
    </row>
    <row r="88">
      <c r="B88" s="160" t="s">
        <v>743</v>
      </c>
      <c r="C88" s="9">
        <v>1.0</v>
      </c>
      <c r="D88" s="161">
        <f>((D85 * D85) - D85)/2</f>
        <v>31125</v>
      </c>
      <c r="E88" s="9">
        <v>32.0</v>
      </c>
      <c r="F88" s="9">
        <v>250.0</v>
      </c>
      <c r="G88" s="162"/>
      <c r="H88" s="140"/>
      <c r="I88" s="140">
        <f t="shared" si="9"/>
        <v>1</v>
      </c>
      <c r="J88" s="140"/>
      <c r="K88" s="140"/>
      <c r="L88" s="6"/>
      <c r="M88" s="6"/>
      <c r="N88" s="6">
        <v>1.0</v>
      </c>
      <c r="O88" s="6">
        <v>1.0</v>
      </c>
      <c r="P88" s="6">
        <v>32.0</v>
      </c>
      <c r="Q88" s="6">
        <v>131072.0</v>
      </c>
      <c r="R88" s="6">
        <v>4096.0</v>
      </c>
      <c r="S88" s="140">
        <v>27.72</v>
      </c>
      <c r="T88" s="140">
        <v>28.98</v>
      </c>
      <c r="U88" s="140">
        <v>2.52</v>
      </c>
      <c r="V88" s="9">
        <v>1.0</v>
      </c>
      <c r="W88" s="140">
        <f>Q88</f>
        <v>131072</v>
      </c>
      <c r="X88" s="9">
        <v>3200.0</v>
      </c>
      <c r="Y88" s="141">
        <f>D88*V88*MIN(W88/64,F88/64)/(X88*10^6)*10^9</f>
        <v>37994.38477</v>
      </c>
      <c r="Z88" s="140"/>
      <c r="AA88" s="9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</row>
    <row r="89">
      <c r="B89" s="20"/>
      <c r="X89" s="6" t="s">
        <v>204</v>
      </c>
      <c r="Y89" s="18">
        <f>sum(Y85:Y86,Y87)</f>
        <v>24084610528</v>
      </c>
    </row>
    <row r="90">
      <c r="A90" s="47"/>
      <c r="B90" s="40"/>
      <c r="C90" s="47"/>
      <c r="D90" s="47"/>
      <c r="E90" s="47"/>
      <c r="F90" s="47"/>
      <c r="G90" s="47"/>
      <c r="H90" s="47"/>
      <c r="I90" s="47"/>
      <c r="M90" s="43"/>
      <c r="N90" s="43"/>
      <c r="O90" s="47"/>
      <c r="P90" s="47"/>
      <c r="Q90" s="47"/>
      <c r="R90" s="47"/>
      <c r="S90" s="47"/>
      <c r="T90" s="47"/>
      <c r="U90" s="47"/>
      <c r="V90" s="47"/>
      <c r="W90" s="47"/>
      <c r="X90" s="43" t="s">
        <v>744</v>
      </c>
      <c r="Y90" s="69">
        <f>Y89+Y78</f>
        <v>24084692448</v>
      </c>
      <c r="Z90" s="47"/>
      <c r="AA90" s="43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</row>
    <row r="91">
      <c r="B91" s="20"/>
    </row>
    <row r="92">
      <c r="A92" s="19" t="s">
        <v>248</v>
      </c>
    </row>
    <row r="93">
      <c r="A93" s="31"/>
      <c r="B93" s="154" t="s">
        <v>833</v>
      </c>
      <c r="C93" s="23" t="s">
        <v>834</v>
      </c>
      <c r="D93" s="24" t="s">
        <v>835</v>
      </c>
      <c r="E93" s="25"/>
      <c r="F93" s="155" t="s">
        <v>836</v>
      </c>
      <c r="G93" s="27" t="s">
        <v>837</v>
      </c>
      <c r="H93" s="26" t="s">
        <v>838</v>
      </c>
      <c r="I93" s="26" t="s">
        <v>839</v>
      </c>
      <c r="J93" s="28"/>
      <c r="K93" s="28"/>
      <c r="L93" s="29"/>
      <c r="M93" s="29"/>
      <c r="N93" s="29"/>
      <c r="O93" s="29"/>
      <c r="P93" s="29"/>
      <c r="Q93" s="29"/>
      <c r="R93" s="29"/>
      <c r="S93" s="26" t="s">
        <v>840</v>
      </c>
      <c r="T93" s="26" t="s">
        <v>841</v>
      </c>
      <c r="U93" s="52" t="s">
        <v>842</v>
      </c>
      <c r="V93" s="30" t="s">
        <v>843</v>
      </c>
      <c r="W93" s="31"/>
      <c r="X93" s="31"/>
      <c r="Y93" s="31"/>
      <c r="Z93" s="31"/>
      <c r="AA93" s="31"/>
      <c r="AB93" s="31"/>
      <c r="AG93" s="31"/>
      <c r="AH93" s="31"/>
      <c r="AI93" s="31"/>
      <c r="AJ93" s="31"/>
      <c r="AK93" s="31"/>
      <c r="AL93" s="31"/>
    </row>
    <row r="94">
      <c r="B94" s="20"/>
      <c r="C94" s="32" t="s">
        <v>106</v>
      </c>
      <c r="D94" s="33"/>
      <c r="E94" s="33"/>
      <c r="F94" s="33"/>
      <c r="G94" s="33"/>
      <c r="H94" s="33"/>
      <c r="I94" s="34"/>
      <c r="J94" s="35"/>
      <c r="K94" s="34"/>
      <c r="L94" s="116"/>
      <c r="M94" s="116"/>
      <c r="N94" s="37" t="s">
        <v>107</v>
      </c>
      <c r="O94" s="33"/>
      <c r="P94" s="33"/>
      <c r="Q94" s="34"/>
      <c r="R94" s="116"/>
      <c r="S94" s="156" t="s">
        <v>723</v>
      </c>
      <c r="T94" s="33"/>
      <c r="U94" s="34"/>
      <c r="V94" s="39" t="s">
        <v>109</v>
      </c>
      <c r="W94" s="33"/>
      <c r="X94" s="34"/>
      <c r="Y94" s="6" t="s">
        <v>724</v>
      </c>
    </row>
    <row r="95">
      <c r="A95" s="47"/>
      <c r="B95" s="40"/>
      <c r="C95" s="41" t="s">
        <v>110</v>
      </c>
      <c r="D95" s="42" t="s">
        <v>111</v>
      </c>
      <c r="E95" s="43" t="s">
        <v>112</v>
      </c>
      <c r="F95" s="44" t="s">
        <v>113</v>
      </c>
      <c r="G95" s="41" t="s">
        <v>114</v>
      </c>
      <c r="H95" s="41" t="s">
        <v>115</v>
      </c>
      <c r="I95" s="45" t="s">
        <v>116</v>
      </c>
      <c r="J95" s="43" t="s">
        <v>117</v>
      </c>
      <c r="K95" s="43" t="s">
        <v>118</v>
      </c>
      <c r="L95" s="44"/>
      <c r="M95" s="44"/>
      <c r="N95" s="44" t="s">
        <v>121</v>
      </c>
      <c r="O95" s="44" t="s">
        <v>122</v>
      </c>
      <c r="P95" s="44" t="s">
        <v>123</v>
      </c>
      <c r="Q95" s="44" t="s">
        <v>124</v>
      </c>
      <c r="R95" s="44"/>
      <c r="S95" s="43" t="s">
        <v>648</v>
      </c>
      <c r="T95" s="43" t="s">
        <v>649</v>
      </c>
      <c r="U95" s="6" t="s">
        <v>196</v>
      </c>
      <c r="V95" s="43" t="s">
        <v>127</v>
      </c>
      <c r="W95" s="43" t="s">
        <v>128</v>
      </c>
      <c r="X95" s="43" t="s">
        <v>129</v>
      </c>
      <c r="Y95" s="47"/>
      <c r="Z95" s="47"/>
      <c r="AA95" s="47"/>
      <c r="AB95" s="47"/>
      <c r="AG95" s="47"/>
      <c r="AH95" s="47"/>
      <c r="AI95" s="47"/>
      <c r="AJ95" s="47"/>
      <c r="AK95" s="47"/>
      <c r="AL95" s="47"/>
    </row>
    <row r="96">
      <c r="A96" s="157" t="s">
        <v>725</v>
      </c>
      <c r="B96" s="121" t="s">
        <v>726</v>
      </c>
      <c r="C96" s="6">
        <v>1.0</v>
      </c>
      <c r="D96" s="158">
        <v>2.0</v>
      </c>
      <c r="E96" s="122" t="s">
        <v>564</v>
      </c>
      <c r="F96" s="6">
        <v>8388608.0</v>
      </c>
      <c r="G96" s="6">
        <v>250.0</v>
      </c>
      <c r="I96" s="10">
        <f>ROUNDUP(F96/(N96*O96*P96*Q96))</f>
        <v>1</v>
      </c>
      <c r="J96" s="6" t="s">
        <v>564</v>
      </c>
      <c r="K96" s="6" t="s">
        <v>564</v>
      </c>
      <c r="L96" s="6"/>
      <c r="M96" s="6"/>
      <c r="N96" s="6">
        <v>16.0</v>
      </c>
      <c r="O96" s="6">
        <v>8.0</v>
      </c>
      <c r="P96" s="6">
        <v>8.0</v>
      </c>
      <c r="Q96" s="6">
        <v>131072.0</v>
      </c>
      <c r="R96" s="6"/>
      <c r="S96" s="10">
        <v>27.72</v>
      </c>
      <c r="T96" s="10">
        <v>28.98</v>
      </c>
      <c r="U96" s="10">
        <v>2.52</v>
      </c>
      <c r="V96" s="6">
        <v>1.0</v>
      </c>
      <c r="W96" s="10">
        <f>Q96</f>
        <v>131072</v>
      </c>
      <c r="X96" s="6">
        <v>3200.0</v>
      </c>
      <c r="Y96" s="18">
        <f>D96*V96*min(W96,F96)/(X96*10^6)*10^9</f>
        <v>81920</v>
      </c>
    </row>
    <row r="97">
      <c r="A97" s="159"/>
      <c r="AL97" s="159"/>
    </row>
    <row r="98">
      <c r="B98" s="121"/>
      <c r="D98" s="49"/>
      <c r="Y98" s="18"/>
    </row>
    <row r="99">
      <c r="B99" s="20"/>
      <c r="D99" s="6" t="s">
        <v>95</v>
      </c>
      <c r="F99" s="21" t="s">
        <v>96</v>
      </c>
      <c r="G99" s="21" t="s">
        <v>96</v>
      </c>
      <c r="H99" s="21" t="s">
        <v>96</v>
      </c>
      <c r="I99" s="6" t="s">
        <v>95</v>
      </c>
    </row>
    <row r="100">
      <c r="A100" s="31"/>
      <c r="B100" s="112" t="s">
        <v>844</v>
      </c>
      <c r="C100" s="23" t="s">
        <v>845</v>
      </c>
      <c r="D100" s="24" t="s">
        <v>729</v>
      </c>
      <c r="E100" s="25"/>
      <c r="F100" s="155" t="s">
        <v>846</v>
      </c>
      <c r="G100" s="27" t="s">
        <v>847</v>
      </c>
      <c r="H100" s="26" t="s">
        <v>848</v>
      </c>
      <c r="I100" s="26" t="s">
        <v>849</v>
      </c>
      <c r="J100" s="28"/>
      <c r="K100" s="28"/>
      <c r="L100" s="29"/>
      <c r="M100" s="29"/>
      <c r="N100" s="29"/>
      <c r="O100" s="29"/>
      <c r="P100" s="29"/>
      <c r="Q100" s="29"/>
      <c r="R100" s="29"/>
      <c r="S100" s="26" t="s">
        <v>850</v>
      </c>
      <c r="T100" s="26" t="s">
        <v>851</v>
      </c>
      <c r="U100" s="52" t="s">
        <v>852</v>
      </c>
      <c r="V100" s="30" t="s">
        <v>853</v>
      </c>
      <c r="W100" s="31"/>
      <c r="X100" s="31"/>
      <c r="Y100" s="114" t="s">
        <v>738</v>
      </c>
      <c r="Z100" s="31"/>
      <c r="AA100" s="31"/>
      <c r="AB100" s="31"/>
      <c r="AG100" s="31"/>
      <c r="AH100" s="31"/>
      <c r="AI100" s="31"/>
      <c r="AJ100" s="31"/>
      <c r="AK100" s="31"/>
      <c r="AL100" s="31"/>
    </row>
    <row r="101">
      <c r="B101" s="20"/>
      <c r="C101" s="32" t="s">
        <v>106</v>
      </c>
      <c r="D101" s="33"/>
      <c r="E101" s="33"/>
      <c r="F101" s="33"/>
      <c r="G101" s="33"/>
      <c r="H101" s="33"/>
      <c r="I101" s="34"/>
      <c r="J101" s="35"/>
      <c r="K101" s="34"/>
      <c r="L101" s="116"/>
      <c r="M101" s="116"/>
      <c r="N101" s="37" t="s">
        <v>107</v>
      </c>
      <c r="O101" s="33"/>
      <c r="P101" s="33"/>
      <c r="Q101" s="34"/>
      <c r="R101" s="116"/>
      <c r="S101" s="156" t="s">
        <v>723</v>
      </c>
      <c r="T101" s="33"/>
      <c r="U101" s="34"/>
      <c r="V101" s="39" t="s">
        <v>109</v>
      </c>
      <c r="W101" s="33"/>
      <c r="X101" s="34"/>
      <c r="Y101" s="3" t="s">
        <v>130</v>
      </c>
      <c r="Z101" s="3" t="s">
        <v>131</v>
      </c>
    </row>
    <row r="102">
      <c r="A102" s="47"/>
      <c r="B102" s="40"/>
      <c r="C102" s="41" t="s">
        <v>110</v>
      </c>
      <c r="D102" s="42" t="s">
        <v>111</v>
      </c>
      <c r="E102" s="43" t="s">
        <v>112</v>
      </c>
      <c r="F102" s="44" t="s">
        <v>113</v>
      </c>
      <c r="G102" s="41" t="s">
        <v>114</v>
      </c>
      <c r="H102" s="41" t="s">
        <v>115</v>
      </c>
      <c r="I102" s="45" t="s">
        <v>116</v>
      </c>
      <c r="J102" s="43" t="s">
        <v>117</v>
      </c>
      <c r="K102" s="43" t="s">
        <v>118</v>
      </c>
      <c r="L102" s="43" t="s">
        <v>119</v>
      </c>
      <c r="M102" s="43" t="s">
        <v>560</v>
      </c>
      <c r="N102" s="44" t="s">
        <v>121</v>
      </c>
      <c r="O102" s="44" t="s">
        <v>122</v>
      </c>
      <c r="P102" s="44" t="s">
        <v>123</v>
      </c>
      <c r="Q102" s="44" t="s">
        <v>124</v>
      </c>
      <c r="R102" s="43" t="s">
        <v>280</v>
      </c>
      <c r="S102" s="43" t="s">
        <v>648</v>
      </c>
      <c r="T102" s="43" t="s">
        <v>649</v>
      </c>
      <c r="U102" s="6" t="s">
        <v>196</v>
      </c>
      <c r="V102" s="43" t="s">
        <v>127</v>
      </c>
      <c r="W102" s="43" t="s">
        <v>128</v>
      </c>
      <c r="X102" s="43" t="s">
        <v>129</v>
      </c>
      <c r="Y102" s="47"/>
      <c r="Z102" s="47"/>
      <c r="AA102" s="47"/>
      <c r="AB102" s="47"/>
      <c r="AG102" s="47"/>
      <c r="AH102" s="47"/>
      <c r="AI102" s="47"/>
      <c r="AJ102" s="47"/>
      <c r="AK102" s="47"/>
      <c r="AL102" s="47"/>
    </row>
    <row r="103">
      <c r="A103" s="157" t="s">
        <v>739</v>
      </c>
      <c r="B103" s="48" t="s">
        <v>740</v>
      </c>
      <c r="C103" s="6">
        <v>1.0</v>
      </c>
      <c r="D103" s="158">
        <v>250.0</v>
      </c>
      <c r="E103" s="6">
        <v>32.0</v>
      </c>
      <c r="F103" s="6">
        <v>8388608.0</v>
      </c>
      <c r="I103" s="10">
        <f t="shared" ref="I103:I106" si="11">ROUNDUP(F103/(N103*O103*P103*Q103))</f>
        <v>8</v>
      </c>
      <c r="J103" s="6" t="s">
        <v>564</v>
      </c>
      <c r="K103" s="6" t="s">
        <v>564</v>
      </c>
      <c r="L103" s="6"/>
      <c r="M103" s="6"/>
      <c r="N103" s="6">
        <v>1.0</v>
      </c>
      <c r="O103" s="6">
        <v>1.0</v>
      </c>
      <c r="P103" s="6">
        <v>8.0</v>
      </c>
      <c r="Q103" s="6">
        <v>131072.0</v>
      </c>
      <c r="R103" s="6">
        <v>4096.0</v>
      </c>
      <c r="S103" s="10">
        <v>27.72</v>
      </c>
      <c r="T103" s="10">
        <v>28.98</v>
      </c>
      <c r="U103" s="10">
        <v>2.52</v>
      </c>
      <c r="Y103" s="18">
        <f>D103*E103*R103*U103</f>
        <v>82575360</v>
      </c>
      <c r="Z103" s="18">
        <v>1.2655586730124695E10</v>
      </c>
      <c r="AA103" s="50"/>
      <c r="AB103" s="50"/>
    </row>
    <row r="104">
      <c r="B104" s="62" t="s">
        <v>741</v>
      </c>
      <c r="C104" s="6">
        <v>1.0</v>
      </c>
      <c r="D104" s="158">
        <v>250.0</v>
      </c>
      <c r="E104" s="6">
        <v>32.0</v>
      </c>
      <c r="F104" s="6">
        <v>8388608.0</v>
      </c>
      <c r="I104" s="10">
        <f t="shared" si="11"/>
        <v>8</v>
      </c>
      <c r="J104" s="6">
        <v>4.0</v>
      </c>
      <c r="K104" s="10">
        <f>(2*E104+1)/E104</f>
        <v>2.03125</v>
      </c>
      <c r="L104" s="10">
        <f>(4*E104+1)/E104</f>
        <v>4.03125</v>
      </c>
      <c r="M104" s="6">
        <v>2.52</v>
      </c>
      <c r="N104" s="6">
        <v>1.0</v>
      </c>
      <c r="O104" s="6">
        <v>1.0</v>
      </c>
      <c r="P104" s="6">
        <v>8.0</v>
      </c>
      <c r="Q104" s="6">
        <v>131072.0</v>
      </c>
      <c r="R104" s="6">
        <v>4096.0</v>
      </c>
      <c r="S104" s="10">
        <v>27.72</v>
      </c>
      <c r="T104" s="10">
        <v>28.98</v>
      </c>
      <c r="U104" s="10">
        <v>2.52</v>
      </c>
      <c r="Y104" s="18">
        <f t="shared" ref="Y104:Y105" si="12">I104*(D104*E104*J104*S104+D104*E104*K104*T104+D104*E104*L104*M104)</f>
        <v>11513880</v>
      </c>
      <c r="AB104" s="50"/>
    </row>
    <row r="105">
      <c r="B105" s="62" t="s">
        <v>742</v>
      </c>
      <c r="C105" s="6">
        <v>1.0</v>
      </c>
      <c r="D105" s="158">
        <f>((D103 * D103) - D103)/2</f>
        <v>31125</v>
      </c>
      <c r="E105" s="6">
        <v>32.0</v>
      </c>
      <c r="F105" s="6">
        <v>8388608.0</v>
      </c>
      <c r="I105" s="10">
        <f t="shared" si="11"/>
        <v>8</v>
      </c>
      <c r="J105" s="10">
        <f>5.12*E105*E105/E105</f>
        <v>163.84</v>
      </c>
      <c r="K105" s="10">
        <f>2.73*E105*E105/E105</f>
        <v>87.36</v>
      </c>
      <c r="L105" s="10">
        <f>5.17*E105*E105/E105</f>
        <v>165.44</v>
      </c>
      <c r="M105" s="6">
        <v>2.52</v>
      </c>
      <c r="N105" s="6">
        <v>1.0</v>
      </c>
      <c r="O105" s="6">
        <v>1.0</v>
      </c>
      <c r="P105" s="6">
        <v>8.0</v>
      </c>
      <c r="Q105" s="6">
        <v>131072.0</v>
      </c>
      <c r="R105" s="6">
        <v>4096.0</v>
      </c>
      <c r="S105" s="10">
        <v>27.72</v>
      </c>
      <c r="T105" s="10">
        <v>28.98</v>
      </c>
      <c r="U105" s="10">
        <v>2.52</v>
      </c>
      <c r="Y105" s="18">
        <f t="shared" si="12"/>
        <v>59682283315</v>
      </c>
      <c r="AB105" s="50"/>
    </row>
    <row r="106">
      <c r="B106" s="160" t="s">
        <v>743</v>
      </c>
      <c r="C106" s="9">
        <v>1.0</v>
      </c>
      <c r="D106" s="161">
        <f>((D103 * D103) - D103)/2</f>
        <v>31125</v>
      </c>
      <c r="E106" s="9">
        <v>32.0</v>
      </c>
      <c r="F106" s="9">
        <v>250.0</v>
      </c>
      <c r="G106" s="162"/>
      <c r="H106" s="140"/>
      <c r="I106" s="140">
        <f t="shared" si="11"/>
        <v>1</v>
      </c>
      <c r="J106" s="140"/>
      <c r="K106" s="140"/>
      <c r="L106" s="6"/>
      <c r="M106" s="6"/>
      <c r="N106" s="6">
        <v>1.0</v>
      </c>
      <c r="O106" s="6">
        <v>1.0</v>
      </c>
      <c r="P106" s="6">
        <v>8.0</v>
      </c>
      <c r="Q106" s="6">
        <v>131072.0</v>
      </c>
      <c r="R106" s="6">
        <v>4096.0</v>
      </c>
      <c r="S106" s="140">
        <v>27.72</v>
      </c>
      <c r="T106" s="140">
        <v>28.98</v>
      </c>
      <c r="U106" s="140">
        <v>2.52</v>
      </c>
      <c r="V106" s="9">
        <v>1.0</v>
      </c>
      <c r="W106" s="140">
        <f>Q106</f>
        <v>131072</v>
      </c>
      <c r="X106" s="9">
        <v>3200.0</v>
      </c>
      <c r="Y106" s="141">
        <f>D106*V106*MIN(W106/64,F106/64)/(X106*10^6)*10^9</f>
        <v>37994.38477</v>
      </c>
      <c r="Z106" s="140"/>
      <c r="AA106" s="9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</row>
    <row r="107">
      <c r="B107" s="20"/>
      <c r="X107" s="6" t="s">
        <v>204</v>
      </c>
      <c r="Y107" s="18">
        <f>sum(Y103:Y104,Y105)</f>
        <v>59776372555</v>
      </c>
    </row>
    <row r="108">
      <c r="A108" s="47"/>
      <c r="B108" s="40"/>
      <c r="C108" s="47"/>
      <c r="D108" s="47"/>
      <c r="E108" s="47"/>
      <c r="F108" s="47"/>
      <c r="G108" s="47"/>
      <c r="H108" s="47"/>
      <c r="I108" s="47"/>
      <c r="M108" s="43"/>
      <c r="N108" s="43"/>
      <c r="O108" s="47"/>
      <c r="P108" s="47"/>
      <c r="Q108" s="47"/>
      <c r="R108" s="47"/>
      <c r="S108" s="47"/>
      <c r="T108" s="47"/>
      <c r="U108" s="47"/>
      <c r="V108" s="47"/>
      <c r="W108" s="47"/>
      <c r="X108" s="43" t="s">
        <v>744</v>
      </c>
      <c r="Y108" s="69">
        <f>Y107+Y96</f>
        <v>59776454475</v>
      </c>
      <c r="Z108" s="47"/>
      <c r="AA108" s="43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</row>
    <row r="109">
      <c r="A109" s="19" t="s">
        <v>259</v>
      </c>
    </row>
    <row r="110">
      <c r="A110" s="31"/>
      <c r="B110" s="154" t="s">
        <v>854</v>
      </c>
      <c r="C110" s="23" t="s">
        <v>855</v>
      </c>
      <c r="D110" s="24" t="s">
        <v>856</v>
      </c>
      <c r="E110" s="25"/>
      <c r="F110" s="155" t="s">
        <v>857</v>
      </c>
      <c r="G110" s="27" t="s">
        <v>858</v>
      </c>
      <c r="H110" s="26" t="s">
        <v>859</v>
      </c>
      <c r="I110" s="26" t="s">
        <v>860</v>
      </c>
      <c r="J110" s="28"/>
      <c r="K110" s="28"/>
      <c r="L110" s="29"/>
      <c r="M110" s="29"/>
      <c r="N110" s="29"/>
      <c r="O110" s="29"/>
      <c r="P110" s="29"/>
      <c r="Q110" s="29"/>
      <c r="R110" s="29"/>
      <c r="S110" s="26" t="s">
        <v>861</v>
      </c>
      <c r="T110" s="26" t="s">
        <v>862</v>
      </c>
      <c r="U110" s="52" t="s">
        <v>863</v>
      </c>
      <c r="V110" s="30" t="s">
        <v>864</v>
      </c>
      <c r="W110" s="31"/>
      <c r="X110" s="31"/>
      <c r="Y110" s="31"/>
      <c r="Z110" s="31"/>
      <c r="AA110" s="31"/>
      <c r="AB110" s="31"/>
      <c r="AG110" s="31"/>
      <c r="AH110" s="31"/>
      <c r="AI110" s="31"/>
      <c r="AJ110" s="31"/>
      <c r="AK110" s="31"/>
      <c r="AL110" s="31"/>
    </row>
    <row r="111">
      <c r="B111" s="20"/>
      <c r="C111" s="32" t="s">
        <v>106</v>
      </c>
      <c r="D111" s="33"/>
      <c r="E111" s="33"/>
      <c r="F111" s="33"/>
      <c r="G111" s="33"/>
      <c r="H111" s="33"/>
      <c r="I111" s="34"/>
      <c r="J111" s="35"/>
      <c r="K111" s="34"/>
      <c r="L111" s="116"/>
      <c r="M111" s="116"/>
      <c r="N111" s="37" t="s">
        <v>107</v>
      </c>
      <c r="O111" s="33"/>
      <c r="P111" s="33"/>
      <c r="Q111" s="34"/>
      <c r="R111" s="116"/>
      <c r="S111" s="156" t="s">
        <v>723</v>
      </c>
      <c r="T111" s="33"/>
      <c r="U111" s="34"/>
      <c r="V111" s="39" t="s">
        <v>109</v>
      </c>
      <c r="W111" s="33"/>
      <c r="X111" s="34"/>
      <c r="Y111" s="6" t="s">
        <v>724</v>
      </c>
    </row>
    <row r="112">
      <c r="A112" s="47"/>
      <c r="B112" s="40"/>
      <c r="C112" s="41" t="s">
        <v>110</v>
      </c>
      <c r="D112" s="42" t="s">
        <v>111</v>
      </c>
      <c r="E112" s="43" t="s">
        <v>112</v>
      </c>
      <c r="F112" s="44" t="s">
        <v>113</v>
      </c>
      <c r="G112" s="41" t="s">
        <v>114</v>
      </c>
      <c r="H112" s="41" t="s">
        <v>115</v>
      </c>
      <c r="I112" s="45" t="s">
        <v>116</v>
      </c>
      <c r="J112" s="43" t="s">
        <v>117</v>
      </c>
      <c r="K112" s="43" t="s">
        <v>118</v>
      </c>
      <c r="L112" s="44"/>
      <c r="M112" s="44"/>
      <c r="N112" s="44" t="s">
        <v>121</v>
      </c>
      <c r="O112" s="44" t="s">
        <v>122</v>
      </c>
      <c r="P112" s="44" t="s">
        <v>123</v>
      </c>
      <c r="Q112" s="44" t="s">
        <v>124</v>
      </c>
      <c r="R112" s="44"/>
      <c r="S112" s="43" t="s">
        <v>648</v>
      </c>
      <c r="T112" s="43" t="s">
        <v>649</v>
      </c>
      <c r="U112" s="6" t="s">
        <v>196</v>
      </c>
      <c r="V112" s="43" t="s">
        <v>127</v>
      </c>
      <c r="W112" s="43" t="s">
        <v>128</v>
      </c>
      <c r="X112" s="43" t="s">
        <v>129</v>
      </c>
      <c r="Y112" s="47"/>
      <c r="Z112" s="47"/>
      <c r="AA112" s="47"/>
      <c r="AB112" s="47"/>
      <c r="AG112" s="47"/>
      <c r="AH112" s="47"/>
      <c r="AI112" s="47"/>
      <c r="AJ112" s="47"/>
      <c r="AK112" s="47"/>
      <c r="AL112" s="47"/>
    </row>
    <row r="113">
      <c r="A113" s="157" t="s">
        <v>725</v>
      </c>
      <c r="B113" s="121" t="s">
        <v>726</v>
      </c>
      <c r="C113" s="6">
        <v>1.0</v>
      </c>
      <c r="D113" s="158">
        <v>2.0</v>
      </c>
      <c r="E113" s="122" t="s">
        <v>564</v>
      </c>
      <c r="F113" s="6">
        <v>8388608.0</v>
      </c>
      <c r="G113" s="6">
        <v>250.0</v>
      </c>
      <c r="I113" s="10">
        <f>ROUNDUP(F113/(N113*O113*P113*Q113))</f>
        <v>1</v>
      </c>
      <c r="J113" s="6" t="s">
        <v>564</v>
      </c>
      <c r="K113" s="6" t="s">
        <v>564</v>
      </c>
      <c r="L113" s="6"/>
      <c r="M113" s="6"/>
      <c r="N113" s="6">
        <v>16.0</v>
      </c>
      <c r="O113" s="6">
        <v>8.0</v>
      </c>
      <c r="P113" s="6">
        <v>32.0</v>
      </c>
      <c r="Q113" s="6">
        <v>131072.0</v>
      </c>
      <c r="R113" s="6"/>
      <c r="S113" s="10">
        <v>27.72</v>
      </c>
      <c r="T113" s="10">
        <v>28.98</v>
      </c>
      <c r="U113" s="10">
        <v>2.52</v>
      </c>
      <c r="V113" s="6">
        <v>1.0</v>
      </c>
      <c r="W113" s="10">
        <f>Q113</f>
        <v>131072</v>
      </c>
      <c r="X113" s="6">
        <v>3200.0</v>
      </c>
      <c r="Y113" s="18">
        <f>D113*V113*min(W113,F113)/(X113*10^6)*10^9</f>
        <v>81920</v>
      </c>
    </row>
    <row r="114">
      <c r="A114" s="159"/>
      <c r="AL114" s="159"/>
    </row>
    <row r="115">
      <c r="B115" s="121"/>
      <c r="D115" s="49"/>
      <c r="Y115" s="18"/>
    </row>
    <row r="116">
      <c r="B116" s="20"/>
      <c r="D116" s="6" t="s">
        <v>95</v>
      </c>
      <c r="F116" s="21" t="s">
        <v>96</v>
      </c>
      <c r="G116" s="21" t="s">
        <v>96</v>
      </c>
      <c r="H116" s="21" t="s">
        <v>96</v>
      </c>
      <c r="I116" s="6" t="s">
        <v>95</v>
      </c>
    </row>
    <row r="117">
      <c r="A117" s="31"/>
      <c r="B117" s="112" t="s">
        <v>865</v>
      </c>
      <c r="C117" s="23" t="s">
        <v>866</v>
      </c>
      <c r="D117" s="24" t="s">
        <v>729</v>
      </c>
      <c r="E117" s="25"/>
      <c r="F117" s="155" t="s">
        <v>867</v>
      </c>
      <c r="G117" s="27" t="s">
        <v>868</v>
      </c>
      <c r="H117" s="26" t="s">
        <v>869</v>
      </c>
      <c r="I117" s="26" t="s">
        <v>870</v>
      </c>
      <c r="J117" s="28"/>
      <c r="K117" s="28"/>
      <c r="L117" s="29"/>
      <c r="M117" s="29"/>
      <c r="N117" s="29"/>
      <c r="O117" s="29"/>
      <c r="P117" s="29"/>
      <c r="Q117" s="29"/>
      <c r="R117" s="29"/>
      <c r="S117" s="26" t="s">
        <v>871</v>
      </c>
      <c r="T117" s="26" t="s">
        <v>872</v>
      </c>
      <c r="U117" s="52" t="s">
        <v>873</v>
      </c>
      <c r="V117" s="30" t="s">
        <v>874</v>
      </c>
      <c r="W117" s="31"/>
      <c r="X117" s="31"/>
      <c r="Y117" s="114" t="s">
        <v>738</v>
      </c>
      <c r="Z117" s="31"/>
      <c r="AA117" s="31"/>
      <c r="AB117" s="31"/>
      <c r="AG117" s="31"/>
      <c r="AH117" s="31"/>
      <c r="AI117" s="31"/>
      <c r="AJ117" s="31"/>
      <c r="AK117" s="31"/>
      <c r="AL117" s="31"/>
    </row>
    <row r="118">
      <c r="B118" s="20"/>
      <c r="C118" s="32" t="s">
        <v>106</v>
      </c>
      <c r="D118" s="33"/>
      <c r="E118" s="33"/>
      <c r="F118" s="33"/>
      <c r="G118" s="33"/>
      <c r="H118" s="33"/>
      <c r="I118" s="34"/>
      <c r="J118" s="35"/>
      <c r="K118" s="34"/>
      <c r="L118" s="116"/>
      <c r="M118" s="116"/>
      <c r="N118" s="37" t="s">
        <v>107</v>
      </c>
      <c r="O118" s="33"/>
      <c r="P118" s="33"/>
      <c r="Q118" s="34"/>
      <c r="R118" s="116"/>
      <c r="S118" s="156" t="s">
        <v>723</v>
      </c>
      <c r="T118" s="33"/>
      <c r="U118" s="34"/>
      <c r="V118" s="39" t="s">
        <v>109</v>
      </c>
      <c r="W118" s="33"/>
      <c r="X118" s="34"/>
      <c r="Y118" s="3" t="s">
        <v>130</v>
      </c>
      <c r="Z118" s="3" t="s">
        <v>131</v>
      </c>
    </row>
    <row r="119">
      <c r="A119" s="47"/>
      <c r="B119" s="40"/>
      <c r="C119" s="41" t="s">
        <v>110</v>
      </c>
      <c r="D119" s="42" t="s">
        <v>111</v>
      </c>
      <c r="E119" s="43" t="s">
        <v>112</v>
      </c>
      <c r="F119" s="44" t="s">
        <v>113</v>
      </c>
      <c r="G119" s="41" t="s">
        <v>114</v>
      </c>
      <c r="H119" s="41" t="s">
        <v>115</v>
      </c>
      <c r="I119" s="45" t="s">
        <v>116</v>
      </c>
      <c r="J119" s="43" t="s">
        <v>117</v>
      </c>
      <c r="K119" s="43" t="s">
        <v>118</v>
      </c>
      <c r="L119" s="43" t="s">
        <v>119</v>
      </c>
      <c r="M119" s="43" t="s">
        <v>560</v>
      </c>
      <c r="N119" s="44" t="s">
        <v>121</v>
      </c>
      <c r="O119" s="44" t="s">
        <v>122</v>
      </c>
      <c r="P119" s="44" t="s">
        <v>123</v>
      </c>
      <c r="Q119" s="44" t="s">
        <v>124</v>
      </c>
      <c r="R119" s="43" t="s">
        <v>280</v>
      </c>
      <c r="S119" s="43" t="s">
        <v>648</v>
      </c>
      <c r="T119" s="43" t="s">
        <v>649</v>
      </c>
      <c r="U119" s="6" t="s">
        <v>196</v>
      </c>
      <c r="V119" s="43" t="s">
        <v>127</v>
      </c>
      <c r="W119" s="43" t="s">
        <v>128</v>
      </c>
      <c r="X119" s="43" t="s">
        <v>129</v>
      </c>
      <c r="Y119" s="47"/>
      <c r="Z119" s="47"/>
      <c r="AA119" s="47"/>
      <c r="AB119" s="47"/>
      <c r="AG119" s="47"/>
      <c r="AH119" s="47"/>
      <c r="AI119" s="47"/>
      <c r="AJ119" s="47"/>
      <c r="AK119" s="47"/>
      <c r="AL119" s="47"/>
    </row>
    <row r="120">
      <c r="A120" s="157" t="s">
        <v>739</v>
      </c>
      <c r="B120" s="48" t="s">
        <v>740</v>
      </c>
      <c r="C120" s="6">
        <v>1.0</v>
      </c>
      <c r="D120" s="158">
        <v>250.0</v>
      </c>
      <c r="E120" s="6">
        <v>32.0</v>
      </c>
      <c r="F120" s="6">
        <v>8388608.0</v>
      </c>
      <c r="I120" s="10">
        <f t="shared" ref="I120:I123" si="13">ROUNDUP(F120/(N120*O120*P120*Q120))</f>
        <v>2</v>
      </c>
      <c r="J120" s="6" t="s">
        <v>564</v>
      </c>
      <c r="K120" s="6" t="s">
        <v>564</v>
      </c>
      <c r="L120" s="6"/>
      <c r="M120" s="6"/>
      <c r="N120" s="6">
        <v>1.0</v>
      </c>
      <c r="O120" s="6">
        <v>1.0</v>
      </c>
      <c r="P120" s="6">
        <v>32.0</v>
      </c>
      <c r="Q120" s="6">
        <v>131072.0</v>
      </c>
      <c r="R120" s="6">
        <v>4096.0</v>
      </c>
      <c r="S120" s="10">
        <v>27.72</v>
      </c>
      <c r="T120" s="10">
        <v>28.98</v>
      </c>
      <c r="U120" s="10">
        <v>2.52</v>
      </c>
      <c r="Y120" s="18">
        <f>D120*E120*R120*U120</f>
        <v>82575360</v>
      </c>
      <c r="Z120" s="18">
        <v>1.2655586730124695E10</v>
      </c>
      <c r="AA120" s="50"/>
      <c r="AB120" s="50"/>
    </row>
    <row r="121">
      <c r="B121" s="62" t="s">
        <v>741</v>
      </c>
      <c r="C121" s="6">
        <v>1.0</v>
      </c>
      <c r="D121" s="158">
        <v>250.0</v>
      </c>
      <c r="E121" s="6">
        <v>32.0</v>
      </c>
      <c r="F121" s="6">
        <v>8388608.0</v>
      </c>
      <c r="I121" s="10">
        <f t="shared" si="13"/>
        <v>2</v>
      </c>
      <c r="J121" s="6">
        <v>2.0</v>
      </c>
      <c r="K121" s="6">
        <v>1.0</v>
      </c>
      <c r="L121" s="10">
        <f>(3*E121+1)/E121</f>
        <v>3.03125</v>
      </c>
      <c r="M121" s="6">
        <v>2.52</v>
      </c>
      <c r="N121" s="6">
        <v>1.0</v>
      </c>
      <c r="O121" s="6">
        <v>1.0</v>
      </c>
      <c r="P121" s="6">
        <v>32.0</v>
      </c>
      <c r="Q121" s="6">
        <v>131072.0</v>
      </c>
      <c r="R121" s="6">
        <v>4096.0</v>
      </c>
      <c r="S121" s="10">
        <v>27.72</v>
      </c>
      <c r="T121" s="10">
        <v>28.98</v>
      </c>
      <c r="U121" s="10">
        <v>2.52</v>
      </c>
      <c r="Y121" s="18">
        <f t="shared" ref="Y121:Y122" si="14">I121*(D121*E121*J121*S121+D121*E121*K121*T121+D121*E121*L121*M121)</f>
        <v>1472940</v>
      </c>
      <c r="AB121" s="50"/>
    </row>
    <row r="122">
      <c r="B122" s="62" t="s">
        <v>742</v>
      </c>
      <c r="C122" s="6">
        <v>1.0</v>
      </c>
      <c r="D122" s="158">
        <f>((D120 * D120) - D120)/2</f>
        <v>31125</v>
      </c>
      <c r="E122" s="6">
        <v>32.0</v>
      </c>
      <c r="F122" s="6">
        <v>8388608.0</v>
      </c>
      <c r="I122" s="10">
        <f t="shared" si="13"/>
        <v>2</v>
      </c>
      <c r="J122" s="10">
        <f>3.32*E122*E122/E122</f>
        <v>106.24</v>
      </c>
      <c r="K122" s="10">
        <f>1.8*E122*E122/E122</f>
        <v>57.6</v>
      </c>
      <c r="L122" s="10">
        <f>4.3*E122*E122/E122</f>
        <v>137.6</v>
      </c>
      <c r="M122" s="6">
        <v>2.52</v>
      </c>
      <c r="N122" s="6">
        <v>1.0</v>
      </c>
      <c r="O122" s="6">
        <v>1.0</v>
      </c>
      <c r="P122" s="6">
        <v>32.0</v>
      </c>
      <c r="Q122" s="6">
        <v>131072.0</v>
      </c>
      <c r="R122" s="6">
        <v>4096.0</v>
      </c>
      <c r="S122" s="10">
        <v>27.72</v>
      </c>
      <c r="T122" s="10">
        <v>28.98</v>
      </c>
      <c r="U122" s="10">
        <v>2.52</v>
      </c>
      <c r="Y122" s="18">
        <f t="shared" si="14"/>
        <v>9882257818</v>
      </c>
      <c r="AB122" s="50"/>
    </row>
    <row r="123">
      <c r="B123" s="160" t="s">
        <v>743</v>
      </c>
      <c r="C123" s="9">
        <v>1.0</v>
      </c>
      <c r="D123" s="161">
        <f>((D120 * D120) - D120)/2</f>
        <v>31125</v>
      </c>
      <c r="E123" s="9">
        <v>32.0</v>
      </c>
      <c r="F123" s="9">
        <v>250.0</v>
      </c>
      <c r="G123" s="162"/>
      <c r="H123" s="140"/>
      <c r="I123" s="140">
        <f t="shared" si="13"/>
        <v>1</v>
      </c>
      <c r="J123" s="140"/>
      <c r="K123" s="140"/>
      <c r="L123" s="6"/>
      <c r="M123" s="6"/>
      <c r="N123" s="6">
        <v>1.0</v>
      </c>
      <c r="O123" s="6">
        <v>1.0</v>
      </c>
      <c r="P123" s="6">
        <v>32.0</v>
      </c>
      <c r="Q123" s="6">
        <v>131072.0</v>
      </c>
      <c r="R123" s="6">
        <v>4096.0</v>
      </c>
      <c r="S123" s="140">
        <v>27.72</v>
      </c>
      <c r="T123" s="140">
        <v>28.98</v>
      </c>
      <c r="U123" s="140">
        <v>2.52</v>
      </c>
      <c r="V123" s="9">
        <v>1.0</v>
      </c>
      <c r="W123" s="140">
        <f>Q123</f>
        <v>131072</v>
      </c>
      <c r="X123" s="9">
        <v>3200.0</v>
      </c>
      <c r="Y123" s="141">
        <f>D123*V123*MIN(W123/64,F123/64)/(X123*10^6)*10^9</f>
        <v>37994.38477</v>
      </c>
      <c r="Z123" s="140"/>
      <c r="AA123" s="9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40"/>
    </row>
    <row r="124">
      <c r="B124" s="20"/>
      <c r="X124" s="6" t="s">
        <v>204</v>
      </c>
      <c r="Y124" s="18">
        <f>sum(Y120:Y121,Y122)</f>
        <v>9966306118</v>
      </c>
    </row>
    <row r="125">
      <c r="A125" s="47"/>
      <c r="B125" s="40"/>
      <c r="C125" s="47"/>
      <c r="D125" s="47"/>
      <c r="E125" s="47"/>
      <c r="F125" s="47"/>
      <c r="G125" s="47"/>
      <c r="H125" s="47"/>
      <c r="I125" s="47"/>
      <c r="M125" s="43"/>
      <c r="N125" s="43"/>
      <c r="O125" s="47"/>
      <c r="P125" s="47"/>
      <c r="Q125" s="47"/>
      <c r="R125" s="47"/>
      <c r="S125" s="47"/>
      <c r="T125" s="47"/>
      <c r="U125" s="47"/>
      <c r="V125" s="47"/>
      <c r="W125" s="47"/>
      <c r="X125" s="43" t="s">
        <v>744</v>
      </c>
      <c r="Y125" s="69">
        <f>Y124+Y113</f>
        <v>9966388038</v>
      </c>
      <c r="Z125" s="47"/>
      <c r="AA125" s="43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</sheetData>
  <mergeCells count="91">
    <mergeCell ref="C48:I48"/>
    <mergeCell ref="C58:I58"/>
    <mergeCell ref="J58:K58"/>
    <mergeCell ref="N58:Q58"/>
    <mergeCell ref="S58:U58"/>
    <mergeCell ref="V58:X58"/>
    <mergeCell ref="C41:I41"/>
    <mergeCell ref="J48:K48"/>
    <mergeCell ref="N48:Q48"/>
    <mergeCell ref="S48:U48"/>
    <mergeCell ref="V48:X48"/>
    <mergeCell ref="A56:AL56"/>
    <mergeCell ref="A61:AK61"/>
    <mergeCell ref="A74:AL74"/>
    <mergeCell ref="C76:I76"/>
    <mergeCell ref="J76:K76"/>
    <mergeCell ref="N76:Q76"/>
    <mergeCell ref="S76:U76"/>
    <mergeCell ref="V76:X76"/>
    <mergeCell ref="A79:AK79"/>
    <mergeCell ref="C83:I83"/>
    <mergeCell ref="J83:K83"/>
    <mergeCell ref="N83:Q83"/>
    <mergeCell ref="S83:U83"/>
    <mergeCell ref="V83:X83"/>
    <mergeCell ref="A85:A88"/>
    <mergeCell ref="A92:AL92"/>
    <mergeCell ref="S101:U101"/>
    <mergeCell ref="V101:X101"/>
    <mergeCell ref="C94:I94"/>
    <mergeCell ref="J94:K94"/>
    <mergeCell ref="N94:Q94"/>
    <mergeCell ref="S94:U94"/>
    <mergeCell ref="V94:X94"/>
    <mergeCell ref="A97:AK97"/>
    <mergeCell ref="C101:I101"/>
    <mergeCell ref="S111:U111"/>
    <mergeCell ref="V111:X111"/>
    <mergeCell ref="C111:I111"/>
    <mergeCell ref="C118:I118"/>
    <mergeCell ref="J118:K118"/>
    <mergeCell ref="N118:Q118"/>
    <mergeCell ref="S118:U118"/>
    <mergeCell ref="V118:X118"/>
    <mergeCell ref="A120:A123"/>
    <mergeCell ref="J101:K101"/>
    <mergeCell ref="N101:Q101"/>
    <mergeCell ref="A103:A106"/>
    <mergeCell ref="A109:AL109"/>
    <mergeCell ref="J111:K111"/>
    <mergeCell ref="N111:Q111"/>
    <mergeCell ref="A114:AK114"/>
    <mergeCell ref="A2:AL2"/>
    <mergeCell ref="C4:I4"/>
    <mergeCell ref="J4:K4"/>
    <mergeCell ref="N4:Q4"/>
    <mergeCell ref="S4:U4"/>
    <mergeCell ref="V4:X4"/>
    <mergeCell ref="A7:AK7"/>
    <mergeCell ref="C11:I11"/>
    <mergeCell ref="J11:K11"/>
    <mergeCell ref="N11:Q11"/>
    <mergeCell ref="S11:U11"/>
    <mergeCell ref="V11:X11"/>
    <mergeCell ref="A13:A16"/>
    <mergeCell ref="A20:AL20"/>
    <mergeCell ref="S29:U29"/>
    <mergeCell ref="V29:X29"/>
    <mergeCell ref="C22:I22"/>
    <mergeCell ref="J22:K22"/>
    <mergeCell ref="N22:Q22"/>
    <mergeCell ref="S22:U22"/>
    <mergeCell ref="V22:X22"/>
    <mergeCell ref="A25:AK25"/>
    <mergeCell ref="C29:I29"/>
    <mergeCell ref="S41:U41"/>
    <mergeCell ref="V41:X41"/>
    <mergeCell ref="J29:K29"/>
    <mergeCell ref="N29:Q29"/>
    <mergeCell ref="A31:A35"/>
    <mergeCell ref="A39:AL39"/>
    <mergeCell ref="J41:K41"/>
    <mergeCell ref="N41:Q41"/>
    <mergeCell ref="A44:AK44"/>
    <mergeCell ref="A50:A53"/>
    <mergeCell ref="C65:I65"/>
    <mergeCell ref="J65:K65"/>
    <mergeCell ref="N65:Q65"/>
    <mergeCell ref="S65:U65"/>
    <mergeCell ref="V65:X65"/>
    <mergeCell ref="A67:A7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4" max="4" width="19.63"/>
    <col customWidth="1" min="7" max="7" width="12.0"/>
    <col customWidth="1" min="26" max="26" width="17.5"/>
  </cols>
  <sheetData>
    <row r="1">
      <c r="B1" s="20"/>
      <c r="D1" s="6" t="s">
        <v>95</v>
      </c>
      <c r="E1" s="21" t="s">
        <v>96</v>
      </c>
      <c r="G1" s="21" t="s">
        <v>96</v>
      </c>
      <c r="I1" s="6" t="s">
        <v>95</v>
      </c>
      <c r="AA1" s="18"/>
    </row>
    <row r="2">
      <c r="A2" s="19" t="s">
        <v>94</v>
      </c>
    </row>
    <row r="3">
      <c r="A3" s="164" t="s">
        <v>875</v>
      </c>
      <c r="B3" s="165" t="s">
        <v>876</v>
      </c>
      <c r="C3" s="23" t="s">
        <v>877</v>
      </c>
      <c r="D3" s="24" t="s">
        <v>878</v>
      </c>
      <c r="E3" s="26" t="s">
        <v>879</v>
      </c>
      <c r="F3" s="166" t="s">
        <v>880</v>
      </c>
      <c r="G3" s="27" t="s">
        <v>881</v>
      </c>
      <c r="H3" s="26" t="s">
        <v>882</v>
      </c>
      <c r="I3" s="26" t="s">
        <v>883</v>
      </c>
      <c r="J3" s="167"/>
      <c r="K3" s="167"/>
      <c r="L3" s="168"/>
      <c r="M3" s="168"/>
      <c r="N3" s="168"/>
      <c r="O3" s="168"/>
      <c r="P3" s="168"/>
      <c r="Q3" s="168"/>
      <c r="R3" s="168"/>
      <c r="S3" s="169"/>
      <c r="T3" s="169"/>
      <c r="U3" s="169"/>
      <c r="V3" s="30" t="s">
        <v>884</v>
      </c>
      <c r="W3" s="170"/>
      <c r="X3" s="170"/>
      <c r="Y3" s="170"/>
      <c r="Z3" s="170"/>
      <c r="AA3" s="171"/>
      <c r="AB3" s="170"/>
      <c r="AC3" s="170"/>
      <c r="AD3" s="170"/>
      <c r="AI3" s="170"/>
      <c r="AJ3" s="170"/>
      <c r="AK3" s="170"/>
      <c r="AL3" s="170"/>
      <c r="AM3" s="170"/>
      <c r="AN3" s="170"/>
    </row>
    <row r="4"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116"/>
      <c r="M4" s="116"/>
      <c r="N4" s="37" t="s">
        <v>107</v>
      </c>
      <c r="O4" s="33"/>
      <c r="P4" s="33"/>
      <c r="Q4" s="34"/>
      <c r="R4" s="116"/>
      <c r="S4" s="156" t="s">
        <v>723</v>
      </c>
      <c r="T4" s="33"/>
      <c r="U4" s="34"/>
      <c r="V4" s="39" t="s">
        <v>109</v>
      </c>
      <c r="W4" s="33"/>
      <c r="X4" s="34"/>
      <c r="Z4" s="6" t="s">
        <v>724</v>
      </c>
      <c r="AA4" s="18"/>
    </row>
    <row r="5">
      <c r="A5" s="47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885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560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280</v>
      </c>
      <c r="S5" s="43" t="s">
        <v>648</v>
      </c>
      <c r="T5" s="43" t="s">
        <v>649</v>
      </c>
      <c r="U5" s="6" t="s">
        <v>196</v>
      </c>
      <c r="V5" s="43" t="s">
        <v>127</v>
      </c>
      <c r="W5" s="43" t="s">
        <v>128</v>
      </c>
      <c r="X5" s="43" t="s">
        <v>129</v>
      </c>
      <c r="Y5" s="47"/>
      <c r="Z5" s="69"/>
      <c r="AA5" s="69"/>
      <c r="AB5" s="47"/>
      <c r="AC5" s="47"/>
      <c r="AD5" s="47"/>
      <c r="AI5" s="47"/>
      <c r="AJ5" s="47"/>
      <c r="AK5" s="47"/>
      <c r="AL5" s="47"/>
      <c r="AM5" s="47"/>
      <c r="AN5" s="47"/>
    </row>
    <row r="6">
      <c r="A6" s="172" t="s">
        <v>886</v>
      </c>
      <c r="B6" s="3" t="s">
        <v>887</v>
      </c>
      <c r="C6" s="6">
        <v>1.0</v>
      </c>
      <c r="D6" s="10">
        <f t="shared" ref="D6:D12" si="1">(G6/H6)*C6*I6</f>
        <v>1200</v>
      </c>
      <c r="E6" s="6">
        <v>96.0</v>
      </c>
      <c r="F6" s="50">
        <v>1.0E9</v>
      </c>
      <c r="G6" s="6">
        <v>20.0</v>
      </c>
      <c r="H6" s="6">
        <v>1.0</v>
      </c>
      <c r="I6" s="10">
        <f t="shared" ref="I6:I12" si="2">ROUNDUP(F6/(N6*O6*P6*Q6))</f>
        <v>60</v>
      </c>
      <c r="J6" s="6" t="s">
        <v>564</v>
      </c>
      <c r="K6" s="6" t="s">
        <v>564</v>
      </c>
      <c r="L6" s="6"/>
      <c r="M6" s="6"/>
      <c r="N6" s="6">
        <v>16.0</v>
      </c>
      <c r="O6" s="6">
        <v>8.0</v>
      </c>
      <c r="P6" s="6">
        <v>1.0</v>
      </c>
      <c r="Q6" s="6">
        <v>131072.0</v>
      </c>
      <c r="R6" s="6">
        <v>1024.0</v>
      </c>
      <c r="S6" s="6" t="s">
        <v>564</v>
      </c>
      <c r="T6" s="6" t="s">
        <v>564</v>
      </c>
      <c r="U6" s="10">
        <v>2.52</v>
      </c>
      <c r="Z6" s="18">
        <f>D6*E6*min(R6,F6/16)*U6</f>
        <v>297271296</v>
      </c>
      <c r="AA6" s="18"/>
    </row>
    <row r="7">
      <c r="B7" s="3" t="s">
        <v>888</v>
      </c>
      <c r="C7" s="6">
        <v>1.0</v>
      </c>
      <c r="D7" s="10">
        <f t="shared" si="1"/>
        <v>1200</v>
      </c>
      <c r="E7" s="6">
        <v>32.0</v>
      </c>
      <c r="F7" s="6">
        <v>1.0E9</v>
      </c>
      <c r="G7" s="6">
        <v>20.0</v>
      </c>
      <c r="H7" s="6">
        <v>1.0</v>
      </c>
      <c r="I7" s="10">
        <f t="shared" si="2"/>
        <v>60</v>
      </c>
      <c r="J7" s="6">
        <v>1.0</v>
      </c>
      <c r="K7" s="6">
        <v>1.0</v>
      </c>
      <c r="L7" s="6"/>
      <c r="M7" s="6"/>
      <c r="N7" s="6">
        <v>16.0</v>
      </c>
      <c r="O7" s="6">
        <v>8.0</v>
      </c>
      <c r="P7" s="6">
        <v>1.0</v>
      </c>
      <c r="Q7" s="6">
        <v>131072.0</v>
      </c>
      <c r="R7" s="6">
        <v>1024.0</v>
      </c>
      <c r="S7" s="10">
        <v>27.72</v>
      </c>
      <c r="T7" s="10">
        <v>28.98</v>
      </c>
      <c r="U7" s="10">
        <v>2.52</v>
      </c>
      <c r="Z7" s="18">
        <f>D7*E7*J7*S7+D7*E7*K7*T7</f>
        <v>2177280</v>
      </c>
      <c r="AA7" s="18"/>
    </row>
    <row r="8">
      <c r="B8" s="3" t="s">
        <v>889</v>
      </c>
      <c r="C8" s="6">
        <v>1.0</v>
      </c>
      <c r="D8" s="10">
        <f t="shared" si="1"/>
        <v>1200</v>
      </c>
      <c r="E8" s="6">
        <v>32.0</v>
      </c>
      <c r="F8" s="6">
        <v>1.0E9</v>
      </c>
      <c r="G8" s="6">
        <v>20.0</v>
      </c>
      <c r="H8" s="6">
        <v>1.0</v>
      </c>
      <c r="I8" s="10">
        <f t="shared" si="2"/>
        <v>60</v>
      </c>
      <c r="J8" s="6">
        <v>4.0</v>
      </c>
      <c r="K8" s="6">
        <v>1.0</v>
      </c>
      <c r="L8" s="6">
        <v>4.0</v>
      </c>
      <c r="M8" s="6">
        <v>2.52</v>
      </c>
      <c r="N8" s="6">
        <v>16.0</v>
      </c>
      <c r="O8" s="6">
        <v>8.0</v>
      </c>
      <c r="P8" s="6">
        <v>1.0</v>
      </c>
      <c r="Q8" s="6">
        <v>131072.0</v>
      </c>
      <c r="R8" s="6">
        <v>1024.0</v>
      </c>
      <c r="S8" s="10">
        <v>27.72</v>
      </c>
      <c r="T8" s="10">
        <v>28.98</v>
      </c>
      <c r="Z8" s="18">
        <f>D8*E8*J8*S8+D8*E8*K8*T8+D8*E8*L8*M8</f>
        <v>5757696</v>
      </c>
      <c r="AA8" s="18"/>
    </row>
    <row r="9">
      <c r="B9" s="3" t="s">
        <v>890</v>
      </c>
      <c r="C9" s="6">
        <v>1.0</v>
      </c>
      <c r="D9" s="10">
        <f t="shared" si="1"/>
        <v>1200</v>
      </c>
      <c r="E9" s="6">
        <v>32.0</v>
      </c>
      <c r="F9" s="6">
        <v>1.0E9</v>
      </c>
      <c r="G9" s="6">
        <v>20.0</v>
      </c>
      <c r="H9" s="6">
        <v>1.0</v>
      </c>
      <c r="I9" s="10">
        <f t="shared" si="2"/>
        <v>60</v>
      </c>
      <c r="J9" s="6">
        <v>1.0</v>
      </c>
      <c r="K9" s="6">
        <v>1.0</v>
      </c>
      <c r="L9" s="6"/>
      <c r="M9" s="6"/>
      <c r="N9" s="6">
        <v>16.0</v>
      </c>
      <c r="O9" s="6">
        <v>8.0</v>
      </c>
      <c r="P9" s="6">
        <v>1.0</v>
      </c>
      <c r="Q9" s="6">
        <v>131072.0</v>
      </c>
      <c r="R9" s="6">
        <v>1024.0</v>
      </c>
      <c r="S9" s="10">
        <v>27.72</v>
      </c>
      <c r="T9" s="10">
        <v>28.98</v>
      </c>
      <c r="Z9" s="18">
        <f>D9*E9*J9*S9+C9*D9*E9*K9*T9</f>
        <v>2177280</v>
      </c>
      <c r="AA9" s="18"/>
    </row>
    <row r="10">
      <c r="A10" s="172" t="s">
        <v>891</v>
      </c>
      <c r="B10" s="3" t="s">
        <v>892</v>
      </c>
      <c r="C10" s="6">
        <v>1.0</v>
      </c>
      <c r="D10" s="10">
        <f t="shared" si="1"/>
        <v>3600</v>
      </c>
      <c r="E10" s="6">
        <v>32.0</v>
      </c>
      <c r="F10" s="6">
        <v>1.0E9</v>
      </c>
      <c r="G10" s="6">
        <f>G6*3</f>
        <v>60</v>
      </c>
      <c r="H10" s="6">
        <v>1.0</v>
      </c>
      <c r="I10" s="10">
        <f t="shared" si="2"/>
        <v>60</v>
      </c>
      <c r="J10" s="6">
        <v>2.0</v>
      </c>
      <c r="K10" s="6">
        <v>1.0</v>
      </c>
      <c r="L10" s="6">
        <v>3.0</v>
      </c>
      <c r="M10" s="6">
        <v>2.52</v>
      </c>
      <c r="N10" s="6">
        <v>16.0</v>
      </c>
      <c r="O10" s="6">
        <v>8.0</v>
      </c>
      <c r="P10" s="6">
        <v>1.0</v>
      </c>
      <c r="Q10" s="6">
        <v>131072.0</v>
      </c>
      <c r="R10" s="6">
        <v>1024.0</v>
      </c>
      <c r="S10" s="10">
        <v>27.72</v>
      </c>
      <c r="T10" s="10">
        <v>28.98</v>
      </c>
      <c r="Z10" s="18">
        <f t="shared" ref="Z10:Z12" si="3">D10*E10*J10*S10+D10*E10*K10*T10+D10*E10*L10*M10</f>
        <v>10596096</v>
      </c>
      <c r="AA10" s="18"/>
    </row>
    <row r="11">
      <c r="B11" s="3" t="s">
        <v>893</v>
      </c>
      <c r="C11" s="6">
        <v>1.0</v>
      </c>
      <c r="D11" s="10">
        <f t="shared" si="1"/>
        <v>3600</v>
      </c>
      <c r="E11" s="6">
        <v>32.0</v>
      </c>
      <c r="F11" s="6">
        <v>1.0E9</v>
      </c>
      <c r="G11" s="6">
        <f t="shared" ref="G11:G12" si="4">G6*3</f>
        <v>60</v>
      </c>
      <c r="H11" s="6">
        <v>1.0</v>
      </c>
      <c r="I11" s="10">
        <f t="shared" si="2"/>
        <v>60</v>
      </c>
      <c r="J11" s="6">
        <v>1.0</v>
      </c>
      <c r="K11" s="6">
        <v>1.0</v>
      </c>
      <c r="L11" s="6">
        <v>4.0</v>
      </c>
      <c r="M11" s="6">
        <v>2.52</v>
      </c>
      <c r="N11" s="6">
        <v>16.0</v>
      </c>
      <c r="O11" s="6">
        <v>8.0</v>
      </c>
      <c r="P11" s="6">
        <v>1.0</v>
      </c>
      <c r="Q11" s="6">
        <v>131072.0</v>
      </c>
      <c r="R11" s="6">
        <v>1024.0</v>
      </c>
      <c r="S11" s="10">
        <v>27.72</v>
      </c>
      <c r="T11" s="10">
        <v>28.98</v>
      </c>
      <c r="Z11" s="18">
        <f t="shared" si="3"/>
        <v>7693056</v>
      </c>
      <c r="AA11" s="18"/>
    </row>
    <row r="12">
      <c r="B12" s="3" t="s">
        <v>894</v>
      </c>
      <c r="C12" s="6">
        <v>1.0</v>
      </c>
      <c r="D12" s="10">
        <f t="shared" si="1"/>
        <v>3600</v>
      </c>
      <c r="E12" s="6">
        <v>32.0</v>
      </c>
      <c r="F12" s="6">
        <v>1.0E9</v>
      </c>
      <c r="G12" s="6">
        <f t="shared" si="4"/>
        <v>60</v>
      </c>
      <c r="H12" s="6">
        <v>1.0</v>
      </c>
      <c r="I12" s="10">
        <f t="shared" si="2"/>
        <v>60</v>
      </c>
      <c r="J12" s="6">
        <v>2.0</v>
      </c>
      <c r="K12" s="6">
        <v>1.0</v>
      </c>
      <c r="L12" s="6">
        <v>3.0</v>
      </c>
      <c r="M12" s="6">
        <v>2.52</v>
      </c>
      <c r="N12" s="6">
        <v>16.0</v>
      </c>
      <c r="O12" s="6">
        <v>8.0</v>
      </c>
      <c r="P12" s="6">
        <v>1.0</v>
      </c>
      <c r="Q12" s="6">
        <v>131072.0</v>
      </c>
      <c r="R12" s="6">
        <v>1024.0</v>
      </c>
      <c r="S12" s="10">
        <v>27.72</v>
      </c>
      <c r="T12" s="10">
        <v>28.98</v>
      </c>
      <c r="Z12" s="18">
        <f t="shared" si="3"/>
        <v>10596096</v>
      </c>
      <c r="AA12" s="18"/>
    </row>
    <row r="13">
      <c r="A13" s="172"/>
      <c r="B13" s="3"/>
      <c r="C13" s="6"/>
      <c r="E13" s="6"/>
      <c r="F13" s="6"/>
      <c r="G13" s="6"/>
      <c r="H13" s="6"/>
      <c r="J13" s="6"/>
      <c r="K13" s="6"/>
      <c r="L13" s="6"/>
      <c r="M13" s="6"/>
      <c r="N13" s="6"/>
      <c r="O13" s="6"/>
      <c r="P13" s="6"/>
      <c r="Q13" s="6"/>
      <c r="R13" s="6"/>
      <c r="Y13" s="6" t="s">
        <v>204</v>
      </c>
      <c r="Z13" s="18">
        <f>sum(Z6:Z12)</f>
        <v>336268800</v>
      </c>
      <c r="AA13" s="18"/>
    </row>
    <row r="14">
      <c r="A14" s="173"/>
    </row>
    <row r="15">
      <c r="A15" s="164" t="s">
        <v>895</v>
      </c>
      <c r="B15" s="165" t="s">
        <v>896</v>
      </c>
      <c r="C15" s="23" t="s">
        <v>897</v>
      </c>
      <c r="D15" s="24" t="s">
        <v>898</v>
      </c>
      <c r="E15" s="26" t="s">
        <v>899</v>
      </c>
      <c r="F15" s="166" t="s">
        <v>900</v>
      </c>
      <c r="G15" s="27" t="s">
        <v>901</v>
      </c>
      <c r="H15" s="26" t="s">
        <v>902</v>
      </c>
      <c r="I15" s="26" t="s">
        <v>903</v>
      </c>
      <c r="J15" s="167"/>
      <c r="K15" s="167"/>
      <c r="L15" s="168"/>
      <c r="M15" s="168"/>
      <c r="N15" s="168"/>
      <c r="O15" s="168"/>
      <c r="P15" s="168"/>
      <c r="Q15" s="168"/>
      <c r="R15" s="168"/>
      <c r="S15" s="169"/>
      <c r="T15" s="169"/>
      <c r="U15" s="169"/>
      <c r="V15" s="30" t="s">
        <v>904</v>
      </c>
      <c r="W15" s="170"/>
      <c r="X15" s="170"/>
      <c r="Y15" s="170"/>
      <c r="Z15" s="170"/>
      <c r="AA15" s="171"/>
      <c r="AB15" s="170"/>
      <c r="AC15" s="170"/>
      <c r="AD15" s="170"/>
      <c r="AI15" s="170"/>
      <c r="AJ15" s="170"/>
      <c r="AK15" s="170"/>
      <c r="AL15" s="170"/>
      <c r="AM15" s="170"/>
      <c r="AN15" s="170"/>
    </row>
    <row r="16">
      <c r="B16" s="20"/>
      <c r="C16" s="32" t="s">
        <v>106</v>
      </c>
      <c r="D16" s="33"/>
      <c r="E16" s="33"/>
      <c r="F16" s="33"/>
      <c r="G16" s="33"/>
      <c r="H16" s="33"/>
      <c r="I16" s="34"/>
      <c r="J16" s="35"/>
      <c r="K16" s="34"/>
      <c r="L16" s="116"/>
      <c r="M16" s="116"/>
      <c r="N16" s="37" t="s">
        <v>107</v>
      </c>
      <c r="O16" s="33"/>
      <c r="P16" s="33"/>
      <c r="Q16" s="34"/>
      <c r="R16" s="116"/>
      <c r="S16" s="156" t="s">
        <v>723</v>
      </c>
      <c r="T16" s="33"/>
      <c r="U16" s="34"/>
      <c r="V16" s="39" t="s">
        <v>109</v>
      </c>
      <c r="W16" s="33"/>
      <c r="X16" s="34"/>
      <c r="Z16" s="3" t="s">
        <v>130</v>
      </c>
      <c r="AA16" s="46" t="s">
        <v>131</v>
      </c>
    </row>
    <row r="17">
      <c r="A17" s="47"/>
      <c r="B17" s="40"/>
      <c r="C17" s="41" t="s">
        <v>110</v>
      </c>
      <c r="D17" s="42" t="s">
        <v>111</v>
      </c>
      <c r="E17" s="43" t="s">
        <v>112</v>
      </c>
      <c r="F17" s="44" t="s">
        <v>113</v>
      </c>
      <c r="G17" s="41" t="s">
        <v>885</v>
      </c>
      <c r="H17" s="41" t="s">
        <v>115</v>
      </c>
      <c r="I17" s="45" t="s">
        <v>116</v>
      </c>
      <c r="J17" s="43" t="s">
        <v>117</v>
      </c>
      <c r="K17" s="43" t="s">
        <v>118</v>
      </c>
      <c r="L17" s="43" t="s">
        <v>119</v>
      </c>
      <c r="M17" s="43" t="s">
        <v>560</v>
      </c>
      <c r="N17" s="44" t="s">
        <v>121</v>
      </c>
      <c r="O17" s="44" t="s">
        <v>122</v>
      </c>
      <c r="P17" s="44" t="s">
        <v>123</v>
      </c>
      <c r="Q17" s="44" t="s">
        <v>124</v>
      </c>
      <c r="R17" s="43" t="s">
        <v>280</v>
      </c>
      <c r="S17" s="43" t="s">
        <v>648</v>
      </c>
      <c r="T17" s="43" t="s">
        <v>649</v>
      </c>
      <c r="U17" s="6" t="s">
        <v>196</v>
      </c>
      <c r="V17" s="43" t="s">
        <v>127</v>
      </c>
      <c r="W17" s="43" t="s">
        <v>128</v>
      </c>
      <c r="X17" s="43" t="s">
        <v>129</v>
      </c>
      <c r="Y17" s="47"/>
      <c r="Z17" s="47"/>
      <c r="AA17" s="69"/>
      <c r="AB17" s="47"/>
      <c r="AD17" s="47"/>
      <c r="AI17" s="47"/>
      <c r="AJ17" s="47"/>
      <c r="AK17" s="47"/>
      <c r="AL17" s="47"/>
      <c r="AM17" s="47"/>
      <c r="AN17" s="47"/>
    </row>
    <row r="18">
      <c r="A18" s="172" t="s">
        <v>905</v>
      </c>
      <c r="B18" s="3" t="s">
        <v>906</v>
      </c>
      <c r="C18" s="6">
        <v>1.0</v>
      </c>
      <c r="D18" s="10">
        <f t="shared" ref="D18:D21" si="5">(G18/H18)*C18*I18</f>
        <v>1200</v>
      </c>
      <c r="E18" s="6">
        <v>1.0</v>
      </c>
      <c r="F18" s="6">
        <v>1.0E9</v>
      </c>
      <c r="G18" s="6">
        <v>20.0</v>
      </c>
      <c r="H18" s="6">
        <v>1.0</v>
      </c>
      <c r="I18" s="10">
        <f t="shared" ref="I18:I21" si="6">ROUNDUP(F18/(N18*O18*P18*Q18))</f>
        <v>60</v>
      </c>
      <c r="J18" s="6">
        <v>1.0</v>
      </c>
      <c r="K18" s="6">
        <v>1.0</v>
      </c>
      <c r="L18" s="6"/>
      <c r="M18" s="6"/>
      <c r="N18" s="6">
        <v>16.0</v>
      </c>
      <c r="O18" s="6">
        <v>8.0</v>
      </c>
      <c r="P18" s="6">
        <v>1.0</v>
      </c>
      <c r="Q18" s="6">
        <v>131072.0</v>
      </c>
      <c r="R18" s="6">
        <v>1024.0</v>
      </c>
      <c r="S18" s="10">
        <v>27.72</v>
      </c>
      <c r="T18" s="10">
        <v>28.98</v>
      </c>
      <c r="U18" s="6" t="s">
        <v>564</v>
      </c>
      <c r="Z18" s="18">
        <f>D18*E18*J18*S18+D18*E18*K18*T18</f>
        <v>68040</v>
      </c>
      <c r="AA18" s="70">
        <f>53033276589000/24395.0136*1.363848974</f>
        <v>2964924761</v>
      </c>
    </row>
    <row r="19">
      <c r="B19" s="3" t="s">
        <v>907</v>
      </c>
      <c r="C19" s="6">
        <v>1.0</v>
      </c>
      <c r="D19" s="10">
        <f t="shared" si="5"/>
        <v>1200</v>
      </c>
      <c r="E19" s="6">
        <v>32.0</v>
      </c>
      <c r="F19" s="6">
        <v>1.0E9</v>
      </c>
      <c r="G19" s="6">
        <v>20.0</v>
      </c>
      <c r="H19" s="6">
        <v>1.0</v>
      </c>
      <c r="I19" s="10">
        <f t="shared" si="6"/>
        <v>60</v>
      </c>
      <c r="J19" s="6">
        <v>2.0</v>
      </c>
      <c r="K19" s="6">
        <v>1.0</v>
      </c>
      <c r="L19" s="6">
        <v>3.0</v>
      </c>
      <c r="M19" s="6">
        <v>2.52</v>
      </c>
      <c r="N19" s="6">
        <v>16.0</v>
      </c>
      <c r="O19" s="6">
        <v>8.0</v>
      </c>
      <c r="P19" s="6">
        <v>1.0</v>
      </c>
      <c r="Q19" s="6">
        <v>131072.0</v>
      </c>
      <c r="R19" s="6">
        <v>1024.0</v>
      </c>
      <c r="S19" s="10">
        <v>27.72</v>
      </c>
      <c r="T19" s="10">
        <v>28.98</v>
      </c>
      <c r="U19" s="6" t="s">
        <v>564</v>
      </c>
      <c r="Z19" s="18">
        <f>D19*E19*J19*S19+D19*E19*K19*T19+D19*E19*L19*M19</f>
        <v>3532032</v>
      </c>
      <c r="AA19" s="18"/>
    </row>
    <row r="20">
      <c r="A20" s="172" t="s">
        <v>908</v>
      </c>
      <c r="B20" s="174" t="s">
        <v>909</v>
      </c>
      <c r="C20" s="6">
        <v>1.0</v>
      </c>
      <c r="D20" s="10">
        <f t="shared" si="5"/>
        <v>3600</v>
      </c>
      <c r="E20" s="6">
        <v>32.0</v>
      </c>
      <c r="F20" s="6">
        <v>1.0E9</v>
      </c>
      <c r="G20" s="10">
        <f>G19*3</f>
        <v>60</v>
      </c>
      <c r="H20" s="6">
        <v>1.0</v>
      </c>
      <c r="I20" s="10">
        <f t="shared" si="6"/>
        <v>60</v>
      </c>
      <c r="J20" s="6" t="s">
        <v>564</v>
      </c>
      <c r="K20" s="6" t="s">
        <v>564</v>
      </c>
      <c r="L20" s="6"/>
      <c r="M20" s="6"/>
      <c r="N20" s="6">
        <v>16.0</v>
      </c>
      <c r="O20" s="6">
        <v>8.0</v>
      </c>
      <c r="P20" s="6">
        <v>1.0</v>
      </c>
      <c r="Q20" s="6">
        <v>131072.0</v>
      </c>
      <c r="R20" s="6">
        <v>1024.0</v>
      </c>
      <c r="S20" s="6" t="s">
        <v>564</v>
      </c>
      <c r="T20" s="6" t="s">
        <v>564</v>
      </c>
      <c r="U20" s="6" t="s">
        <v>564</v>
      </c>
      <c r="V20" s="6">
        <v>10.0</v>
      </c>
      <c r="W20" s="10">
        <f>Q20</f>
        <v>131072</v>
      </c>
      <c r="X20" s="6">
        <v>3200.0</v>
      </c>
      <c r="Z20" s="18">
        <f>D20*V20*MIN(W20,F20)/(X20*10^6)*10^9</f>
        <v>1474560000</v>
      </c>
      <c r="AA20" s="18"/>
    </row>
    <row r="21">
      <c r="B21" s="174" t="s">
        <v>910</v>
      </c>
      <c r="C21" s="6">
        <v>1.0</v>
      </c>
      <c r="D21" s="10">
        <f t="shared" si="5"/>
        <v>3600</v>
      </c>
      <c r="E21" s="6">
        <v>1.0</v>
      </c>
      <c r="F21" s="6">
        <v>1.0E9</v>
      </c>
      <c r="G21" s="10">
        <f>G19*3</f>
        <v>60</v>
      </c>
      <c r="H21" s="6">
        <v>1.0</v>
      </c>
      <c r="I21" s="10">
        <f t="shared" si="6"/>
        <v>60</v>
      </c>
      <c r="J21" s="6" t="s">
        <v>564</v>
      </c>
      <c r="K21" s="6" t="s">
        <v>564</v>
      </c>
      <c r="L21" s="6"/>
      <c r="M21" s="6"/>
      <c r="N21" s="6">
        <v>16.0</v>
      </c>
      <c r="O21" s="6">
        <v>8.0</v>
      </c>
      <c r="P21" s="6">
        <v>1.0</v>
      </c>
      <c r="Q21" s="6">
        <v>131072.0</v>
      </c>
      <c r="R21" s="6">
        <v>1024.0</v>
      </c>
      <c r="S21" s="6" t="s">
        <v>564</v>
      </c>
      <c r="T21" s="6" t="s">
        <v>564</v>
      </c>
      <c r="U21" s="6" t="s">
        <v>564</v>
      </c>
      <c r="Z21" s="18">
        <f>D21* 1.01 * 0.63 * MIN(F21/64,Q21/64)</f>
        <v>4691312.64</v>
      </c>
      <c r="AA21" s="18"/>
    </row>
    <row r="22">
      <c r="B22" s="20"/>
      <c r="Y22" s="6" t="s">
        <v>204</v>
      </c>
      <c r="Z22" s="50">
        <f>sum(Z18:Z21)</f>
        <v>1482851385</v>
      </c>
      <c r="AA22" s="18"/>
    </row>
    <row r="23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 t="s">
        <v>911</v>
      </c>
      <c r="Z23" s="176">
        <f>Z22+Z13</f>
        <v>1819120185</v>
      </c>
      <c r="AA23" s="175">
        <f>AA18/Z23</f>
        <v>1.629867441</v>
      </c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</row>
    <row r="24">
      <c r="A24" s="19" t="s">
        <v>134</v>
      </c>
    </row>
    <row r="25">
      <c r="A25" s="164" t="s">
        <v>912</v>
      </c>
      <c r="B25" s="165" t="s">
        <v>913</v>
      </c>
      <c r="C25" s="23" t="s">
        <v>914</v>
      </c>
      <c r="D25" s="24" t="s">
        <v>915</v>
      </c>
      <c r="E25" s="26" t="s">
        <v>916</v>
      </c>
      <c r="F25" s="166" t="s">
        <v>917</v>
      </c>
      <c r="G25" s="27" t="s">
        <v>918</v>
      </c>
      <c r="H25" s="26" t="s">
        <v>919</v>
      </c>
      <c r="I25" s="26" t="s">
        <v>920</v>
      </c>
      <c r="J25" s="167"/>
      <c r="K25" s="167"/>
      <c r="L25" s="168"/>
      <c r="M25" s="168"/>
      <c r="N25" s="168"/>
      <c r="O25" s="168"/>
      <c r="P25" s="168"/>
      <c r="Q25" s="168"/>
      <c r="R25" s="168"/>
      <c r="S25" s="169"/>
      <c r="T25" s="169"/>
      <c r="U25" s="169"/>
      <c r="V25" s="30" t="s">
        <v>921</v>
      </c>
      <c r="W25" s="170"/>
      <c r="X25" s="170"/>
      <c r="Y25" s="170"/>
      <c r="Z25" s="170"/>
      <c r="AA25" s="171"/>
      <c r="AB25" s="170"/>
      <c r="AC25" s="170"/>
      <c r="AD25" s="170"/>
      <c r="AI25" s="170"/>
      <c r="AJ25" s="170"/>
      <c r="AK25" s="170"/>
      <c r="AL25" s="170"/>
      <c r="AM25" s="170"/>
      <c r="AN25" s="170"/>
    </row>
    <row r="26">
      <c r="B26" s="20"/>
      <c r="C26" s="32" t="s">
        <v>106</v>
      </c>
      <c r="D26" s="33"/>
      <c r="E26" s="33"/>
      <c r="F26" s="33"/>
      <c r="G26" s="33"/>
      <c r="H26" s="33"/>
      <c r="I26" s="34"/>
      <c r="J26" s="35"/>
      <c r="K26" s="34"/>
      <c r="L26" s="116"/>
      <c r="M26" s="116"/>
      <c r="N26" s="37" t="s">
        <v>107</v>
      </c>
      <c r="O26" s="33"/>
      <c r="P26" s="33"/>
      <c r="Q26" s="34"/>
      <c r="R26" s="116"/>
      <c r="S26" s="156" t="s">
        <v>723</v>
      </c>
      <c r="T26" s="33"/>
      <c r="U26" s="34"/>
      <c r="V26" s="39" t="s">
        <v>109</v>
      </c>
      <c r="W26" s="33"/>
      <c r="X26" s="34"/>
      <c r="Z26" s="6" t="s">
        <v>724</v>
      </c>
      <c r="AA26" s="18"/>
    </row>
    <row r="27">
      <c r="A27" s="47"/>
      <c r="B27" s="40"/>
      <c r="C27" s="41" t="s">
        <v>110</v>
      </c>
      <c r="D27" s="42" t="s">
        <v>111</v>
      </c>
      <c r="E27" s="43" t="s">
        <v>112</v>
      </c>
      <c r="F27" s="44" t="s">
        <v>113</v>
      </c>
      <c r="G27" s="41" t="s">
        <v>885</v>
      </c>
      <c r="H27" s="41" t="s">
        <v>115</v>
      </c>
      <c r="I27" s="45" t="s">
        <v>116</v>
      </c>
      <c r="J27" s="43" t="s">
        <v>117</v>
      </c>
      <c r="K27" s="43" t="s">
        <v>118</v>
      </c>
      <c r="L27" s="43" t="s">
        <v>119</v>
      </c>
      <c r="M27" s="43" t="s">
        <v>560</v>
      </c>
      <c r="N27" s="44" t="s">
        <v>121</v>
      </c>
      <c r="O27" s="44" t="s">
        <v>122</v>
      </c>
      <c r="P27" s="44" t="s">
        <v>123</v>
      </c>
      <c r="Q27" s="44" t="s">
        <v>124</v>
      </c>
      <c r="R27" s="43" t="s">
        <v>280</v>
      </c>
      <c r="S27" s="43" t="s">
        <v>648</v>
      </c>
      <c r="T27" s="43" t="s">
        <v>649</v>
      </c>
      <c r="U27" s="6" t="s">
        <v>196</v>
      </c>
      <c r="V27" s="43" t="s">
        <v>127</v>
      </c>
      <c r="W27" s="43" t="s">
        <v>128</v>
      </c>
      <c r="X27" s="43" t="s">
        <v>129</v>
      </c>
      <c r="Y27" s="47"/>
      <c r="Z27" s="69"/>
      <c r="AA27" s="69"/>
      <c r="AB27" s="47"/>
      <c r="AC27" s="47"/>
      <c r="AD27" s="47"/>
      <c r="AI27" s="47"/>
      <c r="AJ27" s="47"/>
      <c r="AK27" s="47"/>
      <c r="AL27" s="47"/>
      <c r="AM27" s="47"/>
      <c r="AN27" s="47"/>
    </row>
    <row r="28">
      <c r="A28" s="172" t="s">
        <v>922</v>
      </c>
      <c r="B28" s="3" t="s">
        <v>887</v>
      </c>
      <c r="C28" s="6">
        <v>1.0</v>
      </c>
      <c r="D28" s="10">
        <f t="shared" ref="D28:D29" si="7">(G28/H28)*C28*I28</f>
        <v>40</v>
      </c>
      <c r="E28" s="6">
        <v>96.0</v>
      </c>
      <c r="F28" s="6">
        <v>1.0E9</v>
      </c>
      <c r="G28" s="6">
        <v>20.0</v>
      </c>
      <c r="H28" s="6">
        <v>1.0</v>
      </c>
      <c r="I28" s="10">
        <f t="shared" ref="I28:I29" si="8">ROUNDUP(F28/(N28*O28*P28*Q28))</f>
        <v>2</v>
      </c>
      <c r="J28" s="6" t="s">
        <v>564</v>
      </c>
      <c r="K28" s="6" t="s">
        <v>564</v>
      </c>
      <c r="L28" s="6"/>
      <c r="M28" s="6"/>
      <c r="N28" s="6">
        <v>16.0</v>
      </c>
      <c r="O28" s="6">
        <v>8.0</v>
      </c>
      <c r="P28" s="6">
        <v>32.0</v>
      </c>
      <c r="Q28" s="6">
        <v>131072.0</v>
      </c>
      <c r="R28" s="6">
        <v>1024.0</v>
      </c>
      <c r="S28" s="6" t="s">
        <v>564</v>
      </c>
      <c r="T28" s="6" t="s">
        <v>564</v>
      </c>
      <c r="U28" s="10">
        <v>2.52</v>
      </c>
      <c r="Z28" s="18">
        <f>D28*E28*min(R28,F28/16)*U28</f>
        <v>9909043.2</v>
      </c>
      <c r="AA28" s="18"/>
      <c r="AC28" s="18"/>
    </row>
    <row r="29">
      <c r="B29" s="3" t="s">
        <v>888</v>
      </c>
      <c r="C29" s="6">
        <v>1.0</v>
      </c>
      <c r="D29" s="10">
        <f t="shared" si="7"/>
        <v>40</v>
      </c>
      <c r="E29" s="6">
        <v>32.0</v>
      </c>
      <c r="F29" s="6">
        <v>1.0E9</v>
      </c>
      <c r="G29" s="6">
        <v>20.0</v>
      </c>
      <c r="H29" s="6">
        <v>1.0</v>
      </c>
      <c r="I29" s="10">
        <f t="shared" si="8"/>
        <v>2</v>
      </c>
      <c r="J29" s="6">
        <v>1.0</v>
      </c>
      <c r="K29" s="6">
        <v>1.0</v>
      </c>
      <c r="L29" s="6"/>
      <c r="M29" s="6"/>
      <c r="N29" s="6">
        <v>16.0</v>
      </c>
      <c r="O29" s="6">
        <v>8.0</v>
      </c>
      <c r="P29" s="6">
        <v>32.0</v>
      </c>
      <c r="Q29" s="6">
        <v>131072.0</v>
      </c>
      <c r="R29" s="6">
        <v>1024.0</v>
      </c>
      <c r="S29" s="10">
        <v>27.72</v>
      </c>
      <c r="T29" s="10">
        <v>28.98</v>
      </c>
      <c r="U29" s="10">
        <v>2.52</v>
      </c>
      <c r="Z29" s="18">
        <f>D29*E29*J29*S29+D29*E29*K29*T29</f>
        <v>72576</v>
      </c>
      <c r="AA29" s="18"/>
      <c r="AC29" s="18"/>
    </row>
    <row r="30">
      <c r="B30" s="3"/>
      <c r="C30" s="6"/>
      <c r="E30" s="6"/>
      <c r="G30" s="6"/>
      <c r="H30" s="6"/>
      <c r="J30" s="56" t="s">
        <v>142</v>
      </c>
      <c r="K30" s="56" t="s">
        <v>143</v>
      </c>
      <c r="L30" s="6"/>
      <c r="M30" s="6"/>
      <c r="N30" s="6"/>
      <c r="O30" s="6"/>
      <c r="P30" s="6"/>
      <c r="Q30" s="6"/>
      <c r="R30" s="6"/>
      <c r="Z30" s="18"/>
      <c r="AA30" s="18"/>
    </row>
    <row r="31">
      <c r="B31" s="3" t="s">
        <v>923</v>
      </c>
      <c r="C31" s="6">
        <v>1.0</v>
      </c>
      <c r="D31" s="10">
        <f t="shared" ref="D31:D35" si="9">(G31/H31)*C31*I31</f>
        <v>40</v>
      </c>
      <c r="E31" s="6">
        <v>32.0</v>
      </c>
      <c r="F31" s="6">
        <v>1.0E9</v>
      </c>
      <c r="G31" s="6">
        <v>20.0</v>
      </c>
      <c r="H31" s="6">
        <v>1.0</v>
      </c>
      <c r="I31" s="10">
        <f t="shared" ref="I31:I35" si="10">ROUNDUP(F31/(N31*O31*P31*Q31))</f>
        <v>2</v>
      </c>
      <c r="J31" s="10">
        <f>(10*E31+2)/E31</f>
        <v>10.0625</v>
      </c>
      <c r="K31" s="6">
        <v>53.14</v>
      </c>
      <c r="N31" s="6">
        <v>16.0</v>
      </c>
      <c r="O31" s="6">
        <v>8.0</v>
      </c>
      <c r="P31" s="6">
        <v>32.0</v>
      </c>
      <c r="Q31" s="6">
        <v>131072.0</v>
      </c>
      <c r="R31" s="6">
        <v>1024.0</v>
      </c>
      <c r="S31" s="10">
        <v>27.72</v>
      </c>
      <c r="T31" s="10">
        <v>28.98</v>
      </c>
      <c r="Z31" s="18">
        <f t="shared" ref="Z31:Z35" si="11">D31*E31*J31*K31</f>
        <v>684443.2</v>
      </c>
      <c r="AA31" s="18"/>
      <c r="AC31" s="18"/>
    </row>
    <row r="32">
      <c r="B32" s="3" t="s">
        <v>924</v>
      </c>
      <c r="C32" s="6">
        <v>1.0</v>
      </c>
      <c r="D32" s="10">
        <f t="shared" si="9"/>
        <v>40</v>
      </c>
      <c r="E32" s="6">
        <v>32.0</v>
      </c>
      <c r="F32" s="6">
        <v>1.0E9</v>
      </c>
      <c r="G32" s="6">
        <v>20.0</v>
      </c>
      <c r="H32" s="6">
        <v>1.0</v>
      </c>
      <c r="I32" s="10">
        <f t="shared" si="10"/>
        <v>2</v>
      </c>
      <c r="J32" s="6">
        <v>1.0</v>
      </c>
      <c r="K32" s="6">
        <v>53.14</v>
      </c>
      <c r="L32" s="6"/>
      <c r="M32" s="6"/>
      <c r="N32" s="6">
        <v>16.0</v>
      </c>
      <c r="O32" s="6">
        <v>8.0</v>
      </c>
      <c r="P32" s="6">
        <v>32.0</v>
      </c>
      <c r="Q32" s="6">
        <v>131072.0</v>
      </c>
      <c r="R32" s="6">
        <v>1024.0</v>
      </c>
      <c r="S32" s="10">
        <v>27.72</v>
      </c>
      <c r="T32" s="10">
        <v>28.98</v>
      </c>
      <c r="Z32" s="18">
        <f t="shared" si="11"/>
        <v>68019.2</v>
      </c>
      <c r="AA32" s="18"/>
      <c r="AC32" s="18"/>
    </row>
    <row r="33">
      <c r="A33" s="172" t="s">
        <v>925</v>
      </c>
      <c r="B33" s="3" t="s">
        <v>926</v>
      </c>
      <c r="C33" s="6">
        <v>1.0</v>
      </c>
      <c r="D33" s="10">
        <f t="shared" si="9"/>
        <v>120</v>
      </c>
      <c r="E33" s="6">
        <v>32.0</v>
      </c>
      <c r="F33" s="6">
        <v>1.0E9</v>
      </c>
      <c r="G33" s="6">
        <f>G28*3</f>
        <v>60</v>
      </c>
      <c r="H33" s="6">
        <v>1.0</v>
      </c>
      <c r="I33" s="10">
        <f t="shared" si="10"/>
        <v>2</v>
      </c>
      <c r="J33" s="10">
        <f>(8*E33+1)/E33</f>
        <v>8.03125</v>
      </c>
      <c r="K33" s="6">
        <v>53.14</v>
      </c>
      <c r="N33" s="6">
        <v>16.0</v>
      </c>
      <c r="O33" s="6">
        <v>8.0</v>
      </c>
      <c r="P33" s="6">
        <v>32.0</v>
      </c>
      <c r="Q33" s="6">
        <v>131072.0</v>
      </c>
      <c r="R33" s="6">
        <v>1024.0</v>
      </c>
      <c r="S33" s="10">
        <v>27.72</v>
      </c>
      <c r="T33" s="10">
        <v>28.98</v>
      </c>
      <c r="Z33" s="18">
        <f t="shared" si="11"/>
        <v>1638837.6</v>
      </c>
      <c r="AA33" s="18"/>
      <c r="AC33" s="18"/>
    </row>
    <row r="34">
      <c r="B34" s="3" t="s">
        <v>927</v>
      </c>
      <c r="C34" s="6">
        <v>1.0</v>
      </c>
      <c r="D34" s="10">
        <f t="shared" si="9"/>
        <v>120</v>
      </c>
      <c r="E34" s="6">
        <v>32.0</v>
      </c>
      <c r="F34" s="6">
        <v>1.0E9</v>
      </c>
      <c r="G34" s="6">
        <f t="shared" ref="G34:G35" si="12">G28*3</f>
        <v>60</v>
      </c>
      <c r="H34" s="6">
        <v>1.0</v>
      </c>
      <c r="I34" s="10">
        <f t="shared" si="10"/>
        <v>2</v>
      </c>
      <c r="J34" s="10">
        <f>(10*E34-2)/E34</f>
        <v>9.9375</v>
      </c>
      <c r="K34" s="6">
        <v>53.14</v>
      </c>
      <c r="N34" s="6">
        <v>16.0</v>
      </c>
      <c r="O34" s="6">
        <v>8.0</v>
      </c>
      <c r="P34" s="6">
        <v>32.0</v>
      </c>
      <c r="Q34" s="6">
        <v>131072.0</v>
      </c>
      <c r="R34" s="6">
        <v>1024.0</v>
      </c>
      <c r="S34" s="10">
        <v>27.72</v>
      </c>
      <c r="T34" s="10">
        <v>28.98</v>
      </c>
      <c r="Z34" s="18">
        <f t="shared" si="11"/>
        <v>2027822.4</v>
      </c>
      <c r="AA34" s="18"/>
      <c r="AC34" s="18"/>
    </row>
    <row r="35">
      <c r="B35" s="3" t="s">
        <v>928</v>
      </c>
      <c r="C35" s="6">
        <v>1.0</v>
      </c>
      <c r="D35" s="10">
        <f t="shared" si="9"/>
        <v>120</v>
      </c>
      <c r="E35" s="6">
        <v>32.0</v>
      </c>
      <c r="F35" s="6">
        <v>1.0E9</v>
      </c>
      <c r="G35" s="6">
        <f t="shared" si="12"/>
        <v>60</v>
      </c>
      <c r="H35" s="6">
        <v>1.0</v>
      </c>
      <c r="I35" s="10">
        <f t="shared" si="10"/>
        <v>2</v>
      </c>
      <c r="J35" s="6">
        <v>8.0</v>
      </c>
      <c r="K35" s="6">
        <v>53.14</v>
      </c>
      <c r="N35" s="6">
        <v>16.0</v>
      </c>
      <c r="O35" s="6">
        <v>8.0</v>
      </c>
      <c r="P35" s="6">
        <v>32.0</v>
      </c>
      <c r="Q35" s="6">
        <v>131072.0</v>
      </c>
      <c r="R35" s="6">
        <v>1024.0</v>
      </c>
      <c r="S35" s="10">
        <v>27.72</v>
      </c>
      <c r="T35" s="10">
        <v>28.98</v>
      </c>
      <c r="Z35" s="18">
        <f t="shared" si="11"/>
        <v>1632460.8</v>
      </c>
      <c r="AA35" s="18"/>
      <c r="AC35" s="18"/>
    </row>
    <row r="36">
      <c r="A36" s="172"/>
      <c r="B36" s="3"/>
      <c r="C36" s="6"/>
      <c r="E36" s="6"/>
      <c r="F36" s="6"/>
      <c r="G36" s="6"/>
      <c r="H36" s="6"/>
      <c r="J36" s="6"/>
      <c r="K36" s="6"/>
      <c r="L36" s="6"/>
      <c r="M36" s="6"/>
      <c r="N36" s="6"/>
      <c r="O36" s="6"/>
      <c r="P36" s="6"/>
      <c r="Q36" s="6"/>
      <c r="R36" s="6"/>
      <c r="Y36" s="6" t="s">
        <v>204</v>
      </c>
      <c r="Z36" s="18">
        <f>sum(Z28:Z35)</f>
        <v>16033202.4</v>
      </c>
      <c r="AA36" s="18"/>
      <c r="AC36" s="18"/>
    </row>
    <row r="37">
      <c r="A37" s="173"/>
    </row>
    <row r="38">
      <c r="A38" s="164" t="s">
        <v>929</v>
      </c>
      <c r="B38" s="165" t="s">
        <v>930</v>
      </c>
      <c r="C38" s="23" t="s">
        <v>931</v>
      </c>
      <c r="D38" s="24" t="s">
        <v>932</v>
      </c>
      <c r="E38" s="26" t="s">
        <v>933</v>
      </c>
      <c r="F38" s="166" t="s">
        <v>934</v>
      </c>
      <c r="G38" s="27" t="s">
        <v>935</v>
      </c>
      <c r="H38" s="26" t="s">
        <v>936</v>
      </c>
      <c r="I38" s="26" t="s">
        <v>937</v>
      </c>
      <c r="J38" s="167"/>
      <c r="K38" s="167"/>
      <c r="L38" s="168"/>
      <c r="M38" s="168"/>
      <c r="N38" s="168"/>
      <c r="O38" s="168"/>
      <c r="P38" s="168"/>
      <c r="Q38" s="168"/>
      <c r="R38" s="168"/>
      <c r="S38" s="169"/>
      <c r="T38" s="169"/>
      <c r="U38" s="169"/>
      <c r="V38" s="30" t="s">
        <v>938</v>
      </c>
      <c r="W38" s="170"/>
      <c r="X38" s="170"/>
      <c r="Y38" s="170"/>
      <c r="Z38" s="170"/>
      <c r="AA38" s="171"/>
      <c r="AB38" s="170"/>
      <c r="AC38" s="170"/>
      <c r="AD38" s="170"/>
      <c r="AI38" s="170"/>
      <c r="AJ38" s="170"/>
      <c r="AK38" s="170"/>
      <c r="AL38" s="170"/>
      <c r="AM38" s="170"/>
      <c r="AN38" s="170"/>
    </row>
    <row r="39">
      <c r="B39" s="20"/>
      <c r="C39" s="32" t="s">
        <v>106</v>
      </c>
      <c r="D39" s="33"/>
      <c r="E39" s="33"/>
      <c r="F39" s="33"/>
      <c r="G39" s="33"/>
      <c r="H39" s="33"/>
      <c r="I39" s="34"/>
      <c r="J39" s="35"/>
      <c r="K39" s="34"/>
      <c r="L39" s="116"/>
      <c r="M39" s="116"/>
      <c r="N39" s="37" t="s">
        <v>107</v>
      </c>
      <c r="O39" s="33"/>
      <c r="P39" s="33"/>
      <c r="Q39" s="34"/>
      <c r="R39" s="116"/>
      <c r="S39" s="156" t="s">
        <v>723</v>
      </c>
      <c r="T39" s="33"/>
      <c r="U39" s="34"/>
      <c r="V39" s="39" t="s">
        <v>109</v>
      </c>
      <c r="W39" s="33"/>
      <c r="X39" s="34"/>
      <c r="Z39" s="3" t="s">
        <v>130</v>
      </c>
      <c r="AA39" s="46" t="s">
        <v>131</v>
      </c>
    </row>
    <row r="40">
      <c r="A40" s="47"/>
      <c r="B40" s="40"/>
      <c r="C40" s="41" t="s">
        <v>110</v>
      </c>
      <c r="D40" s="42" t="s">
        <v>111</v>
      </c>
      <c r="E40" s="43" t="s">
        <v>112</v>
      </c>
      <c r="F40" s="44" t="s">
        <v>113</v>
      </c>
      <c r="G40" s="41" t="s">
        <v>885</v>
      </c>
      <c r="H40" s="41" t="s">
        <v>115</v>
      </c>
      <c r="I40" s="45" t="s">
        <v>116</v>
      </c>
      <c r="J40" s="43" t="s">
        <v>117</v>
      </c>
      <c r="K40" s="43" t="s">
        <v>118</v>
      </c>
      <c r="L40" s="43" t="s">
        <v>119</v>
      </c>
      <c r="M40" s="43" t="s">
        <v>560</v>
      </c>
      <c r="N40" s="44" t="s">
        <v>121</v>
      </c>
      <c r="O40" s="44" t="s">
        <v>122</v>
      </c>
      <c r="P40" s="44" t="s">
        <v>123</v>
      </c>
      <c r="Q40" s="44" t="s">
        <v>124</v>
      </c>
      <c r="R40" s="43" t="s">
        <v>280</v>
      </c>
      <c r="S40" s="43" t="s">
        <v>648</v>
      </c>
      <c r="T40" s="43" t="s">
        <v>649</v>
      </c>
      <c r="U40" s="6" t="s">
        <v>196</v>
      </c>
      <c r="V40" s="43" t="s">
        <v>127</v>
      </c>
      <c r="W40" s="43" t="s">
        <v>128</v>
      </c>
      <c r="X40" s="43" t="s">
        <v>129</v>
      </c>
      <c r="Y40" s="47"/>
      <c r="Z40" s="47"/>
      <c r="AA40" s="69"/>
      <c r="AB40" s="47"/>
      <c r="AD40" s="47"/>
      <c r="AI40" s="47"/>
      <c r="AJ40" s="47"/>
      <c r="AK40" s="47"/>
      <c r="AL40" s="47"/>
      <c r="AM40" s="47"/>
      <c r="AN40" s="47"/>
    </row>
    <row r="41">
      <c r="A41" s="172"/>
      <c r="B41" s="3"/>
      <c r="C41" s="6"/>
      <c r="E41" s="6"/>
      <c r="F41" s="6"/>
      <c r="G41" s="6"/>
      <c r="H41" s="6"/>
      <c r="J41" s="56" t="s">
        <v>142</v>
      </c>
      <c r="K41" s="56" t="s">
        <v>143</v>
      </c>
      <c r="L41" s="6"/>
      <c r="M41" s="6"/>
      <c r="N41" s="6"/>
      <c r="O41" s="6"/>
      <c r="P41" s="6"/>
      <c r="Q41" s="6"/>
      <c r="R41" s="6"/>
      <c r="U41" s="6"/>
      <c r="Z41" s="18"/>
      <c r="AA41" s="70"/>
    </row>
    <row r="42">
      <c r="A42" s="172" t="s">
        <v>939</v>
      </c>
      <c r="B42" s="3" t="s">
        <v>940</v>
      </c>
      <c r="C42" s="6">
        <v>1.0</v>
      </c>
      <c r="D42" s="10">
        <f>(G42/H42)*C42*I42</f>
        <v>40</v>
      </c>
      <c r="E42" s="6">
        <v>1.0</v>
      </c>
      <c r="F42" s="6">
        <v>1.0E9</v>
      </c>
      <c r="G42" s="6">
        <v>20.0</v>
      </c>
      <c r="H42" s="6">
        <v>1.0</v>
      </c>
      <c r="I42" s="10">
        <f>ROUNDUP(F42/(N42*O42*P42*Q42))</f>
        <v>2</v>
      </c>
      <c r="J42" s="6">
        <v>1.0</v>
      </c>
      <c r="K42" s="6">
        <v>53.14</v>
      </c>
      <c r="L42" s="6"/>
      <c r="M42" s="6"/>
      <c r="N42" s="6">
        <v>16.0</v>
      </c>
      <c r="O42" s="6">
        <v>8.0</v>
      </c>
      <c r="P42" s="6">
        <v>32.0</v>
      </c>
      <c r="Q42" s="6">
        <v>131072.0</v>
      </c>
      <c r="R42" s="6">
        <v>1024.0</v>
      </c>
      <c r="S42" s="10">
        <v>27.72</v>
      </c>
      <c r="T42" s="10">
        <v>28.98</v>
      </c>
      <c r="U42" s="6" t="s">
        <v>564</v>
      </c>
      <c r="Z42" s="18">
        <f>D42*E42*J42*K42</f>
        <v>2125.6</v>
      </c>
      <c r="AA42" s="70">
        <f>1462861000/90</f>
        <v>16254011.11</v>
      </c>
    </row>
    <row r="43">
      <c r="B43" s="3"/>
      <c r="C43" s="6"/>
      <c r="E43" s="6"/>
      <c r="F43" s="6"/>
      <c r="G43" s="6"/>
      <c r="H43" s="6"/>
      <c r="J43" s="56" t="s">
        <v>142</v>
      </c>
      <c r="K43" s="56" t="s">
        <v>143</v>
      </c>
      <c r="L43" s="6"/>
      <c r="M43" s="6"/>
      <c r="N43" s="6"/>
      <c r="O43" s="6"/>
      <c r="P43" s="6"/>
      <c r="Q43" s="6"/>
      <c r="R43" s="6"/>
      <c r="U43" s="6"/>
      <c r="Z43" s="18"/>
      <c r="AA43" s="18"/>
    </row>
    <row r="44">
      <c r="B44" s="3" t="s">
        <v>941</v>
      </c>
      <c r="C44" s="6">
        <v>1.0</v>
      </c>
      <c r="D44" s="10">
        <f t="shared" ref="D44:D46" si="13">(G44/H44)*C44*I44</f>
        <v>40</v>
      </c>
      <c r="E44" s="6">
        <v>32.0</v>
      </c>
      <c r="F44" s="6">
        <v>1.0E9</v>
      </c>
      <c r="G44" s="6">
        <v>20.0</v>
      </c>
      <c r="H44" s="6">
        <v>1.0</v>
      </c>
      <c r="I44" s="10">
        <f t="shared" ref="I44:I46" si="14">ROUNDUP(F44/(N44*O44*P44*Q44))</f>
        <v>2</v>
      </c>
      <c r="J44" s="10">
        <f>(4*E44+3)/32</f>
        <v>4.09375</v>
      </c>
      <c r="K44" s="6">
        <v>53.14</v>
      </c>
      <c r="N44" s="6">
        <v>16.0</v>
      </c>
      <c r="O44" s="6">
        <v>8.0</v>
      </c>
      <c r="P44" s="6">
        <v>32.0</v>
      </c>
      <c r="Q44" s="6">
        <v>131072.0</v>
      </c>
      <c r="R44" s="6">
        <v>1024.0</v>
      </c>
      <c r="S44" s="10">
        <v>27.72</v>
      </c>
      <c r="T44" s="10">
        <v>28.98</v>
      </c>
      <c r="U44" s="6" t="s">
        <v>564</v>
      </c>
      <c r="Z44" s="18">
        <f>D44*E44*J44*K44</f>
        <v>278453.6</v>
      </c>
      <c r="AA44" s="18"/>
    </row>
    <row r="45">
      <c r="A45" s="172" t="s">
        <v>942</v>
      </c>
      <c r="B45" s="174" t="s">
        <v>909</v>
      </c>
      <c r="C45" s="6">
        <v>1.0</v>
      </c>
      <c r="D45" s="10">
        <f t="shared" si="13"/>
        <v>120</v>
      </c>
      <c r="E45" s="6">
        <v>32.0</v>
      </c>
      <c r="F45" s="6">
        <v>1.0E9</v>
      </c>
      <c r="G45" s="10">
        <f>G44*3</f>
        <v>60</v>
      </c>
      <c r="H45" s="6">
        <v>1.0</v>
      </c>
      <c r="I45" s="10">
        <f t="shared" si="14"/>
        <v>2</v>
      </c>
      <c r="J45" s="6" t="s">
        <v>564</v>
      </c>
      <c r="K45" s="6" t="s">
        <v>564</v>
      </c>
      <c r="L45" s="6"/>
      <c r="M45" s="6"/>
      <c r="N45" s="6">
        <v>16.0</v>
      </c>
      <c r="O45" s="6">
        <v>8.0</v>
      </c>
      <c r="P45" s="6">
        <v>32.0</v>
      </c>
      <c r="Q45" s="6">
        <v>131072.0</v>
      </c>
      <c r="R45" s="6">
        <v>1024.0</v>
      </c>
      <c r="S45" s="6" t="s">
        <v>564</v>
      </c>
      <c r="T45" s="6" t="s">
        <v>564</v>
      </c>
      <c r="U45" s="6" t="s">
        <v>564</v>
      </c>
      <c r="V45" s="6">
        <v>10.0</v>
      </c>
      <c r="W45" s="10">
        <f>Q45</f>
        <v>131072</v>
      </c>
      <c r="X45" s="6">
        <v>3200.0</v>
      </c>
      <c r="Z45" s="18">
        <f>D45*V45*MIN(W45,F45)/(X45*10^6)*10^9</f>
        <v>49152000</v>
      </c>
      <c r="AA45" s="18"/>
    </row>
    <row r="46">
      <c r="B46" s="174" t="s">
        <v>910</v>
      </c>
      <c r="C46" s="6">
        <v>1.0</v>
      </c>
      <c r="D46" s="10">
        <f t="shared" si="13"/>
        <v>120</v>
      </c>
      <c r="E46" s="6">
        <v>1.0</v>
      </c>
      <c r="F46" s="6">
        <v>1.0E9</v>
      </c>
      <c r="G46" s="10">
        <f>G44*3</f>
        <v>60</v>
      </c>
      <c r="H46" s="6">
        <v>1.0</v>
      </c>
      <c r="I46" s="10">
        <f t="shared" si="14"/>
        <v>2</v>
      </c>
      <c r="J46" s="6" t="s">
        <v>564</v>
      </c>
      <c r="K46" s="6" t="s">
        <v>564</v>
      </c>
      <c r="L46" s="6"/>
      <c r="M46" s="6"/>
      <c r="N46" s="6">
        <v>16.0</v>
      </c>
      <c r="O46" s="6">
        <v>8.0</v>
      </c>
      <c r="P46" s="6">
        <v>32.0</v>
      </c>
      <c r="Q46" s="6">
        <v>131072.0</v>
      </c>
      <c r="R46" s="6">
        <v>1024.0</v>
      </c>
      <c r="S46" s="6" t="s">
        <v>564</v>
      </c>
      <c r="T46" s="6" t="s">
        <v>564</v>
      </c>
      <c r="U46" s="6" t="s">
        <v>564</v>
      </c>
      <c r="Z46" s="18">
        <f>D46* 1.01 * 0.63 * MIN(F46/64,Q46/64)</f>
        <v>156377.088</v>
      </c>
      <c r="AA46" s="18"/>
    </row>
    <row r="47">
      <c r="B47" s="20"/>
      <c r="Y47" s="6" t="s">
        <v>204</v>
      </c>
      <c r="Z47" s="50">
        <f>sum(Z42:Z46)</f>
        <v>49588956.29</v>
      </c>
      <c r="AA47" s="18"/>
    </row>
    <row r="48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 t="s">
        <v>911</v>
      </c>
      <c r="Z48" s="176">
        <f>Z47+Z36</f>
        <v>65622158.69</v>
      </c>
      <c r="AA48" s="175">
        <f>AA42/Z48</f>
        <v>0.2476908934</v>
      </c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</row>
    <row r="49">
      <c r="A49" s="19" t="s">
        <v>493</v>
      </c>
    </row>
    <row r="50">
      <c r="A50" s="164" t="s">
        <v>943</v>
      </c>
      <c r="B50" s="165" t="s">
        <v>944</v>
      </c>
      <c r="C50" s="23" t="s">
        <v>945</v>
      </c>
      <c r="D50" s="24" t="s">
        <v>946</v>
      </c>
      <c r="E50" s="26" t="s">
        <v>947</v>
      </c>
      <c r="F50" s="166" t="s">
        <v>948</v>
      </c>
      <c r="G50" s="27" t="s">
        <v>949</v>
      </c>
      <c r="H50" s="26" t="s">
        <v>950</v>
      </c>
      <c r="I50" s="26" t="s">
        <v>951</v>
      </c>
      <c r="J50" s="167"/>
      <c r="K50" s="167"/>
      <c r="L50" s="168"/>
      <c r="M50" s="168"/>
      <c r="N50" s="168"/>
      <c r="O50" s="168"/>
      <c r="P50" s="168"/>
      <c r="Q50" s="168"/>
      <c r="R50" s="168"/>
      <c r="S50" s="169"/>
      <c r="T50" s="169"/>
      <c r="U50" s="169"/>
      <c r="V50" s="30" t="s">
        <v>952</v>
      </c>
      <c r="W50" s="170"/>
      <c r="X50" s="170"/>
      <c r="Y50" s="170"/>
      <c r="Z50" s="170"/>
      <c r="AA50" s="171"/>
      <c r="AB50" s="170"/>
      <c r="AC50" s="170"/>
      <c r="AD50" s="170"/>
      <c r="AI50" s="170"/>
      <c r="AJ50" s="170"/>
      <c r="AK50" s="170"/>
      <c r="AL50" s="170"/>
      <c r="AM50" s="170"/>
      <c r="AN50" s="170"/>
    </row>
    <row r="51">
      <c r="B51" s="20"/>
      <c r="C51" s="32" t="s">
        <v>106</v>
      </c>
      <c r="D51" s="33"/>
      <c r="E51" s="33"/>
      <c r="F51" s="33"/>
      <c r="G51" s="33"/>
      <c r="H51" s="33"/>
      <c r="I51" s="34"/>
      <c r="J51" s="35"/>
      <c r="K51" s="34"/>
      <c r="L51" s="116"/>
      <c r="M51" s="116"/>
      <c r="N51" s="37" t="s">
        <v>107</v>
      </c>
      <c r="O51" s="33"/>
      <c r="P51" s="33"/>
      <c r="Q51" s="34"/>
      <c r="R51" s="116"/>
      <c r="S51" s="156" t="s">
        <v>723</v>
      </c>
      <c r="T51" s="33"/>
      <c r="U51" s="34"/>
      <c r="V51" s="39" t="s">
        <v>109</v>
      </c>
      <c r="W51" s="33"/>
      <c r="X51" s="34"/>
      <c r="Z51" s="6" t="s">
        <v>724</v>
      </c>
      <c r="AA51" s="18"/>
    </row>
    <row r="52">
      <c r="A52" s="47"/>
      <c r="B52" s="40"/>
      <c r="C52" s="41" t="s">
        <v>110</v>
      </c>
      <c r="D52" s="42" t="s">
        <v>111</v>
      </c>
      <c r="E52" s="43" t="s">
        <v>112</v>
      </c>
      <c r="F52" s="44" t="s">
        <v>113</v>
      </c>
      <c r="G52" s="41" t="s">
        <v>885</v>
      </c>
      <c r="H52" s="41" t="s">
        <v>115</v>
      </c>
      <c r="I52" s="45" t="s">
        <v>116</v>
      </c>
      <c r="J52" s="43" t="s">
        <v>117</v>
      </c>
      <c r="K52" s="43" t="s">
        <v>118</v>
      </c>
      <c r="L52" s="43" t="s">
        <v>119</v>
      </c>
      <c r="M52" s="43" t="s">
        <v>560</v>
      </c>
      <c r="N52" s="44" t="s">
        <v>121</v>
      </c>
      <c r="O52" s="44" t="s">
        <v>122</v>
      </c>
      <c r="P52" s="44" t="s">
        <v>123</v>
      </c>
      <c r="Q52" s="44" t="s">
        <v>124</v>
      </c>
      <c r="R52" s="43" t="s">
        <v>280</v>
      </c>
      <c r="S52" s="43" t="s">
        <v>648</v>
      </c>
      <c r="T52" s="43" t="s">
        <v>649</v>
      </c>
      <c r="U52" s="6" t="s">
        <v>196</v>
      </c>
      <c r="V52" s="43" t="s">
        <v>127</v>
      </c>
      <c r="W52" s="43" t="s">
        <v>128</v>
      </c>
      <c r="X52" s="43" t="s">
        <v>129</v>
      </c>
      <c r="Y52" s="47"/>
      <c r="Z52" s="69"/>
      <c r="AA52" s="69"/>
      <c r="AB52" s="47"/>
      <c r="AC52" s="47"/>
      <c r="AD52" s="47"/>
      <c r="AI52" s="47"/>
      <c r="AJ52" s="47"/>
      <c r="AK52" s="47"/>
      <c r="AL52" s="47"/>
      <c r="AM52" s="47"/>
      <c r="AN52" s="47"/>
    </row>
    <row r="53">
      <c r="A53" s="172" t="s">
        <v>953</v>
      </c>
      <c r="B53" s="6" t="s">
        <v>887</v>
      </c>
      <c r="C53" s="6">
        <v>1.0</v>
      </c>
      <c r="D53" s="10">
        <f t="shared" ref="D53:D59" si="15">(G53/H53)*C53*I53</f>
        <v>40</v>
      </c>
      <c r="E53" s="6">
        <v>96.0</v>
      </c>
      <c r="F53" s="6">
        <v>1.0E9</v>
      </c>
      <c r="G53" s="6">
        <v>20.0</v>
      </c>
      <c r="H53" s="6">
        <v>1.0</v>
      </c>
      <c r="I53" s="10">
        <f t="shared" ref="I53:I59" si="16">ROUNDUP(F53/(N53*O53*P53*Q53))</f>
        <v>2</v>
      </c>
      <c r="J53" s="6" t="s">
        <v>564</v>
      </c>
      <c r="K53" s="6" t="s">
        <v>564</v>
      </c>
      <c r="L53" s="6"/>
      <c r="M53" s="6"/>
      <c r="N53" s="6">
        <v>16.0</v>
      </c>
      <c r="O53" s="6">
        <v>4.0</v>
      </c>
      <c r="P53" s="6">
        <v>64.0</v>
      </c>
      <c r="Q53" s="6">
        <v>131072.0</v>
      </c>
      <c r="R53" s="6">
        <v>1024.0</v>
      </c>
      <c r="S53" s="6" t="s">
        <v>564</v>
      </c>
      <c r="T53" s="6" t="s">
        <v>564</v>
      </c>
      <c r="U53" s="10">
        <v>2.52</v>
      </c>
      <c r="Z53" s="18">
        <f>D53*E53*min(R53,F53/16)*U53</f>
        <v>9909043.2</v>
      </c>
      <c r="AA53" s="18"/>
    </row>
    <row r="54">
      <c r="B54" s="6" t="s">
        <v>888</v>
      </c>
      <c r="C54" s="6">
        <v>1.0</v>
      </c>
      <c r="D54" s="10">
        <f t="shared" si="15"/>
        <v>40</v>
      </c>
      <c r="E54" s="6">
        <v>32.0</v>
      </c>
      <c r="F54" s="6">
        <v>1.0E9</v>
      </c>
      <c r="G54" s="6">
        <v>20.0</v>
      </c>
      <c r="H54" s="6">
        <v>1.0</v>
      </c>
      <c r="I54" s="10">
        <f t="shared" si="16"/>
        <v>2</v>
      </c>
      <c r="J54" s="6">
        <v>1.0</v>
      </c>
      <c r="K54" s="6">
        <v>1.0</v>
      </c>
      <c r="L54" s="6"/>
      <c r="M54" s="6"/>
      <c r="N54" s="6">
        <v>16.0</v>
      </c>
      <c r="O54" s="6">
        <v>4.0</v>
      </c>
      <c r="P54" s="6">
        <v>64.0</v>
      </c>
      <c r="Q54" s="6">
        <v>131072.0</v>
      </c>
      <c r="R54" s="6">
        <v>1024.0</v>
      </c>
      <c r="S54" s="10">
        <v>27.72</v>
      </c>
      <c r="T54" s="10">
        <v>28.98</v>
      </c>
      <c r="U54" s="10">
        <v>2.52</v>
      </c>
      <c r="Z54" s="18">
        <f>D54*E54*J54*S54+D54*E54*K54*T54</f>
        <v>72576</v>
      </c>
      <c r="AA54" s="18"/>
    </row>
    <row r="55">
      <c r="B55" s="6" t="s">
        <v>889</v>
      </c>
      <c r="C55" s="6">
        <v>1.0</v>
      </c>
      <c r="D55" s="10">
        <f t="shared" si="15"/>
        <v>40</v>
      </c>
      <c r="E55" s="6">
        <v>32.0</v>
      </c>
      <c r="F55" s="6">
        <v>1.0E9</v>
      </c>
      <c r="G55" s="6">
        <v>20.0</v>
      </c>
      <c r="H55" s="6">
        <v>1.0</v>
      </c>
      <c r="I55" s="10">
        <f t="shared" si="16"/>
        <v>2</v>
      </c>
      <c r="J55" s="6">
        <v>4.0</v>
      </c>
      <c r="K55" s="6">
        <v>1.0</v>
      </c>
      <c r="L55" s="6">
        <v>4.0</v>
      </c>
      <c r="M55" s="6">
        <v>2.52</v>
      </c>
      <c r="N55" s="6">
        <v>16.0</v>
      </c>
      <c r="O55" s="6">
        <v>4.0</v>
      </c>
      <c r="P55" s="6">
        <v>64.0</v>
      </c>
      <c r="Q55" s="6">
        <v>131072.0</v>
      </c>
      <c r="R55" s="6">
        <v>1024.0</v>
      </c>
      <c r="S55" s="10">
        <v>27.72</v>
      </c>
      <c r="T55" s="10">
        <v>28.98</v>
      </c>
      <c r="Z55" s="18">
        <f>D55*E55*J55*S55+D55*E55*K55*T55+D55*E55*L55*M55</f>
        <v>191923.2</v>
      </c>
      <c r="AA55" s="18"/>
    </row>
    <row r="56">
      <c r="B56" s="6" t="s">
        <v>890</v>
      </c>
      <c r="C56" s="6">
        <v>1.0</v>
      </c>
      <c r="D56" s="10">
        <f t="shared" si="15"/>
        <v>40</v>
      </c>
      <c r="E56" s="6">
        <v>32.0</v>
      </c>
      <c r="F56" s="6">
        <v>1.0E9</v>
      </c>
      <c r="G56" s="6">
        <v>20.0</v>
      </c>
      <c r="H56" s="6">
        <v>1.0</v>
      </c>
      <c r="I56" s="10">
        <f t="shared" si="16"/>
        <v>2</v>
      </c>
      <c r="J56" s="6">
        <v>1.0</v>
      </c>
      <c r="K56" s="6">
        <v>1.0</v>
      </c>
      <c r="L56" s="6"/>
      <c r="M56" s="6"/>
      <c r="N56" s="6">
        <v>16.0</v>
      </c>
      <c r="O56" s="6">
        <v>4.0</v>
      </c>
      <c r="P56" s="6">
        <v>64.0</v>
      </c>
      <c r="Q56" s="6">
        <v>131072.0</v>
      </c>
      <c r="R56" s="6">
        <v>1024.0</v>
      </c>
      <c r="S56" s="10">
        <v>27.72</v>
      </c>
      <c r="T56" s="10">
        <v>28.98</v>
      </c>
      <c r="Z56" s="18">
        <f>D56*E56*J56*S56+C56*D56*E56*K56*T56</f>
        <v>72576</v>
      </c>
      <c r="AA56" s="18"/>
    </row>
    <row r="57">
      <c r="A57" s="172" t="s">
        <v>954</v>
      </c>
      <c r="B57" s="3" t="s">
        <v>892</v>
      </c>
      <c r="C57" s="6">
        <v>1.0</v>
      </c>
      <c r="D57" s="10">
        <f t="shared" si="15"/>
        <v>120</v>
      </c>
      <c r="E57" s="6">
        <v>32.0</v>
      </c>
      <c r="F57" s="6">
        <v>1.0E9</v>
      </c>
      <c r="G57" s="6">
        <f>G53*3</f>
        <v>60</v>
      </c>
      <c r="H57" s="6">
        <v>1.0</v>
      </c>
      <c r="I57" s="10">
        <f t="shared" si="16"/>
        <v>2</v>
      </c>
      <c r="J57" s="10">
        <f>1.3*E57*E57/E57</f>
        <v>41.6</v>
      </c>
      <c r="K57" s="10">
        <f>0.7*E57*E57/E57</f>
        <v>22.4</v>
      </c>
      <c r="L57" s="10">
        <f>1.6*E57*E57/E57</f>
        <v>51.2</v>
      </c>
      <c r="M57" s="6">
        <v>2.52</v>
      </c>
      <c r="N57" s="6">
        <v>16.0</v>
      </c>
      <c r="O57" s="6">
        <v>4.0</v>
      </c>
      <c r="P57" s="6">
        <v>64.0</v>
      </c>
      <c r="Q57" s="6">
        <v>131072.0</v>
      </c>
      <c r="R57" s="6">
        <v>1024.0</v>
      </c>
      <c r="S57" s="10">
        <v>27.72</v>
      </c>
      <c r="T57" s="10">
        <v>28.98</v>
      </c>
      <c r="Z57" s="18">
        <f t="shared" ref="Z57:Z58" si="17">D57*E57*J57*S57+D57*E57*K57*T57+D57*E57*L57*M57</f>
        <v>7416299.52</v>
      </c>
      <c r="AA57" s="18"/>
    </row>
    <row r="58">
      <c r="B58" s="6" t="s">
        <v>893</v>
      </c>
      <c r="C58" s="6">
        <v>1.0</v>
      </c>
      <c r="D58" s="10">
        <f t="shared" si="15"/>
        <v>120</v>
      </c>
      <c r="E58" s="6">
        <v>32.0</v>
      </c>
      <c r="F58" s="6">
        <v>1.0E9</v>
      </c>
      <c r="G58" s="6">
        <f t="shared" ref="G58:G59" si="18">G53*3</f>
        <v>60</v>
      </c>
      <c r="H58" s="6">
        <v>1.0</v>
      </c>
      <c r="I58" s="10">
        <f t="shared" si="16"/>
        <v>2</v>
      </c>
      <c r="J58" s="6">
        <v>1.0</v>
      </c>
      <c r="K58" s="6">
        <v>1.0</v>
      </c>
      <c r="L58" s="6">
        <v>4.0</v>
      </c>
      <c r="M58" s="6">
        <v>2.52</v>
      </c>
      <c r="N58" s="6">
        <v>16.0</v>
      </c>
      <c r="O58" s="6">
        <v>4.0</v>
      </c>
      <c r="P58" s="6">
        <v>64.0</v>
      </c>
      <c r="Q58" s="6">
        <v>131072.0</v>
      </c>
      <c r="R58" s="6">
        <v>1024.0</v>
      </c>
      <c r="S58" s="10">
        <v>27.72</v>
      </c>
      <c r="T58" s="10">
        <v>28.98</v>
      </c>
      <c r="Z58" s="18">
        <f t="shared" si="17"/>
        <v>256435.2</v>
      </c>
      <c r="AA58" s="18"/>
    </row>
    <row r="59">
      <c r="B59" s="6" t="s">
        <v>955</v>
      </c>
      <c r="C59" s="6">
        <v>1.0</v>
      </c>
      <c r="D59" s="10">
        <f t="shared" si="15"/>
        <v>120</v>
      </c>
      <c r="E59" s="6">
        <v>32.0</v>
      </c>
      <c r="F59" s="6">
        <v>1.0E9</v>
      </c>
      <c r="G59" s="6">
        <f t="shared" si="18"/>
        <v>60</v>
      </c>
      <c r="H59" s="6">
        <v>1.0</v>
      </c>
      <c r="I59" s="10">
        <f t="shared" si="16"/>
        <v>2</v>
      </c>
      <c r="J59" s="6">
        <f>1.3*E59*E59/E59</f>
        <v>41.6</v>
      </c>
      <c r="K59" s="6">
        <f>0.7*E59*E59/E59</f>
        <v>22.4</v>
      </c>
      <c r="L59" s="6">
        <f>1.6*E59*E59/E59</f>
        <v>51.2</v>
      </c>
      <c r="M59" s="6">
        <v>2.52</v>
      </c>
      <c r="N59" s="6">
        <v>16.0</v>
      </c>
      <c r="O59" s="6">
        <v>4.0</v>
      </c>
      <c r="P59" s="6">
        <v>64.0</v>
      </c>
      <c r="Q59" s="6">
        <v>131072.0</v>
      </c>
      <c r="R59" s="6">
        <v>1024.0</v>
      </c>
      <c r="S59" s="10">
        <v>27.72</v>
      </c>
      <c r="T59" s="10">
        <v>28.98</v>
      </c>
      <c r="Z59" s="18">
        <f>D59*E59*J59*S59+D59*E59*K59*T59+L59*M59*D59*E59</f>
        <v>7416299.52</v>
      </c>
      <c r="AA59" s="18"/>
    </row>
    <row r="60">
      <c r="A60" s="172"/>
      <c r="B60" s="3"/>
      <c r="C60" s="6"/>
      <c r="E60" s="6"/>
      <c r="F60" s="6"/>
      <c r="G60" s="6"/>
      <c r="H60" s="6"/>
      <c r="J60" s="6"/>
      <c r="K60" s="6"/>
      <c r="L60" s="6"/>
      <c r="M60" s="6"/>
      <c r="N60" s="6"/>
      <c r="O60" s="6"/>
      <c r="P60" s="6"/>
      <c r="Q60" s="6"/>
      <c r="R60" s="6"/>
      <c r="Y60" s="6" t="s">
        <v>204</v>
      </c>
      <c r="Z60" s="18">
        <f>sum(Z53:Z59)</f>
        <v>25335152.64</v>
      </c>
      <c r="AA60" s="18"/>
    </row>
    <row r="61">
      <c r="A61" s="173"/>
    </row>
    <row r="62">
      <c r="A62" s="164" t="s">
        <v>956</v>
      </c>
      <c r="B62" s="165" t="s">
        <v>957</v>
      </c>
      <c r="C62" s="23" t="s">
        <v>958</v>
      </c>
      <c r="D62" s="24" t="s">
        <v>959</v>
      </c>
      <c r="E62" s="26" t="s">
        <v>960</v>
      </c>
      <c r="F62" s="166" t="s">
        <v>961</v>
      </c>
      <c r="G62" s="27" t="s">
        <v>962</v>
      </c>
      <c r="H62" s="26" t="s">
        <v>963</v>
      </c>
      <c r="I62" s="26" t="s">
        <v>964</v>
      </c>
      <c r="J62" s="167"/>
      <c r="K62" s="167"/>
      <c r="L62" s="168"/>
      <c r="M62" s="168"/>
      <c r="N62" s="168"/>
      <c r="O62" s="168"/>
      <c r="P62" s="168"/>
      <c r="Q62" s="168"/>
      <c r="R62" s="168"/>
      <c r="S62" s="169"/>
      <c r="T62" s="169"/>
      <c r="U62" s="169"/>
      <c r="V62" s="30" t="s">
        <v>965</v>
      </c>
      <c r="W62" s="170"/>
      <c r="X62" s="170"/>
      <c r="Y62" s="170"/>
      <c r="Z62" s="170"/>
      <c r="AA62" s="171"/>
      <c r="AB62" s="170"/>
      <c r="AC62" s="170"/>
      <c r="AD62" s="170"/>
      <c r="AI62" s="170"/>
      <c r="AJ62" s="170"/>
      <c r="AK62" s="170"/>
      <c r="AL62" s="170"/>
      <c r="AM62" s="170"/>
      <c r="AN62" s="170"/>
    </row>
    <row r="63">
      <c r="B63" s="20"/>
      <c r="C63" s="32" t="s">
        <v>106</v>
      </c>
      <c r="D63" s="33"/>
      <c r="E63" s="33"/>
      <c r="F63" s="33"/>
      <c r="G63" s="33"/>
      <c r="H63" s="33"/>
      <c r="I63" s="34"/>
      <c r="J63" s="35"/>
      <c r="K63" s="34"/>
      <c r="L63" s="116"/>
      <c r="M63" s="116"/>
      <c r="N63" s="37" t="s">
        <v>107</v>
      </c>
      <c r="O63" s="33"/>
      <c r="P63" s="33"/>
      <c r="Q63" s="34"/>
      <c r="R63" s="116"/>
      <c r="S63" s="156" t="s">
        <v>723</v>
      </c>
      <c r="T63" s="33"/>
      <c r="U63" s="34"/>
      <c r="V63" s="39" t="s">
        <v>109</v>
      </c>
      <c r="W63" s="33"/>
      <c r="X63" s="34"/>
      <c r="Z63" s="3" t="s">
        <v>130</v>
      </c>
      <c r="AA63" s="46" t="s">
        <v>131</v>
      </c>
    </row>
    <row r="64">
      <c r="A64" s="47"/>
      <c r="B64" s="40"/>
      <c r="C64" s="41" t="s">
        <v>110</v>
      </c>
      <c r="D64" s="42" t="s">
        <v>111</v>
      </c>
      <c r="E64" s="43" t="s">
        <v>112</v>
      </c>
      <c r="F64" s="44" t="s">
        <v>113</v>
      </c>
      <c r="G64" s="41" t="s">
        <v>885</v>
      </c>
      <c r="H64" s="41" t="s">
        <v>115</v>
      </c>
      <c r="I64" s="45" t="s">
        <v>116</v>
      </c>
      <c r="J64" s="43" t="s">
        <v>117</v>
      </c>
      <c r="K64" s="43" t="s">
        <v>118</v>
      </c>
      <c r="L64" s="43" t="s">
        <v>119</v>
      </c>
      <c r="M64" s="43" t="s">
        <v>560</v>
      </c>
      <c r="N64" s="44" t="s">
        <v>121</v>
      </c>
      <c r="O64" s="44" t="s">
        <v>122</v>
      </c>
      <c r="P64" s="44" t="s">
        <v>123</v>
      </c>
      <c r="Q64" s="44" t="s">
        <v>124</v>
      </c>
      <c r="R64" s="43" t="s">
        <v>280</v>
      </c>
      <c r="S64" s="43" t="s">
        <v>648</v>
      </c>
      <c r="T64" s="43" t="s">
        <v>649</v>
      </c>
      <c r="U64" s="6" t="s">
        <v>196</v>
      </c>
      <c r="V64" s="43" t="s">
        <v>127</v>
      </c>
      <c r="W64" s="43" t="s">
        <v>128</v>
      </c>
      <c r="X64" s="43" t="s">
        <v>129</v>
      </c>
      <c r="Y64" s="47"/>
      <c r="Z64" s="47"/>
      <c r="AA64" s="69"/>
      <c r="AB64" s="47"/>
      <c r="AD64" s="47"/>
      <c r="AI64" s="47"/>
      <c r="AJ64" s="47"/>
      <c r="AK64" s="47"/>
      <c r="AL64" s="47"/>
      <c r="AM64" s="47"/>
      <c r="AN64" s="47"/>
    </row>
    <row r="65">
      <c r="A65" s="172" t="s">
        <v>966</v>
      </c>
      <c r="B65" s="3" t="s">
        <v>906</v>
      </c>
      <c r="C65" s="6">
        <v>1.0</v>
      </c>
      <c r="D65" s="10">
        <f t="shared" ref="D65:D68" si="19">(G65/H65)*C65*I65</f>
        <v>40</v>
      </c>
      <c r="E65" s="6">
        <v>1.0</v>
      </c>
      <c r="F65" s="6">
        <v>1.0E9</v>
      </c>
      <c r="G65" s="6">
        <v>20.0</v>
      </c>
      <c r="H65" s="6">
        <v>1.0</v>
      </c>
      <c r="I65" s="10">
        <f t="shared" ref="I65:I68" si="20">ROUNDUP(F65/(N65*O65*P65*Q65))</f>
        <v>2</v>
      </c>
      <c r="J65" s="6">
        <v>1.0</v>
      </c>
      <c r="K65" s="6">
        <v>1.0</v>
      </c>
      <c r="L65" s="6"/>
      <c r="M65" s="6"/>
      <c r="N65" s="6">
        <v>16.0</v>
      </c>
      <c r="O65" s="6">
        <v>4.0</v>
      </c>
      <c r="P65" s="6">
        <v>64.0</v>
      </c>
      <c r="Q65" s="6">
        <v>131072.0</v>
      </c>
      <c r="R65" s="6">
        <v>1024.0</v>
      </c>
      <c r="S65" s="10">
        <v>27.72</v>
      </c>
      <c r="T65" s="10">
        <v>28.98</v>
      </c>
      <c r="U65" s="6" t="s">
        <v>564</v>
      </c>
      <c r="Z65" s="18">
        <f>D65*E65*J65*S65+D65*E65*K65*T65</f>
        <v>2268</v>
      </c>
      <c r="AA65" s="70">
        <f>53033276589000/24395.0136</f>
        <v>2173939210</v>
      </c>
    </row>
    <row r="66">
      <c r="B66" s="3" t="s">
        <v>907</v>
      </c>
      <c r="C66" s="6">
        <v>1.0</v>
      </c>
      <c r="D66" s="10">
        <f t="shared" si="19"/>
        <v>40</v>
      </c>
      <c r="E66" s="6">
        <v>32.0</v>
      </c>
      <c r="F66" s="6">
        <v>1.0E9</v>
      </c>
      <c r="G66" s="6">
        <v>20.0</v>
      </c>
      <c r="H66" s="6">
        <v>1.0</v>
      </c>
      <c r="I66" s="10">
        <f t="shared" si="20"/>
        <v>2</v>
      </c>
      <c r="J66" s="6">
        <v>2.0</v>
      </c>
      <c r="K66" s="6">
        <v>1.0</v>
      </c>
      <c r="L66" s="6">
        <v>3.0</v>
      </c>
      <c r="M66" s="6">
        <v>2.52</v>
      </c>
      <c r="N66" s="6">
        <v>16.0</v>
      </c>
      <c r="O66" s="6">
        <v>4.0</v>
      </c>
      <c r="P66" s="6">
        <v>64.0</v>
      </c>
      <c r="Q66" s="6">
        <v>131072.0</v>
      </c>
      <c r="R66" s="6">
        <v>1024.0</v>
      </c>
      <c r="S66" s="10">
        <v>27.72</v>
      </c>
      <c r="T66" s="10">
        <v>28.98</v>
      </c>
      <c r="U66" s="6" t="s">
        <v>564</v>
      </c>
      <c r="Z66" s="18">
        <f>D66*E66*J66*S66+D66*E66*K66*T66+D66*E66*L66*M66</f>
        <v>117734.4</v>
      </c>
      <c r="AA66" s="18"/>
    </row>
    <row r="67">
      <c r="A67" s="172" t="s">
        <v>967</v>
      </c>
      <c r="B67" s="174" t="s">
        <v>909</v>
      </c>
      <c r="C67" s="6">
        <v>1.0</v>
      </c>
      <c r="D67" s="10">
        <f t="shared" si="19"/>
        <v>120</v>
      </c>
      <c r="E67" s="6">
        <v>32.0</v>
      </c>
      <c r="F67" s="6">
        <v>1.0E9</v>
      </c>
      <c r="G67" s="10">
        <f>G66*3</f>
        <v>60</v>
      </c>
      <c r="H67" s="6">
        <v>1.0</v>
      </c>
      <c r="I67" s="10">
        <f t="shared" si="20"/>
        <v>2</v>
      </c>
      <c r="J67" s="6" t="s">
        <v>564</v>
      </c>
      <c r="K67" s="6" t="s">
        <v>564</v>
      </c>
      <c r="L67" s="6"/>
      <c r="M67" s="6"/>
      <c r="N67" s="6">
        <v>16.0</v>
      </c>
      <c r="O67" s="6">
        <v>4.0</v>
      </c>
      <c r="P67" s="6">
        <v>64.0</v>
      </c>
      <c r="Q67" s="6">
        <v>131072.0</v>
      </c>
      <c r="R67" s="6">
        <v>1024.0</v>
      </c>
      <c r="S67" s="6" t="s">
        <v>564</v>
      </c>
      <c r="T67" s="6" t="s">
        <v>564</v>
      </c>
      <c r="U67" s="6" t="s">
        <v>564</v>
      </c>
      <c r="V67" s="6">
        <v>10.0</v>
      </c>
      <c r="W67" s="10">
        <f>Q67</f>
        <v>131072</v>
      </c>
      <c r="X67" s="6">
        <v>3200.0</v>
      </c>
      <c r="Z67" s="18">
        <f>D67*V67*MIN(W67,F67)/(X67*10^6)*10^9</f>
        <v>49152000</v>
      </c>
      <c r="AA67" s="18"/>
    </row>
    <row r="68">
      <c r="B68" s="174" t="s">
        <v>910</v>
      </c>
      <c r="C68" s="6">
        <v>1.0</v>
      </c>
      <c r="D68" s="10">
        <f t="shared" si="19"/>
        <v>120</v>
      </c>
      <c r="E68" s="6">
        <v>1.0</v>
      </c>
      <c r="F68" s="6">
        <v>1.0E9</v>
      </c>
      <c r="G68" s="10">
        <f>G66*3</f>
        <v>60</v>
      </c>
      <c r="H68" s="6">
        <v>1.0</v>
      </c>
      <c r="I68" s="10">
        <f t="shared" si="20"/>
        <v>2</v>
      </c>
      <c r="J68" s="6" t="s">
        <v>564</v>
      </c>
      <c r="K68" s="6" t="s">
        <v>564</v>
      </c>
      <c r="L68" s="6"/>
      <c r="M68" s="6"/>
      <c r="N68" s="6">
        <v>16.0</v>
      </c>
      <c r="O68" s="6">
        <v>4.0</v>
      </c>
      <c r="P68" s="6">
        <v>64.0</v>
      </c>
      <c r="Q68" s="6">
        <v>131072.0</v>
      </c>
      <c r="R68" s="6">
        <v>1024.0</v>
      </c>
      <c r="S68" s="6" t="s">
        <v>564</v>
      </c>
      <c r="T68" s="6" t="s">
        <v>564</v>
      </c>
      <c r="U68" s="6" t="s">
        <v>564</v>
      </c>
      <c r="Z68" s="18">
        <f>D68* 1.01 * 0.63 * MIN(F68/64,Q68/64)</f>
        <v>156377.088</v>
      </c>
      <c r="AA68" s="18"/>
    </row>
    <row r="69">
      <c r="B69" s="20"/>
      <c r="Y69" s="6" t="s">
        <v>204</v>
      </c>
      <c r="Z69" s="50">
        <f>sum(Z65:Z68)</f>
        <v>49428379.49</v>
      </c>
      <c r="AA69" s="18"/>
    </row>
    <row r="70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 t="s">
        <v>911</v>
      </c>
      <c r="Z70" s="176">
        <f>Z69+Z60</f>
        <v>74763532.13</v>
      </c>
      <c r="AA70" s="175">
        <f>AA65/Z70</f>
        <v>29.07753483</v>
      </c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</row>
    <row r="71">
      <c r="A71" s="19" t="s">
        <v>226</v>
      </c>
    </row>
    <row r="72">
      <c r="A72" s="164" t="s">
        <v>968</v>
      </c>
      <c r="B72" s="165" t="s">
        <v>969</v>
      </c>
      <c r="C72" s="23" t="s">
        <v>970</v>
      </c>
      <c r="D72" s="24" t="s">
        <v>971</v>
      </c>
      <c r="E72" s="26" t="s">
        <v>972</v>
      </c>
      <c r="F72" s="166" t="s">
        <v>973</v>
      </c>
      <c r="G72" s="27" t="s">
        <v>974</v>
      </c>
      <c r="H72" s="26" t="s">
        <v>975</v>
      </c>
      <c r="I72" s="26" t="s">
        <v>976</v>
      </c>
      <c r="J72" s="167"/>
      <c r="K72" s="167"/>
      <c r="L72" s="168"/>
      <c r="M72" s="168"/>
      <c r="N72" s="168"/>
      <c r="O72" s="168"/>
      <c r="P72" s="168"/>
      <c r="Q72" s="168"/>
      <c r="R72" s="168"/>
      <c r="S72" s="169"/>
      <c r="T72" s="169"/>
      <c r="U72" s="169"/>
      <c r="V72" s="30" t="s">
        <v>977</v>
      </c>
      <c r="W72" s="170"/>
      <c r="X72" s="170"/>
      <c r="Y72" s="170"/>
      <c r="Z72" s="170"/>
      <c r="AA72" s="171"/>
      <c r="AB72" s="170"/>
      <c r="AC72" s="170"/>
      <c r="AD72" s="170"/>
      <c r="AI72" s="170"/>
      <c r="AJ72" s="170"/>
      <c r="AK72" s="170"/>
      <c r="AL72" s="170"/>
      <c r="AM72" s="170"/>
      <c r="AN72" s="170"/>
    </row>
    <row r="73">
      <c r="B73" s="20"/>
      <c r="C73" s="32" t="s">
        <v>106</v>
      </c>
      <c r="D73" s="33"/>
      <c r="E73" s="33"/>
      <c r="F73" s="33"/>
      <c r="G73" s="33"/>
      <c r="H73" s="33"/>
      <c r="I73" s="34"/>
      <c r="J73" s="35"/>
      <c r="K73" s="34"/>
      <c r="L73" s="116"/>
      <c r="M73" s="116"/>
      <c r="N73" s="37" t="s">
        <v>107</v>
      </c>
      <c r="O73" s="33"/>
      <c r="P73" s="33"/>
      <c r="Q73" s="34"/>
      <c r="R73" s="116"/>
      <c r="S73" s="156" t="s">
        <v>723</v>
      </c>
      <c r="T73" s="33"/>
      <c r="U73" s="34"/>
      <c r="V73" s="39" t="s">
        <v>109</v>
      </c>
      <c r="W73" s="33"/>
      <c r="X73" s="34"/>
      <c r="Z73" s="6" t="s">
        <v>724</v>
      </c>
      <c r="AA73" s="18"/>
    </row>
    <row r="74">
      <c r="A74" s="47"/>
      <c r="B74" s="40"/>
      <c r="C74" s="41" t="s">
        <v>110</v>
      </c>
      <c r="D74" s="42" t="s">
        <v>111</v>
      </c>
      <c r="E74" s="43" t="s">
        <v>112</v>
      </c>
      <c r="F74" s="44" t="s">
        <v>113</v>
      </c>
      <c r="G74" s="41" t="s">
        <v>885</v>
      </c>
      <c r="H74" s="41" t="s">
        <v>115</v>
      </c>
      <c r="I74" s="45" t="s">
        <v>116</v>
      </c>
      <c r="J74" s="43" t="s">
        <v>117</v>
      </c>
      <c r="K74" s="43" t="s">
        <v>118</v>
      </c>
      <c r="L74" s="43" t="s">
        <v>119</v>
      </c>
      <c r="M74" s="43" t="s">
        <v>560</v>
      </c>
      <c r="N74" s="44" t="s">
        <v>121</v>
      </c>
      <c r="O74" s="44" t="s">
        <v>122</v>
      </c>
      <c r="P74" s="44" t="s">
        <v>123</v>
      </c>
      <c r="Q74" s="44" t="s">
        <v>124</v>
      </c>
      <c r="R74" s="43" t="s">
        <v>280</v>
      </c>
      <c r="S74" s="43" t="s">
        <v>648</v>
      </c>
      <c r="T74" s="43" t="s">
        <v>649</v>
      </c>
      <c r="U74" s="6" t="s">
        <v>196</v>
      </c>
      <c r="V74" s="43" t="s">
        <v>127</v>
      </c>
      <c r="W74" s="43" t="s">
        <v>128</v>
      </c>
      <c r="X74" s="43" t="s">
        <v>129</v>
      </c>
      <c r="Y74" s="47"/>
      <c r="Z74" s="69"/>
      <c r="AA74" s="69"/>
      <c r="AB74" s="47"/>
      <c r="AC74" s="47"/>
      <c r="AD74" s="47"/>
      <c r="AI74" s="47"/>
      <c r="AJ74" s="47"/>
      <c r="AK74" s="47"/>
      <c r="AL74" s="47"/>
      <c r="AM74" s="47"/>
      <c r="AN74" s="47"/>
    </row>
    <row r="75">
      <c r="A75" s="172" t="s">
        <v>978</v>
      </c>
      <c r="B75" s="3" t="s">
        <v>887</v>
      </c>
      <c r="C75" s="6">
        <v>1.0</v>
      </c>
      <c r="D75" s="10">
        <f t="shared" ref="D75:D81" si="21">(G75/H75)*C75*I75</f>
        <v>600</v>
      </c>
      <c r="E75" s="6">
        <v>96.0</v>
      </c>
      <c r="F75" s="6">
        <v>1.0E9</v>
      </c>
      <c r="G75" s="6">
        <v>20.0</v>
      </c>
      <c r="H75" s="6">
        <v>1.0</v>
      </c>
      <c r="I75" s="10">
        <f t="shared" ref="I75:I81" si="22">ROUNDUP(F75/(N75*O75*P75*Q75))</f>
        <v>30</v>
      </c>
      <c r="J75" s="6" t="s">
        <v>564</v>
      </c>
      <c r="K75" s="6" t="s">
        <v>564</v>
      </c>
      <c r="L75" s="6"/>
      <c r="M75" s="6"/>
      <c r="N75" s="6">
        <v>16.0</v>
      </c>
      <c r="O75" s="6">
        <v>8.0</v>
      </c>
      <c r="P75" s="6">
        <v>2.0</v>
      </c>
      <c r="Q75" s="6">
        <v>131072.0</v>
      </c>
      <c r="R75" s="6">
        <v>1024.0</v>
      </c>
      <c r="S75" s="6" t="s">
        <v>564</v>
      </c>
      <c r="T75" s="6" t="s">
        <v>564</v>
      </c>
      <c r="U75" s="10">
        <v>2.52</v>
      </c>
      <c r="Z75" s="18">
        <f>D75*E75*min(R75,F75/16)*U75</f>
        <v>148635648</v>
      </c>
      <c r="AA75" s="18"/>
    </row>
    <row r="76">
      <c r="B76" s="3" t="s">
        <v>888</v>
      </c>
      <c r="C76" s="6">
        <v>1.0</v>
      </c>
      <c r="D76" s="10">
        <f t="shared" si="21"/>
        <v>600</v>
      </c>
      <c r="E76" s="6">
        <v>32.0</v>
      </c>
      <c r="F76" s="6">
        <v>1.0E9</v>
      </c>
      <c r="G76" s="6">
        <v>20.0</v>
      </c>
      <c r="H76" s="6">
        <v>1.0</v>
      </c>
      <c r="I76" s="10">
        <f t="shared" si="22"/>
        <v>30</v>
      </c>
      <c r="J76" s="6">
        <v>1.0</v>
      </c>
      <c r="K76" s="6">
        <v>1.0</v>
      </c>
      <c r="L76" s="6"/>
      <c r="M76" s="6"/>
      <c r="N76" s="6">
        <v>16.0</v>
      </c>
      <c r="O76" s="6">
        <v>8.0</v>
      </c>
      <c r="P76" s="6">
        <v>2.0</v>
      </c>
      <c r="Q76" s="6">
        <v>131072.0</v>
      </c>
      <c r="R76" s="6">
        <v>1024.0</v>
      </c>
      <c r="S76" s="10">
        <v>27.72</v>
      </c>
      <c r="T76" s="10">
        <v>28.98</v>
      </c>
      <c r="U76" s="10">
        <v>2.52</v>
      </c>
      <c r="Z76" s="18">
        <f>D76*E76*J76*S76+D76*E76*K76*T76</f>
        <v>1088640</v>
      </c>
      <c r="AA76" s="18"/>
    </row>
    <row r="77">
      <c r="B77" s="3" t="s">
        <v>889</v>
      </c>
      <c r="C77" s="6">
        <v>1.0</v>
      </c>
      <c r="D77" s="10">
        <f t="shared" si="21"/>
        <v>600</v>
      </c>
      <c r="E77" s="6">
        <v>32.0</v>
      </c>
      <c r="F77" s="6">
        <v>1.0E9</v>
      </c>
      <c r="G77" s="6">
        <v>20.0</v>
      </c>
      <c r="H77" s="6">
        <v>1.0</v>
      </c>
      <c r="I77" s="10">
        <f t="shared" si="22"/>
        <v>30</v>
      </c>
      <c r="J77" s="10">
        <f>19*E77/E77</f>
        <v>19</v>
      </c>
      <c r="K77" s="10">
        <f>(11*E77+1)/E77</f>
        <v>11.03125</v>
      </c>
      <c r="L77" s="10">
        <f>(21*E77+1)/E77</f>
        <v>21.03125</v>
      </c>
      <c r="M77" s="6">
        <v>2.52</v>
      </c>
      <c r="N77" s="6">
        <v>16.0</v>
      </c>
      <c r="O77" s="6">
        <v>8.0</v>
      </c>
      <c r="P77" s="6">
        <v>2.0</v>
      </c>
      <c r="Q77" s="6">
        <v>131072.0</v>
      </c>
      <c r="R77" s="6">
        <v>1024.0</v>
      </c>
      <c r="S77" s="10">
        <v>27.72</v>
      </c>
      <c r="T77" s="10">
        <v>28.98</v>
      </c>
      <c r="Z77" s="18">
        <f>D77*E77*J77*S77+D77*E77*K77*T77+D77*E77*L77*M77</f>
        <v>17267796</v>
      </c>
      <c r="AA77" s="18"/>
    </row>
    <row r="78">
      <c r="B78" s="3" t="s">
        <v>890</v>
      </c>
      <c r="C78" s="6">
        <v>1.0</v>
      </c>
      <c r="D78" s="10">
        <f t="shared" si="21"/>
        <v>600</v>
      </c>
      <c r="E78" s="6">
        <v>32.0</v>
      </c>
      <c r="F78" s="6">
        <v>1.0E9</v>
      </c>
      <c r="G78" s="6">
        <v>20.0</v>
      </c>
      <c r="H78" s="6">
        <v>1.0</v>
      </c>
      <c r="I78" s="10">
        <f t="shared" si="22"/>
        <v>30</v>
      </c>
      <c r="J78" s="6">
        <v>1.0</v>
      </c>
      <c r="K78" s="6">
        <v>1.0</v>
      </c>
      <c r="L78" s="6"/>
      <c r="M78" s="6"/>
      <c r="N78" s="6">
        <v>16.0</v>
      </c>
      <c r="O78" s="6">
        <v>8.0</v>
      </c>
      <c r="P78" s="6">
        <v>2.0</v>
      </c>
      <c r="Q78" s="6">
        <v>131072.0</v>
      </c>
      <c r="R78" s="6">
        <v>1024.0</v>
      </c>
      <c r="S78" s="10">
        <v>27.72</v>
      </c>
      <c r="T78" s="10">
        <v>28.98</v>
      </c>
      <c r="Z78" s="18">
        <f>D78*E78*J78*S78+C78*D78*E78*K78*T78</f>
        <v>1088640</v>
      </c>
      <c r="AA78" s="18"/>
    </row>
    <row r="79">
      <c r="A79" s="172" t="s">
        <v>979</v>
      </c>
      <c r="B79" s="3" t="s">
        <v>892</v>
      </c>
      <c r="C79" s="6">
        <v>1.0</v>
      </c>
      <c r="D79" s="10">
        <f t="shared" si="21"/>
        <v>1800</v>
      </c>
      <c r="E79" s="6">
        <v>32.0</v>
      </c>
      <c r="F79" s="6">
        <v>1.0E9</v>
      </c>
      <c r="G79" s="6">
        <f>G75*3</f>
        <v>60</v>
      </c>
      <c r="H79" s="6">
        <v>1.0</v>
      </c>
      <c r="I79" s="10">
        <f t="shared" si="22"/>
        <v>30</v>
      </c>
      <c r="J79" s="10">
        <f>11*E79/E79</f>
        <v>11</v>
      </c>
      <c r="K79" s="10">
        <f>(6*E79+1)/E79</f>
        <v>6.03125</v>
      </c>
      <c r="L79" s="10">
        <f>(13*E79+1)/E79</f>
        <v>13.03125</v>
      </c>
      <c r="M79" s="6">
        <v>2.52</v>
      </c>
      <c r="N79" s="6">
        <v>16.0</v>
      </c>
      <c r="O79" s="6">
        <v>8.0</v>
      </c>
      <c r="P79" s="6">
        <v>2.0</v>
      </c>
      <c r="Q79" s="6">
        <v>131072.0</v>
      </c>
      <c r="R79" s="6">
        <v>1024.0</v>
      </c>
      <c r="S79" s="10">
        <v>27.72</v>
      </c>
      <c r="T79" s="10">
        <v>28.98</v>
      </c>
      <c r="Z79" s="18">
        <f t="shared" ref="Z79:Z81" si="23">D79*E79*J79*S79+D79*E79*K79*T79+D79*E79*L79*M79</f>
        <v>29522556</v>
      </c>
      <c r="AA79" s="18"/>
    </row>
    <row r="80">
      <c r="B80" s="3" t="s">
        <v>893</v>
      </c>
      <c r="C80" s="6">
        <v>1.0</v>
      </c>
      <c r="D80" s="10">
        <f t="shared" si="21"/>
        <v>1800</v>
      </c>
      <c r="E80" s="6">
        <v>32.0</v>
      </c>
      <c r="F80" s="6">
        <v>1.0E9</v>
      </c>
      <c r="G80" s="6">
        <f t="shared" ref="G80:G81" si="24">G75*3</f>
        <v>60</v>
      </c>
      <c r="H80" s="6">
        <v>1.0</v>
      </c>
      <c r="I80" s="10">
        <f t="shared" si="22"/>
        <v>30</v>
      </c>
      <c r="J80" s="6">
        <f>(10*E80+2)/E80</f>
        <v>10.0625</v>
      </c>
      <c r="K80" s="6">
        <f>(5*E80+2)/E80</f>
        <v>5.0625</v>
      </c>
      <c r="L80" s="10">
        <f>13*E80/E80</f>
        <v>13</v>
      </c>
      <c r="M80" s="6">
        <v>2.52</v>
      </c>
      <c r="N80" s="6">
        <v>16.0</v>
      </c>
      <c r="O80" s="6">
        <v>8.0</v>
      </c>
      <c r="P80" s="6">
        <v>2.0</v>
      </c>
      <c r="Q80" s="6">
        <v>131072.0</v>
      </c>
      <c r="R80" s="6">
        <v>1024.0</v>
      </c>
      <c r="S80" s="10">
        <v>27.72</v>
      </c>
      <c r="T80" s="10">
        <v>28.98</v>
      </c>
      <c r="Z80" s="18">
        <f t="shared" si="23"/>
        <v>26404056</v>
      </c>
      <c r="AA80" s="18"/>
    </row>
    <row r="81">
      <c r="B81" s="3" t="s">
        <v>894</v>
      </c>
      <c r="C81" s="6">
        <v>1.0</v>
      </c>
      <c r="D81" s="10">
        <f t="shared" si="21"/>
        <v>1800</v>
      </c>
      <c r="E81" s="6">
        <v>32.0</v>
      </c>
      <c r="F81" s="6">
        <v>1.0E9</v>
      </c>
      <c r="G81" s="6">
        <f t="shared" si="24"/>
        <v>60</v>
      </c>
      <c r="H81" s="6">
        <v>1.0</v>
      </c>
      <c r="I81" s="10">
        <f t="shared" si="22"/>
        <v>30</v>
      </c>
      <c r="J81" s="6">
        <v>11.0</v>
      </c>
      <c r="K81" s="6">
        <f>(6*E81+1)/E81</f>
        <v>6.03125</v>
      </c>
      <c r="L81" s="6">
        <f>(13*E81+1)/E81</f>
        <v>13.03125</v>
      </c>
      <c r="M81" s="6">
        <v>2.52</v>
      </c>
      <c r="N81" s="6">
        <v>16.0</v>
      </c>
      <c r="O81" s="6">
        <v>8.0</v>
      </c>
      <c r="P81" s="6">
        <v>2.0</v>
      </c>
      <c r="Q81" s="6">
        <v>131072.0</v>
      </c>
      <c r="R81" s="6">
        <v>1024.0</v>
      </c>
      <c r="S81" s="10">
        <v>27.72</v>
      </c>
      <c r="T81" s="10">
        <v>28.98</v>
      </c>
      <c r="Z81" s="18">
        <f t="shared" si="23"/>
        <v>29522556</v>
      </c>
      <c r="AA81" s="18"/>
    </row>
    <row r="82">
      <c r="A82" s="172"/>
      <c r="B82" s="3"/>
      <c r="C82" s="6"/>
      <c r="E82" s="6"/>
      <c r="F82" s="6"/>
      <c r="G82" s="6"/>
      <c r="H82" s="6"/>
      <c r="M82" s="6"/>
      <c r="N82" s="6"/>
      <c r="O82" s="6"/>
      <c r="P82" s="6"/>
      <c r="Q82" s="6"/>
      <c r="R82" s="6"/>
      <c r="Y82" s="6" t="s">
        <v>204</v>
      </c>
      <c r="Z82" s="18">
        <f>sum(Z75:Z81)</f>
        <v>253529892</v>
      </c>
      <c r="AA82" s="18"/>
    </row>
    <row r="83">
      <c r="A83" s="173"/>
    </row>
    <row r="84">
      <c r="A84" s="164" t="s">
        <v>980</v>
      </c>
      <c r="B84" s="165" t="s">
        <v>981</v>
      </c>
      <c r="C84" s="23" t="s">
        <v>982</v>
      </c>
      <c r="D84" s="24" t="s">
        <v>983</v>
      </c>
      <c r="E84" s="26" t="s">
        <v>984</v>
      </c>
      <c r="F84" s="166" t="s">
        <v>985</v>
      </c>
      <c r="G84" s="27" t="s">
        <v>986</v>
      </c>
      <c r="H84" s="26" t="s">
        <v>987</v>
      </c>
      <c r="I84" s="26" t="s">
        <v>988</v>
      </c>
      <c r="J84" s="167"/>
      <c r="K84" s="167"/>
      <c r="L84" s="168"/>
      <c r="M84" s="168"/>
      <c r="N84" s="168"/>
      <c r="O84" s="168"/>
      <c r="P84" s="168"/>
      <c r="Q84" s="168"/>
      <c r="R84" s="168"/>
      <c r="S84" s="169"/>
      <c r="T84" s="169"/>
      <c r="U84" s="169"/>
      <c r="V84" s="30" t="s">
        <v>989</v>
      </c>
      <c r="W84" s="170"/>
      <c r="X84" s="170"/>
      <c r="Y84" s="170"/>
      <c r="Z84" s="170"/>
      <c r="AA84" s="171"/>
      <c r="AB84" s="170"/>
      <c r="AC84" s="170"/>
      <c r="AD84" s="170"/>
      <c r="AI84" s="170"/>
      <c r="AJ84" s="170"/>
      <c r="AK84" s="170"/>
      <c r="AL84" s="170"/>
      <c r="AM84" s="170"/>
      <c r="AN84" s="170"/>
    </row>
    <row r="85">
      <c r="B85" s="20"/>
      <c r="C85" s="32" t="s">
        <v>106</v>
      </c>
      <c r="D85" s="33"/>
      <c r="E85" s="33"/>
      <c r="F85" s="33"/>
      <c r="G85" s="33"/>
      <c r="H85" s="33"/>
      <c r="I85" s="34"/>
      <c r="J85" s="35"/>
      <c r="K85" s="34"/>
      <c r="L85" s="116"/>
      <c r="M85" s="116"/>
      <c r="N85" s="37" t="s">
        <v>107</v>
      </c>
      <c r="O85" s="33"/>
      <c r="P85" s="33"/>
      <c r="Q85" s="34"/>
      <c r="R85" s="116"/>
      <c r="S85" s="156" t="s">
        <v>723</v>
      </c>
      <c r="T85" s="33"/>
      <c r="U85" s="34"/>
      <c r="V85" s="39" t="s">
        <v>109</v>
      </c>
      <c r="W85" s="33"/>
      <c r="X85" s="34"/>
      <c r="Z85" s="3" t="s">
        <v>130</v>
      </c>
      <c r="AA85" s="46" t="s">
        <v>131</v>
      </c>
    </row>
    <row r="86">
      <c r="A86" s="47"/>
      <c r="B86" s="40"/>
      <c r="C86" s="41" t="s">
        <v>110</v>
      </c>
      <c r="D86" s="42" t="s">
        <v>111</v>
      </c>
      <c r="E86" s="43" t="s">
        <v>112</v>
      </c>
      <c r="F86" s="44" t="s">
        <v>113</v>
      </c>
      <c r="G86" s="41" t="s">
        <v>885</v>
      </c>
      <c r="H86" s="41" t="s">
        <v>115</v>
      </c>
      <c r="I86" s="45" t="s">
        <v>116</v>
      </c>
      <c r="J86" s="43" t="s">
        <v>117</v>
      </c>
      <c r="K86" s="43" t="s">
        <v>118</v>
      </c>
      <c r="L86" s="43" t="s">
        <v>119</v>
      </c>
      <c r="M86" s="43" t="s">
        <v>560</v>
      </c>
      <c r="N86" s="44" t="s">
        <v>121</v>
      </c>
      <c r="O86" s="44" t="s">
        <v>122</v>
      </c>
      <c r="P86" s="44" t="s">
        <v>123</v>
      </c>
      <c r="Q86" s="44" t="s">
        <v>124</v>
      </c>
      <c r="R86" s="43" t="s">
        <v>280</v>
      </c>
      <c r="S86" s="43" t="s">
        <v>648</v>
      </c>
      <c r="T86" s="43" t="s">
        <v>649</v>
      </c>
      <c r="U86" s="6" t="s">
        <v>196</v>
      </c>
      <c r="V86" s="43" t="s">
        <v>127</v>
      </c>
      <c r="W86" s="43" t="s">
        <v>128</v>
      </c>
      <c r="X86" s="43" t="s">
        <v>129</v>
      </c>
      <c r="Y86" s="47"/>
      <c r="Z86" s="47"/>
      <c r="AA86" s="69"/>
      <c r="AB86" s="47"/>
      <c r="AD86" s="47"/>
      <c r="AI86" s="47"/>
      <c r="AJ86" s="47"/>
      <c r="AK86" s="47"/>
      <c r="AL86" s="47"/>
      <c r="AM86" s="47"/>
      <c r="AN86" s="47"/>
    </row>
    <row r="87">
      <c r="A87" s="172" t="s">
        <v>990</v>
      </c>
      <c r="B87" s="3" t="s">
        <v>906</v>
      </c>
      <c r="C87" s="6">
        <v>1.0</v>
      </c>
      <c r="D87" s="10">
        <f t="shared" ref="D87:D90" si="25">(G87/H87)*C87*I87</f>
        <v>600</v>
      </c>
      <c r="E87" s="6">
        <v>1.0</v>
      </c>
      <c r="F87" s="6">
        <v>1.0E9</v>
      </c>
      <c r="G87" s="6">
        <v>20.0</v>
      </c>
      <c r="H87" s="6">
        <v>1.0</v>
      </c>
      <c r="I87" s="10">
        <f t="shared" ref="I87:I90" si="26">ROUNDUP(F87/(N87*O87*P87*Q87))</f>
        <v>30</v>
      </c>
      <c r="J87" s="6">
        <v>1.0</v>
      </c>
      <c r="K87" s="6">
        <v>1.0</v>
      </c>
      <c r="L87" s="6"/>
      <c r="M87" s="6"/>
      <c r="N87" s="6">
        <v>16.0</v>
      </c>
      <c r="O87" s="6">
        <v>8.0</v>
      </c>
      <c r="P87" s="6">
        <v>2.0</v>
      </c>
      <c r="Q87" s="6">
        <v>131072.0</v>
      </c>
      <c r="R87" s="6">
        <v>1024.0</v>
      </c>
      <c r="S87" s="10">
        <v>27.72</v>
      </c>
      <c r="T87" s="10">
        <v>28.98</v>
      </c>
      <c r="U87" s="6" t="s">
        <v>564</v>
      </c>
      <c r="Z87" s="18">
        <f>D87*E87*J87*S87+D87*E87*K87*T87</f>
        <v>34020</v>
      </c>
      <c r="AA87" s="70">
        <f>53033276589000/24395.0136*1.363848974</f>
        <v>2964924761</v>
      </c>
    </row>
    <row r="88">
      <c r="B88" s="3" t="s">
        <v>907</v>
      </c>
      <c r="C88" s="6">
        <v>1.0</v>
      </c>
      <c r="D88" s="10">
        <f t="shared" si="25"/>
        <v>600</v>
      </c>
      <c r="E88" s="6">
        <v>32.0</v>
      </c>
      <c r="F88" s="6">
        <v>1.0E9</v>
      </c>
      <c r="G88" s="6">
        <v>20.0</v>
      </c>
      <c r="H88" s="6">
        <v>1.0</v>
      </c>
      <c r="I88" s="10">
        <f t="shared" si="26"/>
        <v>30</v>
      </c>
      <c r="J88" s="6">
        <v>4.0</v>
      </c>
      <c r="K88" s="6">
        <v>2.0</v>
      </c>
      <c r="L88" s="6">
        <v>6.0</v>
      </c>
      <c r="M88" s="6">
        <v>2.52</v>
      </c>
      <c r="N88" s="6">
        <v>16.0</v>
      </c>
      <c r="O88" s="6">
        <v>8.0</v>
      </c>
      <c r="P88" s="6">
        <v>2.0</v>
      </c>
      <c r="Q88" s="6">
        <v>131072.0</v>
      </c>
      <c r="R88" s="6">
        <v>1024.0</v>
      </c>
      <c r="S88" s="10">
        <v>27.72</v>
      </c>
      <c r="T88" s="10">
        <v>28.98</v>
      </c>
      <c r="U88" s="6" t="s">
        <v>564</v>
      </c>
      <c r="Z88" s="18">
        <f>D88*E88*J88*S88+D88*E88*K88*T88+D88*E88*L88*M88</f>
        <v>3532032</v>
      </c>
      <c r="AA88" s="18"/>
    </row>
    <row r="89">
      <c r="A89" s="172" t="s">
        <v>991</v>
      </c>
      <c r="B89" s="174" t="s">
        <v>909</v>
      </c>
      <c r="C89" s="6">
        <v>1.0</v>
      </c>
      <c r="D89" s="10">
        <f t="shared" si="25"/>
        <v>1800</v>
      </c>
      <c r="E89" s="6">
        <v>32.0</v>
      </c>
      <c r="F89" s="6">
        <v>1.0E9</v>
      </c>
      <c r="G89" s="10">
        <f>G88*3</f>
        <v>60</v>
      </c>
      <c r="H89" s="6">
        <v>1.0</v>
      </c>
      <c r="I89" s="10">
        <f t="shared" si="26"/>
        <v>30</v>
      </c>
      <c r="J89" s="6" t="s">
        <v>564</v>
      </c>
      <c r="K89" s="6" t="s">
        <v>564</v>
      </c>
      <c r="L89" s="6"/>
      <c r="M89" s="6"/>
      <c r="N89" s="6">
        <v>16.0</v>
      </c>
      <c r="O89" s="6">
        <v>8.0</v>
      </c>
      <c r="P89" s="6">
        <v>2.0</v>
      </c>
      <c r="Q89" s="6">
        <v>131072.0</v>
      </c>
      <c r="R89" s="6">
        <v>1024.0</v>
      </c>
      <c r="S89" s="6" t="s">
        <v>564</v>
      </c>
      <c r="T89" s="6" t="s">
        <v>564</v>
      </c>
      <c r="U89" s="6" t="s">
        <v>564</v>
      </c>
      <c r="V89" s="6">
        <v>10.0</v>
      </c>
      <c r="W89" s="10">
        <f>Q89</f>
        <v>131072</v>
      </c>
      <c r="X89" s="6">
        <v>3200.0</v>
      </c>
      <c r="Z89" s="18">
        <f>D89*V89*MIN(W89,F89)/(X89*10^6)*10^9</f>
        <v>737280000</v>
      </c>
      <c r="AA89" s="18"/>
    </row>
    <row r="90">
      <c r="B90" s="174" t="s">
        <v>910</v>
      </c>
      <c r="C90" s="6">
        <v>1.0</v>
      </c>
      <c r="D90" s="10">
        <f t="shared" si="25"/>
        <v>1800</v>
      </c>
      <c r="E90" s="6">
        <v>1.0</v>
      </c>
      <c r="F90" s="6">
        <v>1.0E9</v>
      </c>
      <c r="G90" s="10">
        <f>G88*3</f>
        <v>60</v>
      </c>
      <c r="H90" s="6">
        <v>1.0</v>
      </c>
      <c r="I90" s="10">
        <f t="shared" si="26"/>
        <v>30</v>
      </c>
      <c r="J90" s="6" t="s">
        <v>564</v>
      </c>
      <c r="K90" s="6" t="s">
        <v>564</v>
      </c>
      <c r="L90" s="6"/>
      <c r="M90" s="6"/>
      <c r="N90" s="6">
        <v>16.0</v>
      </c>
      <c r="O90" s="6">
        <v>8.0</v>
      </c>
      <c r="P90" s="6">
        <v>2.0</v>
      </c>
      <c r="Q90" s="6">
        <v>131072.0</v>
      </c>
      <c r="R90" s="6">
        <v>1024.0</v>
      </c>
      <c r="S90" s="6" t="s">
        <v>564</v>
      </c>
      <c r="T90" s="6" t="s">
        <v>564</v>
      </c>
      <c r="U90" s="6" t="s">
        <v>564</v>
      </c>
      <c r="Z90" s="18">
        <f>D90* 1.01 * 0.63 * MIN(F90/64,Q90/64)</f>
        <v>2345656.32</v>
      </c>
      <c r="AA90" s="18"/>
    </row>
    <row r="91">
      <c r="B91" s="20"/>
      <c r="Y91" s="6" t="s">
        <v>204</v>
      </c>
      <c r="Z91" s="50">
        <f>sum(Z87:Z90)</f>
        <v>743191708.3</v>
      </c>
      <c r="AA91" s="18"/>
    </row>
    <row r="92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 t="s">
        <v>911</v>
      </c>
      <c r="Z92" s="176">
        <f>Z91+Z82</f>
        <v>996721600.3</v>
      </c>
      <c r="AA92" s="175">
        <f>AA87/Z92</f>
        <v>2.974676941</v>
      </c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</row>
    <row r="93">
      <c r="A93" s="19" t="s">
        <v>237</v>
      </c>
    </row>
    <row r="94">
      <c r="A94" s="164" t="s">
        <v>992</v>
      </c>
      <c r="B94" s="165" t="s">
        <v>993</v>
      </c>
      <c r="C94" s="23" t="s">
        <v>994</v>
      </c>
      <c r="D94" s="24" t="s">
        <v>995</v>
      </c>
      <c r="E94" s="26" t="s">
        <v>996</v>
      </c>
      <c r="F94" s="166" t="s">
        <v>997</v>
      </c>
      <c r="G94" s="27" t="s">
        <v>998</v>
      </c>
      <c r="H94" s="26" t="s">
        <v>999</v>
      </c>
      <c r="I94" s="26" t="s">
        <v>1000</v>
      </c>
      <c r="J94" s="167"/>
      <c r="K94" s="167"/>
      <c r="L94" s="168"/>
      <c r="M94" s="168"/>
      <c r="N94" s="168"/>
      <c r="O94" s="168"/>
      <c r="P94" s="168"/>
      <c r="Q94" s="168"/>
      <c r="R94" s="168"/>
      <c r="S94" s="169"/>
      <c r="T94" s="169"/>
      <c r="U94" s="169"/>
      <c r="V94" s="30" t="s">
        <v>1001</v>
      </c>
      <c r="W94" s="170"/>
      <c r="X94" s="170"/>
      <c r="Y94" s="170"/>
      <c r="Z94" s="170"/>
      <c r="AA94" s="171"/>
      <c r="AB94" s="170"/>
      <c r="AC94" s="170"/>
      <c r="AD94" s="170"/>
      <c r="AI94" s="170"/>
      <c r="AJ94" s="170"/>
      <c r="AK94" s="170"/>
      <c r="AL94" s="170"/>
      <c r="AM94" s="170"/>
      <c r="AN94" s="170"/>
    </row>
    <row r="95">
      <c r="B95" s="20"/>
      <c r="C95" s="32" t="s">
        <v>106</v>
      </c>
      <c r="D95" s="33"/>
      <c r="E95" s="33"/>
      <c r="F95" s="33"/>
      <c r="G95" s="33"/>
      <c r="H95" s="33"/>
      <c r="I95" s="34"/>
      <c r="J95" s="35"/>
      <c r="K95" s="34"/>
      <c r="L95" s="116"/>
      <c r="M95" s="116"/>
      <c r="N95" s="37" t="s">
        <v>107</v>
      </c>
      <c r="O95" s="33"/>
      <c r="P95" s="33"/>
      <c r="Q95" s="34"/>
      <c r="R95" s="116"/>
      <c r="S95" s="156" t="s">
        <v>723</v>
      </c>
      <c r="T95" s="33"/>
      <c r="U95" s="34"/>
      <c r="V95" s="39" t="s">
        <v>109</v>
      </c>
      <c r="W95" s="33"/>
      <c r="X95" s="34"/>
      <c r="Z95" s="6" t="s">
        <v>724</v>
      </c>
      <c r="AA95" s="18"/>
    </row>
    <row r="96">
      <c r="A96" s="47"/>
      <c r="B96" s="40"/>
      <c r="C96" s="41" t="s">
        <v>110</v>
      </c>
      <c r="D96" s="42" t="s">
        <v>111</v>
      </c>
      <c r="E96" s="43" t="s">
        <v>112</v>
      </c>
      <c r="F96" s="44" t="s">
        <v>113</v>
      </c>
      <c r="G96" s="41" t="s">
        <v>885</v>
      </c>
      <c r="H96" s="41" t="s">
        <v>115</v>
      </c>
      <c r="I96" s="45" t="s">
        <v>116</v>
      </c>
      <c r="J96" s="43" t="s">
        <v>117</v>
      </c>
      <c r="K96" s="43" t="s">
        <v>118</v>
      </c>
      <c r="L96" s="43" t="s">
        <v>119</v>
      </c>
      <c r="M96" s="43" t="s">
        <v>560</v>
      </c>
      <c r="N96" s="44" t="s">
        <v>121</v>
      </c>
      <c r="O96" s="44" t="s">
        <v>122</v>
      </c>
      <c r="P96" s="44" t="s">
        <v>123</v>
      </c>
      <c r="Q96" s="44" t="s">
        <v>124</v>
      </c>
      <c r="R96" s="43" t="s">
        <v>280</v>
      </c>
      <c r="S96" s="43" t="s">
        <v>648</v>
      </c>
      <c r="T96" s="43" t="s">
        <v>649</v>
      </c>
      <c r="U96" s="6" t="s">
        <v>196</v>
      </c>
      <c r="V96" s="43" t="s">
        <v>127</v>
      </c>
      <c r="W96" s="43" t="s">
        <v>128</v>
      </c>
      <c r="X96" s="43" t="s">
        <v>129</v>
      </c>
      <c r="Y96" s="47"/>
      <c r="Z96" s="69"/>
      <c r="AA96" s="69"/>
      <c r="AB96" s="47"/>
      <c r="AC96" s="47"/>
      <c r="AD96" s="47"/>
      <c r="AI96" s="47"/>
      <c r="AJ96" s="47"/>
      <c r="AK96" s="47"/>
      <c r="AL96" s="47"/>
      <c r="AM96" s="47"/>
      <c r="AN96" s="47"/>
    </row>
    <row r="97">
      <c r="A97" s="172" t="s">
        <v>1002</v>
      </c>
      <c r="B97" s="3" t="s">
        <v>887</v>
      </c>
      <c r="C97" s="6">
        <v>1.0</v>
      </c>
      <c r="D97" s="10">
        <f t="shared" ref="D97:D103" si="27">(G97/H97)*C97*I97</f>
        <v>40</v>
      </c>
      <c r="E97" s="6">
        <v>96.0</v>
      </c>
      <c r="F97" s="6">
        <v>1.0E9</v>
      </c>
      <c r="G97" s="6">
        <v>20.0</v>
      </c>
      <c r="H97" s="6">
        <v>1.0</v>
      </c>
      <c r="I97" s="10">
        <f t="shared" ref="I97:I103" si="28">ROUNDUP(F97/(N97*O97*P97*Q97))</f>
        <v>2</v>
      </c>
      <c r="J97" s="6" t="s">
        <v>564</v>
      </c>
      <c r="K97" s="6" t="s">
        <v>564</v>
      </c>
      <c r="L97" s="6"/>
      <c r="M97" s="6"/>
      <c r="N97" s="6">
        <v>16.0</v>
      </c>
      <c r="O97" s="6">
        <v>8.0</v>
      </c>
      <c r="P97" s="6">
        <v>32.0</v>
      </c>
      <c r="Q97" s="6">
        <v>131072.0</v>
      </c>
      <c r="R97" s="6">
        <v>1024.0</v>
      </c>
      <c r="S97" s="6" t="s">
        <v>564</v>
      </c>
      <c r="T97" s="6" t="s">
        <v>564</v>
      </c>
      <c r="U97" s="10">
        <v>2.52</v>
      </c>
      <c r="Z97" s="18">
        <f>D97*E97*min(R97,F97/16)*U97</f>
        <v>9909043.2</v>
      </c>
      <c r="AA97" s="18"/>
    </row>
    <row r="98">
      <c r="B98" s="3" t="s">
        <v>888</v>
      </c>
      <c r="C98" s="6">
        <v>1.0</v>
      </c>
      <c r="D98" s="10">
        <f t="shared" si="27"/>
        <v>40</v>
      </c>
      <c r="E98" s="6">
        <v>32.0</v>
      </c>
      <c r="F98" s="6">
        <v>1.0E9</v>
      </c>
      <c r="G98" s="6">
        <v>20.0</v>
      </c>
      <c r="H98" s="6">
        <v>1.0</v>
      </c>
      <c r="I98" s="10">
        <f t="shared" si="28"/>
        <v>2</v>
      </c>
      <c r="J98" s="6">
        <v>1.0</v>
      </c>
      <c r="K98" s="6">
        <v>1.0</v>
      </c>
      <c r="L98" s="6"/>
      <c r="M98" s="6"/>
      <c r="N98" s="6">
        <v>16.0</v>
      </c>
      <c r="O98" s="6">
        <v>8.0</v>
      </c>
      <c r="P98" s="6">
        <v>32.0</v>
      </c>
      <c r="Q98" s="6">
        <v>131072.0</v>
      </c>
      <c r="R98" s="6">
        <v>1024.0</v>
      </c>
      <c r="S98" s="10">
        <v>27.72</v>
      </c>
      <c r="T98" s="10">
        <v>28.98</v>
      </c>
      <c r="U98" s="10">
        <v>2.52</v>
      </c>
      <c r="Z98" s="18">
        <f>D98*E98*J98*S98+D98*E98*K98*T98</f>
        <v>72576</v>
      </c>
      <c r="AA98" s="18"/>
    </row>
    <row r="99">
      <c r="B99" s="3" t="s">
        <v>889</v>
      </c>
      <c r="C99" s="6">
        <v>1.0</v>
      </c>
      <c r="D99" s="10">
        <f t="shared" si="27"/>
        <v>40</v>
      </c>
      <c r="E99" s="6">
        <v>32.0</v>
      </c>
      <c r="F99" s="6">
        <v>1.0E9</v>
      </c>
      <c r="G99" s="6">
        <v>20.0</v>
      </c>
      <c r="H99" s="6">
        <v>1.0</v>
      </c>
      <c r="I99" s="10">
        <f t="shared" si="28"/>
        <v>2</v>
      </c>
      <c r="J99" s="10">
        <f>(9*E99+3)/E99</f>
        <v>9.09375</v>
      </c>
      <c r="K99" s="10">
        <f>(5*E99+3)/E99</f>
        <v>5.09375</v>
      </c>
      <c r="L99" s="10">
        <f>(20*E99+14)/E99</f>
        <v>20.4375</v>
      </c>
      <c r="M99" s="6">
        <v>2.52</v>
      </c>
      <c r="N99" s="6">
        <v>16.0</v>
      </c>
      <c r="O99" s="6">
        <v>8.0</v>
      </c>
      <c r="P99" s="6">
        <v>32.0</v>
      </c>
      <c r="Q99" s="6">
        <v>131072.0</v>
      </c>
      <c r="R99" s="6">
        <v>1024.0</v>
      </c>
      <c r="S99" s="10">
        <v>27.72</v>
      </c>
      <c r="T99" s="10">
        <v>28.98</v>
      </c>
      <c r="Z99" s="18">
        <f>D99*E99*J99*S99+D99*E99*K99*T99+D99*E99*L99*M99</f>
        <v>577533.6</v>
      </c>
      <c r="AA99" s="18"/>
    </row>
    <row r="100">
      <c r="B100" s="3" t="s">
        <v>890</v>
      </c>
      <c r="C100" s="6">
        <v>1.0</v>
      </c>
      <c r="D100" s="10">
        <f t="shared" si="27"/>
        <v>40</v>
      </c>
      <c r="E100" s="6">
        <v>32.0</v>
      </c>
      <c r="F100" s="6">
        <v>1.0E9</v>
      </c>
      <c r="G100" s="6">
        <v>20.0</v>
      </c>
      <c r="H100" s="6">
        <v>1.0</v>
      </c>
      <c r="I100" s="10">
        <f t="shared" si="28"/>
        <v>2</v>
      </c>
      <c r="J100" s="6">
        <v>1.0</v>
      </c>
      <c r="K100" s="6">
        <v>1.0</v>
      </c>
      <c r="L100" s="6"/>
      <c r="M100" s="6"/>
      <c r="N100" s="6">
        <v>16.0</v>
      </c>
      <c r="O100" s="6">
        <v>8.0</v>
      </c>
      <c r="P100" s="6">
        <v>32.0</v>
      </c>
      <c r="Q100" s="6">
        <v>131072.0</v>
      </c>
      <c r="R100" s="6">
        <v>1024.0</v>
      </c>
      <c r="S100" s="10">
        <v>27.72</v>
      </c>
      <c r="T100" s="10">
        <v>28.98</v>
      </c>
      <c r="Z100" s="18">
        <f>D100*E100*J100*S100+C100*D100*E100*K100*T100</f>
        <v>72576</v>
      </c>
      <c r="AA100" s="18"/>
    </row>
    <row r="101">
      <c r="A101" s="172" t="s">
        <v>1003</v>
      </c>
      <c r="B101" s="3" t="s">
        <v>892</v>
      </c>
      <c r="C101" s="6">
        <v>1.0</v>
      </c>
      <c r="D101" s="10">
        <f t="shared" si="27"/>
        <v>120</v>
      </c>
      <c r="E101" s="6">
        <v>32.0</v>
      </c>
      <c r="F101" s="6">
        <v>1.0E9</v>
      </c>
      <c r="G101" s="6">
        <f>G97*3</f>
        <v>60</v>
      </c>
      <c r="H101" s="6">
        <v>1.0</v>
      </c>
      <c r="I101" s="10">
        <f t="shared" si="28"/>
        <v>2</v>
      </c>
      <c r="J101" s="10">
        <f>5*E101/E101</f>
        <v>5</v>
      </c>
      <c r="K101" s="10">
        <f>(3*E101+1)/E101</f>
        <v>3.03125</v>
      </c>
      <c r="L101" s="10">
        <f>(9*E101+1)/E101</f>
        <v>9.03125</v>
      </c>
      <c r="M101" s="6">
        <v>2.52</v>
      </c>
      <c r="N101" s="6">
        <v>16.0</v>
      </c>
      <c r="O101" s="6">
        <v>8.0</v>
      </c>
      <c r="P101" s="6">
        <v>32.0</v>
      </c>
      <c r="Q101" s="6">
        <v>131072.0</v>
      </c>
      <c r="R101" s="6">
        <v>1024.0</v>
      </c>
      <c r="S101" s="10">
        <v>27.72</v>
      </c>
      <c r="T101" s="10">
        <v>28.98</v>
      </c>
      <c r="Z101" s="18">
        <f t="shared" ref="Z101:Z103" si="29">D101*E101*J101*S101+D101*E101*K101*T101+D101*E101*L101*M101</f>
        <v>956944.8</v>
      </c>
      <c r="AA101" s="18"/>
    </row>
    <row r="102">
      <c r="B102" s="3" t="s">
        <v>893</v>
      </c>
      <c r="C102" s="6">
        <v>1.0</v>
      </c>
      <c r="D102" s="10">
        <f t="shared" si="27"/>
        <v>120</v>
      </c>
      <c r="E102" s="6">
        <v>32.0</v>
      </c>
      <c r="F102" s="6">
        <v>1.0E9</v>
      </c>
      <c r="G102" s="6">
        <f t="shared" ref="G102:G103" si="30">G97*3</f>
        <v>60</v>
      </c>
      <c r="H102" s="6">
        <v>1.0</v>
      </c>
      <c r="I102" s="10">
        <f t="shared" si="28"/>
        <v>2</v>
      </c>
      <c r="J102" s="6">
        <f>(6*E102+2)/E102</f>
        <v>6.0625</v>
      </c>
      <c r="K102" s="6">
        <f>(5*E102+2)/E102</f>
        <v>5.0625</v>
      </c>
      <c r="L102" s="10">
        <f>23*E102/E102</f>
        <v>23</v>
      </c>
      <c r="M102" s="6">
        <v>2.52</v>
      </c>
      <c r="N102" s="6">
        <v>16.0</v>
      </c>
      <c r="O102" s="6">
        <v>8.0</v>
      </c>
      <c r="P102" s="6">
        <v>32.0</v>
      </c>
      <c r="Q102" s="6">
        <v>131072.0</v>
      </c>
      <c r="R102" s="6">
        <v>1024.0</v>
      </c>
      <c r="S102" s="10">
        <v>27.72</v>
      </c>
      <c r="T102" s="10">
        <v>28.98</v>
      </c>
      <c r="Z102" s="18">
        <f t="shared" si="29"/>
        <v>1431259.2</v>
      </c>
      <c r="AA102" s="18"/>
    </row>
    <row r="103">
      <c r="B103" s="3" t="s">
        <v>894</v>
      </c>
      <c r="C103" s="6">
        <v>1.0</v>
      </c>
      <c r="D103" s="10">
        <f t="shared" si="27"/>
        <v>120</v>
      </c>
      <c r="E103" s="6">
        <v>32.0</v>
      </c>
      <c r="F103" s="6">
        <v>1.0E9</v>
      </c>
      <c r="G103" s="6">
        <f t="shared" si="30"/>
        <v>60</v>
      </c>
      <c r="H103" s="6">
        <v>1.0</v>
      </c>
      <c r="I103" s="10">
        <f t="shared" si="28"/>
        <v>2</v>
      </c>
      <c r="J103" s="6">
        <v>5.0</v>
      </c>
      <c r="K103" s="6">
        <f>(3*E103+1)/E103</f>
        <v>3.03125</v>
      </c>
      <c r="L103" s="6">
        <f>(9*E103+1)/E103</f>
        <v>9.03125</v>
      </c>
      <c r="M103" s="6">
        <v>2.52</v>
      </c>
      <c r="N103" s="6">
        <v>16.0</v>
      </c>
      <c r="O103" s="6">
        <v>8.0</v>
      </c>
      <c r="P103" s="6">
        <v>32.0</v>
      </c>
      <c r="Q103" s="6">
        <v>131072.0</v>
      </c>
      <c r="R103" s="6">
        <v>1024.0</v>
      </c>
      <c r="S103" s="10">
        <v>27.72</v>
      </c>
      <c r="T103" s="10">
        <v>28.98</v>
      </c>
      <c r="Z103" s="18">
        <f t="shared" si="29"/>
        <v>956944.8</v>
      </c>
      <c r="AA103" s="18"/>
    </row>
    <row r="104">
      <c r="A104" s="172"/>
      <c r="B104" s="3"/>
      <c r="C104" s="6"/>
      <c r="E104" s="6"/>
      <c r="F104" s="6"/>
      <c r="G104" s="6"/>
      <c r="H104" s="6"/>
      <c r="M104" s="6"/>
      <c r="N104" s="6"/>
      <c r="O104" s="6"/>
      <c r="P104" s="6"/>
      <c r="Q104" s="6"/>
      <c r="R104" s="6"/>
      <c r="Y104" s="6" t="s">
        <v>204</v>
      </c>
      <c r="Z104" s="18">
        <f>sum(Z97:Z103)</f>
        <v>13976877.6</v>
      </c>
      <c r="AA104" s="18"/>
    </row>
    <row r="105">
      <c r="A105" s="173"/>
    </row>
    <row r="106">
      <c r="A106" s="164" t="s">
        <v>1004</v>
      </c>
      <c r="B106" s="165" t="s">
        <v>1005</v>
      </c>
      <c r="C106" s="23" t="s">
        <v>1006</v>
      </c>
      <c r="D106" s="24" t="s">
        <v>1007</v>
      </c>
      <c r="E106" s="26" t="s">
        <v>1008</v>
      </c>
      <c r="F106" s="166" t="s">
        <v>1009</v>
      </c>
      <c r="G106" s="27" t="s">
        <v>1010</v>
      </c>
      <c r="H106" s="26" t="s">
        <v>1011</v>
      </c>
      <c r="I106" s="26" t="s">
        <v>1012</v>
      </c>
      <c r="J106" s="167"/>
      <c r="K106" s="167"/>
      <c r="L106" s="168"/>
      <c r="M106" s="168"/>
      <c r="N106" s="168"/>
      <c r="O106" s="168"/>
      <c r="P106" s="168"/>
      <c r="Q106" s="168"/>
      <c r="R106" s="168"/>
      <c r="S106" s="169"/>
      <c r="T106" s="169"/>
      <c r="U106" s="169"/>
      <c r="V106" s="30" t="s">
        <v>1013</v>
      </c>
      <c r="W106" s="170"/>
      <c r="X106" s="170"/>
      <c r="Y106" s="170"/>
      <c r="Z106" s="170"/>
      <c r="AA106" s="171"/>
      <c r="AB106" s="170"/>
      <c r="AC106" s="170"/>
      <c r="AD106" s="170"/>
      <c r="AI106" s="170"/>
      <c r="AJ106" s="170"/>
      <c r="AK106" s="170"/>
      <c r="AL106" s="170"/>
      <c r="AM106" s="170"/>
      <c r="AN106" s="170"/>
    </row>
    <row r="107">
      <c r="B107" s="20"/>
      <c r="C107" s="32" t="s">
        <v>106</v>
      </c>
      <c r="D107" s="33"/>
      <c r="E107" s="33"/>
      <c r="F107" s="33"/>
      <c r="G107" s="33"/>
      <c r="H107" s="33"/>
      <c r="I107" s="34"/>
      <c r="J107" s="35"/>
      <c r="K107" s="34"/>
      <c r="L107" s="116"/>
      <c r="M107" s="116"/>
      <c r="N107" s="37" t="s">
        <v>107</v>
      </c>
      <c r="O107" s="33"/>
      <c r="P107" s="33"/>
      <c r="Q107" s="34"/>
      <c r="R107" s="116"/>
      <c r="S107" s="156" t="s">
        <v>723</v>
      </c>
      <c r="T107" s="33"/>
      <c r="U107" s="34"/>
      <c r="V107" s="39" t="s">
        <v>109</v>
      </c>
      <c r="W107" s="33"/>
      <c r="X107" s="34"/>
      <c r="Z107" s="3" t="s">
        <v>130</v>
      </c>
      <c r="AA107" s="46" t="s">
        <v>131</v>
      </c>
    </row>
    <row r="108">
      <c r="A108" s="47"/>
      <c r="B108" s="40"/>
      <c r="C108" s="41" t="s">
        <v>110</v>
      </c>
      <c r="D108" s="42" t="s">
        <v>111</v>
      </c>
      <c r="E108" s="43" t="s">
        <v>112</v>
      </c>
      <c r="F108" s="44" t="s">
        <v>113</v>
      </c>
      <c r="G108" s="41" t="s">
        <v>885</v>
      </c>
      <c r="H108" s="41" t="s">
        <v>115</v>
      </c>
      <c r="I108" s="45" t="s">
        <v>116</v>
      </c>
      <c r="J108" s="43" t="s">
        <v>117</v>
      </c>
      <c r="K108" s="43" t="s">
        <v>118</v>
      </c>
      <c r="L108" s="43" t="s">
        <v>119</v>
      </c>
      <c r="M108" s="43" t="s">
        <v>560</v>
      </c>
      <c r="N108" s="44" t="s">
        <v>121</v>
      </c>
      <c r="O108" s="44" t="s">
        <v>122</v>
      </c>
      <c r="P108" s="44" t="s">
        <v>123</v>
      </c>
      <c r="Q108" s="44" t="s">
        <v>124</v>
      </c>
      <c r="R108" s="43" t="s">
        <v>280</v>
      </c>
      <c r="S108" s="43" t="s">
        <v>648</v>
      </c>
      <c r="T108" s="43" t="s">
        <v>649</v>
      </c>
      <c r="U108" s="6" t="s">
        <v>196</v>
      </c>
      <c r="V108" s="43" t="s">
        <v>127</v>
      </c>
      <c r="W108" s="43" t="s">
        <v>128</v>
      </c>
      <c r="X108" s="43" t="s">
        <v>129</v>
      </c>
      <c r="Y108" s="47"/>
      <c r="Z108" s="47"/>
      <c r="AA108" s="69"/>
      <c r="AB108" s="47"/>
      <c r="AD108" s="47"/>
      <c r="AI108" s="47"/>
      <c r="AJ108" s="47"/>
      <c r="AK108" s="47"/>
      <c r="AL108" s="47"/>
      <c r="AM108" s="47"/>
      <c r="AN108" s="47"/>
    </row>
    <row r="109">
      <c r="A109" s="172" t="s">
        <v>1014</v>
      </c>
      <c r="B109" s="3" t="s">
        <v>906</v>
      </c>
      <c r="C109" s="6">
        <v>1.0</v>
      </c>
      <c r="D109" s="10">
        <f t="shared" ref="D109:D112" si="31">(G109/H109)*C109*I109</f>
        <v>40</v>
      </c>
      <c r="E109" s="6">
        <v>1.0</v>
      </c>
      <c r="F109" s="6">
        <v>1.0E9</v>
      </c>
      <c r="G109" s="6">
        <v>20.0</v>
      </c>
      <c r="H109" s="6">
        <v>1.0</v>
      </c>
      <c r="I109" s="10">
        <f t="shared" ref="I109:I112" si="32">ROUNDUP(F109/(N109*O109*P109*Q109))</f>
        <v>2</v>
      </c>
      <c r="J109" s="6">
        <v>1.0</v>
      </c>
      <c r="K109" s="6">
        <v>1.0</v>
      </c>
      <c r="L109" s="6"/>
      <c r="M109" s="6"/>
      <c r="N109" s="6">
        <v>16.0</v>
      </c>
      <c r="O109" s="6">
        <v>8.0</v>
      </c>
      <c r="P109" s="6">
        <v>32.0</v>
      </c>
      <c r="Q109" s="6">
        <v>131072.0</v>
      </c>
      <c r="R109" s="6">
        <v>1024.0</v>
      </c>
      <c r="S109" s="10">
        <v>27.72</v>
      </c>
      <c r="T109" s="10">
        <v>28.98</v>
      </c>
      <c r="U109" s="6" t="s">
        <v>564</v>
      </c>
      <c r="Z109" s="18">
        <f>D109*E109*J109*S109+D109*E109*K109*T109</f>
        <v>2268</v>
      </c>
      <c r="AA109" s="70">
        <f>53033276589000/24395.0136*1.363848974</f>
        <v>2964924761</v>
      </c>
    </row>
    <row r="110">
      <c r="B110" s="3" t="s">
        <v>907</v>
      </c>
      <c r="C110" s="6">
        <v>1.0</v>
      </c>
      <c r="D110" s="10">
        <f t="shared" si="31"/>
        <v>40</v>
      </c>
      <c r="E110" s="6">
        <v>32.0</v>
      </c>
      <c r="F110" s="6">
        <v>1.0E9</v>
      </c>
      <c r="G110" s="6">
        <v>20.0</v>
      </c>
      <c r="H110" s="6">
        <v>1.0</v>
      </c>
      <c r="I110" s="10">
        <f t="shared" si="32"/>
        <v>2</v>
      </c>
      <c r="J110" s="6">
        <v>3.0</v>
      </c>
      <c r="K110" s="6">
        <v>2.0</v>
      </c>
      <c r="L110" s="6">
        <v>12.0</v>
      </c>
      <c r="M110" s="6">
        <v>2.52</v>
      </c>
      <c r="N110" s="6">
        <v>16.0</v>
      </c>
      <c r="O110" s="6">
        <v>8.0</v>
      </c>
      <c r="P110" s="6">
        <v>32.0</v>
      </c>
      <c r="Q110" s="6">
        <v>131072.0</v>
      </c>
      <c r="R110" s="6">
        <v>1024.0</v>
      </c>
      <c r="S110" s="10">
        <v>27.72</v>
      </c>
      <c r="T110" s="10">
        <v>28.98</v>
      </c>
      <c r="U110" s="6" t="s">
        <v>564</v>
      </c>
      <c r="Z110" s="18">
        <f>D110*E110*J110*S110+D110*E110*K110*T110+D110*E110*L110*M110</f>
        <v>219340.8</v>
      </c>
      <c r="AA110" s="18"/>
    </row>
    <row r="111">
      <c r="A111" s="172" t="s">
        <v>1015</v>
      </c>
      <c r="B111" s="174" t="s">
        <v>909</v>
      </c>
      <c r="C111" s="6">
        <v>1.0</v>
      </c>
      <c r="D111" s="10">
        <f t="shared" si="31"/>
        <v>120</v>
      </c>
      <c r="E111" s="6">
        <v>32.0</v>
      </c>
      <c r="F111" s="6">
        <v>1.0E9</v>
      </c>
      <c r="G111" s="10">
        <f>G110*3</f>
        <v>60</v>
      </c>
      <c r="H111" s="6">
        <v>1.0</v>
      </c>
      <c r="I111" s="10">
        <f t="shared" si="32"/>
        <v>2</v>
      </c>
      <c r="J111" s="6" t="s">
        <v>564</v>
      </c>
      <c r="K111" s="6" t="s">
        <v>564</v>
      </c>
      <c r="L111" s="6"/>
      <c r="M111" s="6"/>
      <c r="N111" s="6">
        <v>16.0</v>
      </c>
      <c r="O111" s="6">
        <v>8.0</v>
      </c>
      <c r="P111" s="6">
        <v>32.0</v>
      </c>
      <c r="Q111" s="6">
        <v>131072.0</v>
      </c>
      <c r="R111" s="6">
        <v>1024.0</v>
      </c>
      <c r="S111" s="6" t="s">
        <v>564</v>
      </c>
      <c r="T111" s="6" t="s">
        <v>564</v>
      </c>
      <c r="U111" s="6" t="s">
        <v>564</v>
      </c>
      <c r="V111" s="6">
        <v>10.0</v>
      </c>
      <c r="W111" s="10">
        <f>Q111</f>
        <v>131072</v>
      </c>
      <c r="X111" s="6">
        <v>3200.0</v>
      </c>
      <c r="Z111" s="18">
        <f>D111*V111*MIN(W111,F111)/(X111*10^6)*10^9</f>
        <v>49152000</v>
      </c>
      <c r="AA111" s="18"/>
    </row>
    <row r="112">
      <c r="B112" s="174" t="s">
        <v>910</v>
      </c>
      <c r="C112" s="6">
        <v>1.0</v>
      </c>
      <c r="D112" s="10">
        <f t="shared" si="31"/>
        <v>120</v>
      </c>
      <c r="E112" s="6">
        <v>1.0</v>
      </c>
      <c r="F112" s="6">
        <v>1.0E9</v>
      </c>
      <c r="G112" s="10">
        <f>G110*3</f>
        <v>60</v>
      </c>
      <c r="H112" s="6">
        <v>1.0</v>
      </c>
      <c r="I112" s="10">
        <f t="shared" si="32"/>
        <v>2</v>
      </c>
      <c r="J112" s="6" t="s">
        <v>564</v>
      </c>
      <c r="K112" s="6" t="s">
        <v>564</v>
      </c>
      <c r="L112" s="6"/>
      <c r="M112" s="6"/>
      <c r="N112" s="6">
        <v>16.0</v>
      </c>
      <c r="O112" s="6">
        <v>8.0</v>
      </c>
      <c r="P112" s="6">
        <v>32.0</v>
      </c>
      <c r="Q112" s="6">
        <v>131072.0</v>
      </c>
      <c r="R112" s="6">
        <v>1024.0</v>
      </c>
      <c r="S112" s="6" t="s">
        <v>564</v>
      </c>
      <c r="T112" s="6" t="s">
        <v>564</v>
      </c>
      <c r="U112" s="6" t="s">
        <v>564</v>
      </c>
      <c r="Z112" s="18">
        <f>D112* 1.01 * 0.63 * MIN(F112/64,Q112/64)</f>
        <v>156377.088</v>
      </c>
      <c r="AA112" s="18"/>
    </row>
    <row r="113">
      <c r="B113" s="20"/>
      <c r="Y113" s="6" t="s">
        <v>204</v>
      </c>
      <c r="Z113" s="50">
        <f>sum(Z109:Z112)</f>
        <v>49529985.89</v>
      </c>
      <c r="AA113" s="18"/>
    </row>
    <row r="114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 t="s">
        <v>911</v>
      </c>
      <c r="Z114" s="176">
        <f>Z113+Z104</f>
        <v>63506863.49</v>
      </c>
      <c r="AA114" s="175">
        <f>AA109/Z114</f>
        <v>46.68668232</v>
      </c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</row>
    <row r="115">
      <c r="A115" s="19" t="s">
        <v>248</v>
      </c>
    </row>
    <row r="116">
      <c r="A116" s="164" t="s">
        <v>1016</v>
      </c>
      <c r="B116" s="165" t="s">
        <v>1017</v>
      </c>
      <c r="C116" s="23" t="s">
        <v>1018</v>
      </c>
      <c r="D116" s="24" t="s">
        <v>1019</v>
      </c>
      <c r="E116" s="26" t="s">
        <v>1020</v>
      </c>
      <c r="F116" s="166" t="s">
        <v>1021</v>
      </c>
      <c r="G116" s="27" t="s">
        <v>1022</v>
      </c>
      <c r="H116" s="26" t="s">
        <v>1023</v>
      </c>
      <c r="I116" s="26" t="s">
        <v>1024</v>
      </c>
      <c r="J116" s="167"/>
      <c r="K116" s="167"/>
      <c r="L116" s="168"/>
      <c r="M116" s="168"/>
      <c r="N116" s="168"/>
      <c r="O116" s="168"/>
      <c r="P116" s="168"/>
      <c r="Q116" s="168"/>
      <c r="R116" s="168"/>
      <c r="S116" s="169"/>
      <c r="T116" s="169"/>
      <c r="U116" s="169"/>
      <c r="V116" s="30" t="s">
        <v>1025</v>
      </c>
      <c r="W116" s="170"/>
      <c r="X116" s="170"/>
      <c r="Y116" s="170"/>
      <c r="Z116" s="170"/>
      <c r="AA116" s="171"/>
      <c r="AB116" s="170"/>
      <c r="AC116" s="170"/>
      <c r="AD116" s="170"/>
      <c r="AI116" s="170"/>
      <c r="AJ116" s="170"/>
      <c r="AK116" s="170"/>
      <c r="AL116" s="170"/>
      <c r="AM116" s="170"/>
      <c r="AN116" s="170"/>
    </row>
    <row r="117">
      <c r="B117" s="20"/>
      <c r="C117" s="32" t="s">
        <v>106</v>
      </c>
      <c r="D117" s="33"/>
      <c r="E117" s="33"/>
      <c r="F117" s="33"/>
      <c r="G117" s="33"/>
      <c r="H117" s="33"/>
      <c r="I117" s="34"/>
      <c r="J117" s="35"/>
      <c r="K117" s="34"/>
      <c r="L117" s="116"/>
      <c r="M117" s="116"/>
      <c r="N117" s="37" t="s">
        <v>107</v>
      </c>
      <c r="O117" s="33"/>
      <c r="P117" s="33"/>
      <c r="Q117" s="34"/>
      <c r="R117" s="116"/>
      <c r="S117" s="156" t="s">
        <v>723</v>
      </c>
      <c r="T117" s="33"/>
      <c r="U117" s="34"/>
      <c r="V117" s="39" t="s">
        <v>109</v>
      </c>
      <c r="W117" s="33"/>
      <c r="X117" s="34"/>
      <c r="Z117" s="6" t="s">
        <v>724</v>
      </c>
      <c r="AA117" s="18"/>
    </row>
    <row r="118">
      <c r="A118" s="47"/>
      <c r="B118" s="40"/>
      <c r="C118" s="41" t="s">
        <v>110</v>
      </c>
      <c r="D118" s="42" t="s">
        <v>111</v>
      </c>
      <c r="E118" s="43" t="s">
        <v>112</v>
      </c>
      <c r="F118" s="44" t="s">
        <v>113</v>
      </c>
      <c r="G118" s="41" t="s">
        <v>885</v>
      </c>
      <c r="H118" s="41" t="s">
        <v>115</v>
      </c>
      <c r="I118" s="45" t="s">
        <v>116</v>
      </c>
      <c r="J118" s="43" t="s">
        <v>117</v>
      </c>
      <c r="K118" s="43" t="s">
        <v>118</v>
      </c>
      <c r="L118" s="43" t="s">
        <v>119</v>
      </c>
      <c r="M118" s="43" t="s">
        <v>560</v>
      </c>
      <c r="N118" s="44" t="s">
        <v>121</v>
      </c>
      <c r="O118" s="44" t="s">
        <v>122</v>
      </c>
      <c r="P118" s="44" t="s">
        <v>123</v>
      </c>
      <c r="Q118" s="44" t="s">
        <v>124</v>
      </c>
      <c r="R118" s="43" t="s">
        <v>280</v>
      </c>
      <c r="S118" s="43" t="s">
        <v>648</v>
      </c>
      <c r="T118" s="43" t="s">
        <v>649</v>
      </c>
      <c r="U118" s="6" t="s">
        <v>196</v>
      </c>
      <c r="V118" s="43" t="s">
        <v>127</v>
      </c>
      <c r="W118" s="43" t="s">
        <v>128</v>
      </c>
      <c r="X118" s="43" t="s">
        <v>129</v>
      </c>
      <c r="Y118" s="47"/>
      <c r="Z118" s="69"/>
      <c r="AA118" s="69"/>
      <c r="AB118" s="47"/>
      <c r="AC118" s="47"/>
      <c r="AD118" s="47"/>
      <c r="AI118" s="47"/>
      <c r="AJ118" s="47"/>
      <c r="AK118" s="47"/>
      <c r="AL118" s="47"/>
      <c r="AM118" s="47"/>
      <c r="AN118" s="47"/>
    </row>
    <row r="119">
      <c r="A119" s="172" t="s">
        <v>1026</v>
      </c>
      <c r="B119" s="3" t="s">
        <v>887</v>
      </c>
      <c r="C119" s="6">
        <v>1.0</v>
      </c>
      <c r="D119" s="10">
        <f t="shared" ref="D119:D125" si="33">(G119/H119)*C119*I119</f>
        <v>160</v>
      </c>
      <c r="E119" s="6">
        <v>96.0</v>
      </c>
      <c r="F119" s="6">
        <v>1.0E9</v>
      </c>
      <c r="G119" s="6">
        <v>20.0</v>
      </c>
      <c r="H119" s="6">
        <v>1.0</v>
      </c>
      <c r="I119" s="10">
        <f t="shared" ref="I119:I125" si="34">ROUNDUP(F119/(N119*O119*P119*Q119))</f>
        <v>8</v>
      </c>
      <c r="J119" s="6" t="s">
        <v>564</v>
      </c>
      <c r="K119" s="6" t="s">
        <v>564</v>
      </c>
      <c r="L119" s="6"/>
      <c r="M119" s="6"/>
      <c r="N119" s="6">
        <v>16.0</v>
      </c>
      <c r="O119" s="6">
        <v>8.0</v>
      </c>
      <c r="P119" s="6">
        <v>8.0</v>
      </c>
      <c r="Q119" s="6">
        <v>131072.0</v>
      </c>
      <c r="R119" s="6">
        <v>1024.0</v>
      </c>
      <c r="S119" s="6" t="s">
        <v>564</v>
      </c>
      <c r="T119" s="6" t="s">
        <v>564</v>
      </c>
      <c r="U119" s="10">
        <v>2.52</v>
      </c>
      <c r="Z119" s="18">
        <f>D119*E119*min(R119,F119/16)*U119</f>
        <v>39636172.8</v>
      </c>
      <c r="AA119" s="18"/>
    </row>
    <row r="120">
      <c r="B120" s="3" t="s">
        <v>888</v>
      </c>
      <c r="C120" s="6">
        <v>1.0</v>
      </c>
      <c r="D120" s="10">
        <f t="shared" si="33"/>
        <v>160</v>
      </c>
      <c r="E120" s="6">
        <v>32.0</v>
      </c>
      <c r="F120" s="6">
        <v>1.0E9</v>
      </c>
      <c r="G120" s="6">
        <v>20.0</v>
      </c>
      <c r="H120" s="6">
        <v>1.0</v>
      </c>
      <c r="I120" s="10">
        <f t="shared" si="34"/>
        <v>8</v>
      </c>
      <c r="J120" s="6">
        <v>1.0</v>
      </c>
      <c r="K120" s="6">
        <v>1.0</v>
      </c>
      <c r="L120" s="6"/>
      <c r="M120" s="6"/>
      <c r="N120" s="6">
        <v>16.0</v>
      </c>
      <c r="O120" s="6">
        <v>8.0</v>
      </c>
      <c r="P120" s="6">
        <v>8.0</v>
      </c>
      <c r="Q120" s="6">
        <v>131072.0</v>
      </c>
      <c r="R120" s="6">
        <v>1024.0</v>
      </c>
      <c r="S120" s="10">
        <v>27.72</v>
      </c>
      <c r="T120" s="10">
        <v>28.98</v>
      </c>
      <c r="U120" s="10">
        <v>2.52</v>
      </c>
      <c r="Z120" s="18">
        <f>D120*E120*J120*S120+D120*E120*K120*T120</f>
        <v>290304</v>
      </c>
      <c r="AA120" s="18"/>
    </row>
    <row r="121">
      <c r="B121" s="3" t="s">
        <v>889</v>
      </c>
      <c r="C121" s="6">
        <v>1.0</v>
      </c>
      <c r="D121" s="10">
        <f t="shared" si="33"/>
        <v>160</v>
      </c>
      <c r="E121" s="6">
        <v>32.0</v>
      </c>
      <c r="F121" s="6">
        <v>1.0E9</v>
      </c>
      <c r="G121" s="6">
        <v>20.0</v>
      </c>
      <c r="H121" s="6">
        <v>1.0</v>
      </c>
      <c r="I121" s="10">
        <f t="shared" si="34"/>
        <v>8</v>
      </c>
      <c r="J121" s="10">
        <f>(6*E121)/E121</f>
        <v>6</v>
      </c>
      <c r="K121" s="10">
        <f>(E121+1)/E121</f>
        <v>1.03125</v>
      </c>
      <c r="L121" s="10">
        <f>(4*E121+3)/E121</f>
        <v>4.09375</v>
      </c>
      <c r="M121" s="6">
        <v>2.52</v>
      </c>
      <c r="N121" s="6">
        <v>16.0</v>
      </c>
      <c r="O121" s="6">
        <v>8.0</v>
      </c>
      <c r="P121" s="6">
        <v>8.0</v>
      </c>
      <c r="Q121" s="6">
        <v>131072.0</v>
      </c>
      <c r="R121" s="6">
        <v>1024.0</v>
      </c>
      <c r="S121" s="10">
        <v>27.72</v>
      </c>
      <c r="T121" s="10">
        <v>28.98</v>
      </c>
      <c r="Z121" s="18">
        <f>D121*E121*J121*S121+D121*E121*K121*T121+D121*E121*L121*M121</f>
        <v>1057392</v>
      </c>
      <c r="AA121" s="18"/>
    </row>
    <row r="122">
      <c r="B122" s="3" t="s">
        <v>890</v>
      </c>
      <c r="C122" s="6">
        <v>1.0</v>
      </c>
      <c r="D122" s="10">
        <f t="shared" si="33"/>
        <v>160</v>
      </c>
      <c r="E122" s="6">
        <v>32.0</v>
      </c>
      <c r="F122" s="6">
        <v>1.0E9</v>
      </c>
      <c r="G122" s="6">
        <v>20.0</v>
      </c>
      <c r="H122" s="6">
        <v>1.0</v>
      </c>
      <c r="I122" s="10">
        <f t="shared" si="34"/>
        <v>8</v>
      </c>
      <c r="J122" s="6">
        <v>1.0</v>
      </c>
      <c r="K122" s="6">
        <v>1.0</v>
      </c>
      <c r="L122" s="6"/>
      <c r="M122" s="6"/>
      <c r="N122" s="6">
        <v>16.0</v>
      </c>
      <c r="O122" s="6">
        <v>8.0</v>
      </c>
      <c r="P122" s="6">
        <v>8.0</v>
      </c>
      <c r="Q122" s="6">
        <v>131072.0</v>
      </c>
      <c r="R122" s="6">
        <v>1024.0</v>
      </c>
      <c r="S122" s="10">
        <v>27.72</v>
      </c>
      <c r="T122" s="10">
        <v>28.98</v>
      </c>
      <c r="Z122" s="18">
        <f>D122*E122*J122*S122+C122*D122*E122*K122*T122</f>
        <v>290304</v>
      </c>
      <c r="AA122" s="18"/>
    </row>
    <row r="123">
      <c r="A123" s="172" t="s">
        <v>1027</v>
      </c>
      <c r="B123" s="3" t="s">
        <v>892</v>
      </c>
      <c r="C123" s="6">
        <v>1.0</v>
      </c>
      <c r="D123" s="10">
        <f t="shared" si="33"/>
        <v>480</v>
      </c>
      <c r="E123" s="6">
        <v>32.0</v>
      </c>
      <c r="F123" s="6">
        <v>1.0E9</v>
      </c>
      <c r="G123" s="6">
        <f>G119*3</f>
        <v>60</v>
      </c>
      <c r="H123" s="6">
        <v>1.0</v>
      </c>
      <c r="I123" s="10">
        <f t="shared" si="34"/>
        <v>8</v>
      </c>
      <c r="J123" s="10">
        <f>4*E123/E123</f>
        <v>4</v>
      </c>
      <c r="K123" s="10">
        <f>(3*E123+1)/E123</f>
        <v>3.03125</v>
      </c>
      <c r="L123" s="10">
        <f>(4*E123+1)/E123</f>
        <v>4.03125</v>
      </c>
      <c r="M123" s="6">
        <v>2.52</v>
      </c>
      <c r="N123" s="6">
        <v>16.0</v>
      </c>
      <c r="O123" s="6">
        <v>8.0</v>
      </c>
      <c r="P123" s="6">
        <v>8.0</v>
      </c>
      <c r="Q123" s="6">
        <v>131072.0</v>
      </c>
      <c r="R123" s="6">
        <v>1024.0</v>
      </c>
      <c r="S123" s="10">
        <v>27.72</v>
      </c>
      <c r="T123" s="10">
        <v>28.98</v>
      </c>
      <c r="Z123" s="18">
        <f t="shared" ref="Z123:Z125" si="35">D123*E123*J123*S123+D123*E123*K123*T123+D123*E123*L123*M123</f>
        <v>3208464</v>
      </c>
      <c r="AA123" s="18"/>
    </row>
    <row r="124">
      <c r="B124" s="3" t="s">
        <v>893</v>
      </c>
      <c r="C124" s="6">
        <v>1.0</v>
      </c>
      <c r="D124" s="10">
        <f t="shared" si="33"/>
        <v>480</v>
      </c>
      <c r="E124" s="6">
        <v>32.0</v>
      </c>
      <c r="F124" s="6">
        <v>1.0E9</v>
      </c>
      <c r="G124" s="6">
        <f t="shared" ref="G124:G125" si="36">G119*3</f>
        <v>60</v>
      </c>
      <c r="H124" s="6">
        <v>1.0</v>
      </c>
      <c r="I124" s="10">
        <f t="shared" si="34"/>
        <v>8</v>
      </c>
      <c r="J124" s="6">
        <f>(4*E124+1)/E124</f>
        <v>4.03125</v>
      </c>
      <c r="K124" s="6">
        <f>(E124+1)/E124</f>
        <v>1.03125</v>
      </c>
      <c r="L124" s="10">
        <f>9*E124/E124</f>
        <v>9</v>
      </c>
      <c r="M124" s="6">
        <v>2.52</v>
      </c>
      <c r="N124" s="6">
        <v>16.0</v>
      </c>
      <c r="O124" s="6">
        <v>8.0</v>
      </c>
      <c r="P124" s="6">
        <v>8.0</v>
      </c>
      <c r="Q124" s="6">
        <v>131072.0</v>
      </c>
      <c r="R124" s="6">
        <v>1024.0</v>
      </c>
      <c r="S124" s="10">
        <v>27.72</v>
      </c>
      <c r="T124" s="10">
        <v>28.98</v>
      </c>
      <c r="Z124" s="18">
        <f t="shared" si="35"/>
        <v>2523830.4</v>
      </c>
      <c r="AA124" s="18"/>
    </row>
    <row r="125">
      <c r="B125" s="3" t="s">
        <v>955</v>
      </c>
      <c r="C125" s="6">
        <v>1.0</v>
      </c>
      <c r="D125" s="10">
        <f t="shared" si="33"/>
        <v>480</v>
      </c>
      <c r="E125" s="6">
        <v>32.0</v>
      </c>
      <c r="F125" s="6">
        <v>1.0E9</v>
      </c>
      <c r="G125" s="6">
        <f t="shared" si="36"/>
        <v>60</v>
      </c>
      <c r="H125" s="6">
        <v>1.0</v>
      </c>
      <c r="I125" s="10">
        <f t="shared" si="34"/>
        <v>8</v>
      </c>
      <c r="J125" s="6">
        <v>4.0</v>
      </c>
      <c r="K125" s="6">
        <f>(2*E125+1)/E125</f>
        <v>2.03125</v>
      </c>
      <c r="L125" s="6">
        <f>(4*E125+1)/E125</f>
        <v>4.03125</v>
      </c>
      <c r="M125" s="6">
        <v>2.52</v>
      </c>
      <c r="N125" s="6">
        <v>16.0</v>
      </c>
      <c r="O125" s="6">
        <v>8.0</v>
      </c>
      <c r="P125" s="6">
        <v>8.0</v>
      </c>
      <c r="Q125" s="6">
        <v>131072.0</v>
      </c>
      <c r="R125" s="6">
        <v>1024.0</v>
      </c>
      <c r="S125" s="10">
        <v>27.72</v>
      </c>
      <c r="T125" s="10">
        <v>28.98</v>
      </c>
      <c r="Z125" s="18">
        <f t="shared" si="35"/>
        <v>2763331.2</v>
      </c>
      <c r="AA125" s="18"/>
    </row>
    <row r="126">
      <c r="A126" s="172"/>
      <c r="B126" s="3"/>
      <c r="C126" s="6"/>
      <c r="E126" s="6"/>
      <c r="F126" s="6"/>
      <c r="G126" s="6"/>
      <c r="H126" s="6"/>
      <c r="M126" s="6"/>
      <c r="N126" s="6"/>
      <c r="O126" s="6"/>
      <c r="P126" s="6"/>
      <c r="Q126" s="6"/>
      <c r="R126" s="6"/>
      <c r="Y126" s="6" t="s">
        <v>204</v>
      </c>
      <c r="Z126" s="18">
        <f>sum(Z119:Z125)</f>
        <v>49769798.4</v>
      </c>
      <c r="AA126" s="18"/>
    </row>
    <row r="127">
      <c r="A127" s="173"/>
    </row>
    <row r="128">
      <c r="A128" s="164" t="s">
        <v>1028</v>
      </c>
      <c r="B128" s="165" t="s">
        <v>1029</v>
      </c>
      <c r="C128" s="23" t="s">
        <v>1030</v>
      </c>
      <c r="D128" s="24" t="s">
        <v>1031</v>
      </c>
      <c r="E128" s="26" t="s">
        <v>1032</v>
      </c>
      <c r="F128" s="166" t="s">
        <v>1033</v>
      </c>
      <c r="G128" s="27" t="s">
        <v>1034</v>
      </c>
      <c r="H128" s="26" t="s">
        <v>1035</v>
      </c>
      <c r="I128" s="26" t="s">
        <v>1036</v>
      </c>
      <c r="J128" s="167"/>
      <c r="K128" s="167"/>
      <c r="L128" s="168"/>
      <c r="M128" s="168"/>
      <c r="N128" s="168"/>
      <c r="O128" s="168"/>
      <c r="P128" s="168"/>
      <c r="Q128" s="168"/>
      <c r="R128" s="168"/>
      <c r="S128" s="169"/>
      <c r="T128" s="169"/>
      <c r="U128" s="169"/>
      <c r="V128" s="30" t="s">
        <v>1037</v>
      </c>
      <c r="W128" s="170"/>
      <c r="X128" s="170"/>
      <c r="Y128" s="170"/>
      <c r="Z128" s="170"/>
      <c r="AA128" s="171"/>
      <c r="AB128" s="170"/>
      <c r="AC128" s="170"/>
      <c r="AD128" s="170"/>
      <c r="AI128" s="170"/>
      <c r="AJ128" s="170"/>
      <c r="AK128" s="170"/>
      <c r="AL128" s="170"/>
      <c r="AM128" s="170"/>
      <c r="AN128" s="170"/>
    </row>
    <row r="129">
      <c r="B129" s="20"/>
      <c r="C129" s="32" t="s">
        <v>106</v>
      </c>
      <c r="D129" s="33"/>
      <c r="E129" s="33"/>
      <c r="F129" s="33"/>
      <c r="G129" s="33"/>
      <c r="H129" s="33"/>
      <c r="I129" s="34"/>
      <c r="J129" s="35"/>
      <c r="K129" s="34"/>
      <c r="L129" s="116"/>
      <c r="M129" s="116"/>
      <c r="N129" s="37" t="s">
        <v>107</v>
      </c>
      <c r="O129" s="33"/>
      <c r="P129" s="33"/>
      <c r="Q129" s="34"/>
      <c r="R129" s="116"/>
      <c r="S129" s="156" t="s">
        <v>723</v>
      </c>
      <c r="T129" s="33"/>
      <c r="U129" s="34"/>
      <c r="V129" s="39" t="s">
        <v>109</v>
      </c>
      <c r="W129" s="33"/>
      <c r="X129" s="34"/>
      <c r="Z129" s="3" t="s">
        <v>130</v>
      </c>
      <c r="AA129" s="46" t="s">
        <v>131</v>
      </c>
    </row>
    <row r="130">
      <c r="A130" s="47"/>
      <c r="B130" s="40"/>
      <c r="C130" s="41" t="s">
        <v>110</v>
      </c>
      <c r="D130" s="42" t="s">
        <v>111</v>
      </c>
      <c r="E130" s="43" t="s">
        <v>112</v>
      </c>
      <c r="F130" s="44" t="s">
        <v>113</v>
      </c>
      <c r="G130" s="41" t="s">
        <v>885</v>
      </c>
      <c r="H130" s="41" t="s">
        <v>115</v>
      </c>
      <c r="I130" s="45" t="s">
        <v>116</v>
      </c>
      <c r="J130" s="43" t="s">
        <v>117</v>
      </c>
      <c r="K130" s="43" t="s">
        <v>118</v>
      </c>
      <c r="L130" s="43" t="s">
        <v>119</v>
      </c>
      <c r="M130" s="43" t="s">
        <v>560</v>
      </c>
      <c r="N130" s="44" t="s">
        <v>121</v>
      </c>
      <c r="O130" s="44" t="s">
        <v>122</v>
      </c>
      <c r="P130" s="44" t="s">
        <v>123</v>
      </c>
      <c r="Q130" s="44" t="s">
        <v>124</v>
      </c>
      <c r="R130" s="43" t="s">
        <v>280</v>
      </c>
      <c r="S130" s="43" t="s">
        <v>648</v>
      </c>
      <c r="T130" s="43" t="s">
        <v>649</v>
      </c>
      <c r="U130" s="6" t="s">
        <v>196</v>
      </c>
      <c r="V130" s="43" t="s">
        <v>127</v>
      </c>
      <c r="W130" s="43" t="s">
        <v>128</v>
      </c>
      <c r="X130" s="43" t="s">
        <v>129</v>
      </c>
      <c r="Y130" s="47"/>
      <c r="Z130" s="47"/>
      <c r="AA130" s="69"/>
      <c r="AB130" s="47"/>
      <c r="AD130" s="47"/>
      <c r="AI130" s="47"/>
      <c r="AJ130" s="47"/>
      <c r="AK130" s="47"/>
      <c r="AL130" s="47"/>
      <c r="AM130" s="47"/>
      <c r="AN130" s="47"/>
    </row>
    <row r="131">
      <c r="A131" s="172" t="s">
        <v>1038</v>
      </c>
      <c r="B131" s="3" t="s">
        <v>906</v>
      </c>
      <c r="C131" s="6">
        <v>1.0</v>
      </c>
      <c r="D131" s="10">
        <f t="shared" ref="D131:D134" si="37">(G131/H131)*C131*I131</f>
        <v>160</v>
      </c>
      <c r="E131" s="6">
        <v>1.0</v>
      </c>
      <c r="F131" s="6">
        <v>1.0E9</v>
      </c>
      <c r="G131" s="6">
        <v>20.0</v>
      </c>
      <c r="H131" s="6">
        <v>1.0</v>
      </c>
      <c r="I131" s="10">
        <f t="shared" ref="I131:I134" si="38">ROUNDUP(F131/(N131*O131*P131*Q131))</f>
        <v>8</v>
      </c>
      <c r="J131" s="6">
        <v>1.0</v>
      </c>
      <c r="K131" s="6">
        <v>1.0</v>
      </c>
      <c r="L131" s="6"/>
      <c r="M131" s="6"/>
      <c r="N131" s="6">
        <v>16.0</v>
      </c>
      <c r="O131" s="6">
        <v>8.0</v>
      </c>
      <c r="P131" s="6">
        <v>8.0</v>
      </c>
      <c r="Q131" s="6">
        <v>131072.0</v>
      </c>
      <c r="R131" s="6">
        <v>1024.0</v>
      </c>
      <c r="S131" s="10">
        <v>27.72</v>
      </c>
      <c r="T131" s="10">
        <v>28.98</v>
      </c>
      <c r="U131" s="6" t="s">
        <v>564</v>
      </c>
      <c r="Z131" s="18">
        <f>D131*E131*J131*S131+D131*E131*K131*T131</f>
        <v>9072</v>
      </c>
      <c r="AA131" s="70">
        <f>53033276589000/24395.0136*1.363848974</f>
        <v>2964924761</v>
      </c>
    </row>
    <row r="132">
      <c r="B132" s="3" t="s">
        <v>907</v>
      </c>
      <c r="C132" s="6">
        <v>1.0</v>
      </c>
      <c r="D132" s="10">
        <f t="shared" si="37"/>
        <v>160</v>
      </c>
      <c r="E132" s="6">
        <v>32.0</v>
      </c>
      <c r="F132" s="6">
        <v>1.0E9</v>
      </c>
      <c r="G132" s="6">
        <v>20.0</v>
      </c>
      <c r="H132" s="6">
        <v>1.0</v>
      </c>
      <c r="I132" s="10">
        <f t="shared" si="38"/>
        <v>8</v>
      </c>
      <c r="J132" s="6">
        <v>2.0</v>
      </c>
      <c r="K132" s="10">
        <f>(E132+1)/E132</f>
        <v>1.03125</v>
      </c>
      <c r="L132" s="6">
        <v>4.0</v>
      </c>
      <c r="M132" s="6">
        <v>2.52</v>
      </c>
      <c r="N132" s="6">
        <v>16.0</v>
      </c>
      <c r="O132" s="6">
        <v>8.0</v>
      </c>
      <c r="P132" s="6">
        <v>8.0</v>
      </c>
      <c r="Q132" s="6">
        <v>131072.0</v>
      </c>
      <c r="R132" s="6">
        <v>1024.0</v>
      </c>
      <c r="S132" s="10">
        <v>27.72</v>
      </c>
      <c r="T132" s="10">
        <v>28.98</v>
      </c>
      <c r="U132" s="6" t="s">
        <v>564</v>
      </c>
      <c r="Z132" s="18">
        <f>D132*E132*J132*S132+D132*E132*K132*T132+D132*E132*L132*M132</f>
        <v>488476.8</v>
      </c>
      <c r="AA132" s="18"/>
    </row>
    <row r="133">
      <c r="A133" s="172" t="s">
        <v>1039</v>
      </c>
      <c r="B133" s="174" t="s">
        <v>909</v>
      </c>
      <c r="C133" s="6">
        <v>1.0</v>
      </c>
      <c r="D133" s="10">
        <f t="shared" si="37"/>
        <v>480</v>
      </c>
      <c r="E133" s="6">
        <v>32.0</v>
      </c>
      <c r="F133" s="6">
        <v>1.0E9</v>
      </c>
      <c r="G133" s="10">
        <f>G132*3</f>
        <v>60</v>
      </c>
      <c r="H133" s="6">
        <v>1.0</v>
      </c>
      <c r="I133" s="10">
        <f t="shared" si="38"/>
        <v>8</v>
      </c>
      <c r="J133" s="6" t="s">
        <v>564</v>
      </c>
      <c r="K133" s="6" t="s">
        <v>564</v>
      </c>
      <c r="L133" s="6"/>
      <c r="M133" s="6"/>
      <c r="N133" s="6">
        <v>16.0</v>
      </c>
      <c r="O133" s="6">
        <v>8.0</v>
      </c>
      <c r="P133" s="6">
        <v>8.0</v>
      </c>
      <c r="Q133" s="6">
        <v>131072.0</v>
      </c>
      <c r="R133" s="6">
        <v>1024.0</v>
      </c>
      <c r="S133" s="6" t="s">
        <v>564</v>
      </c>
      <c r="T133" s="6" t="s">
        <v>564</v>
      </c>
      <c r="U133" s="6" t="s">
        <v>564</v>
      </c>
      <c r="V133" s="6">
        <v>10.0</v>
      </c>
      <c r="W133" s="10">
        <f>Q133</f>
        <v>131072</v>
      </c>
      <c r="X133" s="6">
        <v>3200.0</v>
      </c>
      <c r="Z133" s="18">
        <f>D133*V133*MIN(W133,F133)/(X133*10^6)*10^9</f>
        <v>196608000</v>
      </c>
      <c r="AA133" s="18"/>
    </row>
    <row r="134">
      <c r="B134" s="174" t="s">
        <v>910</v>
      </c>
      <c r="C134" s="6">
        <v>1.0</v>
      </c>
      <c r="D134" s="10">
        <f t="shared" si="37"/>
        <v>480</v>
      </c>
      <c r="E134" s="6">
        <v>1.0</v>
      </c>
      <c r="F134" s="6">
        <v>1.0E9</v>
      </c>
      <c r="G134" s="10">
        <f>G132*3</f>
        <v>60</v>
      </c>
      <c r="H134" s="6">
        <v>1.0</v>
      </c>
      <c r="I134" s="10">
        <f t="shared" si="38"/>
        <v>8</v>
      </c>
      <c r="J134" s="6" t="s">
        <v>564</v>
      </c>
      <c r="K134" s="6" t="s">
        <v>564</v>
      </c>
      <c r="L134" s="6"/>
      <c r="M134" s="6"/>
      <c r="N134" s="6">
        <v>16.0</v>
      </c>
      <c r="O134" s="6">
        <v>8.0</v>
      </c>
      <c r="P134" s="6">
        <v>8.0</v>
      </c>
      <c r="Q134" s="6">
        <v>131072.0</v>
      </c>
      <c r="R134" s="6">
        <v>1024.0</v>
      </c>
      <c r="S134" s="6" t="s">
        <v>564</v>
      </c>
      <c r="T134" s="6" t="s">
        <v>564</v>
      </c>
      <c r="U134" s="6" t="s">
        <v>564</v>
      </c>
      <c r="Z134" s="18">
        <f>D134* 1.01 * 0.63 * MIN(F134/64,Q134/64)</f>
        <v>625508.352</v>
      </c>
      <c r="AA134" s="18"/>
    </row>
    <row r="135">
      <c r="B135" s="20"/>
      <c r="Y135" s="6" t="s">
        <v>204</v>
      </c>
      <c r="Z135" s="50">
        <f>sum(Z131:Z134)</f>
        <v>197731057.2</v>
      </c>
      <c r="AA135" s="18"/>
    </row>
    <row r="136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 t="s">
        <v>911</v>
      </c>
      <c r="Z136" s="176">
        <f>Z135+Z126</f>
        <v>247500855.6</v>
      </c>
      <c r="AA136" s="175">
        <f>AA131/Z136</f>
        <v>11.97945257</v>
      </c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</row>
    <row r="137">
      <c r="B137" s="20"/>
      <c r="AA137" s="18"/>
    </row>
    <row r="138">
      <c r="A138" s="19" t="s">
        <v>259</v>
      </c>
    </row>
    <row r="139">
      <c r="A139" s="164" t="s">
        <v>1040</v>
      </c>
      <c r="B139" s="165" t="s">
        <v>1041</v>
      </c>
      <c r="C139" s="23" t="s">
        <v>1042</v>
      </c>
      <c r="D139" s="24" t="s">
        <v>1043</v>
      </c>
      <c r="E139" s="26" t="s">
        <v>1044</v>
      </c>
      <c r="F139" s="166" t="s">
        <v>1045</v>
      </c>
      <c r="G139" s="27" t="s">
        <v>1046</v>
      </c>
      <c r="H139" s="26" t="s">
        <v>1047</v>
      </c>
      <c r="I139" s="26" t="s">
        <v>1048</v>
      </c>
      <c r="J139" s="167"/>
      <c r="K139" s="167"/>
      <c r="L139" s="168"/>
      <c r="M139" s="168"/>
      <c r="N139" s="168"/>
      <c r="O139" s="168"/>
      <c r="P139" s="168"/>
      <c r="Q139" s="168"/>
      <c r="R139" s="168"/>
      <c r="S139" s="169"/>
      <c r="T139" s="169"/>
      <c r="U139" s="169"/>
      <c r="V139" s="30" t="s">
        <v>1049</v>
      </c>
      <c r="W139" s="170"/>
      <c r="X139" s="170"/>
      <c r="Y139" s="170"/>
      <c r="Z139" s="170"/>
      <c r="AA139" s="171"/>
      <c r="AB139" s="170"/>
      <c r="AC139" s="170"/>
      <c r="AD139" s="170"/>
      <c r="AI139" s="170"/>
      <c r="AJ139" s="170"/>
      <c r="AK139" s="170"/>
      <c r="AL139" s="170"/>
      <c r="AM139" s="170"/>
      <c r="AN139" s="170"/>
    </row>
    <row r="140">
      <c r="B140" s="20"/>
      <c r="C140" s="32" t="s">
        <v>106</v>
      </c>
      <c r="D140" s="33"/>
      <c r="E140" s="33"/>
      <c r="F140" s="33"/>
      <c r="G140" s="33"/>
      <c r="H140" s="33"/>
      <c r="I140" s="34"/>
      <c r="J140" s="35"/>
      <c r="K140" s="34"/>
      <c r="L140" s="116"/>
      <c r="M140" s="116"/>
      <c r="N140" s="37" t="s">
        <v>107</v>
      </c>
      <c r="O140" s="33"/>
      <c r="P140" s="33"/>
      <c r="Q140" s="34"/>
      <c r="R140" s="116"/>
      <c r="S140" s="156" t="s">
        <v>723</v>
      </c>
      <c r="T140" s="33"/>
      <c r="U140" s="34"/>
      <c r="V140" s="39" t="s">
        <v>109</v>
      </c>
      <c r="W140" s="33"/>
      <c r="X140" s="34"/>
      <c r="Z140" s="6" t="s">
        <v>724</v>
      </c>
      <c r="AA140" s="18"/>
    </row>
    <row r="141">
      <c r="A141" s="47"/>
      <c r="B141" s="40"/>
      <c r="C141" s="41" t="s">
        <v>110</v>
      </c>
      <c r="D141" s="42" t="s">
        <v>111</v>
      </c>
      <c r="E141" s="43" t="s">
        <v>112</v>
      </c>
      <c r="F141" s="44" t="s">
        <v>113</v>
      </c>
      <c r="G141" s="41" t="s">
        <v>885</v>
      </c>
      <c r="H141" s="41" t="s">
        <v>115</v>
      </c>
      <c r="I141" s="45" t="s">
        <v>116</v>
      </c>
      <c r="J141" s="43" t="s">
        <v>117</v>
      </c>
      <c r="K141" s="43" t="s">
        <v>118</v>
      </c>
      <c r="L141" s="43" t="s">
        <v>119</v>
      </c>
      <c r="M141" s="43" t="s">
        <v>560</v>
      </c>
      <c r="N141" s="44" t="s">
        <v>121</v>
      </c>
      <c r="O141" s="44" t="s">
        <v>122</v>
      </c>
      <c r="P141" s="44" t="s">
        <v>123</v>
      </c>
      <c r="Q141" s="44" t="s">
        <v>124</v>
      </c>
      <c r="R141" s="43" t="s">
        <v>280</v>
      </c>
      <c r="S141" s="43" t="s">
        <v>648</v>
      </c>
      <c r="T141" s="43" t="s">
        <v>649</v>
      </c>
      <c r="U141" s="6" t="s">
        <v>196</v>
      </c>
      <c r="V141" s="43" t="s">
        <v>127</v>
      </c>
      <c r="W141" s="43" t="s">
        <v>128</v>
      </c>
      <c r="X141" s="43" t="s">
        <v>129</v>
      </c>
      <c r="Y141" s="47"/>
      <c r="Z141" s="69"/>
      <c r="AA141" s="69"/>
      <c r="AB141" s="47"/>
      <c r="AC141" s="47"/>
      <c r="AD141" s="47"/>
      <c r="AI141" s="47"/>
      <c r="AJ141" s="47"/>
      <c r="AK141" s="47"/>
      <c r="AL141" s="47"/>
      <c r="AM141" s="47"/>
      <c r="AN141" s="47"/>
    </row>
    <row r="142">
      <c r="A142" s="172" t="s">
        <v>1050</v>
      </c>
      <c r="B142" s="3" t="s">
        <v>887</v>
      </c>
      <c r="C142" s="6">
        <v>1.0</v>
      </c>
      <c r="D142" s="10">
        <f t="shared" ref="D142:D148" si="39">(G142/H142)*C142*I142</f>
        <v>40</v>
      </c>
      <c r="E142" s="6">
        <v>96.0</v>
      </c>
      <c r="F142" s="6">
        <v>1.0E9</v>
      </c>
      <c r="G142" s="6">
        <v>20.0</v>
      </c>
      <c r="H142" s="6">
        <v>1.0</v>
      </c>
      <c r="I142" s="10">
        <f t="shared" ref="I142:I148" si="40">ROUNDUP(F142/(N142*O142*P142*Q142))</f>
        <v>2</v>
      </c>
      <c r="J142" s="6" t="s">
        <v>564</v>
      </c>
      <c r="K142" s="6" t="s">
        <v>564</v>
      </c>
      <c r="L142" s="6"/>
      <c r="M142" s="6"/>
      <c r="N142" s="6">
        <v>16.0</v>
      </c>
      <c r="O142" s="6">
        <v>8.0</v>
      </c>
      <c r="P142" s="6">
        <v>32.0</v>
      </c>
      <c r="Q142" s="6">
        <v>131072.0</v>
      </c>
      <c r="R142" s="6">
        <v>1024.0</v>
      </c>
      <c r="S142" s="6" t="s">
        <v>564</v>
      </c>
      <c r="T142" s="6" t="s">
        <v>564</v>
      </c>
      <c r="U142" s="10">
        <v>2.52</v>
      </c>
      <c r="Z142" s="18">
        <f>D142*E142*min(R142,F142/16)*U142</f>
        <v>9909043.2</v>
      </c>
      <c r="AA142" s="18"/>
    </row>
    <row r="143">
      <c r="B143" s="3" t="s">
        <v>888</v>
      </c>
      <c r="C143" s="6">
        <v>1.0</v>
      </c>
      <c r="D143" s="10">
        <f t="shared" si="39"/>
        <v>40</v>
      </c>
      <c r="E143" s="6">
        <v>32.0</v>
      </c>
      <c r="F143" s="6">
        <v>1.0E9</v>
      </c>
      <c r="G143" s="6">
        <v>20.0</v>
      </c>
      <c r="H143" s="6">
        <v>1.0</v>
      </c>
      <c r="I143" s="10">
        <f t="shared" si="40"/>
        <v>2</v>
      </c>
      <c r="J143" s="6">
        <v>1.0</v>
      </c>
      <c r="K143" s="6">
        <v>1.0</v>
      </c>
      <c r="L143" s="6"/>
      <c r="M143" s="6"/>
      <c r="N143" s="6">
        <v>16.0</v>
      </c>
      <c r="O143" s="6">
        <v>8.0</v>
      </c>
      <c r="P143" s="6">
        <v>32.0</v>
      </c>
      <c r="Q143" s="6">
        <v>131072.0</v>
      </c>
      <c r="R143" s="6">
        <v>1024.0</v>
      </c>
      <c r="S143" s="10">
        <v>27.72</v>
      </c>
      <c r="T143" s="10">
        <v>28.98</v>
      </c>
      <c r="U143" s="10">
        <v>2.52</v>
      </c>
      <c r="Z143" s="18">
        <f>D143*E143*J143*S143+D143*E143*K143*T143</f>
        <v>72576</v>
      </c>
      <c r="AA143" s="18"/>
    </row>
    <row r="144">
      <c r="B144" s="3" t="s">
        <v>889</v>
      </c>
      <c r="C144" s="6">
        <v>1.0</v>
      </c>
      <c r="D144" s="10">
        <f t="shared" si="39"/>
        <v>40</v>
      </c>
      <c r="E144" s="6">
        <v>32.0</v>
      </c>
      <c r="F144" s="6">
        <v>1.0E9</v>
      </c>
      <c r="G144" s="6">
        <v>20.0</v>
      </c>
      <c r="H144" s="6">
        <v>1.0</v>
      </c>
      <c r="I144" s="10">
        <f t="shared" si="40"/>
        <v>2</v>
      </c>
      <c r="J144" s="10">
        <f>(4*E144+1)/E144</f>
        <v>4.03125</v>
      </c>
      <c r="K144" s="10">
        <f>(E144+1)/E144</f>
        <v>1.03125</v>
      </c>
      <c r="L144" s="10">
        <f>(4*E144+3)/E144</f>
        <v>4.09375</v>
      </c>
      <c r="M144" s="6">
        <v>2.52</v>
      </c>
      <c r="N144" s="6">
        <v>16.0</v>
      </c>
      <c r="O144" s="6">
        <v>8.0</v>
      </c>
      <c r="P144" s="6">
        <v>32.0</v>
      </c>
      <c r="Q144" s="6">
        <v>131072.0</v>
      </c>
      <c r="R144" s="6">
        <v>1024.0</v>
      </c>
      <c r="S144" s="10">
        <v>27.72</v>
      </c>
      <c r="T144" s="10">
        <v>28.98</v>
      </c>
      <c r="Z144" s="18">
        <f>D144*E144*J144*S144+D144*E144*K144*T144+D144*E144*L144*M144</f>
        <v>194493.6</v>
      </c>
      <c r="AA144" s="18"/>
    </row>
    <row r="145">
      <c r="B145" s="3" t="s">
        <v>890</v>
      </c>
      <c r="C145" s="6">
        <v>1.0</v>
      </c>
      <c r="D145" s="10">
        <f t="shared" si="39"/>
        <v>40</v>
      </c>
      <c r="E145" s="6">
        <v>32.0</v>
      </c>
      <c r="F145" s="6">
        <v>1.0E9</v>
      </c>
      <c r="G145" s="6">
        <v>20.0</v>
      </c>
      <c r="H145" s="6">
        <v>1.0</v>
      </c>
      <c r="I145" s="10">
        <f t="shared" si="40"/>
        <v>2</v>
      </c>
      <c r="J145" s="6">
        <v>1.0</v>
      </c>
      <c r="K145" s="6">
        <v>1.0</v>
      </c>
      <c r="L145" s="6"/>
      <c r="M145" s="6"/>
      <c r="N145" s="6">
        <v>16.0</v>
      </c>
      <c r="O145" s="6">
        <v>8.0</v>
      </c>
      <c r="P145" s="6">
        <v>32.0</v>
      </c>
      <c r="Q145" s="6">
        <v>131072.0</v>
      </c>
      <c r="R145" s="6">
        <v>1024.0</v>
      </c>
      <c r="S145" s="10">
        <v>27.72</v>
      </c>
      <c r="T145" s="10">
        <v>28.98</v>
      </c>
      <c r="Z145" s="18">
        <f>D145*E145*J145*S145+C145*D145*E145*K145*T145</f>
        <v>72576</v>
      </c>
      <c r="AA145" s="18"/>
    </row>
    <row r="146">
      <c r="A146" s="172" t="s">
        <v>1051</v>
      </c>
      <c r="B146" s="3" t="s">
        <v>892</v>
      </c>
      <c r="C146" s="6">
        <v>1.0</v>
      </c>
      <c r="D146" s="10">
        <f t="shared" si="39"/>
        <v>120</v>
      </c>
      <c r="E146" s="6">
        <v>32.0</v>
      </c>
      <c r="F146" s="6">
        <v>1.0E9</v>
      </c>
      <c r="G146" s="6">
        <f>G142*3</f>
        <v>60</v>
      </c>
      <c r="H146" s="6">
        <v>1.0</v>
      </c>
      <c r="I146" s="10">
        <f t="shared" si="40"/>
        <v>2</v>
      </c>
      <c r="J146" s="10">
        <f>2*E146/E146</f>
        <v>2</v>
      </c>
      <c r="K146" s="10">
        <f>1</f>
        <v>1</v>
      </c>
      <c r="L146" s="10">
        <f>(3*E146+1)/E146</f>
        <v>3.03125</v>
      </c>
      <c r="M146" s="6">
        <v>2.52</v>
      </c>
      <c r="N146" s="6">
        <v>16.0</v>
      </c>
      <c r="O146" s="6">
        <v>8.0</v>
      </c>
      <c r="P146" s="6">
        <v>32.0</v>
      </c>
      <c r="Q146" s="6">
        <v>131072.0</v>
      </c>
      <c r="R146" s="6">
        <v>1024.0</v>
      </c>
      <c r="S146" s="10">
        <v>27.72</v>
      </c>
      <c r="T146" s="10">
        <v>28.98</v>
      </c>
      <c r="Z146" s="18">
        <f t="shared" ref="Z146:Z148" si="41">D146*E146*J146*S146+D146*E146*K146*T146+D146*E146*L146*M146</f>
        <v>353505.6</v>
      </c>
      <c r="AA146" s="18"/>
    </row>
    <row r="147">
      <c r="B147" s="3" t="s">
        <v>893</v>
      </c>
      <c r="C147" s="6">
        <v>1.0</v>
      </c>
      <c r="D147" s="10">
        <f t="shared" si="39"/>
        <v>120</v>
      </c>
      <c r="E147" s="6">
        <v>32.0</v>
      </c>
      <c r="F147" s="6">
        <v>1.0E9</v>
      </c>
      <c r="G147" s="6">
        <f t="shared" ref="G147:G148" si="42">G142*3</f>
        <v>60</v>
      </c>
      <c r="H147" s="6">
        <v>1.0</v>
      </c>
      <c r="I147" s="10">
        <f t="shared" si="40"/>
        <v>2</v>
      </c>
      <c r="J147" s="6">
        <f>(E147+1)/E147</f>
        <v>1.03125</v>
      </c>
      <c r="K147" s="6">
        <v>1.0</v>
      </c>
      <c r="L147" s="10">
        <f>(4*E147+2)/E147</f>
        <v>4.0625</v>
      </c>
      <c r="M147" s="6">
        <v>2.52</v>
      </c>
      <c r="N147" s="6">
        <v>16.0</v>
      </c>
      <c r="O147" s="6">
        <v>8.0</v>
      </c>
      <c r="P147" s="6">
        <v>32.0</v>
      </c>
      <c r="Q147" s="6">
        <v>131072.0</v>
      </c>
      <c r="R147" s="6">
        <v>1024.0</v>
      </c>
      <c r="S147" s="10">
        <v>27.72</v>
      </c>
      <c r="T147" s="10">
        <v>28.98</v>
      </c>
      <c r="Z147" s="18">
        <f t="shared" si="41"/>
        <v>260366.4</v>
      </c>
      <c r="AA147" s="18"/>
    </row>
    <row r="148">
      <c r="B148" s="3" t="s">
        <v>894</v>
      </c>
      <c r="C148" s="6">
        <v>1.0</v>
      </c>
      <c r="D148" s="10">
        <f t="shared" si="39"/>
        <v>120</v>
      </c>
      <c r="E148" s="6">
        <v>32.0</v>
      </c>
      <c r="F148" s="6">
        <v>1.0E9</v>
      </c>
      <c r="G148" s="6">
        <f t="shared" si="42"/>
        <v>60</v>
      </c>
      <c r="H148" s="6">
        <v>1.0</v>
      </c>
      <c r="I148" s="10">
        <f t="shared" si="40"/>
        <v>2</v>
      </c>
      <c r="J148" s="6">
        <v>2.0</v>
      </c>
      <c r="K148" s="6">
        <v>1.0</v>
      </c>
      <c r="L148" s="10">
        <f>(3*E148+1)/E148</f>
        <v>3.03125</v>
      </c>
      <c r="M148" s="6">
        <v>2.52</v>
      </c>
      <c r="N148" s="6">
        <v>16.0</v>
      </c>
      <c r="O148" s="6">
        <v>8.0</v>
      </c>
      <c r="P148" s="6">
        <v>32.0</v>
      </c>
      <c r="Q148" s="6">
        <v>131072.0</v>
      </c>
      <c r="R148" s="6">
        <v>1024.0</v>
      </c>
      <c r="S148" s="10">
        <v>27.72</v>
      </c>
      <c r="T148" s="10">
        <v>28.98</v>
      </c>
      <c r="Z148" s="18">
        <f t="shared" si="41"/>
        <v>353505.6</v>
      </c>
      <c r="AA148" s="18"/>
    </row>
    <row r="149">
      <c r="A149" s="172"/>
      <c r="B149" s="3"/>
      <c r="C149" s="6"/>
      <c r="E149" s="6"/>
      <c r="F149" s="6"/>
      <c r="G149" s="6"/>
      <c r="H149" s="6"/>
      <c r="I149" s="3"/>
      <c r="M149" s="6"/>
      <c r="N149" s="6"/>
      <c r="O149" s="6"/>
      <c r="P149" s="6"/>
      <c r="Q149" s="6"/>
      <c r="R149" s="6"/>
      <c r="Y149" s="6" t="s">
        <v>204</v>
      </c>
      <c r="Z149" s="18">
        <f>sum(Z142:Z148)</f>
        <v>11216066.4</v>
      </c>
      <c r="AA149" s="18"/>
    </row>
    <row r="150">
      <c r="A150" s="173"/>
    </row>
    <row r="151">
      <c r="A151" s="164" t="s">
        <v>1052</v>
      </c>
      <c r="B151" s="165" t="s">
        <v>1053</v>
      </c>
      <c r="C151" s="23" t="s">
        <v>1054</v>
      </c>
      <c r="D151" s="24" t="s">
        <v>1055</v>
      </c>
      <c r="E151" s="26" t="s">
        <v>1056</v>
      </c>
      <c r="F151" s="166" t="s">
        <v>1057</v>
      </c>
      <c r="G151" s="27" t="s">
        <v>1058</v>
      </c>
      <c r="H151" s="26" t="s">
        <v>1059</v>
      </c>
      <c r="I151" s="26" t="s">
        <v>1060</v>
      </c>
      <c r="J151" s="167"/>
      <c r="K151" s="167"/>
      <c r="L151" s="168"/>
      <c r="M151" s="168"/>
      <c r="N151" s="168"/>
      <c r="O151" s="168"/>
      <c r="P151" s="168"/>
      <c r="Q151" s="168"/>
      <c r="R151" s="168"/>
      <c r="S151" s="169"/>
      <c r="T151" s="169"/>
      <c r="U151" s="169"/>
      <c r="V151" s="30" t="s">
        <v>1061</v>
      </c>
      <c r="W151" s="170"/>
      <c r="X151" s="170"/>
      <c r="Y151" s="170"/>
      <c r="Z151" s="170"/>
      <c r="AA151" s="171"/>
      <c r="AB151" s="170"/>
      <c r="AC151" s="170"/>
      <c r="AD151" s="170"/>
      <c r="AI151" s="170"/>
      <c r="AJ151" s="170"/>
      <c r="AK151" s="170"/>
      <c r="AL151" s="170"/>
      <c r="AM151" s="170"/>
      <c r="AN151" s="170"/>
    </row>
    <row r="152">
      <c r="B152" s="20"/>
      <c r="C152" s="32" t="s">
        <v>106</v>
      </c>
      <c r="D152" s="33"/>
      <c r="E152" s="33"/>
      <c r="F152" s="33"/>
      <c r="G152" s="33"/>
      <c r="H152" s="33"/>
      <c r="I152" s="34"/>
      <c r="J152" s="35"/>
      <c r="K152" s="34"/>
      <c r="L152" s="116"/>
      <c r="M152" s="116"/>
      <c r="N152" s="37" t="s">
        <v>107</v>
      </c>
      <c r="O152" s="33"/>
      <c r="P152" s="33"/>
      <c r="Q152" s="34"/>
      <c r="R152" s="116"/>
      <c r="S152" s="156" t="s">
        <v>723</v>
      </c>
      <c r="T152" s="33"/>
      <c r="U152" s="34"/>
      <c r="V152" s="39" t="s">
        <v>109</v>
      </c>
      <c r="W152" s="33"/>
      <c r="X152" s="34"/>
      <c r="Z152" s="3" t="s">
        <v>130</v>
      </c>
      <c r="AA152" s="46" t="s">
        <v>131</v>
      </c>
    </row>
    <row r="153">
      <c r="A153" s="47"/>
      <c r="B153" s="40"/>
      <c r="C153" s="41" t="s">
        <v>110</v>
      </c>
      <c r="D153" s="42" t="s">
        <v>111</v>
      </c>
      <c r="E153" s="43" t="s">
        <v>112</v>
      </c>
      <c r="F153" s="44" t="s">
        <v>113</v>
      </c>
      <c r="G153" s="41" t="s">
        <v>885</v>
      </c>
      <c r="H153" s="41" t="s">
        <v>115</v>
      </c>
      <c r="I153" s="45" t="s">
        <v>116</v>
      </c>
      <c r="J153" s="43" t="s">
        <v>117</v>
      </c>
      <c r="K153" s="43" t="s">
        <v>118</v>
      </c>
      <c r="L153" s="43" t="s">
        <v>119</v>
      </c>
      <c r="M153" s="43" t="s">
        <v>560</v>
      </c>
      <c r="N153" s="44" t="s">
        <v>121</v>
      </c>
      <c r="O153" s="44" t="s">
        <v>122</v>
      </c>
      <c r="P153" s="44" t="s">
        <v>123</v>
      </c>
      <c r="Q153" s="44" t="s">
        <v>124</v>
      </c>
      <c r="R153" s="43" t="s">
        <v>280</v>
      </c>
      <c r="S153" s="43" t="s">
        <v>648</v>
      </c>
      <c r="T153" s="43" t="s">
        <v>649</v>
      </c>
      <c r="U153" s="6" t="s">
        <v>196</v>
      </c>
      <c r="V153" s="43" t="s">
        <v>127</v>
      </c>
      <c r="W153" s="43" t="s">
        <v>128</v>
      </c>
      <c r="X153" s="43" t="s">
        <v>129</v>
      </c>
      <c r="Y153" s="47"/>
      <c r="Z153" s="47"/>
      <c r="AA153" s="69"/>
      <c r="AB153" s="47"/>
      <c r="AD153" s="47"/>
      <c r="AI153" s="47"/>
      <c r="AJ153" s="47"/>
      <c r="AK153" s="47"/>
      <c r="AL153" s="47"/>
      <c r="AM153" s="47"/>
      <c r="AN153" s="47"/>
    </row>
    <row r="154">
      <c r="A154" s="172" t="s">
        <v>1062</v>
      </c>
      <c r="B154" s="3" t="s">
        <v>906</v>
      </c>
      <c r="C154" s="6">
        <v>1.0</v>
      </c>
      <c r="D154" s="10">
        <f t="shared" ref="D154:D157" si="43">(G154/H154)*C154*I154</f>
        <v>40</v>
      </c>
      <c r="E154" s="6">
        <v>1.0</v>
      </c>
      <c r="F154" s="6">
        <v>1.0E9</v>
      </c>
      <c r="G154" s="6">
        <v>20.0</v>
      </c>
      <c r="H154" s="6">
        <v>1.0</v>
      </c>
      <c r="I154" s="10">
        <f t="shared" ref="I154:I157" si="44">ROUNDUP(F154/(N154*O154*P154*Q154))</f>
        <v>2</v>
      </c>
      <c r="J154" s="6">
        <v>1.0</v>
      </c>
      <c r="K154" s="6">
        <v>1.0</v>
      </c>
      <c r="L154" s="6"/>
      <c r="M154" s="6"/>
      <c r="N154" s="6">
        <v>16.0</v>
      </c>
      <c r="O154" s="6">
        <v>8.0</v>
      </c>
      <c r="P154" s="6">
        <v>32.0</v>
      </c>
      <c r="Q154" s="6">
        <v>131072.0</v>
      </c>
      <c r="R154" s="6">
        <v>1024.0</v>
      </c>
      <c r="S154" s="10">
        <v>27.72</v>
      </c>
      <c r="T154" s="10">
        <v>28.98</v>
      </c>
      <c r="U154" s="6" t="s">
        <v>564</v>
      </c>
      <c r="Z154" s="18">
        <f>D154*E154*J154*S154+D154*E154*K154*T154</f>
        <v>2268</v>
      </c>
      <c r="AA154" s="70">
        <f>53033276589000/24395.0136*1.363848974</f>
        <v>2964924761</v>
      </c>
    </row>
    <row r="155">
      <c r="B155" s="3" t="s">
        <v>907</v>
      </c>
      <c r="C155" s="6">
        <v>1.0</v>
      </c>
      <c r="D155" s="10">
        <f t="shared" si="43"/>
        <v>40</v>
      </c>
      <c r="E155" s="6">
        <v>32.0</v>
      </c>
      <c r="F155" s="6">
        <v>1.0E9</v>
      </c>
      <c r="G155" s="6">
        <v>20.0</v>
      </c>
      <c r="H155" s="6">
        <v>1.0</v>
      </c>
      <c r="I155" s="10">
        <f t="shared" si="44"/>
        <v>2</v>
      </c>
      <c r="J155" s="6">
        <v>2.0</v>
      </c>
      <c r="K155" s="6">
        <v>1.0</v>
      </c>
      <c r="L155" s="6">
        <v>2.0</v>
      </c>
      <c r="M155" s="6">
        <v>2.52</v>
      </c>
      <c r="N155" s="6">
        <v>16.0</v>
      </c>
      <c r="O155" s="6">
        <v>8.0</v>
      </c>
      <c r="P155" s="6">
        <v>32.0</v>
      </c>
      <c r="Q155" s="6">
        <v>131072.0</v>
      </c>
      <c r="R155" s="6">
        <v>1024.0</v>
      </c>
      <c r="S155" s="10">
        <v>27.72</v>
      </c>
      <c r="T155" s="10">
        <v>28.98</v>
      </c>
      <c r="U155" s="6" t="s">
        <v>564</v>
      </c>
      <c r="Z155" s="18">
        <f>D155*E155*J155*S155+D155*E155*K155*T155+D155*E155*L155*M155</f>
        <v>114508.8</v>
      </c>
      <c r="AA155" s="18"/>
    </row>
    <row r="156">
      <c r="A156" s="172" t="s">
        <v>1063</v>
      </c>
      <c r="B156" s="174" t="s">
        <v>909</v>
      </c>
      <c r="C156" s="6">
        <v>1.0</v>
      </c>
      <c r="D156" s="10">
        <f t="shared" si="43"/>
        <v>120</v>
      </c>
      <c r="E156" s="6">
        <v>32.0</v>
      </c>
      <c r="F156" s="6">
        <v>1.0E9</v>
      </c>
      <c r="G156" s="10">
        <f>G155*3</f>
        <v>60</v>
      </c>
      <c r="H156" s="6">
        <v>1.0</v>
      </c>
      <c r="I156" s="10">
        <f t="shared" si="44"/>
        <v>2</v>
      </c>
      <c r="J156" s="6" t="s">
        <v>564</v>
      </c>
      <c r="K156" s="6" t="s">
        <v>564</v>
      </c>
      <c r="L156" s="6"/>
      <c r="M156" s="6"/>
      <c r="N156" s="6">
        <v>16.0</v>
      </c>
      <c r="O156" s="6">
        <v>8.0</v>
      </c>
      <c r="P156" s="6">
        <v>32.0</v>
      </c>
      <c r="Q156" s="6">
        <v>131072.0</v>
      </c>
      <c r="R156" s="6">
        <v>1024.0</v>
      </c>
      <c r="S156" s="6" t="s">
        <v>564</v>
      </c>
      <c r="T156" s="6" t="s">
        <v>564</v>
      </c>
      <c r="U156" s="6" t="s">
        <v>564</v>
      </c>
      <c r="V156" s="6">
        <v>10.0</v>
      </c>
      <c r="W156" s="10">
        <f>Q156</f>
        <v>131072</v>
      </c>
      <c r="X156" s="6">
        <v>3200.0</v>
      </c>
      <c r="Z156" s="18">
        <f>D156*V156*MIN(W156,F156)/(X156*10^6)*10^9</f>
        <v>49152000</v>
      </c>
      <c r="AA156" s="18"/>
    </row>
    <row r="157">
      <c r="B157" s="174" t="s">
        <v>910</v>
      </c>
      <c r="C157" s="6">
        <v>1.0</v>
      </c>
      <c r="D157" s="10">
        <f t="shared" si="43"/>
        <v>120</v>
      </c>
      <c r="E157" s="6">
        <v>1.0</v>
      </c>
      <c r="F157" s="6">
        <v>1.0E9</v>
      </c>
      <c r="G157" s="10">
        <f>G155*3</f>
        <v>60</v>
      </c>
      <c r="H157" s="6">
        <v>1.0</v>
      </c>
      <c r="I157" s="10">
        <f t="shared" si="44"/>
        <v>2</v>
      </c>
      <c r="J157" s="6" t="s">
        <v>564</v>
      </c>
      <c r="K157" s="6" t="s">
        <v>564</v>
      </c>
      <c r="L157" s="6"/>
      <c r="M157" s="6"/>
      <c r="N157" s="6">
        <v>16.0</v>
      </c>
      <c r="O157" s="6">
        <v>8.0</v>
      </c>
      <c r="P157" s="6">
        <v>32.0</v>
      </c>
      <c r="Q157" s="6">
        <v>131072.0</v>
      </c>
      <c r="R157" s="6">
        <v>1024.0</v>
      </c>
      <c r="S157" s="6" t="s">
        <v>564</v>
      </c>
      <c r="T157" s="6" t="s">
        <v>564</v>
      </c>
      <c r="U157" s="6" t="s">
        <v>564</v>
      </c>
      <c r="Z157" s="18">
        <f>D157* 1.01 * 0.63 * MIN(F157/64,Q157/64)</f>
        <v>156377.088</v>
      </c>
      <c r="AA157" s="18"/>
    </row>
    <row r="158">
      <c r="B158" s="20"/>
      <c r="Y158" s="6" t="s">
        <v>204</v>
      </c>
      <c r="Z158" s="50">
        <f>sum(Z154:Z157)</f>
        <v>49425153.89</v>
      </c>
      <c r="AA158" s="18"/>
    </row>
    <row r="159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 t="s">
        <v>911</v>
      </c>
      <c r="Z159" s="176">
        <f>Z158+Z149</f>
        <v>60641220.29</v>
      </c>
      <c r="AA159" s="175">
        <f>AA154/Z159</f>
        <v>48.89289409</v>
      </c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</row>
    <row r="160">
      <c r="B160" s="20"/>
      <c r="AA160" s="18"/>
    </row>
    <row r="161">
      <c r="B161" s="20"/>
      <c r="AA161" s="18"/>
    </row>
    <row r="162">
      <c r="B162" s="20"/>
      <c r="AA162" s="18"/>
    </row>
    <row r="163">
      <c r="B163" s="20"/>
      <c r="AA163" s="18"/>
    </row>
    <row r="164">
      <c r="B164" s="20"/>
      <c r="AA164" s="18"/>
    </row>
    <row r="165">
      <c r="B165" s="20"/>
      <c r="AA165" s="18"/>
    </row>
    <row r="166">
      <c r="B166" s="20"/>
      <c r="AA166" s="18"/>
    </row>
    <row r="167">
      <c r="B167" s="20"/>
      <c r="AA167" s="18"/>
    </row>
    <row r="168">
      <c r="B168" s="20"/>
      <c r="AA168" s="18"/>
    </row>
    <row r="169">
      <c r="B169" s="20"/>
      <c r="AA169" s="18"/>
    </row>
    <row r="170">
      <c r="B170" s="20"/>
      <c r="AA170" s="18"/>
    </row>
    <row r="171">
      <c r="B171" s="20"/>
      <c r="AA171" s="18"/>
    </row>
    <row r="172">
      <c r="B172" s="20"/>
      <c r="AA172" s="18"/>
    </row>
    <row r="173">
      <c r="B173" s="20"/>
      <c r="AA173" s="18"/>
    </row>
    <row r="174">
      <c r="B174" s="20"/>
      <c r="AA174" s="18"/>
    </row>
    <row r="175">
      <c r="B175" s="20"/>
      <c r="AA175" s="18"/>
    </row>
    <row r="176">
      <c r="B176" s="20"/>
      <c r="AA176" s="18"/>
    </row>
    <row r="177">
      <c r="B177" s="20"/>
      <c r="AA177" s="18"/>
    </row>
    <row r="178">
      <c r="B178" s="20"/>
      <c r="AA178" s="18"/>
    </row>
    <row r="179">
      <c r="B179" s="20"/>
      <c r="AA179" s="18"/>
    </row>
    <row r="180">
      <c r="B180" s="20"/>
      <c r="AA180" s="18"/>
    </row>
    <row r="181">
      <c r="B181" s="20"/>
      <c r="AA181" s="18"/>
    </row>
    <row r="182">
      <c r="B182" s="20"/>
      <c r="AA182" s="18"/>
    </row>
    <row r="183">
      <c r="B183" s="20"/>
      <c r="AA183" s="18"/>
    </row>
    <row r="184">
      <c r="B184" s="20"/>
      <c r="AA184" s="18"/>
    </row>
    <row r="185">
      <c r="B185" s="20"/>
      <c r="AA185" s="18"/>
    </row>
    <row r="186">
      <c r="B186" s="20"/>
      <c r="AA186" s="18"/>
    </row>
    <row r="187">
      <c r="B187" s="20"/>
      <c r="AA187" s="18"/>
    </row>
    <row r="188">
      <c r="B188" s="20"/>
      <c r="AA188" s="18"/>
    </row>
    <row r="189">
      <c r="B189" s="20"/>
      <c r="AA189" s="18"/>
    </row>
    <row r="190">
      <c r="B190" s="20"/>
      <c r="AA190" s="18"/>
    </row>
    <row r="191">
      <c r="B191" s="20"/>
      <c r="AA191" s="18"/>
    </row>
    <row r="192">
      <c r="B192" s="20"/>
      <c r="AA192" s="18"/>
    </row>
    <row r="193">
      <c r="B193" s="20"/>
      <c r="AA193" s="18"/>
    </row>
    <row r="194">
      <c r="B194" s="20"/>
      <c r="AA194" s="18"/>
    </row>
    <row r="195">
      <c r="B195" s="20"/>
      <c r="AA195" s="18"/>
    </row>
    <row r="196">
      <c r="B196" s="20"/>
      <c r="AA196" s="18"/>
    </row>
    <row r="197">
      <c r="B197" s="20"/>
      <c r="AA197" s="18"/>
    </row>
    <row r="198">
      <c r="B198" s="20"/>
      <c r="AA198" s="18"/>
    </row>
    <row r="199">
      <c r="B199" s="20"/>
      <c r="AA199" s="18"/>
    </row>
    <row r="200">
      <c r="B200" s="20"/>
      <c r="AA200" s="18"/>
    </row>
    <row r="201">
      <c r="B201" s="20"/>
      <c r="AA201" s="18"/>
    </row>
    <row r="202">
      <c r="B202" s="20"/>
      <c r="AA202" s="18"/>
    </row>
    <row r="203">
      <c r="B203" s="20"/>
      <c r="AA203" s="18"/>
    </row>
    <row r="204">
      <c r="B204" s="20"/>
      <c r="AA204" s="18"/>
    </row>
    <row r="205">
      <c r="B205" s="20"/>
      <c r="AA205" s="18"/>
    </row>
    <row r="206">
      <c r="B206" s="20"/>
      <c r="AA206" s="18"/>
    </row>
    <row r="207">
      <c r="B207" s="20"/>
      <c r="AA207" s="18"/>
    </row>
    <row r="208">
      <c r="B208" s="20"/>
      <c r="AA208" s="18"/>
    </row>
    <row r="209">
      <c r="B209" s="20"/>
      <c r="AA209" s="18"/>
    </row>
    <row r="210">
      <c r="B210" s="20"/>
      <c r="AA210" s="18"/>
    </row>
    <row r="211">
      <c r="B211" s="20"/>
      <c r="AA211" s="18"/>
    </row>
    <row r="212">
      <c r="B212" s="20"/>
      <c r="AA212" s="18"/>
    </row>
    <row r="213">
      <c r="B213" s="20"/>
      <c r="AA213" s="18"/>
    </row>
    <row r="214">
      <c r="B214" s="20"/>
      <c r="AA214" s="18"/>
    </row>
    <row r="215">
      <c r="B215" s="20"/>
      <c r="AA215" s="18"/>
    </row>
    <row r="216">
      <c r="B216" s="20"/>
      <c r="AA216" s="18"/>
    </row>
    <row r="217">
      <c r="B217" s="20"/>
      <c r="AA217" s="18"/>
    </row>
    <row r="218">
      <c r="B218" s="20"/>
      <c r="AA218" s="18"/>
    </row>
    <row r="219">
      <c r="B219" s="20"/>
      <c r="AA219" s="18"/>
    </row>
    <row r="220">
      <c r="B220" s="20"/>
      <c r="AA220" s="18"/>
    </row>
    <row r="221">
      <c r="B221" s="20"/>
      <c r="AA221" s="18"/>
    </row>
    <row r="222">
      <c r="B222" s="20"/>
      <c r="AA222" s="18"/>
    </row>
    <row r="223">
      <c r="B223" s="20"/>
      <c r="AA223" s="18"/>
    </row>
    <row r="224">
      <c r="B224" s="20"/>
      <c r="AA224" s="18"/>
    </row>
    <row r="225">
      <c r="B225" s="20"/>
      <c r="AA225" s="18"/>
    </row>
    <row r="226">
      <c r="B226" s="20"/>
      <c r="AA226" s="18"/>
    </row>
    <row r="227">
      <c r="B227" s="20"/>
      <c r="AA227" s="18"/>
    </row>
    <row r="228">
      <c r="B228" s="20"/>
      <c r="AA228" s="18"/>
    </row>
    <row r="229">
      <c r="B229" s="20"/>
      <c r="AA229" s="18"/>
    </row>
    <row r="230">
      <c r="B230" s="20"/>
      <c r="AA230" s="18"/>
    </row>
    <row r="231">
      <c r="B231" s="20"/>
      <c r="AA231" s="18"/>
    </row>
    <row r="232">
      <c r="B232" s="20"/>
      <c r="AA232" s="18"/>
    </row>
    <row r="233">
      <c r="B233" s="20"/>
      <c r="AA233" s="18"/>
    </row>
    <row r="234">
      <c r="B234" s="20"/>
      <c r="AA234" s="18"/>
    </row>
    <row r="235">
      <c r="B235" s="20"/>
      <c r="AA235" s="18"/>
    </row>
    <row r="236">
      <c r="B236" s="20"/>
      <c r="AA236" s="18"/>
    </row>
    <row r="237">
      <c r="B237" s="20"/>
      <c r="AA237" s="18"/>
    </row>
    <row r="238">
      <c r="B238" s="20"/>
      <c r="AA238" s="18"/>
    </row>
    <row r="239">
      <c r="B239" s="20"/>
      <c r="AA239" s="18"/>
    </row>
    <row r="240">
      <c r="B240" s="20"/>
      <c r="AA240" s="18"/>
    </row>
    <row r="241">
      <c r="B241" s="20"/>
      <c r="AA241" s="18"/>
    </row>
    <row r="242">
      <c r="B242" s="20"/>
      <c r="AA242" s="18"/>
    </row>
    <row r="243">
      <c r="B243" s="20"/>
      <c r="AA243" s="18"/>
    </row>
    <row r="244">
      <c r="B244" s="20"/>
      <c r="AA244" s="18"/>
    </row>
    <row r="245">
      <c r="B245" s="20"/>
      <c r="AA245" s="18"/>
    </row>
    <row r="246">
      <c r="B246" s="20"/>
      <c r="AA246" s="18"/>
    </row>
    <row r="247">
      <c r="B247" s="20"/>
      <c r="AA247" s="18"/>
    </row>
    <row r="248">
      <c r="B248" s="20"/>
      <c r="AA248" s="18"/>
    </row>
    <row r="249">
      <c r="B249" s="20"/>
      <c r="AA249" s="18"/>
    </row>
    <row r="250">
      <c r="B250" s="20"/>
      <c r="AA250" s="18"/>
    </row>
    <row r="251">
      <c r="B251" s="20"/>
      <c r="AA251" s="18"/>
    </row>
    <row r="252">
      <c r="B252" s="20"/>
      <c r="AA252" s="18"/>
    </row>
    <row r="253">
      <c r="B253" s="20"/>
      <c r="AA253" s="18"/>
    </row>
    <row r="254">
      <c r="B254" s="20"/>
      <c r="AA254" s="18"/>
    </row>
    <row r="255">
      <c r="B255" s="20"/>
      <c r="AA255" s="18"/>
    </row>
    <row r="256">
      <c r="B256" s="20"/>
      <c r="AA256" s="18"/>
    </row>
    <row r="257">
      <c r="B257" s="20"/>
      <c r="AA257" s="18"/>
    </row>
    <row r="258">
      <c r="B258" s="20"/>
      <c r="AA258" s="18"/>
    </row>
    <row r="259">
      <c r="B259" s="20"/>
      <c r="AA259" s="18"/>
    </row>
    <row r="260">
      <c r="B260" s="20"/>
      <c r="AA260" s="18"/>
    </row>
    <row r="261">
      <c r="B261" s="20"/>
      <c r="AA261" s="18"/>
    </row>
    <row r="262">
      <c r="B262" s="20"/>
      <c r="AA262" s="18"/>
    </row>
    <row r="263">
      <c r="B263" s="20"/>
      <c r="AA263" s="18"/>
    </row>
    <row r="264">
      <c r="B264" s="20"/>
      <c r="AA264" s="18"/>
    </row>
    <row r="265">
      <c r="B265" s="20"/>
      <c r="AA265" s="18"/>
    </row>
    <row r="266">
      <c r="B266" s="20"/>
      <c r="AA266" s="18"/>
    </row>
    <row r="267">
      <c r="B267" s="20"/>
      <c r="AA267" s="18"/>
    </row>
    <row r="268">
      <c r="B268" s="20"/>
      <c r="AA268" s="18"/>
    </row>
    <row r="269">
      <c r="B269" s="20"/>
      <c r="AA269" s="18"/>
    </row>
    <row r="270">
      <c r="B270" s="20"/>
      <c r="AA270" s="18"/>
    </row>
    <row r="271">
      <c r="B271" s="20"/>
      <c r="AA271" s="18"/>
    </row>
    <row r="272">
      <c r="B272" s="20"/>
      <c r="AA272" s="18"/>
    </row>
    <row r="273">
      <c r="B273" s="20"/>
      <c r="AA273" s="18"/>
    </row>
    <row r="274">
      <c r="B274" s="20"/>
      <c r="AA274" s="18"/>
    </row>
    <row r="275">
      <c r="B275" s="20"/>
      <c r="AA275" s="18"/>
    </row>
    <row r="276">
      <c r="B276" s="20"/>
      <c r="AA276" s="18"/>
    </row>
    <row r="277">
      <c r="B277" s="20"/>
      <c r="AA277" s="18"/>
    </row>
    <row r="278">
      <c r="B278" s="20"/>
      <c r="AA278" s="18"/>
    </row>
    <row r="279">
      <c r="B279" s="20"/>
      <c r="AA279" s="18"/>
    </row>
    <row r="280">
      <c r="B280" s="20"/>
      <c r="AA280" s="18"/>
    </row>
    <row r="281">
      <c r="B281" s="20"/>
      <c r="AA281" s="18"/>
    </row>
    <row r="282">
      <c r="B282" s="20"/>
      <c r="AA282" s="18"/>
    </row>
    <row r="283">
      <c r="B283" s="20"/>
      <c r="AA283" s="18"/>
    </row>
    <row r="284">
      <c r="B284" s="20"/>
      <c r="AA284" s="18"/>
    </row>
    <row r="285">
      <c r="B285" s="20"/>
      <c r="AA285" s="18"/>
    </row>
    <row r="286">
      <c r="B286" s="20"/>
      <c r="AA286" s="18"/>
    </row>
    <row r="287">
      <c r="B287" s="20"/>
      <c r="AA287" s="18"/>
    </row>
    <row r="288">
      <c r="B288" s="20"/>
      <c r="AA288" s="18"/>
    </row>
    <row r="289">
      <c r="B289" s="20"/>
      <c r="AA289" s="18"/>
    </row>
    <row r="290">
      <c r="B290" s="20"/>
      <c r="AA290" s="18"/>
    </row>
    <row r="291">
      <c r="B291" s="20"/>
      <c r="AA291" s="18"/>
    </row>
    <row r="292">
      <c r="B292" s="20"/>
      <c r="AA292" s="18"/>
    </row>
    <row r="293">
      <c r="B293" s="20"/>
      <c r="AA293" s="18"/>
    </row>
    <row r="294">
      <c r="B294" s="20"/>
      <c r="AA294" s="18"/>
    </row>
    <row r="295">
      <c r="B295" s="20"/>
      <c r="AA295" s="18"/>
    </row>
    <row r="296">
      <c r="B296" s="20"/>
      <c r="AA296" s="18"/>
    </row>
    <row r="297">
      <c r="B297" s="20"/>
      <c r="AA297" s="18"/>
    </row>
    <row r="298">
      <c r="B298" s="20"/>
      <c r="AA298" s="18"/>
    </row>
    <row r="299">
      <c r="B299" s="20"/>
      <c r="AA299" s="18"/>
    </row>
    <row r="300">
      <c r="B300" s="20"/>
      <c r="AA300" s="18"/>
    </row>
    <row r="301">
      <c r="B301" s="20"/>
      <c r="AA301" s="18"/>
    </row>
    <row r="302">
      <c r="B302" s="20"/>
      <c r="AA302" s="18"/>
    </row>
    <row r="303">
      <c r="B303" s="20"/>
      <c r="AA303" s="18"/>
    </row>
    <row r="304">
      <c r="B304" s="20"/>
      <c r="AA304" s="18"/>
    </row>
    <row r="305">
      <c r="B305" s="20"/>
      <c r="AA305" s="18"/>
    </row>
    <row r="306">
      <c r="B306" s="20"/>
      <c r="AA306" s="18"/>
    </row>
    <row r="307">
      <c r="B307" s="20"/>
      <c r="AA307" s="18"/>
    </row>
    <row r="308">
      <c r="B308" s="20"/>
      <c r="AA308" s="18"/>
    </row>
    <row r="309">
      <c r="B309" s="20"/>
      <c r="AA309" s="18"/>
    </row>
    <row r="310">
      <c r="B310" s="20"/>
      <c r="AA310" s="18"/>
    </row>
    <row r="311">
      <c r="B311" s="20"/>
      <c r="AA311" s="18"/>
    </row>
    <row r="312">
      <c r="B312" s="20"/>
      <c r="AA312" s="18"/>
    </row>
    <row r="313">
      <c r="B313" s="20"/>
      <c r="AA313" s="18"/>
    </row>
    <row r="314">
      <c r="B314" s="20"/>
      <c r="AA314" s="18"/>
    </row>
    <row r="315">
      <c r="B315" s="20"/>
      <c r="AA315" s="18"/>
    </row>
    <row r="316">
      <c r="B316" s="20"/>
      <c r="AA316" s="18"/>
    </row>
    <row r="317">
      <c r="B317" s="20"/>
      <c r="AA317" s="18"/>
    </row>
    <row r="318">
      <c r="B318" s="20"/>
      <c r="AA318" s="18"/>
    </row>
    <row r="319">
      <c r="B319" s="20"/>
      <c r="AA319" s="18"/>
    </row>
    <row r="320">
      <c r="B320" s="20"/>
      <c r="AA320" s="18"/>
    </row>
    <row r="321">
      <c r="B321" s="20"/>
      <c r="AA321" s="18"/>
    </row>
    <row r="322">
      <c r="B322" s="20"/>
      <c r="AA322" s="18"/>
    </row>
    <row r="323">
      <c r="B323" s="20"/>
      <c r="AA323" s="18"/>
    </row>
    <row r="324">
      <c r="B324" s="20"/>
      <c r="AA324" s="18"/>
    </row>
    <row r="325">
      <c r="B325" s="20"/>
      <c r="AA325" s="18"/>
    </row>
    <row r="326">
      <c r="B326" s="20"/>
      <c r="AA326" s="18"/>
    </row>
    <row r="327">
      <c r="B327" s="20"/>
      <c r="AA327" s="18"/>
    </row>
    <row r="328">
      <c r="B328" s="20"/>
      <c r="AA328" s="18"/>
    </row>
    <row r="329">
      <c r="B329" s="20"/>
      <c r="AA329" s="18"/>
    </row>
    <row r="330">
      <c r="B330" s="20"/>
      <c r="AA330" s="18"/>
    </row>
    <row r="331">
      <c r="B331" s="20"/>
      <c r="AA331" s="18"/>
    </row>
    <row r="332">
      <c r="B332" s="20"/>
      <c r="AA332" s="18"/>
    </row>
    <row r="333">
      <c r="B333" s="20"/>
      <c r="AA333" s="18"/>
    </row>
    <row r="334">
      <c r="B334" s="20"/>
      <c r="AA334" s="18"/>
    </row>
    <row r="335">
      <c r="B335" s="20"/>
      <c r="AA335" s="18"/>
    </row>
    <row r="336">
      <c r="B336" s="20"/>
      <c r="AA336" s="18"/>
    </row>
    <row r="337">
      <c r="B337" s="20"/>
      <c r="AA337" s="18"/>
    </row>
    <row r="338">
      <c r="B338" s="20"/>
      <c r="AA338" s="18"/>
    </row>
    <row r="339">
      <c r="B339" s="20"/>
      <c r="AA339" s="18"/>
    </row>
    <row r="340">
      <c r="B340" s="20"/>
      <c r="AA340" s="18"/>
    </row>
    <row r="341">
      <c r="B341" s="20"/>
      <c r="AA341" s="18"/>
    </row>
    <row r="342">
      <c r="B342" s="20"/>
      <c r="AA342" s="18"/>
    </row>
    <row r="343">
      <c r="B343" s="20"/>
      <c r="AA343" s="18"/>
    </row>
    <row r="344">
      <c r="B344" s="20"/>
      <c r="AA344" s="18"/>
    </row>
    <row r="345">
      <c r="B345" s="20"/>
      <c r="AA345" s="18"/>
    </row>
    <row r="346">
      <c r="B346" s="20"/>
      <c r="AA346" s="18"/>
    </row>
    <row r="347">
      <c r="B347" s="20"/>
      <c r="AA347" s="18"/>
    </row>
    <row r="348">
      <c r="B348" s="20"/>
      <c r="AA348" s="18"/>
    </row>
    <row r="349">
      <c r="B349" s="20"/>
      <c r="AA349" s="18"/>
    </row>
    <row r="350">
      <c r="B350" s="20"/>
      <c r="AA350" s="18"/>
    </row>
    <row r="351">
      <c r="B351" s="20"/>
      <c r="AA351" s="18"/>
    </row>
    <row r="352">
      <c r="B352" s="20"/>
      <c r="AA352" s="18"/>
    </row>
    <row r="353">
      <c r="B353" s="20"/>
      <c r="AA353" s="18"/>
    </row>
    <row r="354">
      <c r="B354" s="20"/>
      <c r="AA354" s="18"/>
    </row>
    <row r="355">
      <c r="B355" s="20"/>
      <c r="AA355" s="18"/>
    </row>
    <row r="356">
      <c r="B356" s="20"/>
      <c r="AA356" s="18"/>
    </row>
    <row r="357">
      <c r="B357" s="20"/>
      <c r="AA357" s="18"/>
    </row>
    <row r="358">
      <c r="B358" s="20"/>
      <c r="AA358" s="18"/>
    </row>
    <row r="359">
      <c r="B359" s="20"/>
      <c r="AA359" s="18"/>
    </row>
    <row r="360">
      <c r="B360" s="20"/>
      <c r="AA360" s="18"/>
    </row>
    <row r="361">
      <c r="B361" s="20"/>
      <c r="AA361" s="18"/>
    </row>
    <row r="362">
      <c r="B362" s="20"/>
      <c r="AA362" s="18"/>
    </row>
    <row r="363">
      <c r="B363" s="20"/>
      <c r="AA363" s="18"/>
    </row>
    <row r="364">
      <c r="B364" s="20"/>
      <c r="AA364" s="18"/>
    </row>
    <row r="365">
      <c r="B365" s="20"/>
      <c r="AA365" s="18"/>
    </row>
    <row r="366">
      <c r="B366" s="20"/>
      <c r="AA366" s="18"/>
    </row>
    <row r="367">
      <c r="B367" s="20"/>
      <c r="AA367" s="18"/>
    </row>
    <row r="368">
      <c r="B368" s="20"/>
      <c r="AA368" s="18"/>
    </row>
    <row r="369">
      <c r="B369" s="20"/>
      <c r="AA369" s="18"/>
    </row>
    <row r="370">
      <c r="B370" s="20"/>
      <c r="AA370" s="18"/>
    </row>
    <row r="371">
      <c r="B371" s="20"/>
      <c r="AA371" s="18"/>
    </row>
    <row r="372">
      <c r="B372" s="20"/>
      <c r="AA372" s="18"/>
    </row>
    <row r="373">
      <c r="B373" s="20"/>
      <c r="AA373" s="18"/>
    </row>
    <row r="374">
      <c r="B374" s="20"/>
      <c r="AA374" s="18"/>
    </row>
    <row r="375">
      <c r="B375" s="20"/>
      <c r="AA375" s="18"/>
    </row>
    <row r="376">
      <c r="B376" s="20"/>
      <c r="AA376" s="18"/>
    </row>
    <row r="377">
      <c r="B377" s="20"/>
      <c r="AA377" s="18"/>
    </row>
    <row r="378">
      <c r="B378" s="20"/>
      <c r="AA378" s="18"/>
    </row>
    <row r="379">
      <c r="B379" s="20"/>
      <c r="AA379" s="18"/>
    </row>
    <row r="380">
      <c r="B380" s="20"/>
      <c r="AA380" s="18"/>
    </row>
    <row r="381">
      <c r="B381" s="20"/>
      <c r="AA381" s="18"/>
    </row>
    <row r="382">
      <c r="B382" s="20"/>
      <c r="AA382" s="18"/>
    </row>
    <row r="383">
      <c r="B383" s="20"/>
      <c r="AA383" s="18"/>
    </row>
    <row r="384">
      <c r="B384" s="20"/>
      <c r="AA384" s="18"/>
    </row>
    <row r="385">
      <c r="B385" s="20"/>
      <c r="AA385" s="18"/>
    </row>
    <row r="386">
      <c r="B386" s="20"/>
      <c r="AA386" s="18"/>
    </row>
    <row r="387">
      <c r="B387" s="20"/>
      <c r="AA387" s="18"/>
    </row>
    <row r="388">
      <c r="B388" s="20"/>
      <c r="AA388" s="18"/>
    </row>
    <row r="389">
      <c r="B389" s="20"/>
      <c r="AA389" s="18"/>
    </row>
    <row r="390">
      <c r="B390" s="20"/>
      <c r="AA390" s="18"/>
    </row>
    <row r="391">
      <c r="B391" s="20"/>
      <c r="AA391" s="18"/>
    </row>
    <row r="392">
      <c r="B392" s="20"/>
      <c r="AA392" s="18"/>
    </row>
    <row r="393">
      <c r="B393" s="20"/>
      <c r="AA393" s="18"/>
    </row>
    <row r="394">
      <c r="B394" s="20"/>
      <c r="AA394" s="18"/>
    </row>
    <row r="395">
      <c r="B395" s="20"/>
      <c r="AA395" s="18"/>
    </row>
    <row r="396">
      <c r="B396" s="20"/>
      <c r="AA396" s="18"/>
    </row>
    <row r="397">
      <c r="B397" s="20"/>
      <c r="AA397" s="18"/>
    </row>
    <row r="398">
      <c r="B398" s="20"/>
      <c r="AA398" s="18"/>
    </row>
    <row r="399">
      <c r="B399" s="20"/>
      <c r="AA399" s="18"/>
    </row>
    <row r="400">
      <c r="B400" s="20"/>
      <c r="AA400" s="18"/>
    </row>
    <row r="401">
      <c r="B401" s="20"/>
      <c r="AA401" s="18"/>
    </row>
    <row r="402">
      <c r="B402" s="20"/>
      <c r="AA402" s="18"/>
    </row>
    <row r="403">
      <c r="B403" s="20"/>
      <c r="AA403" s="18"/>
    </row>
    <row r="404">
      <c r="B404" s="20"/>
      <c r="AA404" s="18"/>
    </row>
    <row r="405">
      <c r="B405" s="20"/>
      <c r="AA405" s="18"/>
    </row>
    <row r="406">
      <c r="B406" s="20"/>
      <c r="AA406" s="18"/>
    </row>
    <row r="407">
      <c r="B407" s="20"/>
      <c r="AA407" s="18"/>
    </row>
    <row r="408">
      <c r="B408" s="20"/>
      <c r="AA408" s="18"/>
    </row>
    <row r="409">
      <c r="B409" s="20"/>
      <c r="AA409" s="18"/>
    </row>
    <row r="410">
      <c r="B410" s="20"/>
      <c r="AA410" s="18"/>
    </row>
    <row r="411">
      <c r="B411" s="20"/>
      <c r="AA411" s="18"/>
    </row>
    <row r="412">
      <c r="B412" s="20"/>
      <c r="AA412" s="18"/>
    </row>
    <row r="413">
      <c r="B413" s="20"/>
      <c r="AA413" s="18"/>
    </row>
    <row r="414">
      <c r="B414" s="20"/>
      <c r="AA414" s="18"/>
    </row>
    <row r="415">
      <c r="B415" s="20"/>
      <c r="AA415" s="18"/>
    </row>
    <row r="416">
      <c r="B416" s="20"/>
      <c r="AA416" s="18"/>
    </row>
    <row r="417">
      <c r="B417" s="20"/>
      <c r="AA417" s="18"/>
    </row>
    <row r="418">
      <c r="B418" s="20"/>
      <c r="AA418" s="18"/>
    </row>
    <row r="419">
      <c r="B419" s="20"/>
      <c r="AA419" s="18"/>
    </row>
    <row r="420">
      <c r="B420" s="20"/>
      <c r="AA420" s="18"/>
    </row>
    <row r="421">
      <c r="B421" s="20"/>
      <c r="AA421" s="18"/>
    </row>
    <row r="422">
      <c r="B422" s="20"/>
      <c r="AA422" s="18"/>
    </row>
    <row r="423">
      <c r="B423" s="20"/>
      <c r="AA423" s="18"/>
    </row>
    <row r="424">
      <c r="B424" s="20"/>
      <c r="AA424" s="18"/>
    </row>
    <row r="425">
      <c r="B425" s="20"/>
      <c r="AA425" s="18"/>
    </row>
    <row r="426">
      <c r="B426" s="20"/>
      <c r="AA426" s="18"/>
    </row>
    <row r="427">
      <c r="B427" s="20"/>
      <c r="AA427" s="18"/>
    </row>
    <row r="428">
      <c r="B428" s="20"/>
      <c r="AA428" s="18"/>
    </row>
    <row r="429">
      <c r="B429" s="20"/>
      <c r="AA429" s="18"/>
    </row>
    <row r="430">
      <c r="B430" s="20"/>
      <c r="AA430" s="18"/>
    </row>
    <row r="431">
      <c r="B431" s="20"/>
      <c r="AA431" s="18"/>
    </row>
    <row r="432">
      <c r="B432" s="20"/>
      <c r="AA432" s="18"/>
    </row>
    <row r="433">
      <c r="B433" s="20"/>
      <c r="AA433" s="18"/>
    </row>
    <row r="434">
      <c r="B434" s="20"/>
      <c r="AA434" s="18"/>
    </row>
    <row r="435">
      <c r="B435" s="20"/>
      <c r="AA435" s="18"/>
    </row>
    <row r="436">
      <c r="B436" s="20"/>
      <c r="AA436" s="18"/>
    </row>
    <row r="437">
      <c r="B437" s="20"/>
      <c r="AA437" s="18"/>
    </row>
    <row r="438">
      <c r="B438" s="20"/>
      <c r="AA438" s="18"/>
    </row>
    <row r="439">
      <c r="B439" s="20"/>
      <c r="AA439" s="18"/>
    </row>
    <row r="440">
      <c r="B440" s="20"/>
      <c r="AA440" s="18"/>
    </row>
    <row r="441">
      <c r="B441" s="20"/>
      <c r="AA441" s="18"/>
    </row>
    <row r="442">
      <c r="B442" s="20"/>
      <c r="AA442" s="18"/>
    </row>
    <row r="443">
      <c r="B443" s="20"/>
      <c r="AA443" s="18"/>
    </row>
    <row r="444">
      <c r="B444" s="20"/>
      <c r="AA444" s="18"/>
    </row>
    <row r="445">
      <c r="B445" s="20"/>
      <c r="AA445" s="18"/>
    </row>
    <row r="446">
      <c r="B446" s="20"/>
      <c r="AA446" s="18"/>
    </row>
    <row r="447">
      <c r="B447" s="20"/>
      <c r="AA447" s="18"/>
    </row>
    <row r="448">
      <c r="B448" s="20"/>
      <c r="AA448" s="18"/>
    </row>
    <row r="449">
      <c r="B449" s="20"/>
      <c r="AA449" s="18"/>
    </row>
    <row r="450">
      <c r="B450" s="20"/>
      <c r="AA450" s="18"/>
    </row>
    <row r="451">
      <c r="B451" s="20"/>
      <c r="AA451" s="18"/>
    </row>
    <row r="452">
      <c r="B452" s="20"/>
      <c r="AA452" s="18"/>
    </row>
    <row r="453">
      <c r="B453" s="20"/>
      <c r="AA453" s="18"/>
    </row>
    <row r="454">
      <c r="B454" s="20"/>
      <c r="AA454" s="18"/>
    </row>
    <row r="455">
      <c r="B455" s="20"/>
      <c r="AA455" s="18"/>
    </row>
    <row r="456">
      <c r="B456" s="20"/>
      <c r="AA456" s="18"/>
    </row>
    <row r="457">
      <c r="B457" s="20"/>
      <c r="AA457" s="18"/>
    </row>
    <row r="458">
      <c r="B458" s="20"/>
      <c r="AA458" s="18"/>
    </row>
    <row r="459">
      <c r="B459" s="20"/>
      <c r="AA459" s="18"/>
    </row>
    <row r="460">
      <c r="B460" s="20"/>
      <c r="AA460" s="18"/>
    </row>
    <row r="461">
      <c r="B461" s="20"/>
      <c r="AA461" s="18"/>
    </row>
    <row r="462">
      <c r="B462" s="20"/>
      <c r="AA462" s="18"/>
    </row>
    <row r="463">
      <c r="B463" s="20"/>
      <c r="AA463" s="18"/>
    </row>
    <row r="464">
      <c r="B464" s="20"/>
      <c r="AA464" s="18"/>
    </row>
    <row r="465">
      <c r="B465" s="20"/>
      <c r="AA465" s="18"/>
    </row>
    <row r="466">
      <c r="B466" s="20"/>
      <c r="AA466" s="18"/>
    </row>
    <row r="467">
      <c r="B467" s="20"/>
      <c r="AA467" s="18"/>
    </row>
    <row r="468">
      <c r="B468" s="20"/>
      <c r="AA468" s="18"/>
    </row>
    <row r="469">
      <c r="B469" s="20"/>
      <c r="AA469" s="18"/>
    </row>
    <row r="470">
      <c r="B470" s="20"/>
      <c r="AA470" s="18"/>
    </row>
    <row r="471">
      <c r="B471" s="20"/>
      <c r="AA471" s="18"/>
    </row>
    <row r="472">
      <c r="B472" s="20"/>
      <c r="AA472" s="18"/>
    </row>
    <row r="473">
      <c r="B473" s="20"/>
      <c r="AA473" s="18"/>
    </row>
    <row r="474">
      <c r="B474" s="20"/>
      <c r="AA474" s="18"/>
    </row>
    <row r="475">
      <c r="B475" s="20"/>
      <c r="AA475" s="18"/>
    </row>
    <row r="476">
      <c r="B476" s="20"/>
      <c r="AA476" s="18"/>
    </row>
    <row r="477">
      <c r="B477" s="20"/>
      <c r="AA477" s="18"/>
    </row>
    <row r="478">
      <c r="B478" s="20"/>
      <c r="AA478" s="18"/>
    </row>
    <row r="479">
      <c r="B479" s="20"/>
      <c r="AA479" s="18"/>
    </row>
    <row r="480">
      <c r="B480" s="20"/>
      <c r="AA480" s="18"/>
    </row>
    <row r="481">
      <c r="B481" s="20"/>
      <c r="AA481" s="18"/>
    </row>
    <row r="482">
      <c r="B482" s="20"/>
      <c r="AA482" s="18"/>
    </row>
    <row r="483">
      <c r="B483" s="20"/>
      <c r="AA483" s="18"/>
    </row>
    <row r="484">
      <c r="B484" s="20"/>
      <c r="AA484" s="18"/>
    </row>
    <row r="485">
      <c r="B485" s="20"/>
      <c r="AA485" s="18"/>
    </row>
    <row r="486">
      <c r="B486" s="20"/>
      <c r="AA486" s="18"/>
    </row>
    <row r="487">
      <c r="B487" s="20"/>
      <c r="AA487" s="18"/>
    </row>
    <row r="488">
      <c r="B488" s="20"/>
      <c r="AA488" s="18"/>
    </row>
    <row r="489">
      <c r="B489" s="20"/>
      <c r="AA489" s="18"/>
    </row>
    <row r="490">
      <c r="B490" s="20"/>
      <c r="AA490" s="18"/>
    </row>
    <row r="491">
      <c r="B491" s="20"/>
      <c r="AA491" s="18"/>
    </row>
    <row r="492">
      <c r="B492" s="20"/>
      <c r="AA492" s="18"/>
    </row>
    <row r="493">
      <c r="B493" s="20"/>
      <c r="AA493" s="18"/>
    </row>
    <row r="494">
      <c r="B494" s="20"/>
      <c r="AA494" s="18"/>
    </row>
    <row r="495">
      <c r="B495" s="20"/>
      <c r="AA495" s="18"/>
    </row>
    <row r="496">
      <c r="B496" s="20"/>
      <c r="AA496" s="18"/>
    </row>
    <row r="497">
      <c r="B497" s="20"/>
      <c r="AA497" s="18"/>
    </row>
    <row r="498">
      <c r="B498" s="20"/>
      <c r="AA498" s="18"/>
    </row>
    <row r="499">
      <c r="B499" s="20"/>
      <c r="AA499" s="18"/>
    </row>
    <row r="500">
      <c r="B500" s="20"/>
      <c r="AA500" s="18"/>
    </row>
    <row r="501">
      <c r="B501" s="20"/>
      <c r="AA501" s="18"/>
    </row>
    <row r="502">
      <c r="B502" s="20"/>
      <c r="AA502" s="18"/>
    </row>
    <row r="503">
      <c r="B503" s="20"/>
      <c r="AA503" s="18"/>
    </row>
    <row r="504">
      <c r="B504" s="20"/>
      <c r="AA504" s="18"/>
    </row>
    <row r="505">
      <c r="B505" s="20"/>
      <c r="AA505" s="18"/>
    </row>
    <row r="506">
      <c r="B506" s="20"/>
      <c r="AA506" s="18"/>
    </row>
    <row r="507">
      <c r="B507" s="20"/>
      <c r="AA507" s="18"/>
    </row>
    <row r="508">
      <c r="B508" s="20"/>
      <c r="AA508" s="18"/>
    </row>
    <row r="509">
      <c r="B509" s="20"/>
      <c r="AA509" s="18"/>
    </row>
    <row r="510">
      <c r="B510" s="20"/>
      <c r="AA510" s="18"/>
    </row>
    <row r="511">
      <c r="B511" s="20"/>
      <c r="AA511" s="18"/>
    </row>
    <row r="512">
      <c r="B512" s="20"/>
      <c r="AA512" s="18"/>
    </row>
    <row r="513">
      <c r="B513" s="20"/>
      <c r="AA513" s="18"/>
    </row>
    <row r="514">
      <c r="B514" s="20"/>
      <c r="AA514" s="18"/>
    </row>
    <row r="515">
      <c r="B515" s="20"/>
      <c r="AA515" s="18"/>
    </row>
    <row r="516">
      <c r="B516" s="20"/>
      <c r="AA516" s="18"/>
    </row>
    <row r="517">
      <c r="B517" s="20"/>
      <c r="AA517" s="18"/>
    </row>
    <row r="518">
      <c r="B518" s="20"/>
      <c r="AA518" s="18"/>
    </row>
    <row r="519">
      <c r="B519" s="20"/>
      <c r="AA519" s="18"/>
    </row>
    <row r="520">
      <c r="B520" s="20"/>
      <c r="AA520" s="18"/>
    </row>
    <row r="521">
      <c r="B521" s="20"/>
      <c r="AA521" s="18"/>
    </row>
    <row r="522">
      <c r="B522" s="20"/>
      <c r="AA522" s="18"/>
    </row>
    <row r="523">
      <c r="B523" s="20"/>
      <c r="AA523" s="18"/>
    </row>
    <row r="524">
      <c r="B524" s="20"/>
      <c r="AA524" s="18"/>
    </row>
    <row r="525">
      <c r="B525" s="20"/>
      <c r="AA525" s="18"/>
    </row>
    <row r="526">
      <c r="B526" s="20"/>
      <c r="AA526" s="18"/>
    </row>
    <row r="527">
      <c r="B527" s="20"/>
      <c r="AA527" s="18"/>
    </row>
    <row r="528">
      <c r="B528" s="20"/>
      <c r="AA528" s="18"/>
    </row>
    <row r="529">
      <c r="B529" s="20"/>
      <c r="AA529" s="18"/>
    </row>
    <row r="530">
      <c r="B530" s="20"/>
      <c r="AA530" s="18"/>
    </row>
    <row r="531">
      <c r="B531" s="20"/>
      <c r="AA531" s="18"/>
    </row>
    <row r="532">
      <c r="B532" s="20"/>
      <c r="AA532" s="18"/>
    </row>
    <row r="533">
      <c r="B533" s="20"/>
      <c r="AA533" s="18"/>
    </row>
    <row r="534">
      <c r="B534" s="20"/>
      <c r="AA534" s="18"/>
    </row>
    <row r="535">
      <c r="B535" s="20"/>
      <c r="AA535" s="18"/>
    </row>
    <row r="536">
      <c r="B536" s="20"/>
      <c r="AA536" s="18"/>
    </row>
    <row r="537">
      <c r="B537" s="20"/>
      <c r="AA537" s="18"/>
    </row>
    <row r="538">
      <c r="B538" s="20"/>
      <c r="AA538" s="18"/>
    </row>
    <row r="539">
      <c r="B539" s="20"/>
      <c r="AA539" s="18"/>
    </row>
    <row r="540">
      <c r="B540" s="20"/>
      <c r="AA540" s="18"/>
    </row>
    <row r="541">
      <c r="B541" s="20"/>
      <c r="AA541" s="18"/>
    </row>
    <row r="542">
      <c r="B542" s="20"/>
      <c r="AA542" s="18"/>
    </row>
    <row r="543">
      <c r="B543" s="20"/>
      <c r="AA543" s="18"/>
    </row>
    <row r="544">
      <c r="B544" s="20"/>
      <c r="AA544" s="18"/>
    </row>
    <row r="545">
      <c r="B545" s="20"/>
      <c r="AA545" s="18"/>
    </row>
    <row r="546">
      <c r="B546" s="20"/>
      <c r="AA546" s="18"/>
    </row>
    <row r="547">
      <c r="B547" s="20"/>
      <c r="AA547" s="18"/>
    </row>
    <row r="548">
      <c r="B548" s="20"/>
      <c r="AA548" s="18"/>
    </row>
    <row r="549">
      <c r="B549" s="20"/>
      <c r="AA549" s="18"/>
    </row>
    <row r="550">
      <c r="B550" s="20"/>
      <c r="AA550" s="18"/>
    </row>
    <row r="551">
      <c r="B551" s="20"/>
      <c r="AA551" s="18"/>
    </row>
    <row r="552">
      <c r="B552" s="20"/>
      <c r="AA552" s="18"/>
    </row>
    <row r="553">
      <c r="B553" s="20"/>
      <c r="AA553" s="18"/>
    </row>
    <row r="554">
      <c r="B554" s="20"/>
      <c r="AA554" s="18"/>
    </row>
    <row r="555">
      <c r="B555" s="20"/>
      <c r="AA555" s="18"/>
    </row>
    <row r="556">
      <c r="B556" s="20"/>
      <c r="AA556" s="18"/>
    </row>
    <row r="557">
      <c r="B557" s="20"/>
      <c r="AA557" s="18"/>
    </row>
    <row r="558">
      <c r="B558" s="20"/>
      <c r="AA558" s="18"/>
    </row>
    <row r="559">
      <c r="B559" s="20"/>
      <c r="AA559" s="18"/>
    </row>
    <row r="560">
      <c r="B560" s="20"/>
      <c r="AA560" s="18"/>
    </row>
    <row r="561">
      <c r="B561" s="20"/>
      <c r="AA561" s="18"/>
    </row>
    <row r="562">
      <c r="B562" s="20"/>
      <c r="AA562" s="18"/>
    </row>
    <row r="563">
      <c r="B563" s="20"/>
      <c r="AA563" s="18"/>
    </row>
    <row r="564">
      <c r="B564" s="20"/>
      <c r="AA564" s="18"/>
    </row>
    <row r="565">
      <c r="B565" s="20"/>
      <c r="AA565" s="18"/>
    </row>
    <row r="566">
      <c r="B566" s="20"/>
      <c r="AA566" s="18"/>
    </row>
    <row r="567">
      <c r="B567" s="20"/>
      <c r="AA567" s="18"/>
    </row>
    <row r="568">
      <c r="B568" s="20"/>
      <c r="AA568" s="18"/>
    </row>
    <row r="569">
      <c r="B569" s="20"/>
      <c r="AA569" s="18"/>
    </row>
    <row r="570">
      <c r="B570" s="20"/>
      <c r="AA570" s="18"/>
    </row>
    <row r="571">
      <c r="B571" s="20"/>
      <c r="AA571" s="18"/>
    </row>
    <row r="572">
      <c r="B572" s="20"/>
      <c r="AA572" s="18"/>
    </row>
    <row r="573">
      <c r="B573" s="20"/>
      <c r="AA573" s="18"/>
    </row>
    <row r="574">
      <c r="B574" s="20"/>
      <c r="AA574" s="18"/>
    </row>
    <row r="575">
      <c r="B575" s="20"/>
      <c r="AA575" s="18"/>
    </row>
    <row r="576">
      <c r="B576" s="20"/>
      <c r="AA576" s="18"/>
    </row>
    <row r="577">
      <c r="B577" s="20"/>
      <c r="AA577" s="18"/>
    </row>
    <row r="578">
      <c r="B578" s="20"/>
      <c r="AA578" s="18"/>
    </row>
    <row r="579">
      <c r="B579" s="20"/>
      <c r="AA579" s="18"/>
    </row>
    <row r="580">
      <c r="B580" s="20"/>
      <c r="AA580" s="18"/>
    </row>
    <row r="581">
      <c r="B581" s="20"/>
      <c r="AA581" s="18"/>
    </row>
    <row r="582">
      <c r="B582" s="20"/>
      <c r="AA582" s="18"/>
    </row>
    <row r="583">
      <c r="B583" s="20"/>
      <c r="AA583" s="18"/>
    </row>
    <row r="584">
      <c r="B584" s="20"/>
      <c r="AA584" s="18"/>
    </row>
    <row r="585">
      <c r="B585" s="20"/>
      <c r="AA585" s="18"/>
    </row>
    <row r="586">
      <c r="B586" s="20"/>
      <c r="AA586" s="18"/>
    </row>
    <row r="587">
      <c r="B587" s="20"/>
      <c r="AA587" s="18"/>
    </row>
    <row r="588">
      <c r="B588" s="20"/>
      <c r="AA588" s="18"/>
    </row>
    <row r="589">
      <c r="B589" s="20"/>
      <c r="AA589" s="18"/>
    </row>
    <row r="590">
      <c r="B590" s="20"/>
      <c r="AA590" s="18"/>
    </row>
    <row r="591">
      <c r="B591" s="20"/>
      <c r="AA591" s="18"/>
    </row>
    <row r="592">
      <c r="B592" s="20"/>
      <c r="AA592" s="18"/>
    </row>
    <row r="593">
      <c r="B593" s="20"/>
      <c r="AA593" s="18"/>
    </row>
    <row r="594">
      <c r="B594" s="20"/>
      <c r="AA594" s="18"/>
    </row>
    <row r="595">
      <c r="B595" s="20"/>
      <c r="AA595" s="18"/>
    </row>
    <row r="596">
      <c r="B596" s="20"/>
      <c r="AA596" s="18"/>
    </row>
    <row r="597">
      <c r="B597" s="20"/>
      <c r="AA597" s="18"/>
    </row>
    <row r="598">
      <c r="B598" s="20"/>
      <c r="AA598" s="18"/>
    </row>
    <row r="599">
      <c r="B599" s="20"/>
      <c r="AA599" s="18"/>
    </row>
    <row r="600">
      <c r="B600" s="20"/>
      <c r="AA600" s="18"/>
    </row>
    <row r="601">
      <c r="B601" s="20"/>
      <c r="AA601" s="18"/>
    </row>
    <row r="602">
      <c r="B602" s="20"/>
      <c r="AA602" s="18"/>
    </row>
    <row r="603">
      <c r="B603" s="20"/>
      <c r="AA603" s="18"/>
    </row>
    <row r="604">
      <c r="B604" s="20"/>
      <c r="AA604" s="18"/>
    </row>
    <row r="605">
      <c r="B605" s="20"/>
      <c r="AA605" s="18"/>
    </row>
    <row r="606">
      <c r="B606" s="20"/>
      <c r="AA606" s="18"/>
    </row>
    <row r="607">
      <c r="B607" s="20"/>
      <c r="AA607" s="18"/>
    </row>
    <row r="608">
      <c r="B608" s="20"/>
      <c r="AA608" s="18"/>
    </row>
    <row r="609">
      <c r="B609" s="20"/>
      <c r="AA609" s="18"/>
    </row>
    <row r="610">
      <c r="B610" s="20"/>
      <c r="AA610" s="18"/>
    </row>
    <row r="611">
      <c r="B611" s="20"/>
      <c r="AA611" s="18"/>
    </row>
    <row r="612">
      <c r="B612" s="20"/>
      <c r="AA612" s="18"/>
    </row>
    <row r="613">
      <c r="B613" s="20"/>
      <c r="AA613" s="18"/>
    </row>
    <row r="614">
      <c r="B614" s="20"/>
      <c r="AA614" s="18"/>
    </row>
    <row r="615">
      <c r="B615" s="20"/>
      <c r="AA615" s="18"/>
    </row>
    <row r="616">
      <c r="B616" s="20"/>
      <c r="AA616" s="18"/>
    </row>
    <row r="617">
      <c r="B617" s="20"/>
      <c r="AA617" s="18"/>
    </row>
    <row r="618">
      <c r="B618" s="20"/>
      <c r="AA618" s="18"/>
    </row>
    <row r="619">
      <c r="B619" s="20"/>
      <c r="AA619" s="18"/>
    </row>
    <row r="620">
      <c r="B620" s="20"/>
      <c r="AA620" s="18"/>
    </row>
    <row r="621">
      <c r="B621" s="20"/>
      <c r="AA621" s="18"/>
    </row>
    <row r="622">
      <c r="B622" s="20"/>
      <c r="AA622" s="18"/>
    </row>
    <row r="623">
      <c r="B623" s="20"/>
      <c r="AA623" s="18"/>
    </row>
    <row r="624">
      <c r="B624" s="20"/>
      <c r="AA624" s="18"/>
    </row>
    <row r="625">
      <c r="B625" s="20"/>
      <c r="AA625" s="18"/>
    </row>
    <row r="626">
      <c r="B626" s="20"/>
      <c r="AA626" s="18"/>
    </row>
    <row r="627">
      <c r="B627" s="20"/>
      <c r="AA627" s="18"/>
    </row>
    <row r="628">
      <c r="B628" s="20"/>
      <c r="AA628" s="18"/>
    </row>
    <row r="629">
      <c r="B629" s="20"/>
      <c r="AA629" s="18"/>
    </row>
    <row r="630">
      <c r="B630" s="20"/>
      <c r="AA630" s="18"/>
    </row>
    <row r="631">
      <c r="B631" s="20"/>
      <c r="AA631" s="18"/>
    </row>
    <row r="632">
      <c r="B632" s="20"/>
      <c r="AA632" s="18"/>
    </row>
    <row r="633">
      <c r="B633" s="20"/>
      <c r="AA633" s="18"/>
    </row>
    <row r="634">
      <c r="B634" s="20"/>
      <c r="AA634" s="18"/>
    </row>
    <row r="635">
      <c r="B635" s="20"/>
      <c r="AA635" s="18"/>
    </row>
    <row r="636">
      <c r="B636" s="20"/>
      <c r="AA636" s="18"/>
    </row>
    <row r="637">
      <c r="B637" s="20"/>
      <c r="AA637" s="18"/>
    </row>
    <row r="638">
      <c r="B638" s="20"/>
      <c r="AA638" s="18"/>
    </row>
    <row r="639">
      <c r="B639" s="20"/>
      <c r="AA639" s="18"/>
    </row>
    <row r="640">
      <c r="B640" s="20"/>
      <c r="AA640" s="18"/>
    </row>
    <row r="641">
      <c r="B641" s="20"/>
      <c r="AA641" s="18"/>
    </row>
    <row r="642">
      <c r="B642" s="20"/>
      <c r="AA642" s="18"/>
    </row>
    <row r="643">
      <c r="B643" s="20"/>
      <c r="AA643" s="18"/>
    </row>
    <row r="644">
      <c r="B644" s="20"/>
      <c r="AA644" s="18"/>
    </row>
    <row r="645">
      <c r="B645" s="20"/>
      <c r="AA645" s="18"/>
    </row>
    <row r="646">
      <c r="B646" s="20"/>
      <c r="AA646" s="18"/>
    </row>
    <row r="647">
      <c r="B647" s="20"/>
      <c r="AA647" s="18"/>
    </row>
    <row r="648">
      <c r="B648" s="20"/>
      <c r="AA648" s="18"/>
    </row>
    <row r="649">
      <c r="B649" s="20"/>
      <c r="AA649" s="18"/>
    </row>
    <row r="650">
      <c r="B650" s="20"/>
      <c r="AA650" s="18"/>
    </row>
    <row r="651">
      <c r="B651" s="20"/>
      <c r="AA651" s="18"/>
    </row>
    <row r="652">
      <c r="B652" s="20"/>
      <c r="AA652" s="18"/>
    </row>
    <row r="653">
      <c r="B653" s="20"/>
      <c r="AA653" s="18"/>
    </row>
    <row r="654">
      <c r="B654" s="20"/>
      <c r="AA654" s="18"/>
    </row>
    <row r="655">
      <c r="B655" s="20"/>
      <c r="AA655" s="18"/>
    </row>
    <row r="656">
      <c r="B656" s="20"/>
      <c r="AA656" s="18"/>
    </row>
    <row r="657">
      <c r="B657" s="20"/>
      <c r="AA657" s="18"/>
    </row>
    <row r="658">
      <c r="B658" s="20"/>
      <c r="AA658" s="18"/>
    </row>
    <row r="659">
      <c r="B659" s="20"/>
      <c r="AA659" s="18"/>
    </row>
    <row r="660">
      <c r="B660" s="20"/>
      <c r="AA660" s="18"/>
    </row>
    <row r="661">
      <c r="B661" s="20"/>
      <c r="AA661" s="18"/>
    </row>
    <row r="662">
      <c r="B662" s="20"/>
      <c r="AA662" s="18"/>
    </row>
    <row r="663">
      <c r="B663" s="20"/>
      <c r="AA663" s="18"/>
    </row>
    <row r="664">
      <c r="B664" s="20"/>
      <c r="AA664" s="18"/>
    </row>
    <row r="665">
      <c r="B665" s="20"/>
      <c r="AA665" s="18"/>
    </row>
    <row r="666">
      <c r="B666" s="20"/>
      <c r="AA666" s="18"/>
    </row>
    <row r="667">
      <c r="B667" s="20"/>
      <c r="AA667" s="18"/>
    </row>
    <row r="668">
      <c r="B668" s="20"/>
      <c r="AA668" s="18"/>
    </row>
    <row r="669">
      <c r="B669" s="20"/>
      <c r="AA669" s="18"/>
    </row>
    <row r="670">
      <c r="B670" s="20"/>
      <c r="AA670" s="18"/>
    </row>
    <row r="671">
      <c r="B671" s="20"/>
      <c r="AA671" s="18"/>
    </row>
    <row r="672">
      <c r="B672" s="20"/>
      <c r="AA672" s="18"/>
    </row>
    <row r="673">
      <c r="B673" s="20"/>
      <c r="AA673" s="18"/>
    </row>
    <row r="674">
      <c r="B674" s="20"/>
      <c r="AA674" s="18"/>
    </row>
    <row r="675">
      <c r="B675" s="20"/>
      <c r="AA675" s="18"/>
    </row>
    <row r="676">
      <c r="B676" s="20"/>
      <c r="AA676" s="18"/>
    </row>
    <row r="677">
      <c r="B677" s="20"/>
      <c r="AA677" s="18"/>
    </row>
    <row r="678">
      <c r="B678" s="20"/>
      <c r="AA678" s="18"/>
    </row>
    <row r="679">
      <c r="B679" s="20"/>
      <c r="AA679" s="18"/>
    </row>
    <row r="680">
      <c r="B680" s="20"/>
      <c r="AA680" s="18"/>
    </row>
    <row r="681">
      <c r="B681" s="20"/>
      <c r="AA681" s="18"/>
    </row>
    <row r="682">
      <c r="B682" s="20"/>
      <c r="AA682" s="18"/>
    </row>
    <row r="683">
      <c r="B683" s="20"/>
      <c r="AA683" s="18"/>
    </row>
    <row r="684">
      <c r="B684" s="20"/>
      <c r="AA684" s="18"/>
    </row>
    <row r="685">
      <c r="B685" s="20"/>
      <c r="AA685" s="18"/>
    </row>
    <row r="686">
      <c r="B686" s="20"/>
      <c r="AA686" s="18"/>
    </row>
    <row r="687">
      <c r="B687" s="20"/>
      <c r="AA687" s="18"/>
    </row>
    <row r="688">
      <c r="B688" s="20"/>
      <c r="AA688" s="18"/>
    </row>
    <row r="689">
      <c r="B689" s="20"/>
      <c r="AA689" s="18"/>
    </row>
    <row r="690">
      <c r="B690" s="20"/>
      <c r="AA690" s="18"/>
    </row>
    <row r="691">
      <c r="B691" s="20"/>
      <c r="AA691" s="18"/>
    </row>
    <row r="692">
      <c r="B692" s="20"/>
      <c r="AA692" s="18"/>
    </row>
    <row r="693">
      <c r="B693" s="20"/>
      <c r="AA693" s="18"/>
    </row>
    <row r="694">
      <c r="B694" s="20"/>
      <c r="AA694" s="18"/>
    </row>
    <row r="695">
      <c r="B695" s="20"/>
      <c r="AA695" s="18"/>
    </row>
    <row r="696">
      <c r="B696" s="20"/>
      <c r="AA696" s="18"/>
    </row>
    <row r="697">
      <c r="B697" s="20"/>
      <c r="AA697" s="18"/>
    </row>
    <row r="698">
      <c r="B698" s="20"/>
      <c r="AA698" s="18"/>
    </row>
    <row r="699">
      <c r="B699" s="20"/>
      <c r="AA699" s="18"/>
    </row>
    <row r="700">
      <c r="B700" s="20"/>
      <c r="AA700" s="18"/>
    </row>
    <row r="701">
      <c r="B701" s="20"/>
      <c r="AA701" s="18"/>
    </row>
    <row r="702">
      <c r="B702" s="20"/>
      <c r="AA702" s="18"/>
    </row>
    <row r="703">
      <c r="B703" s="20"/>
      <c r="AA703" s="18"/>
    </row>
    <row r="704">
      <c r="B704" s="20"/>
      <c r="AA704" s="18"/>
    </row>
    <row r="705">
      <c r="B705" s="20"/>
      <c r="AA705" s="18"/>
    </row>
    <row r="706">
      <c r="B706" s="20"/>
      <c r="AA706" s="18"/>
    </row>
    <row r="707">
      <c r="B707" s="20"/>
      <c r="AA707" s="18"/>
    </row>
    <row r="708">
      <c r="B708" s="20"/>
      <c r="AA708" s="18"/>
    </row>
    <row r="709">
      <c r="B709" s="20"/>
      <c r="AA709" s="18"/>
    </row>
    <row r="710">
      <c r="B710" s="20"/>
      <c r="AA710" s="18"/>
    </row>
    <row r="711">
      <c r="B711" s="20"/>
      <c r="AA711" s="18"/>
    </row>
    <row r="712">
      <c r="B712" s="20"/>
      <c r="AA712" s="18"/>
    </row>
    <row r="713">
      <c r="B713" s="20"/>
      <c r="AA713" s="18"/>
    </row>
    <row r="714">
      <c r="B714" s="20"/>
      <c r="AA714" s="18"/>
    </row>
    <row r="715">
      <c r="B715" s="20"/>
      <c r="AA715" s="18"/>
    </row>
    <row r="716">
      <c r="B716" s="20"/>
      <c r="AA716" s="18"/>
    </row>
    <row r="717">
      <c r="B717" s="20"/>
      <c r="AA717" s="18"/>
    </row>
    <row r="718">
      <c r="B718" s="20"/>
      <c r="AA718" s="18"/>
    </row>
    <row r="719">
      <c r="B719" s="20"/>
      <c r="AA719" s="18"/>
    </row>
    <row r="720">
      <c r="B720" s="20"/>
      <c r="AA720" s="18"/>
    </row>
    <row r="721">
      <c r="B721" s="20"/>
      <c r="AA721" s="18"/>
    </row>
    <row r="722">
      <c r="B722" s="20"/>
      <c r="AA722" s="18"/>
    </row>
    <row r="723">
      <c r="B723" s="20"/>
      <c r="AA723" s="18"/>
    </row>
    <row r="724">
      <c r="B724" s="20"/>
      <c r="AA724" s="18"/>
    </row>
    <row r="725">
      <c r="B725" s="20"/>
      <c r="AA725" s="18"/>
    </row>
    <row r="726">
      <c r="B726" s="20"/>
      <c r="AA726" s="18"/>
    </row>
    <row r="727">
      <c r="B727" s="20"/>
      <c r="AA727" s="18"/>
    </row>
    <row r="728">
      <c r="B728" s="20"/>
      <c r="AA728" s="18"/>
    </row>
    <row r="729">
      <c r="B729" s="20"/>
      <c r="AA729" s="18"/>
    </row>
    <row r="730">
      <c r="B730" s="20"/>
      <c r="AA730" s="18"/>
    </row>
    <row r="731">
      <c r="B731" s="20"/>
      <c r="AA731" s="18"/>
    </row>
    <row r="732">
      <c r="B732" s="20"/>
      <c r="AA732" s="18"/>
    </row>
    <row r="733">
      <c r="B733" s="20"/>
      <c r="AA733" s="18"/>
    </row>
    <row r="734">
      <c r="B734" s="20"/>
      <c r="AA734" s="18"/>
    </row>
    <row r="735">
      <c r="B735" s="20"/>
      <c r="AA735" s="18"/>
    </row>
    <row r="736">
      <c r="B736" s="20"/>
      <c r="AA736" s="18"/>
    </row>
    <row r="737">
      <c r="B737" s="20"/>
      <c r="AA737" s="18"/>
    </row>
    <row r="738">
      <c r="B738" s="20"/>
      <c r="AA738" s="18"/>
    </row>
    <row r="739">
      <c r="B739" s="20"/>
      <c r="AA739" s="18"/>
    </row>
    <row r="740">
      <c r="B740" s="20"/>
      <c r="AA740" s="18"/>
    </row>
    <row r="741">
      <c r="B741" s="20"/>
      <c r="AA741" s="18"/>
    </row>
    <row r="742">
      <c r="B742" s="20"/>
      <c r="AA742" s="18"/>
    </row>
    <row r="743">
      <c r="B743" s="20"/>
      <c r="AA743" s="18"/>
    </row>
    <row r="744">
      <c r="B744" s="20"/>
      <c r="AA744" s="18"/>
    </row>
    <row r="745">
      <c r="B745" s="20"/>
      <c r="AA745" s="18"/>
    </row>
    <row r="746">
      <c r="B746" s="20"/>
      <c r="AA746" s="18"/>
    </row>
    <row r="747">
      <c r="B747" s="20"/>
      <c r="AA747" s="18"/>
    </row>
    <row r="748">
      <c r="B748" s="20"/>
      <c r="AA748" s="18"/>
    </row>
    <row r="749">
      <c r="B749" s="20"/>
      <c r="AA749" s="18"/>
    </row>
    <row r="750">
      <c r="B750" s="20"/>
      <c r="AA750" s="18"/>
    </row>
    <row r="751">
      <c r="B751" s="20"/>
      <c r="AA751" s="18"/>
    </row>
    <row r="752">
      <c r="B752" s="20"/>
      <c r="AA752" s="18"/>
    </row>
    <row r="753">
      <c r="B753" s="20"/>
      <c r="AA753" s="18"/>
    </row>
    <row r="754">
      <c r="B754" s="20"/>
      <c r="AA754" s="18"/>
    </row>
    <row r="755">
      <c r="B755" s="20"/>
      <c r="AA755" s="18"/>
    </row>
    <row r="756">
      <c r="B756" s="20"/>
      <c r="AA756" s="18"/>
    </row>
    <row r="757">
      <c r="B757" s="20"/>
      <c r="AA757" s="18"/>
    </row>
    <row r="758">
      <c r="B758" s="20"/>
      <c r="AA758" s="18"/>
    </row>
    <row r="759">
      <c r="B759" s="20"/>
      <c r="AA759" s="18"/>
    </row>
    <row r="760">
      <c r="B760" s="20"/>
      <c r="AA760" s="18"/>
    </row>
    <row r="761">
      <c r="B761" s="20"/>
      <c r="AA761" s="18"/>
    </row>
    <row r="762">
      <c r="B762" s="20"/>
      <c r="AA762" s="18"/>
    </row>
    <row r="763">
      <c r="B763" s="20"/>
      <c r="AA763" s="18"/>
    </row>
    <row r="764">
      <c r="B764" s="20"/>
      <c r="AA764" s="18"/>
    </row>
    <row r="765">
      <c r="B765" s="20"/>
      <c r="AA765" s="18"/>
    </row>
    <row r="766">
      <c r="B766" s="20"/>
      <c r="AA766" s="18"/>
    </row>
    <row r="767">
      <c r="B767" s="20"/>
      <c r="AA767" s="18"/>
    </row>
    <row r="768">
      <c r="B768" s="20"/>
      <c r="AA768" s="18"/>
    </row>
    <row r="769">
      <c r="B769" s="20"/>
      <c r="AA769" s="18"/>
    </row>
    <row r="770">
      <c r="B770" s="20"/>
      <c r="AA770" s="18"/>
    </row>
    <row r="771">
      <c r="B771" s="20"/>
      <c r="AA771" s="18"/>
    </row>
    <row r="772">
      <c r="B772" s="20"/>
      <c r="AA772" s="18"/>
    </row>
    <row r="773">
      <c r="B773" s="20"/>
      <c r="AA773" s="18"/>
    </row>
    <row r="774">
      <c r="B774" s="20"/>
      <c r="AA774" s="18"/>
    </row>
    <row r="775">
      <c r="B775" s="20"/>
      <c r="AA775" s="18"/>
    </row>
    <row r="776">
      <c r="B776" s="20"/>
      <c r="AA776" s="18"/>
    </row>
    <row r="777">
      <c r="B777" s="20"/>
      <c r="AA777" s="18"/>
    </row>
    <row r="778">
      <c r="B778" s="20"/>
      <c r="AA778" s="18"/>
    </row>
    <row r="779">
      <c r="B779" s="20"/>
      <c r="AA779" s="18"/>
    </row>
    <row r="780">
      <c r="B780" s="20"/>
      <c r="AA780" s="18"/>
    </row>
    <row r="781">
      <c r="B781" s="20"/>
      <c r="AA781" s="18"/>
    </row>
    <row r="782">
      <c r="B782" s="20"/>
      <c r="AA782" s="18"/>
    </row>
    <row r="783">
      <c r="B783" s="20"/>
      <c r="AA783" s="18"/>
    </row>
    <row r="784">
      <c r="B784" s="20"/>
      <c r="AA784" s="18"/>
    </row>
    <row r="785">
      <c r="B785" s="20"/>
      <c r="AA785" s="18"/>
    </row>
    <row r="786">
      <c r="B786" s="20"/>
      <c r="AA786" s="18"/>
    </row>
    <row r="787">
      <c r="B787" s="20"/>
      <c r="AA787" s="18"/>
    </row>
    <row r="788">
      <c r="B788" s="20"/>
      <c r="AA788" s="18"/>
    </row>
    <row r="789">
      <c r="B789" s="20"/>
      <c r="AA789" s="18"/>
    </row>
    <row r="790">
      <c r="B790" s="20"/>
      <c r="AA790" s="18"/>
    </row>
    <row r="791">
      <c r="B791" s="20"/>
      <c r="AA791" s="18"/>
    </row>
    <row r="792">
      <c r="B792" s="20"/>
      <c r="AA792" s="18"/>
    </row>
    <row r="793">
      <c r="B793" s="20"/>
      <c r="AA793" s="18"/>
    </row>
    <row r="794">
      <c r="B794" s="20"/>
      <c r="AA794" s="18"/>
    </row>
    <row r="795">
      <c r="B795" s="20"/>
      <c r="AA795" s="18"/>
    </row>
    <row r="796">
      <c r="B796" s="20"/>
      <c r="AA796" s="18"/>
    </row>
    <row r="797">
      <c r="B797" s="20"/>
      <c r="AA797" s="18"/>
    </row>
    <row r="798">
      <c r="B798" s="20"/>
      <c r="AA798" s="18"/>
    </row>
    <row r="799">
      <c r="B799" s="20"/>
      <c r="AA799" s="18"/>
    </row>
    <row r="800">
      <c r="B800" s="20"/>
      <c r="AA800" s="18"/>
    </row>
    <row r="801">
      <c r="B801" s="20"/>
      <c r="AA801" s="18"/>
    </row>
    <row r="802">
      <c r="B802" s="20"/>
      <c r="AA802" s="18"/>
    </row>
    <row r="803">
      <c r="B803" s="20"/>
      <c r="AA803" s="18"/>
    </row>
    <row r="804">
      <c r="B804" s="20"/>
      <c r="AA804" s="18"/>
    </row>
    <row r="805">
      <c r="B805" s="20"/>
      <c r="AA805" s="18"/>
    </row>
    <row r="806">
      <c r="B806" s="20"/>
      <c r="AA806" s="18"/>
    </row>
    <row r="807">
      <c r="B807" s="20"/>
      <c r="AA807" s="18"/>
    </row>
    <row r="808">
      <c r="B808" s="20"/>
      <c r="AA808" s="18"/>
    </row>
    <row r="809">
      <c r="B809" s="20"/>
      <c r="AA809" s="18"/>
    </row>
    <row r="810">
      <c r="B810" s="20"/>
      <c r="AA810" s="18"/>
    </row>
    <row r="811">
      <c r="B811" s="20"/>
      <c r="AA811" s="18"/>
    </row>
    <row r="812">
      <c r="B812" s="20"/>
      <c r="AA812" s="18"/>
    </row>
    <row r="813">
      <c r="B813" s="20"/>
      <c r="AA813" s="18"/>
    </row>
    <row r="814">
      <c r="B814" s="20"/>
      <c r="AA814" s="18"/>
    </row>
    <row r="815">
      <c r="B815" s="20"/>
      <c r="AA815" s="18"/>
    </row>
    <row r="816">
      <c r="B816" s="20"/>
      <c r="AA816" s="18"/>
    </row>
    <row r="817">
      <c r="B817" s="20"/>
      <c r="AA817" s="18"/>
    </row>
    <row r="818">
      <c r="B818" s="20"/>
      <c r="AA818" s="18"/>
    </row>
    <row r="819">
      <c r="B819" s="20"/>
      <c r="AA819" s="18"/>
    </row>
    <row r="820">
      <c r="B820" s="20"/>
      <c r="AA820" s="18"/>
    </row>
    <row r="821">
      <c r="B821" s="20"/>
      <c r="AA821" s="18"/>
    </row>
    <row r="822">
      <c r="B822" s="20"/>
      <c r="AA822" s="18"/>
    </row>
    <row r="823">
      <c r="B823" s="20"/>
      <c r="AA823" s="18"/>
    </row>
    <row r="824">
      <c r="B824" s="20"/>
      <c r="AA824" s="18"/>
    </row>
    <row r="825">
      <c r="B825" s="20"/>
      <c r="AA825" s="18"/>
    </row>
    <row r="826">
      <c r="B826" s="20"/>
      <c r="AA826" s="18"/>
    </row>
    <row r="827">
      <c r="B827" s="20"/>
      <c r="AA827" s="18"/>
    </row>
    <row r="828">
      <c r="B828" s="20"/>
      <c r="AA828" s="18"/>
    </row>
    <row r="829">
      <c r="B829" s="20"/>
      <c r="AA829" s="18"/>
    </row>
    <row r="830">
      <c r="B830" s="20"/>
      <c r="AA830" s="18"/>
    </row>
    <row r="831">
      <c r="B831" s="20"/>
      <c r="AA831" s="18"/>
    </row>
    <row r="832">
      <c r="B832" s="20"/>
      <c r="AA832" s="18"/>
    </row>
    <row r="833">
      <c r="B833" s="20"/>
      <c r="AA833" s="18"/>
    </row>
    <row r="834">
      <c r="B834" s="20"/>
      <c r="AA834" s="18"/>
    </row>
    <row r="835">
      <c r="B835" s="20"/>
      <c r="AA835" s="18"/>
    </row>
    <row r="836">
      <c r="B836" s="20"/>
      <c r="AA836" s="18"/>
    </row>
    <row r="837">
      <c r="B837" s="20"/>
      <c r="AA837" s="18"/>
    </row>
    <row r="838">
      <c r="B838" s="20"/>
      <c r="AA838" s="18"/>
    </row>
    <row r="839">
      <c r="B839" s="20"/>
      <c r="AA839" s="18"/>
    </row>
    <row r="840">
      <c r="B840" s="20"/>
      <c r="AA840" s="18"/>
    </row>
    <row r="841">
      <c r="B841" s="20"/>
      <c r="AA841" s="18"/>
    </row>
    <row r="842">
      <c r="B842" s="20"/>
      <c r="AA842" s="18"/>
    </row>
    <row r="843">
      <c r="B843" s="20"/>
      <c r="AA843" s="18"/>
    </row>
    <row r="844">
      <c r="B844" s="20"/>
      <c r="AA844" s="18"/>
    </row>
    <row r="845">
      <c r="B845" s="20"/>
      <c r="AA845" s="18"/>
    </row>
    <row r="846">
      <c r="B846" s="20"/>
      <c r="AA846" s="18"/>
    </row>
    <row r="847">
      <c r="B847" s="20"/>
      <c r="AA847" s="18"/>
    </row>
    <row r="848">
      <c r="B848" s="20"/>
      <c r="AA848" s="18"/>
    </row>
    <row r="849">
      <c r="B849" s="20"/>
      <c r="AA849" s="18"/>
    </row>
    <row r="850">
      <c r="B850" s="20"/>
      <c r="AA850" s="18"/>
    </row>
    <row r="851">
      <c r="B851" s="20"/>
      <c r="AA851" s="18"/>
    </row>
    <row r="852">
      <c r="B852" s="20"/>
      <c r="AA852" s="18"/>
    </row>
    <row r="853">
      <c r="B853" s="20"/>
      <c r="AA853" s="18"/>
    </row>
    <row r="854">
      <c r="B854" s="20"/>
      <c r="AA854" s="18"/>
    </row>
    <row r="855">
      <c r="B855" s="20"/>
      <c r="AA855" s="18"/>
    </row>
    <row r="856">
      <c r="B856" s="20"/>
      <c r="AA856" s="18"/>
    </row>
    <row r="857">
      <c r="B857" s="20"/>
      <c r="AA857" s="18"/>
    </row>
    <row r="858">
      <c r="B858" s="20"/>
      <c r="AA858" s="18"/>
    </row>
    <row r="859">
      <c r="B859" s="20"/>
      <c r="AA859" s="18"/>
    </row>
    <row r="860">
      <c r="B860" s="20"/>
      <c r="AA860" s="18"/>
    </row>
    <row r="861">
      <c r="B861" s="20"/>
      <c r="AA861" s="18"/>
    </row>
    <row r="862">
      <c r="B862" s="20"/>
      <c r="AA862" s="18"/>
    </row>
    <row r="863">
      <c r="B863" s="20"/>
      <c r="AA863" s="18"/>
    </row>
    <row r="864">
      <c r="B864" s="20"/>
      <c r="AA864" s="18"/>
    </row>
    <row r="865">
      <c r="B865" s="20"/>
      <c r="AA865" s="18"/>
    </row>
    <row r="866">
      <c r="B866" s="20"/>
      <c r="AA866" s="18"/>
    </row>
    <row r="867">
      <c r="B867" s="20"/>
      <c r="AA867" s="18"/>
    </row>
    <row r="868">
      <c r="B868" s="20"/>
      <c r="AA868" s="18"/>
    </row>
    <row r="869">
      <c r="B869" s="20"/>
      <c r="AA869" s="18"/>
    </row>
    <row r="870">
      <c r="B870" s="20"/>
      <c r="AA870" s="18"/>
    </row>
    <row r="871">
      <c r="B871" s="20"/>
      <c r="AA871" s="18"/>
    </row>
    <row r="872">
      <c r="B872" s="20"/>
      <c r="AA872" s="18"/>
    </row>
    <row r="873">
      <c r="B873" s="20"/>
      <c r="AA873" s="18"/>
    </row>
    <row r="874">
      <c r="B874" s="20"/>
      <c r="AA874" s="18"/>
    </row>
    <row r="875">
      <c r="B875" s="20"/>
      <c r="AA875" s="18"/>
    </row>
    <row r="876">
      <c r="B876" s="20"/>
      <c r="AA876" s="18"/>
    </row>
    <row r="877">
      <c r="B877" s="20"/>
      <c r="AA877" s="18"/>
    </row>
    <row r="878">
      <c r="B878" s="20"/>
      <c r="AA878" s="18"/>
    </row>
    <row r="879">
      <c r="B879" s="20"/>
      <c r="AA879" s="18"/>
    </row>
    <row r="880">
      <c r="B880" s="20"/>
      <c r="AA880" s="18"/>
    </row>
    <row r="881">
      <c r="B881" s="20"/>
      <c r="AA881" s="18"/>
    </row>
    <row r="882">
      <c r="B882" s="20"/>
      <c r="AA882" s="18"/>
    </row>
    <row r="883">
      <c r="B883" s="20"/>
      <c r="AA883" s="18"/>
    </row>
    <row r="884">
      <c r="B884" s="20"/>
      <c r="AA884" s="18"/>
    </row>
    <row r="885">
      <c r="B885" s="20"/>
      <c r="AA885" s="18"/>
    </row>
    <row r="886">
      <c r="B886" s="20"/>
      <c r="AA886" s="18"/>
    </row>
    <row r="887">
      <c r="B887" s="20"/>
      <c r="AA887" s="18"/>
    </row>
    <row r="888">
      <c r="B888" s="20"/>
      <c r="AA888" s="18"/>
    </row>
    <row r="889">
      <c r="B889" s="20"/>
      <c r="AA889" s="18"/>
    </row>
    <row r="890">
      <c r="B890" s="20"/>
      <c r="AA890" s="18"/>
    </row>
    <row r="891">
      <c r="B891" s="20"/>
      <c r="AA891" s="18"/>
    </row>
    <row r="892">
      <c r="B892" s="20"/>
      <c r="AA892" s="18"/>
    </row>
    <row r="893">
      <c r="B893" s="20"/>
      <c r="AA893" s="18"/>
    </row>
    <row r="894">
      <c r="B894" s="20"/>
      <c r="AA894" s="18"/>
    </row>
    <row r="895">
      <c r="B895" s="20"/>
      <c r="AA895" s="18"/>
    </row>
    <row r="896">
      <c r="B896" s="20"/>
      <c r="AA896" s="18"/>
    </row>
    <row r="897">
      <c r="B897" s="20"/>
      <c r="AA897" s="18"/>
    </row>
    <row r="898">
      <c r="B898" s="20"/>
      <c r="AA898" s="18"/>
    </row>
    <row r="899">
      <c r="B899" s="20"/>
      <c r="AA899" s="18"/>
    </row>
    <row r="900">
      <c r="B900" s="20"/>
      <c r="AA900" s="18"/>
    </row>
    <row r="901">
      <c r="B901" s="20"/>
      <c r="AA901" s="18"/>
    </row>
    <row r="902">
      <c r="B902" s="20"/>
      <c r="AA902" s="18"/>
    </row>
    <row r="903">
      <c r="B903" s="20"/>
      <c r="AA903" s="18"/>
    </row>
    <row r="904">
      <c r="B904" s="20"/>
      <c r="AA904" s="18"/>
    </row>
    <row r="905">
      <c r="B905" s="20"/>
      <c r="AA905" s="18"/>
    </row>
    <row r="906">
      <c r="B906" s="20"/>
      <c r="AA906" s="18"/>
    </row>
    <row r="907">
      <c r="B907" s="20"/>
      <c r="AA907" s="18"/>
    </row>
    <row r="908">
      <c r="B908" s="20"/>
      <c r="AA908" s="18"/>
    </row>
    <row r="909">
      <c r="B909" s="20"/>
      <c r="AA909" s="18"/>
    </row>
    <row r="910">
      <c r="B910" s="20"/>
      <c r="AA910" s="18"/>
    </row>
    <row r="911">
      <c r="B911" s="20"/>
      <c r="AA911" s="18"/>
    </row>
    <row r="912">
      <c r="B912" s="20"/>
      <c r="AA912" s="18"/>
    </row>
    <row r="913">
      <c r="B913" s="20"/>
      <c r="AA913" s="18"/>
    </row>
    <row r="914">
      <c r="B914" s="20"/>
      <c r="AA914" s="18"/>
    </row>
    <row r="915">
      <c r="B915" s="20"/>
      <c r="AA915" s="18"/>
    </row>
    <row r="916">
      <c r="B916" s="20"/>
      <c r="AA916" s="18"/>
    </row>
    <row r="917">
      <c r="B917" s="20"/>
      <c r="AA917" s="18"/>
    </row>
    <row r="918">
      <c r="B918" s="20"/>
      <c r="AA918" s="18"/>
    </row>
    <row r="919">
      <c r="B919" s="20"/>
      <c r="AA919" s="18"/>
    </row>
    <row r="920">
      <c r="B920" s="20"/>
      <c r="AA920" s="18"/>
    </row>
    <row r="921">
      <c r="B921" s="20"/>
      <c r="AA921" s="18"/>
    </row>
    <row r="922">
      <c r="B922" s="20"/>
      <c r="AA922" s="18"/>
    </row>
    <row r="923">
      <c r="B923" s="20"/>
      <c r="AA923" s="18"/>
    </row>
    <row r="924">
      <c r="B924" s="20"/>
      <c r="AA924" s="18"/>
    </row>
    <row r="925">
      <c r="B925" s="20"/>
      <c r="AA925" s="18"/>
    </row>
    <row r="926">
      <c r="B926" s="20"/>
      <c r="AA926" s="18"/>
    </row>
    <row r="927">
      <c r="B927" s="20"/>
      <c r="AA927" s="18"/>
    </row>
    <row r="928">
      <c r="B928" s="20"/>
      <c r="AA928" s="18"/>
    </row>
    <row r="929">
      <c r="B929" s="20"/>
      <c r="AA929" s="18"/>
    </row>
    <row r="930">
      <c r="B930" s="20"/>
      <c r="AA930" s="18"/>
    </row>
    <row r="931">
      <c r="B931" s="20"/>
      <c r="AA931" s="18"/>
    </row>
    <row r="932">
      <c r="B932" s="20"/>
      <c r="AA932" s="18"/>
    </row>
    <row r="933">
      <c r="B933" s="20"/>
      <c r="AA933" s="18"/>
    </row>
    <row r="934">
      <c r="B934" s="20"/>
      <c r="AA934" s="18"/>
    </row>
    <row r="935">
      <c r="B935" s="20"/>
      <c r="AA935" s="18"/>
    </row>
    <row r="936">
      <c r="B936" s="20"/>
      <c r="AA936" s="18"/>
    </row>
    <row r="937">
      <c r="B937" s="20"/>
      <c r="AA937" s="18"/>
    </row>
    <row r="938">
      <c r="B938" s="20"/>
      <c r="AA938" s="18"/>
    </row>
    <row r="939">
      <c r="B939" s="20"/>
      <c r="AA939" s="18"/>
    </row>
    <row r="940">
      <c r="B940" s="20"/>
      <c r="AA940" s="18"/>
    </row>
    <row r="941">
      <c r="B941" s="20"/>
      <c r="AA941" s="18"/>
    </row>
    <row r="942">
      <c r="B942" s="20"/>
      <c r="AA942" s="18"/>
    </row>
    <row r="943">
      <c r="B943" s="20"/>
      <c r="AA943" s="18"/>
    </row>
    <row r="944">
      <c r="B944" s="20"/>
      <c r="AA944" s="18"/>
    </row>
    <row r="945">
      <c r="B945" s="20"/>
      <c r="AA945" s="18"/>
    </row>
    <row r="946">
      <c r="B946" s="20"/>
      <c r="AA946" s="18"/>
    </row>
    <row r="947">
      <c r="B947" s="20"/>
      <c r="AA947" s="18"/>
    </row>
    <row r="948">
      <c r="B948" s="20"/>
      <c r="AA948" s="18"/>
    </row>
    <row r="949">
      <c r="B949" s="20"/>
      <c r="AA949" s="18"/>
    </row>
    <row r="950">
      <c r="B950" s="20"/>
      <c r="AA950" s="18"/>
    </row>
    <row r="951">
      <c r="B951" s="20"/>
      <c r="AA951" s="18"/>
    </row>
    <row r="952">
      <c r="B952" s="20"/>
      <c r="AA952" s="18"/>
    </row>
    <row r="953">
      <c r="B953" s="20"/>
      <c r="AA953" s="18"/>
    </row>
    <row r="954">
      <c r="B954" s="20"/>
      <c r="AA954" s="18"/>
    </row>
    <row r="955">
      <c r="B955" s="20"/>
      <c r="AA955" s="18"/>
    </row>
    <row r="956">
      <c r="B956" s="20"/>
      <c r="AA956" s="18"/>
    </row>
    <row r="957">
      <c r="B957" s="20"/>
      <c r="AA957" s="18"/>
    </row>
    <row r="958">
      <c r="B958" s="20"/>
      <c r="AA958" s="18"/>
    </row>
    <row r="959">
      <c r="B959" s="20"/>
      <c r="AA959" s="18"/>
    </row>
    <row r="960">
      <c r="B960" s="20"/>
      <c r="AA960" s="18"/>
    </row>
    <row r="961">
      <c r="B961" s="20"/>
      <c r="AA961" s="18"/>
    </row>
    <row r="962">
      <c r="B962" s="20"/>
      <c r="AA962" s="18"/>
    </row>
    <row r="963">
      <c r="B963" s="20"/>
      <c r="AA963" s="18"/>
    </row>
    <row r="964">
      <c r="B964" s="20"/>
      <c r="AA964" s="18"/>
    </row>
    <row r="965">
      <c r="B965" s="20"/>
      <c r="AA965" s="18"/>
    </row>
    <row r="966">
      <c r="B966" s="20"/>
      <c r="AA966" s="18"/>
    </row>
    <row r="967">
      <c r="B967" s="20"/>
      <c r="AA967" s="18"/>
    </row>
    <row r="968">
      <c r="B968" s="20"/>
      <c r="AA968" s="18"/>
    </row>
    <row r="969">
      <c r="B969" s="20"/>
      <c r="AA969" s="18"/>
    </row>
    <row r="970">
      <c r="B970" s="20"/>
      <c r="AA970" s="18"/>
    </row>
    <row r="971">
      <c r="B971" s="20"/>
      <c r="AA971" s="18"/>
    </row>
    <row r="972">
      <c r="B972" s="20"/>
      <c r="AA972" s="18"/>
    </row>
    <row r="973">
      <c r="B973" s="20"/>
      <c r="AA973" s="18"/>
    </row>
    <row r="974">
      <c r="B974" s="20"/>
      <c r="AA974" s="18"/>
    </row>
    <row r="975">
      <c r="B975" s="20"/>
      <c r="AA975" s="18"/>
    </row>
    <row r="976">
      <c r="B976" s="20"/>
      <c r="AA976" s="18"/>
    </row>
    <row r="977">
      <c r="B977" s="20"/>
      <c r="AA977" s="18"/>
    </row>
    <row r="978">
      <c r="B978" s="20"/>
      <c r="AA978" s="18"/>
    </row>
    <row r="979">
      <c r="B979" s="20"/>
      <c r="AA979" s="18"/>
    </row>
    <row r="980">
      <c r="B980" s="20"/>
      <c r="AA980" s="18"/>
    </row>
    <row r="981">
      <c r="B981" s="20"/>
      <c r="AA981" s="18"/>
    </row>
  </sheetData>
  <mergeCells count="112">
    <mergeCell ref="A20:A21"/>
    <mergeCell ref="A28:A32"/>
    <mergeCell ref="A33:A35"/>
    <mergeCell ref="A42:A44"/>
    <mergeCell ref="A45:A46"/>
    <mergeCell ref="A53:A56"/>
    <mergeCell ref="A57:A59"/>
    <mergeCell ref="A65:A66"/>
    <mergeCell ref="A67:A68"/>
    <mergeCell ref="A75:A78"/>
    <mergeCell ref="A79:A81"/>
    <mergeCell ref="A87:A88"/>
    <mergeCell ref="A89:A90"/>
    <mergeCell ref="A97:A100"/>
    <mergeCell ref="A142:A145"/>
    <mergeCell ref="A146:A148"/>
    <mergeCell ref="A154:A155"/>
    <mergeCell ref="A156:A157"/>
    <mergeCell ref="A101:A103"/>
    <mergeCell ref="A109:A110"/>
    <mergeCell ref="A111:A112"/>
    <mergeCell ref="A119:A122"/>
    <mergeCell ref="A123:A125"/>
    <mergeCell ref="A131:A132"/>
    <mergeCell ref="A133:A134"/>
    <mergeCell ref="C63:I63"/>
    <mergeCell ref="C73:I73"/>
    <mergeCell ref="J73:K73"/>
    <mergeCell ref="N73:Q73"/>
    <mergeCell ref="S73:U73"/>
    <mergeCell ref="V73:X73"/>
    <mergeCell ref="C51:I51"/>
    <mergeCell ref="J51:K51"/>
    <mergeCell ref="N51:Q51"/>
    <mergeCell ref="S51:U51"/>
    <mergeCell ref="V51:X51"/>
    <mergeCell ref="A61:AN61"/>
    <mergeCell ref="A71:AN71"/>
    <mergeCell ref="J107:K107"/>
    <mergeCell ref="N107:Q107"/>
    <mergeCell ref="S107:U107"/>
    <mergeCell ref="V107:X107"/>
    <mergeCell ref="C107:I107"/>
    <mergeCell ref="C117:I117"/>
    <mergeCell ref="J117:K117"/>
    <mergeCell ref="N117:Q117"/>
    <mergeCell ref="S117:U117"/>
    <mergeCell ref="V117:X117"/>
    <mergeCell ref="C95:I95"/>
    <mergeCell ref="J95:K95"/>
    <mergeCell ref="N95:Q95"/>
    <mergeCell ref="S95:U95"/>
    <mergeCell ref="V95:X95"/>
    <mergeCell ref="A105:AN105"/>
    <mergeCell ref="A115:AN115"/>
    <mergeCell ref="A127:AN127"/>
    <mergeCell ref="C129:I129"/>
    <mergeCell ref="J129:K129"/>
    <mergeCell ref="N129:Q129"/>
    <mergeCell ref="S129:U129"/>
    <mergeCell ref="V129:X129"/>
    <mergeCell ref="A138:AN138"/>
    <mergeCell ref="J152:K152"/>
    <mergeCell ref="N152:Q152"/>
    <mergeCell ref="S152:U152"/>
    <mergeCell ref="V152:X152"/>
    <mergeCell ref="C140:I140"/>
    <mergeCell ref="J140:K140"/>
    <mergeCell ref="N140:Q140"/>
    <mergeCell ref="S140:U140"/>
    <mergeCell ref="V140:X140"/>
    <mergeCell ref="A150:AN150"/>
    <mergeCell ref="C152:I152"/>
    <mergeCell ref="A2:AN2"/>
    <mergeCell ref="C4:I4"/>
    <mergeCell ref="J4:K4"/>
    <mergeCell ref="N4:Q4"/>
    <mergeCell ref="S4:U4"/>
    <mergeCell ref="V4:X4"/>
    <mergeCell ref="A6:A9"/>
    <mergeCell ref="A10:A12"/>
    <mergeCell ref="A14:AN14"/>
    <mergeCell ref="C16:I16"/>
    <mergeCell ref="J16:K16"/>
    <mergeCell ref="N16:Q16"/>
    <mergeCell ref="S16:U16"/>
    <mergeCell ref="V16:X16"/>
    <mergeCell ref="A18:A19"/>
    <mergeCell ref="A24:AN24"/>
    <mergeCell ref="C26:I26"/>
    <mergeCell ref="J26:K26"/>
    <mergeCell ref="N26:Q26"/>
    <mergeCell ref="S26:U26"/>
    <mergeCell ref="V26:X26"/>
    <mergeCell ref="A37:AN37"/>
    <mergeCell ref="C39:I39"/>
    <mergeCell ref="J39:K39"/>
    <mergeCell ref="N39:Q39"/>
    <mergeCell ref="S39:U39"/>
    <mergeCell ref="V39:X39"/>
    <mergeCell ref="A49:AN49"/>
    <mergeCell ref="J63:K63"/>
    <mergeCell ref="N63:Q63"/>
    <mergeCell ref="S63:U63"/>
    <mergeCell ref="V63:X63"/>
    <mergeCell ref="A83:AN83"/>
    <mergeCell ref="C85:I85"/>
    <mergeCell ref="J85:K85"/>
    <mergeCell ref="N85:Q85"/>
    <mergeCell ref="S85:U85"/>
    <mergeCell ref="V85:X85"/>
    <mergeCell ref="A93:AN9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7.13"/>
    <col customWidth="1" min="4" max="4" width="19.63"/>
    <col customWidth="1" min="7" max="7" width="12.0"/>
    <col customWidth="1" min="10" max="10" width="6.38"/>
    <col customWidth="1" min="11" max="11" width="13.13"/>
    <col customWidth="1" min="25" max="25" width="17.5"/>
  </cols>
  <sheetData>
    <row r="1">
      <c r="A1" s="19" t="s">
        <v>94</v>
      </c>
    </row>
    <row r="2">
      <c r="A2" s="31"/>
      <c r="B2" s="154" t="s">
        <v>1064</v>
      </c>
      <c r="C2" s="23" t="s">
        <v>1065</v>
      </c>
      <c r="D2" s="24" t="s">
        <v>1066</v>
      </c>
      <c r="E2" s="25"/>
      <c r="F2" s="26" t="s">
        <v>1067</v>
      </c>
      <c r="G2" s="27" t="s">
        <v>1068</v>
      </c>
      <c r="H2" s="24" t="s">
        <v>1069</v>
      </c>
      <c r="I2" s="26" t="s">
        <v>1070</v>
      </c>
      <c r="J2" s="28"/>
      <c r="K2" s="28"/>
      <c r="L2" s="29"/>
      <c r="M2" s="29"/>
      <c r="N2" s="29"/>
      <c r="O2" s="29"/>
      <c r="P2" s="29"/>
      <c r="Q2" s="29"/>
      <c r="R2" s="29"/>
      <c r="S2" s="26" t="s">
        <v>1071</v>
      </c>
      <c r="T2" s="26" t="s">
        <v>1072</v>
      </c>
      <c r="U2" s="52" t="s">
        <v>1073</v>
      </c>
      <c r="V2" s="30" t="s">
        <v>1074</v>
      </c>
      <c r="W2" s="31"/>
      <c r="X2" s="31"/>
      <c r="Y2" s="177"/>
      <c r="Z2" s="31"/>
      <c r="AA2" s="177"/>
      <c r="AB2" s="31"/>
      <c r="AC2" s="31"/>
      <c r="AD2" s="31"/>
      <c r="AI2" s="31"/>
      <c r="AJ2" s="31"/>
      <c r="AK2" s="31"/>
      <c r="AL2" s="31"/>
    </row>
    <row r="3">
      <c r="B3" s="20"/>
      <c r="C3" s="32" t="s">
        <v>106</v>
      </c>
      <c r="D3" s="33"/>
      <c r="E3" s="33"/>
      <c r="F3" s="33"/>
      <c r="G3" s="33"/>
      <c r="H3" s="33"/>
      <c r="I3" s="34"/>
      <c r="J3" s="35"/>
      <c r="K3" s="34"/>
      <c r="L3" s="116"/>
      <c r="M3" s="116"/>
      <c r="N3" s="37" t="s">
        <v>107</v>
      </c>
      <c r="O3" s="33"/>
      <c r="P3" s="33"/>
      <c r="Q3" s="34"/>
      <c r="R3" s="116"/>
      <c r="S3" s="156" t="s">
        <v>723</v>
      </c>
      <c r="T3" s="33"/>
      <c r="U3" s="34"/>
      <c r="V3" s="178" t="s">
        <v>109</v>
      </c>
      <c r="Y3" s="3" t="s">
        <v>130</v>
      </c>
      <c r="Z3" s="3" t="s">
        <v>131</v>
      </c>
      <c r="AA3" s="50" t="s">
        <v>1075</v>
      </c>
    </row>
    <row r="4">
      <c r="A4" s="47"/>
      <c r="B4" s="40"/>
      <c r="C4" s="41" t="s">
        <v>110</v>
      </c>
      <c r="D4" s="42" t="s">
        <v>1076</v>
      </c>
      <c r="E4" s="43" t="s">
        <v>112</v>
      </c>
      <c r="F4" s="44" t="s">
        <v>113</v>
      </c>
      <c r="G4" s="41" t="s">
        <v>1077</v>
      </c>
      <c r="H4" s="41" t="s">
        <v>115</v>
      </c>
      <c r="I4" s="45" t="s">
        <v>116</v>
      </c>
      <c r="J4" s="43" t="s">
        <v>117</v>
      </c>
      <c r="K4" s="43" t="s">
        <v>118</v>
      </c>
      <c r="L4" s="44" t="s">
        <v>119</v>
      </c>
      <c r="M4" s="44" t="s">
        <v>560</v>
      </c>
      <c r="N4" s="44" t="s">
        <v>121</v>
      </c>
      <c r="O4" s="44" t="s">
        <v>122</v>
      </c>
      <c r="P4" s="44" t="s">
        <v>123</v>
      </c>
      <c r="Q4" s="44" t="s">
        <v>124</v>
      </c>
      <c r="R4" s="43" t="s">
        <v>280</v>
      </c>
      <c r="S4" s="43" t="s">
        <v>648</v>
      </c>
      <c r="T4" s="43" t="s">
        <v>649</v>
      </c>
      <c r="U4" s="6" t="s">
        <v>196</v>
      </c>
      <c r="V4" s="43" t="s">
        <v>127</v>
      </c>
      <c r="W4" s="43" t="s">
        <v>128</v>
      </c>
      <c r="X4" s="43" t="s">
        <v>129</v>
      </c>
      <c r="Y4" s="43"/>
      <c r="Z4" s="47"/>
      <c r="AA4" s="69"/>
      <c r="AB4" s="47"/>
      <c r="AC4" s="47"/>
      <c r="AD4" s="47"/>
      <c r="AI4" s="47"/>
      <c r="AJ4" s="47"/>
      <c r="AK4" s="47"/>
      <c r="AL4" s="47"/>
    </row>
    <row r="5">
      <c r="A5" s="172" t="s">
        <v>1078</v>
      </c>
      <c r="B5" s="117" t="s">
        <v>1079</v>
      </c>
      <c r="D5" s="133">
        <v>500.0</v>
      </c>
      <c r="E5" s="6">
        <v>32.0</v>
      </c>
      <c r="F5" s="6">
        <v>500.0</v>
      </c>
      <c r="G5" s="10">
        <f t="shared" ref="G5:G6" si="1">F5*F5</f>
        <v>250000</v>
      </c>
      <c r="H5" s="10">
        <f t="shared" ref="H5:H8" si="2">N5*O5*P5</f>
        <v>4096</v>
      </c>
      <c r="I5" s="179">
        <f t="shared" ref="I5:I8" si="3">(D5/H5)</f>
        <v>0.1220703125</v>
      </c>
      <c r="L5" s="6"/>
      <c r="M5" s="6"/>
      <c r="N5" s="6">
        <v>16.0</v>
      </c>
      <c r="O5" s="6">
        <v>8.0</v>
      </c>
      <c r="P5" s="6">
        <v>32.0</v>
      </c>
      <c r="Q5" s="6">
        <v>131072.0</v>
      </c>
      <c r="R5" s="6">
        <v>4096.0</v>
      </c>
      <c r="U5" s="6">
        <v>2.52</v>
      </c>
      <c r="Y5" s="18">
        <f t="shared" ref="Y5:Y6" si="4">I5*E5*min(G5/64,R5)*U5</f>
        <v>38452.14844</v>
      </c>
      <c r="Z5" s="50">
        <f>320313000/28</f>
        <v>11439750</v>
      </c>
    </row>
    <row r="6">
      <c r="A6" s="172" t="s">
        <v>1080</v>
      </c>
      <c r="B6" s="117" t="s">
        <v>1081</v>
      </c>
      <c r="D6" s="133">
        <v>500.0</v>
      </c>
      <c r="E6" s="180">
        <v>32.0</v>
      </c>
      <c r="F6" s="6">
        <v>500.0</v>
      </c>
      <c r="G6" s="10">
        <f t="shared" si="1"/>
        <v>250000</v>
      </c>
      <c r="H6" s="10">
        <f t="shared" si="2"/>
        <v>4096</v>
      </c>
      <c r="I6" s="179">
        <f t="shared" si="3"/>
        <v>0.1220703125</v>
      </c>
      <c r="L6" s="6"/>
      <c r="M6" s="6"/>
      <c r="N6" s="6">
        <v>16.0</v>
      </c>
      <c r="O6" s="6">
        <v>8.0</v>
      </c>
      <c r="P6" s="6">
        <v>32.0</v>
      </c>
      <c r="Q6" s="6">
        <v>131072.0</v>
      </c>
      <c r="R6" s="6">
        <v>4096.0</v>
      </c>
      <c r="U6" s="6">
        <v>2.52</v>
      </c>
      <c r="Y6" s="18">
        <f t="shared" si="4"/>
        <v>38452.14844</v>
      </c>
      <c r="AA6" s="18"/>
    </row>
    <row r="7">
      <c r="A7" s="172"/>
      <c r="B7" s="117" t="s">
        <v>1082</v>
      </c>
      <c r="D7" s="133">
        <v>500.0</v>
      </c>
      <c r="E7" s="6">
        <v>32.0</v>
      </c>
      <c r="F7" s="6">
        <v>500.0</v>
      </c>
      <c r="H7" s="10">
        <f t="shared" si="2"/>
        <v>4096</v>
      </c>
      <c r="I7" s="179">
        <f t="shared" si="3"/>
        <v>0.1220703125</v>
      </c>
      <c r="J7" s="10">
        <f>2*E7*E7/E7</f>
        <v>64</v>
      </c>
      <c r="K7" s="6">
        <f>E7*E7/E7</f>
        <v>32</v>
      </c>
      <c r="L7" s="6">
        <f>5*E7*E7/E7</f>
        <v>160</v>
      </c>
      <c r="M7" s="6">
        <v>2.52</v>
      </c>
      <c r="N7" s="6">
        <v>16.0</v>
      </c>
      <c r="O7" s="6">
        <v>8.0</v>
      </c>
      <c r="P7" s="6">
        <v>32.0</v>
      </c>
      <c r="Q7" s="6">
        <v>131072.0</v>
      </c>
      <c r="S7" s="10">
        <v>27.72</v>
      </c>
      <c r="T7" s="10">
        <v>28.98</v>
      </c>
      <c r="Y7" s="18">
        <f>I7*E7*J7*S7+I7*E7*K7*T7+I7*E7*L7*M7</f>
        <v>12127.5</v>
      </c>
      <c r="AA7" s="18"/>
    </row>
    <row r="8">
      <c r="B8" s="181" t="s">
        <v>1083</v>
      </c>
      <c r="D8" s="133">
        <v>500.0</v>
      </c>
      <c r="F8" s="6">
        <v>500.0</v>
      </c>
      <c r="G8" s="10">
        <f>F8*F8</f>
        <v>250000</v>
      </c>
      <c r="H8" s="10">
        <f t="shared" si="2"/>
        <v>4096</v>
      </c>
      <c r="I8" s="179">
        <f t="shared" si="3"/>
        <v>0.1220703125</v>
      </c>
      <c r="L8" s="6"/>
      <c r="M8" s="6"/>
      <c r="N8" s="6">
        <v>16.0</v>
      </c>
      <c r="O8" s="6">
        <v>8.0</v>
      </c>
      <c r="P8" s="6">
        <v>32.0</v>
      </c>
      <c r="Q8" s="6">
        <v>131072.0</v>
      </c>
      <c r="V8" s="6">
        <v>10.0</v>
      </c>
      <c r="W8" s="10">
        <f>Q8</f>
        <v>131072</v>
      </c>
      <c r="X8" s="6">
        <v>3200.0</v>
      </c>
      <c r="Y8" s="18">
        <f>I8*V8*min(W8,G8)/(X8*10^6)*10^9</f>
        <v>50000</v>
      </c>
      <c r="AA8" s="18"/>
    </row>
    <row r="9">
      <c r="B9" s="20"/>
      <c r="X9" s="6" t="s">
        <v>204</v>
      </c>
      <c r="Y9" s="18">
        <f>SUM(Y5:Y8)</f>
        <v>139031.7969</v>
      </c>
    </row>
    <row r="10">
      <c r="B10" s="20"/>
      <c r="Y10" s="18"/>
      <c r="AA10" s="18"/>
    </row>
    <row r="11">
      <c r="A11" s="19" t="s">
        <v>134</v>
      </c>
    </row>
    <row r="12">
      <c r="A12" s="31"/>
      <c r="B12" s="154" t="s">
        <v>1064</v>
      </c>
      <c r="C12" s="23" t="s">
        <v>1084</v>
      </c>
      <c r="D12" s="24" t="s">
        <v>1066</v>
      </c>
      <c r="E12" s="25"/>
      <c r="F12" s="26" t="s">
        <v>1067</v>
      </c>
      <c r="G12" s="27" t="s">
        <v>1085</v>
      </c>
      <c r="H12" s="24" t="s">
        <v>1069</v>
      </c>
      <c r="I12" s="26" t="s">
        <v>1086</v>
      </c>
      <c r="J12" s="28"/>
      <c r="K12" s="28"/>
      <c r="L12" s="29"/>
      <c r="M12" s="29"/>
      <c r="N12" s="29"/>
      <c r="O12" s="29"/>
      <c r="P12" s="29"/>
      <c r="Q12" s="29"/>
      <c r="R12" s="29"/>
      <c r="S12" s="26" t="s">
        <v>1087</v>
      </c>
      <c r="T12" s="26" t="s">
        <v>1088</v>
      </c>
      <c r="U12" s="52" t="s">
        <v>1089</v>
      </c>
      <c r="V12" s="30" t="s">
        <v>1090</v>
      </c>
      <c r="W12" s="31"/>
      <c r="X12" s="31"/>
      <c r="Y12" s="177"/>
      <c r="Z12" s="31"/>
      <c r="AA12" s="177"/>
      <c r="AB12" s="31"/>
      <c r="AC12" s="31"/>
      <c r="AD12" s="31"/>
      <c r="AI12" s="31"/>
      <c r="AJ12" s="31"/>
      <c r="AK12" s="31"/>
      <c r="AL12" s="31"/>
    </row>
    <row r="13">
      <c r="B13" s="20"/>
      <c r="C13" s="32" t="s">
        <v>106</v>
      </c>
      <c r="D13" s="33"/>
      <c r="E13" s="33"/>
      <c r="F13" s="33"/>
      <c r="G13" s="33"/>
      <c r="H13" s="33"/>
      <c r="I13" s="34"/>
      <c r="J13" s="35"/>
      <c r="K13" s="34"/>
      <c r="L13" s="116"/>
      <c r="M13" s="116"/>
      <c r="N13" s="37" t="s">
        <v>107</v>
      </c>
      <c r="O13" s="33"/>
      <c r="P13" s="33"/>
      <c r="Q13" s="34"/>
      <c r="R13" s="116"/>
      <c r="S13" s="156" t="s">
        <v>723</v>
      </c>
      <c r="T13" s="33"/>
      <c r="U13" s="34"/>
      <c r="V13" s="178" t="s">
        <v>109</v>
      </c>
      <c r="Y13" s="3" t="s">
        <v>130</v>
      </c>
      <c r="Z13" s="3" t="s">
        <v>131</v>
      </c>
      <c r="AA13" s="50" t="s">
        <v>1075</v>
      </c>
    </row>
    <row r="14">
      <c r="A14" s="47"/>
      <c r="B14" s="40"/>
      <c r="C14" s="41" t="s">
        <v>110</v>
      </c>
      <c r="D14" s="42" t="s">
        <v>1076</v>
      </c>
      <c r="E14" s="43" t="s">
        <v>112</v>
      </c>
      <c r="F14" s="44" t="s">
        <v>113</v>
      </c>
      <c r="G14" s="41" t="s">
        <v>1077</v>
      </c>
      <c r="H14" s="41" t="s">
        <v>115</v>
      </c>
      <c r="I14" s="45" t="s">
        <v>116</v>
      </c>
      <c r="J14" s="43" t="s">
        <v>117</v>
      </c>
      <c r="K14" s="43" t="s">
        <v>118</v>
      </c>
      <c r="L14" s="44" t="s">
        <v>119</v>
      </c>
      <c r="M14" s="44" t="s">
        <v>560</v>
      </c>
      <c r="N14" s="44" t="s">
        <v>121</v>
      </c>
      <c r="O14" s="44" t="s">
        <v>122</v>
      </c>
      <c r="P14" s="44" t="s">
        <v>123</v>
      </c>
      <c r="Q14" s="44" t="s">
        <v>124</v>
      </c>
      <c r="R14" s="43" t="s">
        <v>280</v>
      </c>
      <c r="S14" s="43" t="s">
        <v>648</v>
      </c>
      <c r="T14" s="43" t="s">
        <v>649</v>
      </c>
      <c r="U14" s="6" t="s">
        <v>196</v>
      </c>
      <c r="V14" s="43" t="s">
        <v>127</v>
      </c>
      <c r="W14" s="43" t="s">
        <v>128</v>
      </c>
      <c r="X14" s="43" t="s">
        <v>129</v>
      </c>
      <c r="Y14" s="43"/>
      <c r="Z14" s="47"/>
      <c r="AA14" s="69"/>
      <c r="AB14" s="47"/>
      <c r="AC14" s="47"/>
      <c r="AD14" s="47"/>
      <c r="AI14" s="47"/>
      <c r="AJ14" s="47"/>
      <c r="AK14" s="47"/>
      <c r="AL14" s="47"/>
    </row>
    <row r="15">
      <c r="A15" s="172" t="s">
        <v>1091</v>
      </c>
      <c r="B15" s="117" t="s">
        <v>1079</v>
      </c>
      <c r="D15" s="133">
        <v>500.0</v>
      </c>
      <c r="E15" s="6">
        <v>32.0</v>
      </c>
      <c r="F15" s="6">
        <v>500.0</v>
      </c>
      <c r="G15" s="10">
        <f t="shared" ref="G15:G16" si="5">F15*F15</f>
        <v>250000</v>
      </c>
      <c r="H15" s="10">
        <f t="shared" ref="H15:H16" si="6">N15*O15*P15</f>
        <v>4096</v>
      </c>
      <c r="I15" s="179">
        <f t="shared" ref="I15:I16" si="7">ceiling(D15/H15,1)</f>
        <v>1</v>
      </c>
      <c r="L15" s="6"/>
      <c r="M15" s="6"/>
      <c r="N15" s="6">
        <v>16.0</v>
      </c>
      <c r="O15" s="6">
        <v>8.0</v>
      </c>
      <c r="P15" s="6">
        <v>32.0</v>
      </c>
      <c r="Q15" s="6">
        <v>131072.0</v>
      </c>
      <c r="R15" s="6">
        <v>4096.0</v>
      </c>
      <c r="U15" s="6">
        <v>2.52</v>
      </c>
      <c r="Y15" s="18">
        <f t="shared" ref="Y15:Y16" si="8">I15*E15*min(G15/64,R15)*U15</f>
        <v>315000</v>
      </c>
      <c r="Z15" s="50">
        <v>3.20313E8</v>
      </c>
    </row>
    <row r="16">
      <c r="A16" s="172" t="s">
        <v>1080</v>
      </c>
      <c r="B16" s="117" t="s">
        <v>1081</v>
      </c>
      <c r="D16" s="133">
        <v>500.0</v>
      </c>
      <c r="E16" s="180">
        <v>32.0</v>
      </c>
      <c r="F16" s="6">
        <v>500.0</v>
      </c>
      <c r="G16" s="10">
        <f t="shared" si="5"/>
        <v>250000</v>
      </c>
      <c r="H16" s="10">
        <f t="shared" si="6"/>
        <v>4096</v>
      </c>
      <c r="I16" s="179">
        <f t="shared" si="7"/>
        <v>1</v>
      </c>
      <c r="L16" s="6"/>
      <c r="M16" s="6"/>
      <c r="N16" s="6">
        <v>16.0</v>
      </c>
      <c r="O16" s="6">
        <v>8.0</v>
      </c>
      <c r="P16" s="6">
        <v>32.0</v>
      </c>
      <c r="Q16" s="6">
        <v>131072.0</v>
      </c>
      <c r="R16" s="6">
        <v>4096.0</v>
      </c>
      <c r="U16" s="6">
        <v>2.52</v>
      </c>
      <c r="Y16" s="18">
        <f t="shared" si="8"/>
        <v>315000</v>
      </c>
      <c r="AA16" s="18"/>
    </row>
    <row r="17">
      <c r="A17" s="172"/>
      <c r="B17" s="117"/>
      <c r="D17" s="133"/>
      <c r="E17" s="6"/>
      <c r="I17" s="179"/>
      <c r="J17" s="56" t="s">
        <v>142</v>
      </c>
      <c r="K17" s="56" t="s">
        <v>143</v>
      </c>
      <c r="L17" s="6"/>
      <c r="M17" s="6"/>
      <c r="N17" s="6"/>
      <c r="O17" s="6">
        <v>8.0</v>
      </c>
      <c r="Y17" s="18"/>
      <c r="AA17" s="18"/>
    </row>
    <row r="18">
      <c r="A18" s="172"/>
      <c r="B18" s="117" t="s">
        <v>1092</v>
      </c>
      <c r="D18" s="133">
        <v>500.0</v>
      </c>
      <c r="E18" s="6">
        <v>32.0</v>
      </c>
      <c r="H18" s="10">
        <f t="shared" ref="H18:H19" si="9">N18*O18*P18</f>
        <v>4096</v>
      </c>
      <c r="I18" s="179">
        <f t="shared" ref="I18:I19" si="10">ceiling(D18/H18,1)</f>
        <v>1</v>
      </c>
      <c r="J18" s="10">
        <f>(11*E18*E18-5*E18-1)/E18</f>
        <v>346.96875</v>
      </c>
      <c r="K18" s="6">
        <v>53.14</v>
      </c>
      <c r="N18" s="6">
        <v>16.0</v>
      </c>
      <c r="O18" s="6">
        <v>8.0</v>
      </c>
      <c r="P18" s="6">
        <v>32.0</v>
      </c>
      <c r="S18" s="10">
        <v>27.72</v>
      </c>
      <c r="T18" s="10">
        <v>28.98</v>
      </c>
      <c r="Y18" s="18">
        <f>I18*E18*J18*K18</f>
        <v>590013.42</v>
      </c>
      <c r="AA18" s="18"/>
    </row>
    <row r="19">
      <c r="B19" s="181" t="s">
        <v>1083</v>
      </c>
      <c r="D19" s="133">
        <v>500.0</v>
      </c>
      <c r="F19" s="6">
        <v>500.0</v>
      </c>
      <c r="G19" s="10">
        <f>F19*F19</f>
        <v>250000</v>
      </c>
      <c r="H19" s="10">
        <f t="shared" si="9"/>
        <v>4096</v>
      </c>
      <c r="I19" s="179">
        <f t="shared" si="10"/>
        <v>1</v>
      </c>
      <c r="L19" s="6"/>
      <c r="M19" s="6"/>
      <c r="N19" s="6">
        <v>16.0</v>
      </c>
      <c r="O19" s="6">
        <v>8.0</v>
      </c>
      <c r="P19" s="6">
        <v>32.0</v>
      </c>
      <c r="Q19" s="6">
        <v>131072.0</v>
      </c>
      <c r="V19" s="6">
        <v>10.0</v>
      </c>
      <c r="W19" s="10">
        <f>Q19</f>
        <v>131072</v>
      </c>
      <c r="X19" s="6">
        <v>3200.0</v>
      </c>
      <c r="Y19" s="18">
        <f>I19*V19*min(W19,G19)/(X19*10^6)*10^9</f>
        <v>409600</v>
      </c>
      <c r="AA19" s="18"/>
    </row>
    <row r="20">
      <c r="B20" s="20"/>
      <c r="X20" s="6" t="s">
        <v>204</v>
      </c>
      <c r="Y20" s="18">
        <f>SUM(Y15:Y19)</f>
        <v>1629613.42</v>
      </c>
    </row>
    <row r="21">
      <c r="B21" s="20"/>
      <c r="Y21" s="18"/>
      <c r="AA21" s="18"/>
    </row>
    <row r="22">
      <c r="A22" s="75" t="s">
        <v>493</v>
      </c>
    </row>
    <row r="23">
      <c r="A23" s="76"/>
      <c r="B23" s="109" t="s">
        <v>1064</v>
      </c>
      <c r="C23" s="81" t="s">
        <v>1093</v>
      </c>
      <c r="D23" s="85" t="s">
        <v>1066</v>
      </c>
      <c r="E23" s="83"/>
      <c r="F23" s="84" t="s">
        <v>1067</v>
      </c>
      <c r="G23" s="85" t="s">
        <v>1094</v>
      </c>
      <c r="H23" s="85" t="s">
        <v>1069</v>
      </c>
      <c r="I23" s="87" t="s">
        <v>1095</v>
      </c>
      <c r="J23" s="83"/>
      <c r="K23" s="83"/>
      <c r="L23" s="83"/>
      <c r="M23" s="83"/>
      <c r="N23" s="83"/>
      <c r="O23" s="83"/>
      <c r="P23" s="83"/>
      <c r="Q23" s="83"/>
      <c r="R23" s="83"/>
      <c r="S23" s="86" t="s">
        <v>1096</v>
      </c>
      <c r="T23" s="84" t="s">
        <v>1097</v>
      </c>
      <c r="U23" s="182" t="s">
        <v>1098</v>
      </c>
      <c r="V23" s="90" t="s">
        <v>1099</v>
      </c>
      <c r="W23" s="76"/>
      <c r="X23" s="76"/>
      <c r="Y23" s="78"/>
      <c r="Z23" s="76"/>
      <c r="AA23" s="78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</row>
    <row r="24">
      <c r="A24" s="76"/>
      <c r="B24" s="91"/>
      <c r="C24" s="92" t="s">
        <v>106</v>
      </c>
      <c r="D24" s="89"/>
      <c r="E24" s="89"/>
      <c r="F24" s="89"/>
      <c r="G24" s="89"/>
      <c r="H24" s="89"/>
      <c r="I24" s="93"/>
      <c r="J24" s="94"/>
      <c r="K24" s="93"/>
      <c r="L24" s="95"/>
      <c r="M24" s="95"/>
      <c r="N24" s="83" t="s">
        <v>107</v>
      </c>
      <c r="O24" s="89"/>
      <c r="P24" s="89"/>
      <c r="Q24" s="93"/>
      <c r="R24" s="95"/>
      <c r="S24" s="97" t="s">
        <v>723</v>
      </c>
      <c r="T24" s="89"/>
      <c r="U24" s="93"/>
      <c r="V24" s="183" t="s">
        <v>109</v>
      </c>
      <c r="W24" s="76"/>
      <c r="X24" s="76"/>
      <c r="Y24" s="104" t="s">
        <v>130</v>
      </c>
      <c r="Z24" s="126" t="s">
        <v>131</v>
      </c>
      <c r="AA24" s="78" t="s">
        <v>1075</v>
      </c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</row>
    <row r="25">
      <c r="A25" s="76"/>
      <c r="B25" s="76"/>
      <c r="C25" s="99" t="s">
        <v>110</v>
      </c>
      <c r="D25" s="100" t="s">
        <v>1076</v>
      </c>
      <c r="E25" s="76" t="s">
        <v>112</v>
      </c>
      <c r="F25" s="101" t="s">
        <v>113</v>
      </c>
      <c r="G25" s="102" t="s">
        <v>1077</v>
      </c>
      <c r="H25" s="99" t="s">
        <v>115</v>
      </c>
      <c r="I25" s="103" t="s">
        <v>116</v>
      </c>
      <c r="J25" s="76" t="s">
        <v>117</v>
      </c>
      <c r="K25" s="76" t="s">
        <v>118</v>
      </c>
      <c r="L25" s="101" t="s">
        <v>119</v>
      </c>
      <c r="M25" s="101" t="s">
        <v>560</v>
      </c>
      <c r="N25" s="101" t="s">
        <v>121</v>
      </c>
      <c r="O25" s="101" t="s">
        <v>122</v>
      </c>
      <c r="P25" s="101" t="s">
        <v>123</v>
      </c>
      <c r="Q25" s="101" t="s">
        <v>124</v>
      </c>
      <c r="R25" s="76" t="s">
        <v>280</v>
      </c>
      <c r="S25" s="76" t="s">
        <v>648</v>
      </c>
      <c r="T25" s="76" t="s">
        <v>649</v>
      </c>
      <c r="U25" s="76" t="s">
        <v>196</v>
      </c>
      <c r="V25" s="76" t="s">
        <v>127</v>
      </c>
      <c r="W25" s="76" t="s">
        <v>128</v>
      </c>
      <c r="X25" s="76" t="s">
        <v>129</v>
      </c>
      <c r="Y25" s="78"/>
      <c r="Z25" s="76"/>
      <c r="AA25" s="78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</row>
    <row r="26">
      <c r="A26" s="184" t="s">
        <v>1100</v>
      </c>
      <c r="B26" s="185" t="s">
        <v>1079</v>
      </c>
      <c r="C26" s="76"/>
      <c r="D26" s="186">
        <v>500.0</v>
      </c>
      <c r="E26" s="107">
        <v>32.0</v>
      </c>
      <c r="F26" s="107">
        <v>500.0</v>
      </c>
      <c r="G26" s="107">
        <f t="shared" ref="G26:G27" si="11">F26*F26</f>
        <v>250000</v>
      </c>
      <c r="H26" s="107">
        <f t="shared" ref="H26:H29" si="12">N26*O26*P26</f>
        <v>4096</v>
      </c>
      <c r="I26" s="187">
        <f t="shared" ref="I26:I29" si="13">ceiling(D26/H26,1)</f>
        <v>1</v>
      </c>
      <c r="J26" s="76"/>
      <c r="K26" s="76"/>
      <c r="L26" s="76"/>
      <c r="M26" s="76"/>
      <c r="N26" s="107">
        <v>16.0</v>
      </c>
      <c r="O26" s="6">
        <v>4.0</v>
      </c>
      <c r="P26" s="6">
        <v>64.0</v>
      </c>
      <c r="Q26" s="6">
        <v>131072.0</v>
      </c>
      <c r="R26" s="107">
        <v>4096.0</v>
      </c>
      <c r="S26" s="76"/>
      <c r="T26" s="76"/>
      <c r="U26" s="107">
        <v>2.52</v>
      </c>
      <c r="V26" s="76"/>
      <c r="W26" s="76"/>
      <c r="X26" s="76"/>
      <c r="Y26" s="108">
        <f t="shared" ref="Y26:Y27" si="14">I26*E26*min(G26/64,R26)*U26</f>
        <v>315000</v>
      </c>
      <c r="Z26" s="108">
        <v>3.20313E8</v>
      </c>
      <c r="AA26" s="78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</row>
    <row r="27">
      <c r="A27" s="184" t="s">
        <v>1080</v>
      </c>
      <c r="B27" s="185" t="s">
        <v>1081</v>
      </c>
      <c r="C27" s="76"/>
      <c r="D27" s="186">
        <v>500.0</v>
      </c>
      <c r="E27" s="107">
        <v>32.0</v>
      </c>
      <c r="F27" s="107">
        <v>500.0</v>
      </c>
      <c r="G27" s="107">
        <f t="shared" si="11"/>
        <v>250000</v>
      </c>
      <c r="H27" s="107">
        <f t="shared" si="12"/>
        <v>4096</v>
      </c>
      <c r="I27" s="187">
        <f t="shared" si="13"/>
        <v>1</v>
      </c>
      <c r="J27" s="76"/>
      <c r="K27" s="76"/>
      <c r="L27" s="76"/>
      <c r="M27" s="76"/>
      <c r="N27" s="107">
        <v>16.0</v>
      </c>
      <c r="O27" s="6">
        <v>4.0</v>
      </c>
      <c r="P27" s="6">
        <v>64.0</v>
      </c>
      <c r="Q27" s="6">
        <v>131072.0</v>
      </c>
      <c r="R27" s="107">
        <v>4096.0</v>
      </c>
      <c r="S27" s="76"/>
      <c r="T27" s="76"/>
      <c r="U27" s="107">
        <v>2.52</v>
      </c>
      <c r="V27" s="76"/>
      <c r="W27" s="76"/>
      <c r="X27" s="76"/>
      <c r="Y27" s="108">
        <f t="shared" si="14"/>
        <v>315000</v>
      </c>
      <c r="Z27" s="76"/>
      <c r="AA27" s="78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</row>
    <row r="28">
      <c r="A28" s="184"/>
      <c r="B28" s="185" t="s">
        <v>1082</v>
      </c>
      <c r="C28" s="76"/>
      <c r="D28" s="186">
        <v>500.0</v>
      </c>
      <c r="E28" s="107">
        <v>32.0</v>
      </c>
      <c r="F28" s="76"/>
      <c r="G28" s="76"/>
      <c r="H28" s="107">
        <f t="shared" si="12"/>
        <v>4096</v>
      </c>
      <c r="I28" s="187">
        <f t="shared" si="13"/>
        <v>1</v>
      </c>
      <c r="J28" s="107">
        <f>1.8*E28*E28/E28</f>
        <v>57.6</v>
      </c>
      <c r="K28" s="107">
        <f>E28*E28/E28</f>
        <v>32</v>
      </c>
      <c r="L28" s="110">
        <f>3.6*E28*E28/E28</f>
        <v>115.2</v>
      </c>
      <c r="M28" s="110">
        <v>2.52</v>
      </c>
      <c r="N28" s="107">
        <v>16.0</v>
      </c>
      <c r="O28" s="6">
        <v>4.0</v>
      </c>
      <c r="P28" s="6">
        <v>64.0</v>
      </c>
      <c r="Q28" s="6">
        <v>131072.0</v>
      </c>
      <c r="R28" s="76"/>
      <c r="S28" s="107">
        <v>27.72</v>
      </c>
      <c r="T28" s="107">
        <v>28.98</v>
      </c>
      <c r="U28" s="76"/>
      <c r="V28" s="76"/>
      <c r="W28" s="76"/>
      <c r="X28" s="76"/>
      <c r="Y28" s="108">
        <f>I28*E28*J28*S28+I28*E28*K28*T28+I28*E28*L28*M28</f>
        <v>90058.752</v>
      </c>
      <c r="Z28" s="76"/>
      <c r="AA28" s="78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</row>
    <row r="29">
      <c r="A29" s="76"/>
      <c r="B29" s="188" t="s">
        <v>1083</v>
      </c>
      <c r="C29" s="76"/>
      <c r="D29" s="186">
        <v>500.0</v>
      </c>
      <c r="E29" s="76"/>
      <c r="F29" s="107">
        <v>500.0</v>
      </c>
      <c r="G29" s="107">
        <f>F29*F29</f>
        <v>250000</v>
      </c>
      <c r="H29" s="107">
        <f t="shared" si="12"/>
        <v>4096</v>
      </c>
      <c r="I29" s="187">
        <f t="shared" si="13"/>
        <v>1</v>
      </c>
      <c r="J29" s="76"/>
      <c r="K29" s="76"/>
      <c r="L29" s="76"/>
      <c r="M29" s="76"/>
      <c r="N29" s="107">
        <v>16.0</v>
      </c>
      <c r="O29" s="6">
        <v>4.0</v>
      </c>
      <c r="P29" s="6">
        <v>64.0</v>
      </c>
      <c r="Q29" s="6">
        <v>131072.0</v>
      </c>
      <c r="R29" s="76"/>
      <c r="S29" s="76"/>
      <c r="T29" s="76"/>
      <c r="U29" s="76"/>
      <c r="V29" s="107">
        <v>10.0</v>
      </c>
      <c r="W29" s="107">
        <f>Q29</f>
        <v>131072</v>
      </c>
      <c r="X29" s="107">
        <v>3200.0</v>
      </c>
      <c r="Y29" s="108">
        <f>I29*V29*min(W29,G29)/(X29*10^6)*10^9</f>
        <v>409600</v>
      </c>
      <c r="Z29" s="76"/>
      <c r="AA29" s="78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 t="s">
        <v>204</v>
      </c>
      <c r="Y30" s="108">
        <f>SUM(Y26:Y29)</f>
        <v>1129658.752</v>
      </c>
      <c r="Z30" s="76"/>
      <c r="AA30" s="78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</row>
    <row r="31">
      <c r="A31" s="19" t="s">
        <v>226</v>
      </c>
    </row>
    <row r="32">
      <c r="A32" s="31"/>
      <c r="B32" s="154" t="s">
        <v>1064</v>
      </c>
      <c r="C32" s="23" t="s">
        <v>1101</v>
      </c>
      <c r="D32" s="24" t="s">
        <v>1066</v>
      </c>
      <c r="E32" s="25"/>
      <c r="F32" s="26" t="s">
        <v>1067</v>
      </c>
      <c r="G32" s="27" t="s">
        <v>1102</v>
      </c>
      <c r="H32" s="24" t="s">
        <v>1069</v>
      </c>
      <c r="I32" s="26" t="s">
        <v>1103</v>
      </c>
      <c r="J32" s="28"/>
      <c r="K32" s="28"/>
      <c r="L32" s="29"/>
      <c r="M32" s="29"/>
      <c r="N32" s="29"/>
      <c r="O32" s="29"/>
      <c r="P32" s="29"/>
      <c r="Q32" s="29"/>
      <c r="R32" s="29"/>
      <c r="S32" s="26" t="s">
        <v>1104</v>
      </c>
      <c r="T32" s="26" t="s">
        <v>1105</v>
      </c>
      <c r="U32" s="52" t="s">
        <v>1106</v>
      </c>
      <c r="V32" s="30" t="s">
        <v>1107</v>
      </c>
      <c r="W32" s="31"/>
      <c r="X32" s="31"/>
      <c r="Y32" s="177"/>
      <c r="Z32" s="31"/>
      <c r="AA32" s="177"/>
      <c r="AB32" s="31"/>
      <c r="AC32" s="31"/>
      <c r="AD32" s="31"/>
      <c r="AI32" s="31"/>
      <c r="AJ32" s="31"/>
      <c r="AK32" s="31"/>
      <c r="AL32" s="31"/>
    </row>
    <row r="33">
      <c r="B33" s="20"/>
      <c r="C33" s="32" t="s">
        <v>106</v>
      </c>
      <c r="D33" s="33"/>
      <c r="E33" s="33"/>
      <c r="F33" s="33"/>
      <c r="G33" s="33"/>
      <c r="H33" s="33"/>
      <c r="I33" s="34"/>
      <c r="J33" s="35"/>
      <c r="K33" s="34"/>
      <c r="L33" s="116"/>
      <c r="M33" s="116"/>
      <c r="N33" s="37" t="s">
        <v>107</v>
      </c>
      <c r="O33" s="33"/>
      <c r="P33" s="33"/>
      <c r="Q33" s="34"/>
      <c r="R33" s="116"/>
      <c r="S33" s="156" t="s">
        <v>723</v>
      </c>
      <c r="T33" s="33"/>
      <c r="U33" s="34"/>
      <c r="V33" s="178" t="s">
        <v>109</v>
      </c>
      <c r="Y33" s="3" t="s">
        <v>130</v>
      </c>
      <c r="Z33" s="3" t="s">
        <v>131</v>
      </c>
      <c r="AA33" s="50" t="s">
        <v>1075</v>
      </c>
    </row>
    <row r="34">
      <c r="A34" s="47"/>
      <c r="B34" s="40"/>
      <c r="C34" s="41" t="s">
        <v>110</v>
      </c>
      <c r="D34" s="42" t="s">
        <v>1076</v>
      </c>
      <c r="E34" s="43" t="s">
        <v>112</v>
      </c>
      <c r="F34" s="44" t="s">
        <v>113</v>
      </c>
      <c r="G34" s="41" t="s">
        <v>1077</v>
      </c>
      <c r="H34" s="41" t="s">
        <v>115</v>
      </c>
      <c r="I34" s="45" t="s">
        <v>116</v>
      </c>
      <c r="J34" s="43" t="s">
        <v>117</v>
      </c>
      <c r="K34" s="43" t="s">
        <v>118</v>
      </c>
      <c r="L34" s="44" t="s">
        <v>119</v>
      </c>
      <c r="M34" s="44" t="s">
        <v>560</v>
      </c>
      <c r="N34" s="44" t="s">
        <v>121</v>
      </c>
      <c r="O34" s="44" t="s">
        <v>122</v>
      </c>
      <c r="P34" s="44" t="s">
        <v>123</v>
      </c>
      <c r="Q34" s="44" t="s">
        <v>124</v>
      </c>
      <c r="R34" s="43" t="s">
        <v>280</v>
      </c>
      <c r="S34" s="43" t="s">
        <v>648</v>
      </c>
      <c r="T34" s="43" t="s">
        <v>649</v>
      </c>
      <c r="U34" s="6" t="s">
        <v>196</v>
      </c>
      <c r="V34" s="43" t="s">
        <v>127</v>
      </c>
      <c r="W34" s="43" t="s">
        <v>128</v>
      </c>
      <c r="X34" s="43" t="s">
        <v>129</v>
      </c>
      <c r="Y34" s="43"/>
      <c r="Z34" s="47"/>
      <c r="AA34" s="69"/>
      <c r="AB34" s="47"/>
      <c r="AC34" s="47"/>
      <c r="AD34" s="47"/>
      <c r="AI34" s="47"/>
      <c r="AJ34" s="47"/>
      <c r="AK34" s="47"/>
      <c r="AL34" s="47"/>
    </row>
    <row r="35">
      <c r="A35" s="172" t="s">
        <v>1108</v>
      </c>
      <c r="B35" s="117" t="s">
        <v>1079</v>
      </c>
      <c r="D35" s="133">
        <v>500.0</v>
      </c>
      <c r="E35" s="6">
        <v>32.0</v>
      </c>
      <c r="F35" s="6">
        <v>500.0</v>
      </c>
      <c r="G35" s="10">
        <f t="shared" ref="G35:G36" si="15">F35*F35</f>
        <v>250000</v>
      </c>
      <c r="H35" s="10">
        <f t="shared" ref="H35:H38" si="16">N35*O35*P35</f>
        <v>4096</v>
      </c>
      <c r="I35" s="179">
        <f t="shared" ref="I35:I38" si="17">ceiling(D35/H35,1)</f>
        <v>1</v>
      </c>
      <c r="L35" s="6"/>
      <c r="M35" s="6"/>
      <c r="N35" s="6">
        <v>16.0</v>
      </c>
      <c r="O35" s="6">
        <v>8.0</v>
      </c>
      <c r="P35" s="6">
        <v>32.0</v>
      </c>
      <c r="Q35" s="6">
        <v>131072.0</v>
      </c>
      <c r="R35" s="6">
        <v>4096.0</v>
      </c>
      <c r="U35" s="6">
        <v>2.52</v>
      </c>
      <c r="Y35" s="18">
        <f t="shared" ref="Y35:Y36" si="18">I35*E35*min(G35/64,R35)*U35</f>
        <v>315000</v>
      </c>
      <c r="Z35" s="50">
        <v>3.20313E8</v>
      </c>
    </row>
    <row r="36">
      <c r="A36" s="172" t="s">
        <v>1080</v>
      </c>
      <c r="B36" s="117" t="s">
        <v>1081</v>
      </c>
      <c r="D36" s="133">
        <v>500.0</v>
      </c>
      <c r="E36" s="180">
        <v>32.0</v>
      </c>
      <c r="F36" s="6">
        <v>500.0</v>
      </c>
      <c r="G36" s="10">
        <f t="shared" si="15"/>
        <v>250000</v>
      </c>
      <c r="H36" s="10">
        <f t="shared" si="16"/>
        <v>4096</v>
      </c>
      <c r="I36" s="179">
        <f t="shared" si="17"/>
        <v>1</v>
      </c>
      <c r="L36" s="6"/>
      <c r="M36" s="6"/>
      <c r="N36" s="6">
        <v>16.0</v>
      </c>
      <c r="O36" s="6">
        <v>8.0</v>
      </c>
      <c r="P36" s="6">
        <v>32.0</v>
      </c>
      <c r="Q36" s="6">
        <v>131072.0</v>
      </c>
      <c r="R36" s="6">
        <v>4096.0</v>
      </c>
      <c r="U36" s="6">
        <v>2.52</v>
      </c>
      <c r="Y36" s="18">
        <f t="shared" si="18"/>
        <v>315000</v>
      </c>
      <c r="AA36" s="18"/>
    </row>
    <row r="37">
      <c r="A37" s="172"/>
      <c r="B37" s="117" t="s">
        <v>1082</v>
      </c>
      <c r="D37" s="133">
        <v>500.0</v>
      </c>
      <c r="E37" s="6">
        <v>32.0</v>
      </c>
      <c r="H37" s="10">
        <f t="shared" si="16"/>
        <v>4096</v>
      </c>
      <c r="I37" s="179">
        <f t="shared" si="17"/>
        <v>1</v>
      </c>
      <c r="J37" s="10">
        <f>15.2*E37*E37/E37</f>
        <v>486.4</v>
      </c>
      <c r="K37" s="10">
        <f>8.62*E37*E37/E37</f>
        <v>275.84</v>
      </c>
      <c r="L37" s="10">
        <f>17.1*E37*E37/E37</f>
        <v>547.2</v>
      </c>
      <c r="M37" s="6">
        <v>2.52</v>
      </c>
      <c r="N37" s="6">
        <v>16.0</v>
      </c>
      <c r="O37" s="6">
        <v>8.0</v>
      </c>
      <c r="P37" s="6">
        <v>32.0</v>
      </c>
      <c r="Q37" s="6">
        <v>131072.0</v>
      </c>
      <c r="S37" s="10">
        <v>27.72</v>
      </c>
      <c r="T37" s="10">
        <v>28.98</v>
      </c>
      <c r="Y37" s="18">
        <f>I37*E37*J37*S37+I37*E37*K37*T37+I37*E37*L37*M37</f>
        <v>731385.4464</v>
      </c>
      <c r="AA37" s="18"/>
    </row>
    <row r="38">
      <c r="B38" s="181" t="s">
        <v>1083</v>
      </c>
      <c r="D38" s="133">
        <v>500.0</v>
      </c>
      <c r="F38" s="6">
        <v>500.0</v>
      </c>
      <c r="G38" s="10">
        <f>F38*F38</f>
        <v>250000</v>
      </c>
      <c r="H38" s="10">
        <f t="shared" si="16"/>
        <v>4096</v>
      </c>
      <c r="I38" s="179">
        <f t="shared" si="17"/>
        <v>1</v>
      </c>
      <c r="L38" s="6"/>
      <c r="M38" s="6"/>
      <c r="N38" s="6">
        <v>16.0</v>
      </c>
      <c r="O38" s="6">
        <v>8.0</v>
      </c>
      <c r="P38" s="6">
        <v>32.0</v>
      </c>
      <c r="Q38" s="6">
        <v>131072.0</v>
      </c>
      <c r="V38" s="6">
        <v>10.0</v>
      </c>
      <c r="W38" s="10">
        <f>Q38</f>
        <v>131072</v>
      </c>
      <c r="X38" s="6">
        <v>3200.0</v>
      </c>
      <c r="Y38" s="18">
        <f>I38*V38*min(W38,G38)/(X38*10^6)*10^9</f>
        <v>409600</v>
      </c>
      <c r="AA38" s="18"/>
    </row>
    <row r="39">
      <c r="B39" s="20"/>
      <c r="X39" s="6" t="s">
        <v>204</v>
      </c>
      <c r="Y39" s="18">
        <f>SUM(Y35:Y38)</f>
        <v>1770985.446</v>
      </c>
    </row>
    <row r="40">
      <c r="B40" s="20"/>
      <c r="Y40" s="18"/>
      <c r="AA40" s="18"/>
    </row>
    <row r="41">
      <c r="A41" s="19" t="s">
        <v>237</v>
      </c>
    </row>
    <row r="42">
      <c r="A42" s="31"/>
      <c r="B42" s="154" t="s">
        <v>1064</v>
      </c>
      <c r="C42" s="23" t="s">
        <v>1109</v>
      </c>
      <c r="D42" s="24" t="s">
        <v>1066</v>
      </c>
      <c r="E42" s="25"/>
      <c r="F42" s="26" t="s">
        <v>1067</v>
      </c>
      <c r="G42" s="27" t="s">
        <v>1110</v>
      </c>
      <c r="H42" s="24" t="s">
        <v>1069</v>
      </c>
      <c r="I42" s="26" t="s">
        <v>1111</v>
      </c>
      <c r="J42" s="28"/>
      <c r="K42" s="28"/>
      <c r="L42" s="29"/>
      <c r="M42" s="29"/>
      <c r="N42" s="29"/>
      <c r="O42" s="29"/>
      <c r="P42" s="29"/>
      <c r="Q42" s="29"/>
      <c r="R42" s="29"/>
      <c r="S42" s="26" t="s">
        <v>1112</v>
      </c>
      <c r="T42" s="26" t="s">
        <v>1113</v>
      </c>
      <c r="U42" s="52" t="s">
        <v>1114</v>
      </c>
      <c r="V42" s="30" t="s">
        <v>1115</v>
      </c>
      <c r="W42" s="31"/>
      <c r="X42" s="31"/>
      <c r="Y42" s="177"/>
      <c r="Z42" s="31"/>
      <c r="AA42" s="177"/>
      <c r="AB42" s="31"/>
      <c r="AC42" s="31"/>
      <c r="AD42" s="31"/>
      <c r="AI42" s="31"/>
      <c r="AJ42" s="31"/>
      <c r="AK42" s="31"/>
      <c r="AL42" s="31"/>
    </row>
    <row r="43">
      <c r="B43" s="20"/>
      <c r="C43" s="32" t="s">
        <v>106</v>
      </c>
      <c r="D43" s="33"/>
      <c r="E43" s="33"/>
      <c r="F43" s="33"/>
      <c r="G43" s="33"/>
      <c r="H43" s="33"/>
      <c r="I43" s="34"/>
      <c r="J43" s="35"/>
      <c r="K43" s="34"/>
      <c r="L43" s="116"/>
      <c r="M43" s="116"/>
      <c r="N43" s="37" t="s">
        <v>107</v>
      </c>
      <c r="O43" s="33"/>
      <c r="P43" s="33"/>
      <c r="Q43" s="34"/>
      <c r="R43" s="116"/>
      <c r="S43" s="156" t="s">
        <v>723</v>
      </c>
      <c r="T43" s="33"/>
      <c r="U43" s="34"/>
      <c r="V43" s="178" t="s">
        <v>109</v>
      </c>
      <c r="Y43" s="3" t="s">
        <v>130</v>
      </c>
      <c r="Z43" s="3" t="s">
        <v>131</v>
      </c>
      <c r="AA43" s="50" t="s">
        <v>1075</v>
      </c>
    </row>
    <row r="44">
      <c r="A44" s="47"/>
      <c r="B44" s="40"/>
      <c r="C44" s="41" t="s">
        <v>110</v>
      </c>
      <c r="D44" s="42" t="s">
        <v>1076</v>
      </c>
      <c r="E44" s="43" t="s">
        <v>112</v>
      </c>
      <c r="F44" s="44" t="s">
        <v>113</v>
      </c>
      <c r="G44" s="41" t="s">
        <v>1077</v>
      </c>
      <c r="H44" s="41" t="s">
        <v>115</v>
      </c>
      <c r="I44" s="45" t="s">
        <v>116</v>
      </c>
      <c r="J44" s="43" t="s">
        <v>117</v>
      </c>
      <c r="K44" s="43" t="s">
        <v>118</v>
      </c>
      <c r="L44" s="44" t="s">
        <v>119</v>
      </c>
      <c r="M44" s="44" t="s">
        <v>560</v>
      </c>
      <c r="N44" s="44" t="s">
        <v>121</v>
      </c>
      <c r="O44" s="44" t="s">
        <v>122</v>
      </c>
      <c r="P44" s="44" t="s">
        <v>123</v>
      </c>
      <c r="Q44" s="44" t="s">
        <v>124</v>
      </c>
      <c r="R44" s="43" t="s">
        <v>280</v>
      </c>
      <c r="S44" s="43" t="s">
        <v>648</v>
      </c>
      <c r="T44" s="43" t="s">
        <v>649</v>
      </c>
      <c r="U44" s="6" t="s">
        <v>196</v>
      </c>
      <c r="V44" s="43" t="s">
        <v>127</v>
      </c>
      <c r="W44" s="43" t="s">
        <v>128</v>
      </c>
      <c r="X44" s="43" t="s">
        <v>129</v>
      </c>
      <c r="Y44" s="43"/>
      <c r="Z44" s="47"/>
      <c r="AA44" s="69"/>
      <c r="AB44" s="47"/>
      <c r="AC44" s="47"/>
      <c r="AD44" s="47"/>
      <c r="AI44" s="47"/>
      <c r="AJ44" s="47"/>
      <c r="AK44" s="47"/>
      <c r="AL44" s="47"/>
    </row>
    <row r="45">
      <c r="A45" s="172" t="s">
        <v>1116</v>
      </c>
      <c r="B45" s="117" t="s">
        <v>1079</v>
      </c>
      <c r="D45" s="133">
        <v>500.0</v>
      </c>
      <c r="E45" s="6">
        <v>32.0</v>
      </c>
      <c r="F45" s="6">
        <v>500.0</v>
      </c>
      <c r="G45" s="10">
        <f t="shared" ref="G45:G46" si="19">F45*F45</f>
        <v>250000</v>
      </c>
      <c r="H45" s="10">
        <f t="shared" ref="H45:H48" si="20">N45*O45*P45</f>
        <v>4096</v>
      </c>
      <c r="I45" s="179">
        <f t="shared" ref="I45:I48" si="21">ceiling(D45/H45,1)</f>
        <v>1</v>
      </c>
      <c r="L45" s="6"/>
      <c r="M45" s="6"/>
      <c r="N45" s="6">
        <v>16.0</v>
      </c>
      <c r="O45" s="6">
        <v>8.0</v>
      </c>
      <c r="P45" s="6">
        <v>32.0</v>
      </c>
      <c r="Q45" s="6">
        <v>131072.0</v>
      </c>
      <c r="R45" s="6">
        <v>4096.0</v>
      </c>
      <c r="U45" s="6">
        <v>2.52</v>
      </c>
      <c r="Y45" s="18">
        <f t="shared" ref="Y45:Y46" si="22">I45*E45*min(G45/64,R45)*U45</f>
        <v>315000</v>
      </c>
      <c r="Z45" s="50">
        <v>3.20313E8</v>
      </c>
    </row>
    <row r="46">
      <c r="A46" s="172" t="s">
        <v>1080</v>
      </c>
      <c r="B46" s="117" t="s">
        <v>1081</v>
      </c>
      <c r="D46" s="133">
        <v>500.0</v>
      </c>
      <c r="E46" s="180">
        <v>32.0</v>
      </c>
      <c r="F46" s="6">
        <v>500.0</v>
      </c>
      <c r="G46" s="10">
        <f t="shared" si="19"/>
        <v>250000</v>
      </c>
      <c r="H46" s="10">
        <f t="shared" si="20"/>
        <v>4096</v>
      </c>
      <c r="I46" s="179">
        <f t="shared" si="21"/>
        <v>1</v>
      </c>
      <c r="L46" s="6"/>
      <c r="M46" s="6"/>
      <c r="N46" s="6">
        <v>16.0</v>
      </c>
      <c r="O46" s="6">
        <v>8.0</v>
      </c>
      <c r="P46" s="6">
        <v>32.0</v>
      </c>
      <c r="Q46" s="6">
        <v>131072.0</v>
      </c>
      <c r="R46" s="6">
        <v>4096.0</v>
      </c>
      <c r="U46" s="6">
        <v>2.52</v>
      </c>
      <c r="Y46" s="18">
        <f t="shared" si="22"/>
        <v>315000</v>
      </c>
      <c r="AA46" s="18"/>
    </row>
    <row r="47">
      <c r="A47" s="172"/>
      <c r="B47" s="117" t="s">
        <v>1082</v>
      </c>
      <c r="D47" s="133">
        <v>500.0</v>
      </c>
      <c r="E47" s="6">
        <v>32.0</v>
      </c>
      <c r="H47" s="10">
        <f t="shared" si="20"/>
        <v>4096</v>
      </c>
      <c r="I47" s="179">
        <f t="shared" si="21"/>
        <v>1</v>
      </c>
      <c r="J47" s="10">
        <f>7.6*E47*E47/E47</f>
        <v>243.2</v>
      </c>
      <c r="K47" s="10">
        <f>4.33*E47*E47/E47</f>
        <v>138.56</v>
      </c>
      <c r="L47" s="10">
        <f>16*E47*E47/E47</f>
        <v>512</v>
      </c>
      <c r="M47" s="6">
        <v>2.52</v>
      </c>
      <c r="N47" s="6">
        <v>16.0</v>
      </c>
      <c r="O47" s="6">
        <v>8.0</v>
      </c>
      <c r="P47" s="6">
        <v>32.0</v>
      </c>
      <c r="Q47" s="6">
        <v>131072.0</v>
      </c>
      <c r="S47" s="10">
        <v>27.72</v>
      </c>
      <c r="T47" s="10">
        <v>28.98</v>
      </c>
      <c r="Y47" s="18">
        <f>I47*E47*J47*S47+I47*E47*K47*T47+I47*E47*L47*M47</f>
        <v>385510.8096</v>
      </c>
      <c r="AA47" s="18"/>
    </row>
    <row r="48">
      <c r="B48" s="181" t="s">
        <v>1083</v>
      </c>
      <c r="D48" s="133">
        <v>500.0</v>
      </c>
      <c r="F48" s="6">
        <v>500.0</v>
      </c>
      <c r="G48" s="10">
        <f>F48*F48</f>
        <v>250000</v>
      </c>
      <c r="H48" s="10">
        <f t="shared" si="20"/>
        <v>4096</v>
      </c>
      <c r="I48" s="179">
        <f t="shared" si="21"/>
        <v>1</v>
      </c>
      <c r="L48" s="6"/>
      <c r="M48" s="6"/>
      <c r="N48" s="6">
        <v>16.0</v>
      </c>
      <c r="O48" s="6">
        <v>8.0</v>
      </c>
      <c r="P48" s="6">
        <v>32.0</v>
      </c>
      <c r="Q48" s="6">
        <v>131072.0</v>
      </c>
      <c r="V48" s="6">
        <v>10.0</v>
      </c>
      <c r="W48" s="10">
        <f>Q48</f>
        <v>131072</v>
      </c>
      <c r="X48" s="6">
        <v>3200.0</v>
      </c>
      <c r="Y48" s="18">
        <f>I48*V48*min(W48,G48)/(X48*10^6)*10^9</f>
        <v>409600</v>
      </c>
      <c r="AA48" s="18"/>
    </row>
    <row r="49">
      <c r="B49" s="20"/>
      <c r="X49" s="6" t="s">
        <v>204</v>
      </c>
      <c r="Y49" s="18">
        <f>SUM(Y45:Y48)</f>
        <v>1425110.81</v>
      </c>
    </row>
    <row r="50">
      <c r="A50" s="19" t="s">
        <v>248</v>
      </c>
    </row>
    <row r="51">
      <c r="A51" s="31"/>
      <c r="B51" s="154" t="s">
        <v>1064</v>
      </c>
      <c r="C51" s="23" t="s">
        <v>1117</v>
      </c>
      <c r="D51" s="24" t="s">
        <v>1066</v>
      </c>
      <c r="E51" s="25"/>
      <c r="F51" s="26" t="s">
        <v>1067</v>
      </c>
      <c r="G51" s="27" t="s">
        <v>1118</v>
      </c>
      <c r="H51" s="24" t="s">
        <v>1069</v>
      </c>
      <c r="I51" s="26" t="s">
        <v>1119</v>
      </c>
      <c r="J51" s="28"/>
      <c r="K51" s="28"/>
      <c r="L51" s="29"/>
      <c r="M51" s="29"/>
      <c r="N51" s="29"/>
      <c r="O51" s="29"/>
      <c r="P51" s="29"/>
      <c r="Q51" s="29"/>
      <c r="R51" s="29"/>
      <c r="S51" s="26" t="s">
        <v>1120</v>
      </c>
      <c r="T51" s="26" t="s">
        <v>1121</v>
      </c>
      <c r="U51" s="52" t="s">
        <v>1122</v>
      </c>
      <c r="V51" s="30" t="s">
        <v>1123</v>
      </c>
      <c r="W51" s="31"/>
      <c r="X51" s="31"/>
      <c r="Y51" s="177"/>
      <c r="Z51" s="31"/>
      <c r="AA51" s="177"/>
      <c r="AB51" s="31"/>
      <c r="AC51" s="31"/>
      <c r="AD51" s="31"/>
      <c r="AI51" s="31"/>
      <c r="AJ51" s="31"/>
      <c r="AK51" s="31"/>
      <c r="AL51" s="31"/>
    </row>
    <row r="52">
      <c r="B52" s="20"/>
      <c r="C52" s="32" t="s">
        <v>106</v>
      </c>
      <c r="D52" s="33"/>
      <c r="E52" s="33"/>
      <c r="F52" s="33"/>
      <c r="G52" s="33"/>
      <c r="H52" s="33"/>
      <c r="I52" s="34"/>
      <c r="J52" s="35"/>
      <c r="K52" s="34"/>
      <c r="L52" s="116"/>
      <c r="M52" s="116"/>
      <c r="N52" s="37" t="s">
        <v>107</v>
      </c>
      <c r="O52" s="33"/>
      <c r="P52" s="33"/>
      <c r="Q52" s="34"/>
      <c r="R52" s="116"/>
      <c r="S52" s="156" t="s">
        <v>723</v>
      </c>
      <c r="T52" s="33"/>
      <c r="U52" s="34"/>
      <c r="V52" s="178" t="s">
        <v>109</v>
      </c>
      <c r="Y52" s="3" t="s">
        <v>130</v>
      </c>
      <c r="Z52" s="3" t="s">
        <v>131</v>
      </c>
      <c r="AA52" s="50" t="s">
        <v>1075</v>
      </c>
    </row>
    <row r="53">
      <c r="A53" s="47"/>
      <c r="B53" s="40"/>
      <c r="C53" s="41" t="s">
        <v>110</v>
      </c>
      <c r="D53" s="42" t="s">
        <v>1076</v>
      </c>
      <c r="E53" s="43" t="s">
        <v>112</v>
      </c>
      <c r="F53" s="44" t="s">
        <v>113</v>
      </c>
      <c r="G53" s="41" t="s">
        <v>1077</v>
      </c>
      <c r="H53" s="41" t="s">
        <v>115</v>
      </c>
      <c r="I53" s="45" t="s">
        <v>116</v>
      </c>
      <c r="J53" s="43" t="s">
        <v>117</v>
      </c>
      <c r="K53" s="43" t="s">
        <v>118</v>
      </c>
      <c r="L53" s="44" t="s">
        <v>119</v>
      </c>
      <c r="M53" s="44" t="s">
        <v>560</v>
      </c>
      <c r="N53" s="44" t="s">
        <v>121</v>
      </c>
      <c r="O53" s="44" t="s">
        <v>122</v>
      </c>
      <c r="P53" s="44" t="s">
        <v>123</v>
      </c>
      <c r="Q53" s="44" t="s">
        <v>124</v>
      </c>
      <c r="R53" s="43" t="s">
        <v>280</v>
      </c>
      <c r="S53" s="43" t="s">
        <v>648</v>
      </c>
      <c r="T53" s="43" t="s">
        <v>649</v>
      </c>
      <c r="U53" s="6" t="s">
        <v>196</v>
      </c>
      <c r="V53" s="43" t="s">
        <v>127</v>
      </c>
      <c r="W53" s="43" t="s">
        <v>128</v>
      </c>
      <c r="X53" s="43" t="s">
        <v>129</v>
      </c>
      <c r="Y53" s="43"/>
      <c r="Z53" s="47"/>
      <c r="AA53" s="69"/>
      <c r="AB53" s="47"/>
      <c r="AC53" s="47"/>
      <c r="AD53" s="47"/>
      <c r="AI53" s="47"/>
      <c r="AJ53" s="47"/>
      <c r="AK53" s="47"/>
      <c r="AL53" s="47"/>
    </row>
    <row r="54">
      <c r="A54" s="172" t="s">
        <v>1124</v>
      </c>
      <c r="B54" s="117" t="s">
        <v>1079</v>
      </c>
      <c r="D54" s="133">
        <v>500.0</v>
      </c>
      <c r="E54" s="6">
        <v>32.0</v>
      </c>
      <c r="F54" s="6">
        <v>500.0</v>
      </c>
      <c r="G54" s="10">
        <f t="shared" ref="G54:G55" si="23">F54*F54</f>
        <v>250000</v>
      </c>
      <c r="H54" s="10">
        <f t="shared" ref="H54:H57" si="24">N54*O54*P54</f>
        <v>1024</v>
      </c>
      <c r="I54" s="179">
        <f t="shared" ref="I54:I57" si="25">ceiling(D54/H54,1)</f>
        <v>1</v>
      </c>
      <c r="L54" s="6"/>
      <c r="M54" s="6"/>
      <c r="N54" s="6">
        <v>16.0</v>
      </c>
      <c r="O54" s="6">
        <v>8.0</v>
      </c>
      <c r="P54" s="6">
        <v>8.0</v>
      </c>
      <c r="Q54" s="6">
        <v>131072.0</v>
      </c>
      <c r="R54" s="6">
        <v>4096.0</v>
      </c>
      <c r="U54" s="6">
        <v>2.52</v>
      </c>
      <c r="Y54" s="18">
        <f t="shared" ref="Y54:Y55" si="26">I54*E54*min(G54/64,R54)*U54</f>
        <v>315000</v>
      </c>
      <c r="Z54" s="50">
        <v>3.20313E8</v>
      </c>
    </row>
    <row r="55">
      <c r="A55" s="172" t="s">
        <v>1080</v>
      </c>
      <c r="B55" s="117" t="s">
        <v>1081</v>
      </c>
      <c r="D55" s="133">
        <v>500.0</v>
      </c>
      <c r="E55" s="180">
        <v>32.0</v>
      </c>
      <c r="F55" s="6">
        <v>500.0</v>
      </c>
      <c r="G55" s="10">
        <f t="shared" si="23"/>
        <v>250000</v>
      </c>
      <c r="H55" s="10">
        <f t="shared" si="24"/>
        <v>1024</v>
      </c>
      <c r="I55" s="179">
        <f t="shared" si="25"/>
        <v>1</v>
      </c>
      <c r="L55" s="6"/>
      <c r="M55" s="6"/>
      <c r="N55" s="6">
        <v>16.0</v>
      </c>
      <c r="O55" s="6">
        <v>8.0</v>
      </c>
      <c r="P55" s="6">
        <v>8.0</v>
      </c>
      <c r="Q55" s="6">
        <v>131072.0</v>
      </c>
      <c r="R55" s="6">
        <v>4096.0</v>
      </c>
      <c r="U55" s="6">
        <v>2.52</v>
      </c>
      <c r="Y55" s="18">
        <f t="shared" si="26"/>
        <v>315000</v>
      </c>
      <c r="AA55" s="18"/>
    </row>
    <row r="56">
      <c r="A56" s="172"/>
      <c r="B56" s="117" t="s">
        <v>1082</v>
      </c>
      <c r="D56" s="133">
        <v>500.0</v>
      </c>
      <c r="E56" s="6">
        <v>32.0</v>
      </c>
      <c r="H56" s="10">
        <f t="shared" si="24"/>
        <v>1024</v>
      </c>
      <c r="I56" s="179">
        <f t="shared" si="25"/>
        <v>1</v>
      </c>
      <c r="J56" s="10">
        <f>5.12*E56*E56/E56</f>
        <v>163.84</v>
      </c>
      <c r="K56" s="10">
        <f>2.73*E56*E56/E56</f>
        <v>87.36</v>
      </c>
      <c r="L56" s="10">
        <f>5.17*E56*E56/E56</f>
        <v>165.44</v>
      </c>
      <c r="M56" s="6">
        <v>2.52</v>
      </c>
      <c r="N56" s="6">
        <v>16.0</v>
      </c>
      <c r="O56" s="6">
        <v>8.0</v>
      </c>
      <c r="P56" s="6">
        <v>8.0</v>
      </c>
      <c r="Q56" s="6">
        <v>131072.0</v>
      </c>
      <c r="S56" s="10">
        <v>27.72</v>
      </c>
      <c r="T56" s="10">
        <v>28.98</v>
      </c>
      <c r="Y56" s="18">
        <f>I56*E56*J56*S56+I56*E56*K56*T56+I56*E56*L56*M56</f>
        <v>239687.8848</v>
      </c>
      <c r="AA56" s="18"/>
    </row>
    <row r="57">
      <c r="B57" s="181" t="s">
        <v>1083</v>
      </c>
      <c r="D57" s="133">
        <v>500.0</v>
      </c>
      <c r="F57" s="6">
        <v>500.0</v>
      </c>
      <c r="G57" s="10">
        <f>F57*F57</f>
        <v>250000</v>
      </c>
      <c r="H57" s="10">
        <f t="shared" si="24"/>
        <v>1024</v>
      </c>
      <c r="I57" s="179">
        <f t="shared" si="25"/>
        <v>1</v>
      </c>
      <c r="L57" s="6"/>
      <c r="M57" s="6"/>
      <c r="N57" s="6">
        <v>16.0</v>
      </c>
      <c r="O57" s="6">
        <v>8.0</v>
      </c>
      <c r="P57" s="6">
        <v>8.0</v>
      </c>
      <c r="Q57" s="6">
        <v>131072.0</v>
      </c>
      <c r="V57" s="6">
        <v>10.0</v>
      </c>
      <c r="W57" s="10">
        <f>Q57</f>
        <v>131072</v>
      </c>
      <c r="X57" s="6">
        <v>3200.0</v>
      </c>
      <c r="Y57" s="18">
        <f>I57*V57*min(W57,G57)/(X57*10^6)*10^9</f>
        <v>409600</v>
      </c>
      <c r="AA57" s="18"/>
    </row>
    <row r="58">
      <c r="B58" s="20"/>
      <c r="X58" s="6" t="s">
        <v>204</v>
      </c>
      <c r="Y58" s="18">
        <f>SUM(Y54:Y57)</f>
        <v>1279287.885</v>
      </c>
    </row>
    <row r="59">
      <c r="B59" s="20"/>
      <c r="Y59" s="18"/>
      <c r="AA59" s="18"/>
    </row>
    <row r="60">
      <c r="A60" s="19" t="s">
        <v>259</v>
      </c>
    </row>
    <row r="61">
      <c r="A61" s="31"/>
      <c r="B61" s="154" t="s">
        <v>1064</v>
      </c>
      <c r="C61" s="23" t="s">
        <v>1125</v>
      </c>
      <c r="D61" s="24" t="s">
        <v>1066</v>
      </c>
      <c r="E61" s="25"/>
      <c r="F61" s="26" t="s">
        <v>1067</v>
      </c>
      <c r="G61" s="27" t="s">
        <v>1126</v>
      </c>
      <c r="H61" s="24" t="s">
        <v>1069</v>
      </c>
      <c r="I61" s="26" t="s">
        <v>1127</v>
      </c>
      <c r="J61" s="28"/>
      <c r="K61" s="28"/>
      <c r="L61" s="29"/>
      <c r="M61" s="29"/>
      <c r="N61" s="29"/>
      <c r="O61" s="29"/>
      <c r="P61" s="29"/>
      <c r="Q61" s="29"/>
      <c r="R61" s="29"/>
      <c r="S61" s="26" t="s">
        <v>1128</v>
      </c>
      <c r="T61" s="26" t="s">
        <v>1129</v>
      </c>
      <c r="U61" s="52" t="s">
        <v>1130</v>
      </c>
      <c r="V61" s="30" t="s">
        <v>1131</v>
      </c>
      <c r="W61" s="31"/>
      <c r="X61" s="31"/>
      <c r="Y61" s="177"/>
      <c r="Z61" s="31"/>
      <c r="AA61" s="177"/>
      <c r="AB61" s="31"/>
      <c r="AC61" s="31"/>
      <c r="AD61" s="31"/>
      <c r="AI61" s="31"/>
      <c r="AJ61" s="31"/>
      <c r="AK61" s="31"/>
      <c r="AL61" s="31"/>
    </row>
    <row r="62">
      <c r="B62" s="20"/>
      <c r="C62" s="32" t="s">
        <v>106</v>
      </c>
      <c r="D62" s="33"/>
      <c r="E62" s="33"/>
      <c r="F62" s="33"/>
      <c r="G62" s="33"/>
      <c r="H62" s="33"/>
      <c r="I62" s="34"/>
      <c r="J62" s="35"/>
      <c r="K62" s="34"/>
      <c r="L62" s="116"/>
      <c r="M62" s="116"/>
      <c r="N62" s="37" t="s">
        <v>107</v>
      </c>
      <c r="O62" s="33"/>
      <c r="P62" s="33"/>
      <c r="Q62" s="34"/>
      <c r="R62" s="116"/>
      <c r="S62" s="156" t="s">
        <v>723</v>
      </c>
      <c r="T62" s="33"/>
      <c r="U62" s="34"/>
      <c r="V62" s="178" t="s">
        <v>109</v>
      </c>
      <c r="Y62" s="3" t="s">
        <v>130</v>
      </c>
      <c r="Z62" s="3" t="s">
        <v>131</v>
      </c>
      <c r="AA62" s="50" t="s">
        <v>1075</v>
      </c>
    </row>
    <row r="63">
      <c r="A63" s="47"/>
      <c r="B63" s="40"/>
      <c r="C63" s="41" t="s">
        <v>110</v>
      </c>
      <c r="D63" s="42" t="s">
        <v>1076</v>
      </c>
      <c r="E63" s="43" t="s">
        <v>112</v>
      </c>
      <c r="F63" s="44" t="s">
        <v>113</v>
      </c>
      <c r="G63" s="41" t="s">
        <v>1077</v>
      </c>
      <c r="H63" s="41" t="s">
        <v>115</v>
      </c>
      <c r="I63" s="45" t="s">
        <v>116</v>
      </c>
      <c r="J63" s="43" t="s">
        <v>117</v>
      </c>
      <c r="K63" s="43" t="s">
        <v>118</v>
      </c>
      <c r="L63" s="44" t="s">
        <v>119</v>
      </c>
      <c r="M63" s="44" t="s">
        <v>560</v>
      </c>
      <c r="N63" s="44" t="s">
        <v>121</v>
      </c>
      <c r="O63" s="44" t="s">
        <v>122</v>
      </c>
      <c r="P63" s="44" t="s">
        <v>123</v>
      </c>
      <c r="Q63" s="44" t="s">
        <v>124</v>
      </c>
      <c r="R63" s="43" t="s">
        <v>280</v>
      </c>
      <c r="S63" s="43" t="s">
        <v>648</v>
      </c>
      <c r="T63" s="43" t="s">
        <v>649</v>
      </c>
      <c r="U63" s="6" t="s">
        <v>196</v>
      </c>
      <c r="V63" s="43" t="s">
        <v>127</v>
      </c>
      <c r="W63" s="43" t="s">
        <v>128</v>
      </c>
      <c r="X63" s="43" t="s">
        <v>129</v>
      </c>
      <c r="Y63" s="43"/>
      <c r="Z63" s="47"/>
      <c r="AA63" s="69"/>
      <c r="AB63" s="47"/>
      <c r="AC63" s="47"/>
      <c r="AD63" s="47"/>
      <c r="AI63" s="47"/>
      <c r="AJ63" s="47"/>
      <c r="AK63" s="47"/>
      <c r="AL63" s="47"/>
    </row>
    <row r="64">
      <c r="A64" s="172" t="s">
        <v>1132</v>
      </c>
      <c r="B64" s="117" t="s">
        <v>1079</v>
      </c>
      <c r="D64" s="133">
        <v>500.0</v>
      </c>
      <c r="E64" s="6">
        <v>32.0</v>
      </c>
      <c r="F64" s="6">
        <v>500.0</v>
      </c>
      <c r="G64" s="10">
        <f t="shared" ref="G64:G65" si="27">F64*F64</f>
        <v>250000</v>
      </c>
      <c r="H64" s="10">
        <f t="shared" ref="H64:H67" si="28">N64*O64*P64</f>
        <v>256</v>
      </c>
      <c r="I64" s="179">
        <f t="shared" ref="I64:I67" si="29">(D64/H64)</f>
        <v>1.953125</v>
      </c>
      <c r="L64" s="6"/>
      <c r="M64" s="6"/>
      <c r="N64" s="6">
        <v>16.0</v>
      </c>
      <c r="O64" s="6">
        <v>8.0</v>
      </c>
      <c r="P64" s="6">
        <v>2.0</v>
      </c>
      <c r="Q64" s="6">
        <v>131072.0</v>
      </c>
      <c r="R64" s="6">
        <v>4096.0</v>
      </c>
      <c r="U64" s="6">
        <v>2.52</v>
      </c>
      <c r="Y64" s="18">
        <f t="shared" ref="Y64:Y65" si="30">I64*E64*min(G64/64,R64)*U64</f>
        <v>615234.375</v>
      </c>
      <c r="Z64" s="50">
        <f>320313000/28</f>
        <v>11439750</v>
      </c>
    </row>
    <row r="65">
      <c r="A65" s="172" t="s">
        <v>1080</v>
      </c>
      <c r="B65" s="117" t="s">
        <v>1081</v>
      </c>
      <c r="D65" s="133">
        <v>500.0</v>
      </c>
      <c r="E65" s="180">
        <v>32.0</v>
      </c>
      <c r="F65" s="6">
        <v>500.0</v>
      </c>
      <c r="G65" s="10">
        <f t="shared" si="27"/>
        <v>250000</v>
      </c>
      <c r="H65" s="10">
        <f t="shared" si="28"/>
        <v>256</v>
      </c>
      <c r="I65" s="179">
        <f t="shared" si="29"/>
        <v>1.953125</v>
      </c>
      <c r="L65" s="6"/>
      <c r="M65" s="6"/>
      <c r="N65" s="6">
        <v>16.0</v>
      </c>
      <c r="O65" s="6">
        <v>8.0</v>
      </c>
      <c r="P65" s="6">
        <v>2.0</v>
      </c>
      <c r="Q65" s="6">
        <v>131072.0</v>
      </c>
      <c r="R65" s="6">
        <v>4096.0</v>
      </c>
      <c r="U65" s="6">
        <v>2.52</v>
      </c>
      <c r="Y65" s="18">
        <f t="shared" si="30"/>
        <v>615234.375</v>
      </c>
      <c r="AA65" s="18"/>
    </row>
    <row r="66">
      <c r="A66" s="172"/>
      <c r="B66" s="117" t="s">
        <v>1082</v>
      </c>
      <c r="D66" s="133">
        <v>500.0</v>
      </c>
      <c r="E66" s="6">
        <v>32.0</v>
      </c>
      <c r="H66" s="10">
        <f t="shared" si="28"/>
        <v>256</v>
      </c>
      <c r="I66" s="179">
        <f t="shared" si="29"/>
        <v>1.953125</v>
      </c>
      <c r="J66" s="10">
        <f>3.32*E66*E66/E66</f>
        <v>106.24</v>
      </c>
      <c r="K66" s="10">
        <f>1.8*E66*E66/E66</f>
        <v>57.6</v>
      </c>
      <c r="L66" s="10">
        <f>4.3*E66*E66/E66</f>
        <v>137.6</v>
      </c>
      <c r="M66" s="6">
        <v>2.52</v>
      </c>
      <c r="N66" s="6">
        <v>16.0</v>
      </c>
      <c r="O66" s="6">
        <v>8.0</v>
      </c>
      <c r="P66" s="6">
        <v>2.0</v>
      </c>
      <c r="Q66" s="6">
        <v>131072.0</v>
      </c>
      <c r="S66" s="10">
        <v>27.72</v>
      </c>
      <c r="T66" s="10">
        <v>28.98</v>
      </c>
      <c r="Y66" s="18">
        <f>I66*E66*J66*S66+I66*E66*K66*T66+I66*E66*L66*M66</f>
        <v>310060.8</v>
      </c>
      <c r="AA66" s="18"/>
    </row>
    <row r="67">
      <c r="B67" s="181" t="s">
        <v>1083</v>
      </c>
      <c r="D67" s="133">
        <v>500.0</v>
      </c>
      <c r="F67" s="6">
        <v>500.0</v>
      </c>
      <c r="G67" s="10">
        <f>F67*F67</f>
        <v>250000</v>
      </c>
      <c r="H67" s="10">
        <f t="shared" si="28"/>
        <v>256</v>
      </c>
      <c r="I67" s="179">
        <f t="shared" si="29"/>
        <v>1.953125</v>
      </c>
      <c r="L67" s="6"/>
      <c r="M67" s="6"/>
      <c r="N67" s="6">
        <v>16.0</v>
      </c>
      <c r="O67" s="6">
        <v>8.0</v>
      </c>
      <c r="P67" s="6">
        <v>2.0</v>
      </c>
      <c r="Q67" s="6">
        <v>131072.0</v>
      </c>
      <c r="V67" s="6">
        <v>10.0</v>
      </c>
      <c r="W67" s="10">
        <f>Q67</f>
        <v>131072</v>
      </c>
      <c r="X67" s="6">
        <v>3200.0</v>
      </c>
      <c r="Y67" s="18">
        <f>I67*V67*min(W67,G67)/(X67*10^6)*10^9</f>
        <v>800000</v>
      </c>
      <c r="AA67" s="18"/>
    </row>
    <row r="68">
      <c r="B68" s="20"/>
      <c r="X68" s="6" t="s">
        <v>204</v>
      </c>
      <c r="Y68" s="18">
        <f>SUM(Y64:Y67)</f>
        <v>2340529.55</v>
      </c>
    </row>
    <row r="69">
      <c r="B69" s="20"/>
      <c r="Y69" s="18"/>
      <c r="AA69" s="18"/>
    </row>
    <row r="70">
      <c r="B70" s="20"/>
      <c r="Y70" s="18"/>
      <c r="AA70" s="18"/>
    </row>
    <row r="71">
      <c r="B71" s="20"/>
      <c r="Y71" s="18"/>
      <c r="AA71" s="18"/>
    </row>
    <row r="72">
      <c r="B72" s="20"/>
      <c r="Y72" s="18"/>
      <c r="AA72" s="18"/>
    </row>
    <row r="73">
      <c r="B73" s="20"/>
      <c r="Y73" s="18"/>
      <c r="AA73" s="18"/>
    </row>
    <row r="74">
      <c r="B74" s="20"/>
      <c r="Y74" s="18"/>
      <c r="AA74" s="18"/>
    </row>
    <row r="75">
      <c r="B75" s="20"/>
      <c r="Y75" s="18"/>
      <c r="AA75" s="18"/>
    </row>
    <row r="76">
      <c r="B76" s="20"/>
      <c r="Y76" s="18"/>
      <c r="AA76" s="18"/>
    </row>
    <row r="77">
      <c r="B77" s="20"/>
      <c r="Y77" s="18"/>
      <c r="AA77" s="18"/>
    </row>
    <row r="78">
      <c r="B78" s="20"/>
      <c r="Y78" s="18"/>
      <c r="AA78" s="18"/>
    </row>
    <row r="79">
      <c r="B79" s="20"/>
      <c r="Y79" s="18"/>
      <c r="AA79" s="18"/>
    </row>
    <row r="80">
      <c r="B80" s="20"/>
      <c r="Y80" s="18"/>
      <c r="AA80" s="18"/>
    </row>
    <row r="81">
      <c r="B81" s="20"/>
      <c r="Y81" s="18"/>
      <c r="AA81" s="18"/>
    </row>
    <row r="82">
      <c r="B82" s="20"/>
      <c r="Y82" s="18"/>
      <c r="AA82" s="18"/>
    </row>
    <row r="83">
      <c r="B83" s="20"/>
      <c r="Y83" s="18"/>
      <c r="AA83" s="18"/>
    </row>
    <row r="84">
      <c r="B84" s="20"/>
      <c r="Y84" s="18"/>
      <c r="AA84" s="18"/>
    </row>
    <row r="85">
      <c r="B85" s="20"/>
      <c r="Y85" s="18"/>
      <c r="AA85" s="18"/>
    </row>
    <row r="86">
      <c r="B86" s="20"/>
      <c r="Y86" s="18"/>
      <c r="AA86" s="18"/>
    </row>
    <row r="87">
      <c r="B87" s="20"/>
      <c r="Y87" s="18"/>
      <c r="AA87" s="18"/>
    </row>
    <row r="88">
      <c r="B88" s="20"/>
      <c r="Y88" s="18"/>
      <c r="AA88" s="18"/>
    </row>
    <row r="89">
      <c r="B89" s="20"/>
      <c r="Y89" s="18"/>
      <c r="AA89" s="18"/>
    </row>
    <row r="90">
      <c r="B90" s="20"/>
      <c r="Y90" s="18"/>
      <c r="AA90" s="18"/>
    </row>
    <row r="91">
      <c r="B91" s="20"/>
      <c r="Y91" s="18"/>
      <c r="AA91" s="18"/>
    </row>
    <row r="92">
      <c r="B92" s="20"/>
      <c r="Y92" s="18"/>
      <c r="AA92" s="18"/>
    </row>
    <row r="93">
      <c r="B93" s="20"/>
      <c r="Y93" s="18"/>
      <c r="AA93" s="18"/>
    </row>
    <row r="94">
      <c r="B94" s="20"/>
      <c r="Y94" s="18"/>
      <c r="AA94" s="18"/>
    </row>
    <row r="95">
      <c r="B95" s="20"/>
      <c r="Y95" s="18"/>
      <c r="AA95" s="18"/>
    </row>
    <row r="96">
      <c r="B96" s="20"/>
      <c r="Y96" s="18"/>
      <c r="AA96" s="18"/>
    </row>
    <row r="97">
      <c r="B97" s="20"/>
      <c r="Y97" s="18"/>
      <c r="AA97" s="18"/>
    </row>
    <row r="98">
      <c r="B98" s="20"/>
      <c r="Y98" s="18"/>
      <c r="AA98" s="18"/>
    </row>
    <row r="99">
      <c r="B99" s="20"/>
      <c r="Y99" s="18"/>
      <c r="AA99" s="18"/>
    </row>
    <row r="100">
      <c r="B100" s="20"/>
      <c r="Y100" s="18"/>
      <c r="AA100" s="18"/>
    </row>
    <row r="101">
      <c r="B101" s="20"/>
      <c r="Y101" s="18"/>
      <c r="AA101" s="18"/>
    </row>
    <row r="102">
      <c r="B102" s="20"/>
      <c r="Y102" s="18"/>
      <c r="AA102" s="18"/>
    </row>
    <row r="103">
      <c r="B103" s="20"/>
      <c r="Y103" s="18"/>
      <c r="AA103" s="18"/>
    </row>
    <row r="104">
      <c r="B104" s="20"/>
      <c r="Y104" s="18"/>
      <c r="AA104" s="18"/>
    </row>
    <row r="105">
      <c r="B105" s="20"/>
      <c r="Y105" s="18"/>
      <c r="AA105" s="18"/>
    </row>
    <row r="106">
      <c r="B106" s="20"/>
      <c r="Y106" s="18"/>
      <c r="AA106" s="18"/>
    </row>
    <row r="107">
      <c r="B107" s="20"/>
      <c r="Y107" s="18"/>
      <c r="AA107" s="18"/>
    </row>
    <row r="108">
      <c r="B108" s="20"/>
      <c r="Y108" s="18"/>
      <c r="AA108" s="18"/>
    </row>
    <row r="109">
      <c r="B109" s="20"/>
      <c r="Y109" s="18"/>
      <c r="AA109" s="18"/>
    </row>
    <row r="110">
      <c r="B110" s="20"/>
      <c r="Y110" s="18"/>
      <c r="AA110" s="18"/>
    </row>
    <row r="111">
      <c r="B111" s="20"/>
      <c r="Y111" s="18"/>
      <c r="AA111" s="18"/>
    </row>
    <row r="112">
      <c r="B112" s="20"/>
      <c r="Y112" s="18"/>
      <c r="AA112" s="18"/>
    </row>
    <row r="113">
      <c r="B113" s="20"/>
      <c r="Y113" s="18"/>
      <c r="AA113" s="18"/>
    </row>
    <row r="114">
      <c r="B114" s="20"/>
      <c r="Y114" s="18"/>
      <c r="AA114" s="18"/>
    </row>
    <row r="115">
      <c r="B115" s="20"/>
      <c r="Y115" s="18"/>
      <c r="AA115" s="18"/>
    </row>
    <row r="116">
      <c r="B116" s="20"/>
      <c r="Y116" s="18"/>
      <c r="AA116" s="18"/>
    </row>
    <row r="117">
      <c r="B117" s="20"/>
      <c r="Y117" s="18"/>
      <c r="AA117" s="18"/>
    </row>
    <row r="118">
      <c r="B118" s="20"/>
      <c r="Y118" s="18"/>
      <c r="AA118" s="18"/>
    </row>
    <row r="119">
      <c r="B119" s="20"/>
      <c r="Y119" s="18"/>
      <c r="AA119" s="18"/>
    </row>
    <row r="120">
      <c r="B120" s="20"/>
      <c r="Y120" s="18"/>
      <c r="AA120" s="18"/>
    </row>
    <row r="121">
      <c r="B121" s="20"/>
      <c r="Y121" s="18"/>
      <c r="AA121" s="18"/>
    </row>
    <row r="122">
      <c r="B122" s="20"/>
      <c r="Y122" s="18"/>
      <c r="AA122" s="18"/>
    </row>
    <row r="123">
      <c r="B123" s="20"/>
      <c r="Y123" s="18"/>
      <c r="AA123" s="18"/>
    </row>
    <row r="124">
      <c r="B124" s="20"/>
      <c r="Y124" s="18"/>
      <c r="AA124" s="18"/>
    </row>
    <row r="125">
      <c r="B125" s="20"/>
      <c r="Y125" s="18"/>
      <c r="AA125" s="18"/>
    </row>
    <row r="126">
      <c r="B126" s="20"/>
      <c r="Y126" s="18"/>
      <c r="AA126" s="18"/>
    </row>
    <row r="127">
      <c r="B127" s="20"/>
      <c r="Y127" s="18"/>
      <c r="AA127" s="18"/>
    </row>
    <row r="128">
      <c r="B128" s="20"/>
      <c r="Y128" s="18"/>
      <c r="AA128" s="18"/>
    </row>
    <row r="129">
      <c r="B129" s="20"/>
      <c r="Y129" s="18"/>
      <c r="AA129" s="18"/>
    </row>
    <row r="130">
      <c r="B130" s="20"/>
      <c r="Y130" s="18"/>
      <c r="AA130" s="18"/>
    </row>
    <row r="131">
      <c r="B131" s="20"/>
      <c r="Y131" s="18"/>
      <c r="AA131" s="18"/>
    </row>
    <row r="132">
      <c r="B132" s="20"/>
      <c r="Y132" s="18"/>
      <c r="AA132" s="18"/>
    </row>
    <row r="133">
      <c r="B133" s="20"/>
      <c r="Y133" s="18"/>
      <c r="AA133" s="18"/>
    </row>
    <row r="134">
      <c r="B134" s="20"/>
      <c r="Y134" s="18"/>
      <c r="AA134" s="18"/>
    </row>
    <row r="135">
      <c r="B135" s="20"/>
      <c r="Y135" s="18"/>
      <c r="AA135" s="18"/>
    </row>
    <row r="136">
      <c r="B136" s="20"/>
      <c r="Y136" s="18"/>
      <c r="AA136" s="18"/>
    </row>
    <row r="137">
      <c r="B137" s="20"/>
      <c r="Y137" s="18"/>
      <c r="AA137" s="18"/>
    </row>
    <row r="138">
      <c r="B138" s="20"/>
      <c r="Y138" s="18"/>
      <c r="AA138" s="18"/>
    </row>
    <row r="139">
      <c r="B139" s="20"/>
      <c r="Y139" s="18"/>
      <c r="AA139" s="18"/>
    </row>
    <row r="140">
      <c r="B140" s="20"/>
      <c r="Y140" s="18"/>
      <c r="AA140" s="18"/>
    </row>
    <row r="141">
      <c r="B141" s="20"/>
      <c r="Y141" s="18"/>
      <c r="AA141" s="18"/>
    </row>
    <row r="142">
      <c r="B142" s="20"/>
      <c r="Y142" s="18"/>
      <c r="AA142" s="18"/>
    </row>
    <row r="143">
      <c r="B143" s="20"/>
      <c r="Y143" s="18"/>
      <c r="AA143" s="18"/>
    </row>
    <row r="144">
      <c r="B144" s="20"/>
      <c r="Y144" s="18"/>
      <c r="AA144" s="18"/>
    </row>
    <row r="145">
      <c r="B145" s="20"/>
      <c r="Y145" s="18"/>
      <c r="AA145" s="18"/>
    </row>
    <row r="146">
      <c r="B146" s="20"/>
      <c r="Y146" s="18"/>
      <c r="AA146" s="18"/>
    </row>
    <row r="147">
      <c r="B147" s="20"/>
      <c r="Y147" s="18"/>
      <c r="AA147" s="18"/>
    </row>
    <row r="148">
      <c r="B148" s="20"/>
      <c r="Y148" s="18"/>
      <c r="AA148" s="18"/>
    </row>
    <row r="149">
      <c r="B149" s="20"/>
      <c r="Y149" s="18"/>
      <c r="AA149" s="18"/>
    </row>
    <row r="150">
      <c r="B150" s="20"/>
      <c r="Y150" s="18"/>
      <c r="AA150" s="18"/>
    </row>
    <row r="151">
      <c r="B151" s="20"/>
      <c r="Y151" s="18"/>
      <c r="AA151" s="18"/>
    </row>
    <row r="152">
      <c r="B152" s="20"/>
      <c r="Y152" s="18"/>
      <c r="AA152" s="18"/>
    </row>
    <row r="153">
      <c r="B153" s="20"/>
      <c r="Y153" s="18"/>
      <c r="AA153" s="18"/>
    </row>
    <row r="154">
      <c r="B154" s="20"/>
      <c r="Y154" s="18"/>
      <c r="AA154" s="18"/>
    </row>
    <row r="155">
      <c r="B155" s="20"/>
      <c r="Y155" s="18"/>
      <c r="AA155" s="18"/>
    </row>
    <row r="156">
      <c r="B156" s="20"/>
      <c r="Y156" s="18"/>
      <c r="AA156" s="18"/>
    </row>
    <row r="157">
      <c r="B157" s="20"/>
      <c r="Y157" s="18"/>
      <c r="AA157" s="18"/>
    </row>
    <row r="158">
      <c r="B158" s="20"/>
      <c r="Y158" s="18"/>
      <c r="AA158" s="18"/>
    </row>
    <row r="159">
      <c r="B159" s="20"/>
      <c r="Y159" s="18"/>
      <c r="AA159" s="18"/>
    </row>
    <row r="160">
      <c r="B160" s="20"/>
      <c r="Y160" s="18"/>
      <c r="AA160" s="18"/>
    </row>
    <row r="161">
      <c r="B161" s="20"/>
      <c r="Y161" s="18"/>
      <c r="AA161" s="18"/>
    </row>
    <row r="162">
      <c r="B162" s="20"/>
      <c r="Y162" s="18"/>
      <c r="AA162" s="18"/>
    </row>
    <row r="163">
      <c r="B163" s="20"/>
      <c r="Y163" s="18"/>
      <c r="AA163" s="18"/>
    </row>
    <row r="164">
      <c r="B164" s="20"/>
      <c r="Y164" s="18"/>
      <c r="AA164" s="18"/>
    </row>
    <row r="165">
      <c r="B165" s="20"/>
      <c r="Y165" s="18"/>
      <c r="AA165" s="18"/>
    </row>
    <row r="166">
      <c r="B166" s="20"/>
      <c r="Y166" s="18"/>
      <c r="AA166" s="18"/>
    </row>
    <row r="167">
      <c r="B167" s="20"/>
      <c r="Y167" s="18"/>
      <c r="AA167" s="18"/>
    </row>
    <row r="168">
      <c r="B168" s="20"/>
      <c r="Y168" s="18"/>
      <c r="AA168" s="18"/>
    </row>
    <row r="169">
      <c r="B169" s="20"/>
      <c r="Y169" s="18"/>
      <c r="AA169" s="18"/>
    </row>
    <row r="170">
      <c r="B170" s="20"/>
      <c r="Y170" s="18"/>
      <c r="AA170" s="18"/>
    </row>
    <row r="171">
      <c r="B171" s="20"/>
      <c r="Y171" s="18"/>
      <c r="AA171" s="18"/>
    </row>
    <row r="172">
      <c r="B172" s="20"/>
      <c r="Y172" s="18"/>
      <c r="AA172" s="18"/>
    </row>
    <row r="173">
      <c r="B173" s="20"/>
      <c r="Y173" s="18"/>
      <c r="AA173" s="18"/>
    </row>
    <row r="174">
      <c r="B174" s="20"/>
      <c r="Y174" s="18"/>
      <c r="AA174" s="18"/>
    </row>
    <row r="175">
      <c r="B175" s="20"/>
      <c r="Y175" s="18"/>
      <c r="AA175" s="18"/>
    </row>
    <row r="176">
      <c r="B176" s="20"/>
      <c r="Y176" s="18"/>
      <c r="AA176" s="18"/>
    </row>
    <row r="177">
      <c r="B177" s="20"/>
      <c r="Y177" s="18"/>
      <c r="AA177" s="18"/>
    </row>
    <row r="178">
      <c r="B178" s="20"/>
      <c r="Y178" s="18"/>
      <c r="AA178" s="18"/>
    </row>
    <row r="179">
      <c r="B179" s="20"/>
      <c r="Y179" s="18"/>
      <c r="AA179" s="18"/>
    </row>
    <row r="180">
      <c r="B180" s="20"/>
      <c r="Y180" s="18"/>
      <c r="AA180" s="18"/>
    </row>
    <row r="181">
      <c r="B181" s="20"/>
      <c r="Y181" s="18"/>
      <c r="AA181" s="18"/>
    </row>
    <row r="182">
      <c r="B182" s="20"/>
      <c r="Y182" s="18"/>
      <c r="AA182" s="18"/>
    </row>
    <row r="183">
      <c r="B183" s="20"/>
      <c r="Y183" s="18"/>
      <c r="AA183" s="18"/>
    </row>
    <row r="184">
      <c r="B184" s="20"/>
      <c r="Y184" s="18"/>
      <c r="AA184" s="18"/>
    </row>
    <row r="185">
      <c r="B185" s="20"/>
      <c r="Y185" s="18"/>
      <c r="AA185" s="18"/>
    </row>
    <row r="186">
      <c r="B186" s="20"/>
      <c r="Y186" s="18"/>
      <c r="AA186" s="18"/>
    </row>
    <row r="187">
      <c r="B187" s="20"/>
      <c r="Y187" s="18"/>
      <c r="AA187" s="18"/>
    </row>
    <row r="188">
      <c r="B188" s="20"/>
      <c r="Y188" s="18"/>
      <c r="AA188" s="18"/>
    </row>
    <row r="189">
      <c r="B189" s="20"/>
      <c r="Y189" s="18"/>
      <c r="AA189" s="18"/>
    </row>
    <row r="190">
      <c r="B190" s="20"/>
      <c r="Y190" s="18"/>
      <c r="AA190" s="18"/>
    </row>
    <row r="191">
      <c r="B191" s="20"/>
      <c r="Y191" s="18"/>
      <c r="AA191" s="18"/>
    </row>
    <row r="192">
      <c r="B192" s="20"/>
      <c r="Y192" s="18"/>
      <c r="AA192" s="18"/>
    </row>
    <row r="193">
      <c r="B193" s="20"/>
      <c r="Y193" s="18"/>
      <c r="AA193" s="18"/>
    </row>
    <row r="194">
      <c r="B194" s="20"/>
      <c r="Y194" s="18"/>
      <c r="AA194" s="18"/>
    </row>
    <row r="195">
      <c r="B195" s="20"/>
      <c r="Y195" s="18"/>
      <c r="AA195" s="18"/>
    </row>
    <row r="196">
      <c r="B196" s="20"/>
      <c r="Y196" s="18"/>
      <c r="AA196" s="18"/>
    </row>
    <row r="197">
      <c r="B197" s="20"/>
      <c r="Y197" s="18"/>
      <c r="AA197" s="18"/>
    </row>
    <row r="198">
      <c r="B198" s="20"/>
      <c r="Y198" s="18"/>
      <c r="AA198" s="18"/>
    </row>
    <row r="199">
      <c r="B199" s="20"/>
      <c r="Y199" s="18"/>
      <c r="AA199" s="18"/>
    </row>
    <row r="200">
      <c r="B200" s="20"/>
      <c r="Y200" s="18"/>
      <c r="AA200" s="18"/>
    </row>
    <row r="201">
      <c r="B201" s="20"/>
      <c r="Y201" s="18"/>
      <c r="AA201" s="18"/>
    </row>
    <row r="202">
      <c r="B202" s="20"/>
      <c r="Y202" s="18"/>
      <c r="AA202" s="18"/>
    </row>
    <row r="203">
      <c r="B203" s="20"/>
      <c r="Y203" s="18"/>
      <c r="AA203" s="18"/>
    </row>
    <row r="204">
      <c r="B204" s="20"/>
      <c r="Y204" s="18"/>
      <c r="AA204" s="18"/>
    </row>
    <row r="205">
      <c r="B205" s="20"/>
      <c r="Y205" s="18"/>
      <c r="AA205" s="18"/>
    </row>
    <row r="206">
      <c r="B206" s="20"/>
      <c r="Y206" s="18"/>
      <c r="AA206" s="18"/>
    </row>
    <row r="207">
      <c r="B207" s="20"/>
      <c r="Y207" s="18"/>
      <c r="AA207" s="18"/>
    </row>
    <row r="208">
      <c r="B208" s="20"/>
      <c r="Y208" s="18"/>
      <c r="AA208" s="18"/>
    </row>
    <row r="209">
      <c r="B209" s="20"/>
      <c r="Y209" s="18"/>
      <c r="AA209" s="18"/>
    </row>
    <row r="210">
      <c r="B210" s="20"/>
      <c r="Y210" s="18"/>
      <c r="AA210" s="18"/>
    </row>
    <row r="211">
      <c r="B211" s="20"/>
      <c r="Y211" s="18"/>
      <c r="AA211" s="18"/>
    </row>
    <row r="212">
      <c r="B212" s="20"/>
      <c r="Y212" s="18"/>
      <c r="AA212" s="18"/>
    </row>
    <row r="213">
      <c r="B213" s="20"/>
      <c r="Y213" s="18"/>
      <c r="AA213" s="18"/>
    </row>
    <row r="214">
      <c r="B214" s="20"/>
      <c r="Y214" s="18"/>
      <c r="AA214" s="18"/>
    </row>
    <row r="215">
      <c r="B215" s="20"/>
      <c r="Y215" s="18"/>
      <c r="AA215" s="18"/>
    </row>
    <row r="216">
      <c r="B216" s="20"/>
      <c r="Y216" s="18"/>
      <c r="AA216" s="18"/>
    </row>
    <row r="217">
      <c r="B217" s="20"/>
      <c r="Y217" s="18"/>
      <c r="AA217" s="18"/>
    </row>
    <row r="218">
      <c r="B218" s="20"/>
      <c r="Y218" s="18"/>
      <c r="AA218" s="18"/>
    </row>
    <row r="219">
      <c r="B219" s="20"/>
      <c r="Y219" s="18"/>
      <c r="AA219" s="18"/>
    </row>
    <row r="220">
      <c r="B220" s="20"/>
      <c r="Y220" s="18"/>
      <c r="AA220" s="18"/>
    </row>
    <row r="221">
      <c r="B221" s="20"/>
      <c r="Y221" s="18"/>
      <c r="AA221" s="18"/>
    </row>
    <row r="222">
      <c r="B222" s="20"/>
      <c r="Y222" s="18"/>
      <c r="AA222" s="18"/>
    </row>
    <row r="223">
      <c r="B223" s="20"/>
      <c r="Y223" s="18"/>
      <c r="AA223" s="18"/>
    </row>
    <row r="224">
      <c r="B224" s="20"/>
      <c r="Y224" s="18"/>
      <c r="AA224" s="18"/>
    </row>
    <row r="225">
      <c r="B225" s="20"/>
      <c r="Y225" s="18"/>
      <c r="AA225" s="18"/>
    </row>
    <row r="226">
      <c r="B226" s="20"/>
      <c r="Y226" s="18"/>
      <c r="AA226" s="18"/>
    </row>
    <row r="227">
      <c r="B227" s="20"/>
      <c r="Y227" s="18"/>
      <c r="AA227" s="18"/>
    </row>
    <row r="228">
      <c r="B228" s="20"/>
      <c r="Y228" s="18"/>
      <c r="AA228" s="18"/>
    </row>
    <row r="229">
      <c r="B229" s="20"/>
      <c r="Y229" s="18"/>
      <c r="AA229" s="18"/>
    </row>
    <row r="230">
      <c r="B230" s="20"/>
      <c r="Y230" s="18"/>
      <c r="AA230" s="18"/>
    </row>
    <row r="231">
      <c r="B231" s="20"/>
      <c r="Y231" s="18"/>
      <c r="AA231" s="18"/>
    </row>
    <row r="232">
      <c r="B232" s="20"/>
      <c r="Y232" s="18"/>
      <c r="AA232" s="18"/>
    </row>
    <row r="233">
      <c r="B233" s="20"/>
      <c r="Y233" s="18"/>
      <c r="AA233" s="18"/>
    </row>
    <row r="234">
      <c r="B234" s="20"/>
      <c r="Y234" s="18"/>
      <c r="AA234" s="18"/>
    </row>
    <row r="235">
      <c r="B235" s="20"/>
      <c r="Y235" s="18"/>
      <c r="AA235" s="18"/>
    </row>
    <row r="236">
      <c r="B236" s="20"/>
      <c r="Y236" s="18"/>
      <c r="AA236" s="18"/>
    </row>
    <row r="237">
      <c r="B237" s="20"/>
      <c r="Y237" s="18"/>
      <c r="AA237" s="18"/>
    </row>
    <row r="238">
      <c r="B238" s="20"/>
      <c r="Y238" s="18"/>
      <c r="AA238" s="18"/>
    </row>
    <row r="239">
      <c r="B239" s="20"/>
      <c r="Y239" s="18"/>
      <c r="AA239" s="18"/>
    </row>
    <row r="240">
      <c r="B240" s="20"/>
      <c r="Y240" s="18"/>
      <c r="AA240" s="18"/>
    </row>
    <row r="241">
      <c r="B241" s="20"/>
      <c r="Y241" s="18"/>
      <c r="AA241" s="18"/>
    </row>
    <row r="242">
      <c r="B242" s="20"/>
      <c r="Y242" s="18"/>
      <c r="AA242" s="18"/>
    </row>
    <row r="243">
      <c r="B243" s="20"/>
      <c r="Y243" s="18"/>
      <c r="AA243" s="18"/>
    </row>
    <row r="244">
      <c r="B244" s="20"/>
      <c r="Y244" s="18"/>
      <c r="AA244" s="18"/>
    </row>
    <row r="245">
      <c r="B245" s="20"/>
      <c r="Y245" s="18"/>
      <c r="AA245" s="18"/>
    </row>
    <row r="246">
      <c r="B246" s="20"/>
      <c r="Y246" s="18"/>
      <c r="AA246" s="18"/>
    </row>
    <row r="247">
      <c r="B247" s="20"/>
      <c r="Y247" s="18"/>
      <c r="AA247" s="18"/>
    </row>
    <row r="248">
      <c r="B248" s="20"/>
      <c r="Y248" s="18"/>
      <c r="AA248" s="18"/>
    </row>
    <row r="249">
      <c r="B249" s="20"/>
      <c r="Y249" s="18"/>
      <c r="AA249" s="18"/>
    </row>
    <row r="250">
      <c r="B250" s="20"/>
      <c r="Y250" s="18"/>
      <c r="AA250" s="18"/>
    </row>
    <row r="251">
      <c r="B251" s="20"/>
      <c r="Y251" s="18"/>
      <c r="AA251" s="18"/>
    </row>
    <row r="252">
      <c r="B252" s="20"/>
      <c r="Y252" s="18"/>
      <c r="AA252" s="18"/>
    </row>
    <row r="253">
      <c r="B253" s="20"/>
      <c r="Y253" s="18"/>
      <c r="AA253" s="18"/>
    </row>
    <row r="254">
      <c r="B254" s="20"/>
      <c r="Y254" s="18"/>
      <c r="AA254" s="18"/>
    </row>
    <row r="255">
      <c r="B255" s="20"/>
      <c r="Y255" s="18"/>
      <c r="AA255" s="18"/>
    </row>
    <row r="256">
      <c r="B256" s="20"/>
      <c r="Y256" s="18"/>
      <c r="AA256" s="18"/>
    </row>
    <row r="257">
      <c r="B257" s="20"/>
      <c r="Y257" s="18"/>
      <c r="AA257" s="18"/>
    </row>
    <row r="258">
      <c r="B258" s="20"/>
      <c r="Y258" s="18"/>
      <c r="AA258" s="18"/>
    </row>
    <row r="259">
      <c r="B259" s="20"/>
      <c r="Y259" s="18"/>
      <c r="AA259" s="18"/>
    </row>
    <row r="260">
      <c r="B260" s="20"/>
      <c r="Y260" s="18"/>
      <c r="AA260" s="18"/>
    </row>
    <row r="261">
      <c r="B261" s="20"/>
      <c r="Y261" s="18"/>
      <c r="AA261" s="18"/>
    </row>
    <row r="262">
      <c r="B262" s="20"/>
      <c r="Y262" s="18"/>
      <c r="AA262" s="18"/>
    </row>
    <row r="263">
      <c r="B263" s="20"/>
      <c r="Y263" s="18"/>
      <c r="AA263" s="18"/>
    </row>
    <row r="264">
      <c r="B264" s="20"/>
      <c r="Y264" s="18"/>
      <c r="AA264" s="18"/>
    </row>
    <row r="265">
      <c r="B265" s="20"/>
      <c r="Y265" s="18"/>
      <c r="AA265" s="18"/>
    </row>
    <row r="266">
      <c r="B266" s="20"/>
      <c r="Y266" s="18"/>
      <c r="AA266" s="18"/>
    </row>
    <row r="267">
      <c r="B267" s="20"/>
      <c r="Y267" s="18"/>
      <c r="AA267" s="18"/>
    </row>
    <row r="268">
      <c r="B268" s="20"/>
      <c r="Y268" s="18"/>
      <c r="AA268" s="18"/>
    </row>
    <row r="269">
      <c r="B269" s="20"/>
      <c r="Y269" s="18"/>
      <c r="AA269" s="18"/>
    </row>
    <row r="270">
      <c r="B270" s="20"/>
      <c r="Y270" s="18"/>
      <c r="AA270" s="18"/>
    </row>
    <row r="271">
      <c r="B271" s="20"/>
      <c r="Y271" s="18"/>
      <c r="AA271" s="18"/>
    </row>
    <row r="272">
      <c r="B272" s="20"/>
      <c r="Y272" s="18"/>
      <c r="AA272" s="18"/>
    </row>
    <row r="273">
      <c r="B273" s="20"/>
      <c r="Y273" s="18"/>
      <c r="AA273" s="18"/>
    </row>
    <row r="274">
      <c r="B274" s="20"/>
      <c r="Y274" s="18"/>
      <c r="AA274" s="18"/>
    </row>
    <row r="275">
      <c r="B275" s="20"/>
      <c r="Y275" s="18"/>
      <c r="AA275" s="18"/>
    </row>
    <row r="276">
      <c r="B276" s="20"/>
      <c r="Y276" s="18"/>
      <c r="AA276" s="18"/>
    </row>
    <row r="277">
      <c r="B277" s="20"/>
      <c r="Y277" s="18"/>
      <c r="AA277" s="18"/>
    </row>
    <row r="278">
      <c r="B278" s="20"/>
      <c r="Y278" s="18"/>
      <c r="AA278" s="18"/>
    </row>
    <row r="279">
      <c r="B279" s="20"/>
      <c r="Y279" s="18"/>
      <c r="AA279" s="18"/>
    </row>
    <row r="280">
      <c r="B280" s="20"/>
      <c r="Y280" s="18"/>
      <c r="AA280" s="18"/>
    </row>
    <row r="281">
      <c r="B281" s="20"/>
      <c r="Y281" s="18"/>
      <c r="AA281" s="18"/>
    </row>
    <row r="282">
      <c r="B282" s="20"/>
      <c r="Y282" s="18"/>
      <c r="AA282" s="18"/>
    </row>
    <row r="283">
      <c r="B283" s="20"/>
      <c r="Y283" s="18"/>
      <c r="AA283" s="18"/>
    </row>
    <row r="284">
      <c r="B284" s="20"/>
      <c r="Y284" s="18"/>
      <c r="AA284" s="18"/>
    </row>
    <row r="285">
      <c r="B285" s="20"/>
      <c r="Y285" s="18"/>
      <c r="AA285" s="18"/>
    </row>
    <row r="286">
      <c r="B286" s="20"/>
      <c r="Y286" s="18"/>
      <c r="AA286" s="18"/>
    </row>
    <row r="287">
      <c r="B287" s="20"/>
      <c r="Y287" s="18"/>
      <c r="AA287" s="18"/>
    </row>
    <row r="288">
      <c r="B288" s="20"/>
      <c r="Y288" s="18"/>
      <c r="AA288" s="18"/>
    </row>
    <row r="289">
      <c r="B289" s="20"/>
      <c r="Y289" s="18"/>
      <c r="AA289" s="18"/>
    </row>
    <row r="290">
      <c r="B290" s="20"/>
      <c r="Y290" s="18"/>
      <c r="AA290" s="18"/>
    </row>
    <row r="291">
      <c r="B291" s="20"/>
      <c r="Y291" s="18"/>
      <c r="AA291" s="18"/>
    </row>
    <row r="292">
      <c r="B292" s="20"/>
      <c r="Y292" s="18"/>
      <c r="AA292" s="18"/>
    </row>
    <row r="293">
      <c r="B293" s="20"/>
      <c r="Y293" s="18"/>
      <c r="AA293" s="18"/>
    </row>
    <row r="294">
      <c r="B294" s="20"/>
      <c r="Y294" s="18"/>
      <c r="AA294" s="18"/>
    </row>
    <row r="295">
      <c r="B295" s="20"/>
      <c r="Y295" s="18"/>
      <c r="AA295" s="18"/>
    </row>
    <row r="296">
      <c r="B296" s="20"/>
      <c r="Y296" s="18"/>
      <c r="AA296" s="18"/>
    </row>
    <row r="297">
      <c r="B297" s="20"/>
      <c r="Y297" s="18"/>
      <c r="AA297" s="18"/>
    </row>
    <row r="298">
      <c r="B298" s="20"/>
      <c r="Y298" s="18"/>
      <c r="AA298" s="18"/>
    </row>
    <row r="299">
      <c r="B299" s="20"/>
      <c r="Y299" s="18"/>
      <c r="AA299" s="18"/>
    </row>
    <row r="300">
      <c r="B300" s="20"/>
      <c r="Y300" s="18"/>
      <c r="AA300" s="18"/>
    </row>
    <row r="301">
      <c r="B301" s="20"/>
      <c r="Y301" s="18"/>
      <c r="AA301" s="18"/>
    </row>
    <row r="302">
      <c r="B302" s="20"/>
      <c r="Y302" s="18"/>
      <c r="AA302" s="18"/>
    </row>
    <row r="303">
      <c r="B303" s="20"/>
      <c r="Y303" s="18"/>
      <c r="AA303" s="18"/>
    </row>
    <row r="304">
      <c r="B304" s="20"/>
      <c r="Y304" s="18"/>
      <c r="AA304" s="18"/>
    </row>
    <row r="305">
      <c r="B305" s="20"/>
      <c r="Y305" s="18"/>
      <c r="AA305" s="18"/>
    </row>
    <row r="306">
      <c r="B306" s="20"/>
      <c r="Y306" s="18"/>
      <c r="AA306" s="18"/>
    </row>
    <row r="307">
      <c r="B307" s="20"/>
      <c r="Y307" s="18"/>
      <c r="AA307" s="18"/>
    </row>
    <row r="308">
      <c r="B308" s="20"/>
      <c r="Y308" s="18"/>
      <c r="AA308" s="18"/>
    </row>
    <row r="309">
      <c r="B309" s="20"/>
      <c r="Y309" s="18"/>
      <c r="AA309" s="18"/>
    </row>
    <row r="310">
      <c r="B310" s="20"/>
      <c r="Y310" s="18"/>
      <c r="AA310" s="18"/>
    </row>
    <row r="311">
      <c r="B311" s="20"/>
      <c r="Y311" s="18"/>
      <c r="AA311" s="18"/>
    </row>
    <row r="312">
      <c r="B312" s="20"/>
      <c r="Y312" s="18"/>
      <c r="AA312" s="18"/>
    </row>
    <row r="313">
      <c r="B313" s="20"/>
      <c r="Y313" s="18"/>
      <c r="AA313" s="18"/>
    </row>
    <row r="314">
      <c r="B314" s="20"/>
      <c r="Y314" s="18"/>
      <c r="AA314" s="18"/>
    </row>
    <row r="315">
      <c r="B315" s="20"/>
      <c r="Y315" s="18"/>
      <c r="AA315" s="18"/>
    </row>
    <row r="316">
      <c r="B316" s="20"/>
      <c r="Y316" s="18"/>
      <c r="AA316" s="18"/>
    </row>
    <row r="317">
      <c r="B317" s="20"/>
      <c r="Y317" s="18"/>
      <c r="AA317" s="18"/>
    </row>
    <row r="318">
      <c r="B318" s="20"/>
      <c r="Y318" s="18"/>
      <c r="AA318" s="18"/>
    </row>
    <row r="319">
      <c r="B319" s="20"/>
      <c r="Y319" s="18"/>
      <c r="AA319" s="18"/>
    </row>
    <row r="320">
      <c r="B320" s="20"/>
      <c r="Y320" s="18"/>
      <c r="AA320" s="18"/>
    </row>
    <row r="321">
      <c r="B321" s="20"/>
      <c r="Y321" s="18"/>
      <c r="AA321" s="18"/>
    </row>
    <row r="322">
      <c r="B322" s="20"/>
      <c r="Y322" s="18"/>
      <c r="AA322" s="18"/>
    </row>
    <row r="323">
      <c r="B323" s="20"/>
      <c r="Y323" s="18"/>
      <c r="AA323" s="18"/>
    </row>
    <row r="324">
      <c r="B324" s="20"/>
      <c r="Y324" s="18"/>
      <c r="AA324" s="18"/>
    </row>
    <row r="325">
      <c r="B325" s="20"/>
      <c r="Y325" s="18"/>
      <c r="AA325" s="18"/>
    </row>
    <row r="326">
      <c r="B326" s="20"/>
      <c r="Y326" s="18"/>
      <c r="AA326" s="18"/>
    </row>
    <row r="327">
      <c r="B327" s="20"/>
      <c r="Y327" s="18"/>
      <c r="AA327" s="18"/>
    </row>
    <row r="328">
      <c r="B328" s="20"/>
      <c r="Y328" s="18"/>
      <c r="AA328" s="18"/>
    </row>
    <row r="329">
      <c r="B329" s="20"/>
      <c r="Y329" s="18"/>
      <c r="AA329" s="18"/>
    </row>
    <row r="330">
      <c r="B330" s="20"/>
      <c r="Y330" s="18"/>
      <c r="AA330" s="18"/>
    </row>
    <row r="331">
      <c r="B331" s="20"/>
      <c r="Y331" s="18"/>
      <c r="AA331" s="18"/>
    </row>
    <row r="332">
      <c r="B332" s="20"/>
      <c r="Y332" s="18"/>
      <c r="AA332" s="18"/>
    </row>
    <row r="333">
      <c r="B333" s="20"/>
      <c r="Y333" s="18"/>
      <c r="AA333" s="18"/>
    </row>
    <row r="334">
      <c r="B334" s="20"/>
      <c r="Y334" s="18"/>
      <c r="AA334" s="18"/>
    </row>
    <row r="335">
      <c r="B335" s="20"/>
      <c r="Y335" s="18"/>
      <c r="AA335" s="18"/>
    </row>
    <row r="336">
      <c r="B336" s="20"/>
      <c r="Y336" s="18"/>
      <c r="AA336" s="18"/>
    </row>
    <row r="337">
      <c r="B337" s="20"/>
      <c r="Y337" s="18"/>
      <c r="AA337" s="18"/>
    </row>
    <row r="338">
      <c r="B338" s="20"/>
      <c r="Y338" s="18"/>
      <c r="AA338" s="18"/>
    </row>
    <row r="339">
      <c r="B339" s="20"/>
      <c r="Y339" s="18"/>
      <c r="AA339" s="18"/>
    </row>
    <row r="340">
      <c r="B340" s="20"/>
      <c r="Y340" s="18"/>
      <c r="AA340" s="18"/>
    </row>
    <row r="341">
      <c r="B341" s="20"/>
      <c r="Y341" s="18"/>
      <c r="AA341" s="18"/>
    </row>
    <row r="342">
      <c r="B342" s="20"/>
      <c r="Y342" s="18"/>
      <c r="AA342" s="18"/>
    </row>
    <row r="343">
      <c r="B343" s="20"/>
      <c r="Y343" s="18"/>
      <c r="AA343" s="18"/>
    </row>
    <row r="344">
      <c r="B344" s="20"/>
      <c r="Y344" s="18"/>
      <c r="AA344" s="18"/>
    </row>
    <row r="345">
      <c r="B345" s="20"/>
      <c r="Y345" s="18"/>
      <c r="AA345" s="18"/>
    </row>
    <row r="346">
      <c r="B346" s="20"/>
      <c r="Y346" s="18"/>
      <c r="AA346" s="18"/>
    </row>
    <row r="347">
      <c r="B347" s="20"/>
      <c r="Y347" s="18"/>
      <c r="AA347" s="18"/>
    </row>
    <row r="348">
      <c r="B348" s="20"/>
      <c r="Y348" s="18"/>
      <c r="AA348" s="18"/>
    </row>
    <row r="349">
      <c r="B349" s="20"/>
      <c r="Y349" s="18"/>
      <c r="AA349" s="18"/>
    </row>
    <row r="350">
      <c r="B350" s="20"/>
      <c r="Y350" s="18"/>
      <c r="AA350" s="18"/>
    </row>
    <row r="351">
      <c r="B351" s="20"/>
      <c r="Y351" s="18"/>
      <c r="AA351" s="18"/>
    </row>
    <row r="352">
      <c r="B352" s="20"/>
      <c r="Y352" s="18"/>
      <c r="AA352" s="18"/>
    </row>
    <row r="353">
      <c r="B353" s="20"/>
      <c r="Y353" s="18"/>
      <c r="AA353" s="18"/>
    </row>
    <row r="354">
      <c r="B354" s="20"/>
      <c r="Y354" s="18"/>
      <c r="AA354" s="18"/>
    </row>
    <row r="355">
      <c r="B355" s="20"/>
      <c r="Y355" s="18"/>
      <c r="AA355" s="18"/>
    </row>
    <row r="356">
      <c r="B356" s="20"/>
      <c r="Y356" s="18"/>
      <c r="AA356" s="18"/>
    </row>
    <row r="357">
      <c r="B357" s="20"/>
      <c r="Y357" s="18"/>
      <c r="AA357" s="18"/>
    </row>
    <row r="358">
      <c r="B358" s="20"/>
      <c r="Y358" s="18"/>
      <c r="AA358" s="18"/>
    </row>
    <row r="359">
      <c r="B359" s="20"/>
      <c r="Y359" s="18"/>
      <c r="AA359" s="18"/>
    </row>
    <row r="360">
      <c r="B360" s="20"/>
      <c r="Y360" s="18"/>
      <c r="AA360" s="18"/>
    </row>
    <row r="361">
      <c r="B361" s="20"/>
      <c r="Y361" s="18"/>
      <c r="AA361" s="18"/>
    </row>
    <row r="362">
      <c r="B362" s="20"/>
      <c r="Y362" s="18"/>
      <c r="AA362" s="18"/>
    </row>
    <row r="363">
      <c r="B363" s="20"/>
      <c r="Y363" s="18"/>
      <c r="AA363" s="18"/>
    </row>
    <row r="364">
      <c r="B364" s="20"/>
      <c r="Y364" s="18"/>
      <c r="AA364" s="18"/>
    </row>
    <row r="365">
      <c r="B365" s="20"/>
      <c r="Y365" s="18"/>
      <c r="AA365" s="18"/>
    </row>
    <row r="366">
      <c r="B366" s="20"/>
      <c r="Y366" s="18"/>
      <c r="AA366" s="18"/>
    </row>
    <row r="367">
      <c r="B367" s="20"/>
      <c r="Y367" s="18"/>
      <c r="AA367" s="18"/>
    </row>
    <row r="368">
      <c r="B368" s="20"/>
      <c r="Y368" s="18"/>
      <c r="AA368" s="18"/>
    </row>
    <row r="369">
      <c r="B369" s="20"/>
      <c r="Y369" s="18"/>
      <c r="AA369" s="18"/>
    </row>
    <row r="370">
      <c r="B370" s="20"/>
      <c r="Y370" s="18"/>
      <c r="AA370" s="18"/>
    </row>
    <row r="371">
      <c r="B371" s="20"/>
      <c r="Y371" s="18"/>
      <c r="AA371" s="18"/>
    </row>
    <row r="372">
      <c r="B372" s="20"/>
      <c r="Y372" s="18"/>
      <c r="AA372" s="18"/>
    </row>
    <row r="373">
      <c r="B373" s="20"/>
      <c r="Y373" s="18"/>
      <c r="AA373" s="18"/>
    </row>
    <row r="374">
      <c r="B374" s="20"/>
      <c r="Y374" s="18"/>
      <c r="AA374" s="18"/>
    </row>
    <row r="375">
      <c r="B375" s="20"/>
      <c r="Y375" s="18"/>
      <c r="AA375" s="18"/>
    </row>
    <row r="376">
      <c r="B376" s="20"/>
      <c r="Y376" s="18"/>
      <c r="AA376" s="18"/>
    </row>
    <row r="377">
      <c r="B377" s="20"/>
      <c r="Y377" s="18"/>
      <c r="AA377" s="18"/>
    </row>
    <row r="378">
      <c r="B378" s="20"/>
      <c r="Y378" s="18"/>
      <c r="AA378" s="18"/>
    </row>
    <row r="379">
      <c r="B379" s="20"/>
      <c r="Y379" s="18"/>
      <c r="AA379" s="18"/>
    </row>
    <row r="380">
      <c r="B380" s="20"/>
      <c r="Y380" s="18"/>
      <c r="AA380" s="18"/>
    </row>
    <row r="381">
      <c r="B381" s="20"/>
      <c r="Y381" s="18"/>
      <c r="AA381" s="18"/>
    </row>
    <row r="382">
      <c r="B382" s="20"/>
      <c r="Y382" s="18"/>
      <c r="AA382" s="18"/>
    </row>
    <row r="383">
      <c r="B383" s="20"/>
      <c r="Y383" s="18"/>
      <c r="AA383" s="18"/>
    </row>
    <row r="384">
      <c r="B384" s="20"/>
      <c r="Y384" s="18"/>
      <c r="AA384" s="18"/>
    </row>
    <row r="385">
      <c r="B385" s="20"/>
      <c r="Y385" s="18"/>
      <c r="AA385" s="18"/>
    </row>
    <row r="386">
      <c r="B386" s="20"/>
      <c r="Y386" s="18"/>
      <c r="AA386" s="18"/>
    </row>
    <row r="387">
      <c r="B387" s="20"/>
      <c r="Y387" s="18"/>
      <c r="AA387" s="18"/>
    </row>
    <row r="388">
      <c r="B388" s="20"/>
      <c r="Y388" s="18"/>
      <c r="AA388" s="18"/>
    </row>
    <row r="389">
      <c r="B389" s="20"/>
      <c r="Y389" s="18"/>
      <c r="AA389" s="18"/>
    </row>
    <row r="390">
      <c r="B390" s="20"/>
      <c r="Y390" s="18"/>
      <c r="AA390" s="18"/>
    </row>
    <row r="391">
      <c r="B391" s="20"/>
      <c r="Y391" s="18"/>
      <c r="AA391" s="18"/>
    </row>
    <row r="392">
      <c r="B392" s="20"/>
      <c r="Y392" s="18"/>
      <c r="AA392" s="18"/>
    </row>
    <row r="393">
      <c r="B393" s="20"/>
      <c r="Y393" s="18"/>
      <c r="AA393" s="18"/>
    </row>
    <row r="394">
      <c r="B394" s="20"/>
      <c r="Y394" s="18"/>
      <c r="AA394" s="18"/>
    </row>
    <row r="395">
      <c r="B395" s="20"/>
      <c r="Y395" s="18"/>
      <c r="AA395" s="18"/>
    </row>
    <row r="396">
      <c r="B396" s="20"/>
      <c r="Y396" s="18"/>
      <c r="AA396" s="18"/>
    </row>
    <row r="397">
      <c r="B397" s="20"/>
      <c r="Y397" s="18"/>
      <c r="AA397" s="18"/>
    </row>
    <row r="398">
      <c r="B398" s="20"/>
      <c r="Y398" s="18"/>
      <c r="AA398" s="18"/>
    </row>
    <row r="399">
      <c r="B399" s="20"/>
      <c r="Y399" s="18"/>
      <c r="AA399" s="18"/>
    </row>
    <row r="400">
      <c r="B400" s="20"/>
      <c r="Y400" s="18"/>
      <c r="AA400" s="18"/>
    </row>
    <row r="401">
      <c r="B401" s="20"/>
      <c r="Y401" s="18"/>
      <c r="AA401" s="18"/>
    </row>
    <row r="402">
      <c r="B402" s="20"/>
      <c r="Y402" s="18"/>
      <c r="AA402" s="18"/>
    </row>
    <row r="403">
      <c r="B403" s="20"/>
      <c r="Y403" s="18"/>
      <c r="AA403" s="18"/>
    </row>
    <row r="404">
      <c r="B404" s="20"/>
      <c r="Y404" s="18"/>
      <c r="AA404" s="18"/>
    </row>
    <row r="405">
      <c r="B405" s="20"/>
      <c r="Y405" s="18"/>
      <c r="AA405" s="18"/>
    </row>
    <row r="406">
      <c r="B406" s="20"/>
      <c r="Y406" s="18"/>
      <c r="AA406" s="18"/>
    </row>
    <row r="407">
      <c r="B407" s="20"/>
      <c r="Y407" s="18"/>
      <c r="AA407" s="18"/>
    </row>
    <row r="408">
      <c r="B408" s="20"/>
      <c r="Y408" s="18"/>
      <c r="AA408" s="18"/>
    </row>
    <row r="409">
      <c r="B409" s="20"/>
      <c r="Y409" s="18"/>
      <c r="AA409" s="18"/>
    </row>
    <row r="410">
      <c r="B410" s="20"/>
      <c r="Y410" s="18"/>
      <c r="AA410" s="18"/>
    </row>
    <row r="411">
      <c r="B411" s="20"/>
      <c r="Y411" s="18"/>
      <c r="AA411" s="18"/>
    </row>
    <row r="412">
      <c r="B412" s="20"/>
      <c r="Y412" s="18"/>
      <c r="AA412" s="18"/>
    </row>
    <row r="413">
      <c r="B413" s="20"/>
      <c r="Y413" s="18"/>
      <c r="AA413" s="18"/>
    </row>
    <row r="414">
      <c r="B414" s="20"/>
      <c r="Y414" s="18"/>
      <c r="AA414" s="18"/>
    </row>
    <row r="415">
      <c r="B415" s="20"/>
      <c r="Y415" s="18"/>
      <c r="AA415" s="18"/>
    </row>
    <row r="416">
      <c r="B416" s="20"/>
      <c r="Y416" s="18"/>
      <c r="AA416" s="18"/>
    </row>
    <row r="417">
      <c r="B417" s="20"/>
      <c r="Y417" s="18"/>
      <c r="AA417" s="18"/>
    </row>
    <row r="418">
      <c r="B418" s="20"/>
      <c r="Y418" s="18"/>
      <c r="AA418" s="18"/>
    </row>
    <row r="419">
      <c r="B419" s="20"/>
      <c r="Y419" s="18"/>
      <c r="AA419" s="18"/>
    </row>
    <row r="420">
      <c r="B420" s="20"/>
      <c r="Y420" s="18"/>
      <c r="AA420" s="18"/>
    </row>
    <row r="421">
      <c r="B421" s="20"/>
      <c r="Y421" s="18"/>
      <c r="AA421" s="18"/>
    </row>
    <row r="422">
      <c r="B422" s="20"/>
      <c r="Y422" s="18"/>
      <c r="AA422" s="18"/>
    </row>
    <row r="423">
      <c r="B423" s="20"/>
      <c r="Y423" s="18"/>
      <c r="AA423" s="18"/>
    </row>
    <row r="424">
      <c r="B424" s="20"/>
      <c r="Y424" s="18"/>
      <c r="AA424" s="18"/>
    </row>
    <row r="425">
      <c r="B425" s="20"/>
      <c r="Y425" s="18"/>
      <c r="AA425" s="18"/>
    </row>
    <row r="426">
      <c r="B426" s="20"/>
      <c r="Y426" s="18"/>
      <c r="AA426" s="18"/>
    </row>
    <row r="427">
      <c r="B427" s="20"/>
      <c r="Y427" s="18"/>
      <c r="AA427" s="18"/>
    </row>
    <row r="428">
      <c r="B428" s="20"/>
      <c r="Y428" s="18"/>
      <c r="AA428" s="18"/>
    </row>
    <row r="429">
      <c r="B429" s="20"/>
      <c r="Y429" s="18"/>
      <c r="AA429" s="18"/>
    </row>
    <row r="430">
      <c r="B430" s="20"/>
      <c r="Y430" s="18"/>
      <c r="AA430" s="18"/>
    </row>
    <row r="431">
      <c r="B431" s="20"/>
      <c r="Y431" s="18"/>
      <c r="AA431" s="18"/>
    </row>
    <row r="432">
      <c r="B432" s="20"/>
      <c r="Y432" s="18"/>
      <c r="AA432" s="18"/>
    </row>
    <row r="433">
      <c r="B433" s="20"/>
      <c r="Y433" s="18"/>
      <c r="AA433" s="18"/>
    </row>
    <row r="434">
      <c r="B434" s="20"/>
      <c r="Y434" s="18"/>
      <c r="AA434" s="18"/>
    </row>
    <row r="435">
      <c r="B435" s="20"/>
      <c r="Y435" s="18"/>
      <c r="AA435" s="18"/>
    </row>
    <row r="436">
      <c r="B436" s="20"/>
      <c r="Y436" s="18"/>
      <c r="AA436" s="18"/>
    </row>
    <row r="437">
      <c r="B437" s="20"/>
      <c r="Y437" s="18"/>
      <c r="AA437" s="18"/>
    </row>
    <row r="438">
      <c r="B438" s="20"/>
      <c r="Y438" s="18"/>
      <c r="AA438" s="18"/>
    </row>
    <row r="439">
      <c r="B439" s="20"/>
      <c r="Y439" s="18"/>
      <c r="AA439" s="18"/>
    </row>
    <row r="440">
      <c r="B440" s="20"/>
      <c r="Y440" s="18"/>
      <c r="AA440" s="18"/>
    </row>
    <row r="441">
      <c r="B441" s="20"/>
      <c r="Y441" s="18"/>
      <c r="AA441" s="18"/>
    </row>
    <row r="442">
      <c r="B442" s="20"/>
      <c r="Y442" s="18"/>
      <c r="AA442" s="18"/>
    </row>
    <row r="443">
      <c r="B443" s="20"/>
      <c r="Y443" s="18"/>
      <c r="AA443" s="18"/>
    </row>
    <row r="444">
      <c r="B444" s="20"/>
      <c r="Y444" s="18"/>
      <c r="AA444" s="18"/>
    </row>
    <row r="445">
      <c r="B445" s="20"/>
      <c r="Y445" s="18"/>
      <c r="AA445" s="18"/>
    </row>
    <row r="446">
      <c r="B446" s="20"/>
      <c r="Y446" s="18"/>
      <c r="AA446" s="18"/>
    </row>
    <row r="447">
      <c r="B447" s="20"/>
      <c r="Y447" s="18"/>
      <c r="AA447" s="18"/>
    </row>
    <row r="448">
      <c r="B448" s="20"/>
      <c r="Y448" s="18"/>
      <c r="AA448" s="18"/>
    </row>
    <row r="449">
      <c r="B449" s="20"/>
      <c r="Y449" s="18"/>
      <c r="AA449" s="18"/>
    </row>
    <row r="450">
      <c r="B450" s="20"/>
      <c r="Y450" s="18"/>
      <c r="AA450" s="18"/>
    </row>
    <row r="451">
      <c r="B451" s="20"/>
      <c r="Y451" s="18"/>
      <c r="AA451" s="18"/>
    </row>
    <row r="452">
      <c r="B452" s="20"/>
      <c r="Y452" s="18"/>
      <c r="AA452" s="18"/>
    </row>
    <row r="453">
      <c r="B453" s="20"/>
      <c r="Y453" s="18"/>
      <c r="AA453" s="18"/>
    </row>
    <row r="454">
      <c r="B454" s="20"/>
      <c r="Y454" s="18"/>
      <c r="AA454" s="18"/>
    </row>
    <row r="455">
      <c r="B455" s="20"/>
      <c r="Y455" s="18"/>
      <c r="AA455" s="18"/>
    </row>
    <row r="456">
      <c r="B456" s="20"/>
      <c r="Y456" s="18"/>
      <c r="AA456" s="18"/>
    </row>
    <row r="457">
      <c r="B457" s="20"/>
      <c r="Y457" s="18"/>
      <c r="AA457" s="18"/>
    </row>
    <row r="458">
      <c r="B458" s="20"/>
      <c r="Y458" s="18"/>
      <c r="AA458" s="18"/>
    </row>
    <row r="459">
      <c r="B459" s="20"/>
      <c r="Y459" s="18"/>
      <c r="AA459" s="18"/>
    </row>
    <row r="460">
      <c r="B460" s="20"/>
      <c r="Y460" s="18"/>
      <c r="AA460" s="18"/>
    </row>
    <row r="461">
      <c r="B461" s="20"/>
      <c r="Y461" s="18"/>
      <c r="AA461" s="18"/>
    </row>
    <row r="462">
      <c r="B462" s="20"/>
      <c r="Y462" s="18"/>
      <c r="AA462" s="18"/>
    </row>
    <row r="463">
      <c r="B463" s="20"/>
      <c r="Y463" s="18"/>
      <c r="AA463" s="18"/>
    </row>
    <row r="464">
      <c r="B464" s="20"/>
      <c r="Y464" s="18"/>
      <c r="AA464" s="18"/>
    </row>
    <row r="465">
      <c r="B465" s="20"/>
      <c r="Y465" s="18"/>
      <c r="AA465" s="18"/>
    </row>
    <row r="466">
      <c r="B466" s="20"/>
      <c r="Y466" s="18"/>
      <c r="AA466" s="18"/>
    </row>
    <row r="467">
      <c r="B467" s="20"/>
      <c r="Y467" s="18"/>
      <c r="AA467" s="18"/>
    </row>
    <row r="468">
      <c r="B468" s="20"/>
      <c r="Y468" s="18"/>
      <c r="AA468" s="18"/>
    </row>
    <row r="469">
      <c r="B469" s="20"/>
      <c r="Y469" s="18"/>
      <c r="AA469" s="18"/>
    </row>
    <row r="470">
      <c r="B470" s="20"/>
      <c r="Y470" s="18"/>
      <c r="AA470" s="18"/>
    </row>
    <row r="471">
      <c r="B471" s="20"/>
      <c r="Y471" s="18"/>
      <c r="AA471" s="18"/>
    </row>
    <row r="472">
      <c r="B472" s="20"/>
      <c r="Y472" s="18"/>
      <c r="AA472" s="18"/>
    </row>
    <row r="473">
      <c r="B473" s="20"/>
      <c r="Y473" s="18"/>
      <c r="AA473" s="18"/>
    </row>
    <row r="474">
      <c r="B474" s="20"/>
      <c r="Y474" s="18"/>
      <c r="AA474" s="18"/>
    </row>
    <row r="475">
      <c r="B475" s="20"/>
      <c r="Y475" s="18"/>
      <c r="AA475" s="18"/>
    </row>
    <row r="476">
      <c r="B476" s="20"/>
      <c r="Y476" s="18"/>
      <c r="AA476" s="18"/>
    </row>
    <row r="477">
      <c r="B477" s="20"/>
      <c r="Y477" s="18"/>
      <c r="AA477" s="18"/>
    </row>
    <row r="478">
      <c r="B478" s="20"/>
      <c r="Y478" s="18"/>
      <c r="AA478" s="18"/>
    </row>
    <row r="479">
      <c r="B479" s="20"/>
      <c r="Y479" s="18"/>
      <c r="AA479" s="18"/>
    </row>
    <row r="480">
      <c r="B480" s="20"/>
      <c r="Y480" s="18"/>
      <c r="AA480" s="18"/>
    </row>
    <row r="481">
      <c r="B481" s="20"/>
      <c r="Y481" s="18"/>
      <c r="AA481" s="18"/>
    </row>
    <row r="482">
      <c r="B482" s="20"/>
      <c r="Y482" s="18"/>
      <c r="AA482" s="18"/>
    </row>
    <row r="483">
      <c r="B483" s="20"/>
      <c r="Y483" s="18"/>
      <c r="AA483" s="18"/>
    </row>
    <row r="484">
      <c r="B484" s="20"/>
      <c r="Y484" s="18"/>
      <c r="AA484" s="18"/>
    </row>
    <row r="485">
      <c r="B485" s="20"/>
      <c r="Y485" s="18"/>
      <c r="AA485" s="18"/>
    </row>
    <row r="486">
      <c r="B486" s="20"/>
      <c r="Y486" s="18"/>
      <c r="AA486" s="18"/>
    </row>
    <row r="487">
      <c r="B487" s="20"/>
      <c r="Y487" s="18"/>
      <c r="AA487" s="18"/>
    </row>
    <row r="488">
      <c r="B488" s="20"/>
      <c r="Y488" s="18"/>
      <c r="AA488" s="18"/>
    </row>
    <row r="489">
      <c r="B489" s="20"/>
      <c r="Y489" s="18"/>
      <c r="AA489" s="18"/>
    </row>
    <row r="490">
      <c r="B490" s="20"/>
      <c r="Y490" s="18"/>
      <c r="AA490" s="18"/>
    </row>
    <row r="491">
      <c r="B491" s="20"/>
      <c r="Y491" s="18"/>
      <c r="AA491" s="18"/>
    </row>
    <row r="492">
      <c r="B492" s="20"/>
      <c r="Y492" s="18"/>
      <c r="AA492" s="18"/>
    </row>
    <row r="493">
      <c r="B493" s="20"/>
      <c r="Y493" s="18"/>
      <c r="AA493" s="18"/>
    </row>
    <row r="494">
      <c r="B494" s="20"/>
      <c r="Y494" s="18"/>
      <c r="AA494" s="18"/>
    </row>
    <row r="495">
      <c r="B495" s="20"/>
      <c r="Y495" s="18"/>
      <c r="AA495" s="18"/>
    </row>
    <row r="496">
      <c r="B496" s="20"/>
      <c r="Y496" s="18"/>
      <c r="AA496" s="18"/>
    </row>
    <row r="497">
      <c r="B497" s="20"/>
      <c r="Y497" s="18"/>
      <c r="AA497" s="18"/>
    </row>
    <row r="498">
      <c r="B498" s="20"/>
      <c r="Y498" s="18"/>
      <c r="AA498" s="18"/>
    </row>
    <row r="499">
      <c r="B499" s="20"/>
      <c r="Y499" s="18"/>
      <c r="AA499" s="18"/>
    </row>
    <row r="500">
      <c r="B500" s="20"/>
      <c r="Y500" s="18"/>
      <c r="AA500" s="18"/>
    </row>
    <row r="501">
      <c r="B501" s="20"/>
      <c r="Y501" s="18"/>
      <c r="AA501" s="18"/>
    </row>
    <row r="502">
      <c r="B502" s="20"/>
      <c r="Y502" s="18"/>
      <c r="AA502" s="18"/>
    </row>
    <row r="503">
      <c r="B503" s="20"/>
      <c r="Y503" s="18"/>
      <c r="AA503" s="18"/>
    </row>
    <row r="504">
      <c r="B504" s="20"/>
      <c r="Y504" s="18"/>
      <c r="AA504" s="18"/>
    </row>
    <row r="505">
      <c r="B505" s="20"/>
      <c r="Y505" s="18"/>
      <c r="AA505" s="18"/>
    </row>
    <row r="506">
      <c r="B506" s="20"/>
      <c r="Y506" s="18"/>
      <c r="AA506" s="18"/>
    </row>
    <row r="507">
      <c r="B507" s="20"/>
      <c r="Y507" s="18"/>
      <c r="AA507" s="18"/>
    </row>
    <row r="508">
      <c r="B508" s="20"/>
      <c r="Y508" s="18"/>
      <c r="AA508" s="18"/>
    </row>
    <row r="509">
      <c r="B509" s="20"/>
      <c r="Y509" s="18"/>
      <c r="AA509" s="18"/>
    </row>
    <row r="510">
      <c r="B510" s="20"/>
      <c r="Y510" s="18"/>
      <c r="AA510" s="18"/>
    </row>
    <row r="511">
      <c r="B511" s="20"/>
      <c r="Y511" s="18"/>
      <c r="AA511" s="18"/>
    </row>
    <row r="512">
      <c r="B512" s="20"/>
      <c r="Y512" s="18"/>
      <c r="AA512" s="18"/>
    </row>
    <row r="513">
      <c r="B513" s="20"/>
      <c r="Y513" s="18"/>
      <c r="AA513" s="18"/>
    </row>
    <row r="514">
      <c r="B514" s="20"/>
      <c r="Y514" s="18"/>
      <c r="AA514" s="18"/>
    </row>
    <row r="515">
      <c r="B515" s="20"/>
      <c r="Y515" s="18"/>
      <c r="AA515" s="18"/>
    </row>
    <row r="516">
      <c r="B516" s="20"/>
      <c r="Y516" s="18"/>
      <c r="AA516" s="18"/>
    </row>
    <row r="517">
      <c r="B517" s="20"/>
      <c r="Y517" s="18"/>
      <c r="AA517" s="18"/>
    </row>
    <row r="518">
      <c r="B518" s="20"/>
      <c r="Y518" s="18"/>
      <c r="AA518" s="18"/>
    </row>
    <row r="519">
      <c r="B519" s="20"/>
      <c r="Y519" s="18"/>
      <c r="AA519" s="18"/>
    </row>
    <row r="520">
      <c r="B520" s="20"/>
      <c r="Y520" s="18"/>
      <c r="AA520" s="18"/>
    </row>
    <row r="521">
      <c r="B521" s="20"/>
      <c r="Y521" s="18"/>
      <c r="AA521" s="18"/>
    </row>
    <row r="522">
      <c r="B522" s="20"/>
      <c r="Y522" s="18"/>
      <c r="AA522" s="18"/>
    </row>
    <row r="523">
      <c r="B523" s="20"/>
      <c r="Y523" s="18"/>
      <c r="AA523" s="18"/>
    </row>
    <row r="524">
      <c r="B524" s="20"/>
      <c r="Y524" s="18"/>
      <c r="AA524" s="18"/>
    </row>
    <row r="525">
      <c r="B525" s="20"/>
      <c r="Y525" s="18"/>
      <c r="AA525" s="18"/>
    </row>
    <row r="526">
      <c r="B526" s="20"/>
      <c r="Y526" s="18"/>
      <c r="AA526" s="18"/>
    </row>
    <row r="527">
      <c r="B527" s="20"/>
      <c r="Y527" s="18"/>
      <c r="AA527" s="18"/>
    </row>
    <row r="528">
      <c r="B528" s="20"/>
      <c r="Y528" s="18"/>
      <c r="AA528" s="18"/>
    </row>
    <row r="529">
      <c r="B529" s="20"/>
      <c r="Y529" s="18"/>
      <c r="AA529" s="18"/>
    </row>
    <row r="530">
      <c r="B530" s="20"/>
      <c r="Y530" s="18"/>
      <c r="AA530" s="18"/>
    </row>
    <row r="531">
      <c r="B531" s="20"/>
      <c r="Y531" s="18"/>
      <c r="AA531" s="18"/>
    </row>
    <row r="532">
      <c r="B532" s="20"/>
      <c r="Y532" s="18"/>
      <c r="AA532" s="18"/>
    </row>
    <row r="533">
      <c r="B533" s="20"/>
      <c r="Y533" s="18"/>
      <c r="AA533" s="18"/>
    </row>
    <row r="534">
      <c r="B534" s="20"/>
      <c r="Y534" s="18"/>
      <c r="AA534" s="18"/>
    </row>
    <row r="535">
      <c r="B535" s="20"/>
      <c r="Y535" s="18"/>
      <c r="AA535" s="18"/>
    </row>
    <row r="536">
      <c r="B536" s="20"/>
      <c r="Y536" s="18"/>
      <c r="AA536" s="18"/>
    </row>
    <row r="537">
      <c r="B537" s="20"/>
      <c r="Y537" s="18"/>
      <c r="AA537" s="18"/>
    </row>
    <row r="538">
      <c r="B538" s="20"/>
      <c r="Y538" s="18"/>
      <c r="AA538" s="18"/>
    </row>
    <row r="539">
      <c r="B539" s="20"/>
      <c r="Y539" s="18"/>
      <c r="AA539" s="18"/>
    </row>
    <row r="540">
      <c r="B540" s="20"/>
      <c r="Y540" s="18"/>
      <c r="AA540" s="18"/>
    </row>
    <row r="541">
      <c r="B541" s="20"/>
      <c r="Y541" s="18"/>
      <c r="AA541" s="18"/>
    </row>
    <row r="542">
      <c r="B542" s="20"/>
      <c r="Y542" s="18"/>
      <c r="AA542" s="18"/>
    </row>
    <row r="543">
      <c r="B543" s="20"/>
      <c r="Y543" s="18"/>
      <c r="AA543" s="18"/>
    </row>
    <row r="544">
      <c r="B544" s="20"/>
      <c r="Y544" s="18"/>
      <c r="AA544" s="18"/>
    </row>
    <row r="545">
      <c r="B545" s="20"/>
      <c r="Y545" s="18"/>
      <c r="AA545" s="18"/>
    </row>
    <row r="546">
      <c r="B546" s="20"/>
      <c r="Y546" s="18"/>
      <c r="AA546" s="18"/>
    </row>
    <row r="547">
      <c r="B547" s="20"/>
      <c r="Y547" s="18"/>
      <c r="AA547" s="18"/>
    </row>
    <row r="548">
      <c r="B548" s="20"/>
      <c r="Y548" s="18"/>
      <c r="AA548" s="18"/>
    </row>
    <row r="549">
      <c r="B549" s="20"/>
      <c r="Y549" s="18"/>
      <c r="AA549" s="18"/>
    </row>
    <row r="550">
      <c r="B550" s="20"/>
      <c r="Y550" s="18"/>
      <c r="AA550" s="18"/>
    </row>
    <row r="551">
      <c r="B551" s="20"/>
      <c r="Y551" s="18"/>
      <c r="AA551" s="18"/>
    </row>
    <row r="552">
      <c r="B552" s="20"/>
      <c r="Y552" s="18"/>
      <c r="AA552" s="18"/>
    </row>
    <row r="553">
      <c r="B553" s="20"/>
      <c r="Y553" s="18"/>
      <c r="AA553" s="18"/>
    </row>
    <row r="554">
      <c r="B554" s="20"/>
      <c r="Y554" s="18"/>
      <c r="AA554" s="18"/>
    </row>
    <row r="555">
      <c r="B555" s="20"/>
      <c r="Y555" s="18"/>
      <c r="AA555" s="18"/>
    </row>
    <row r="556">
      <c r="B556" s="20"/>
      <c r="Y556" s="18"/>
      <c r="AA556" s="18"/>
    </row>
    <row r="557">
      <c r="B557" s="20"/>
      <c r="Y557" s="18"/>
      <c r="AA557" s="18"/>
    </row>
    <row r="558">
      <c r="B558" s="20"/>
      <c r="Y558" s="18"/>
      <c r="AA558" s="18"/>
    </row>
    <row r="559">
      <c r="B559" s="20"/>
      <c r="Y559" s="18"/>
      <c r="AA559" s="18"/>
    </row>
    <row r="560">
      <c r="B560" s="20"/>
      <c r="Y560" s="18"/>
      <c r="AA560" s="18"/>
    </row>
    <row r="561">
      <c r="B561" s="20"/>
      <c r="Y561" s="18"/>
      <c r="AA561" s="18"/>
    </row>
    <row r="562">
      <c r="B562" s="20"/>
      <c r="Y562" s="18"/>
      <c r="AA562" s="18"/>
    </row>
    <row r="563">
      <c r="B563" s="20"/>
      <c r="Y563" s="18"/>
      <c r="AA563" s="18"/>
    </row>
    <row r="564">
      <c r="B564" s="20"/>
      <c r="Y564" s="18"/>
      <c r="AA564" s="18"/>
    </row>
    <row r="565">
      <c r="B565" s="20"/>
      <c r="Y565" s="18"/>
      <c r="AA565" s="18"/>
    </row>
    <row r="566">
      <c r="B566" s="20"/>
      <c r="Y566" s="18"/>
      <c r="AA566" s="18"/>
    </row>
    <row r="567">
      <c r="B567" s="20"/>
      <c r="Y567" s="18"/>
      <c r="AA567" s="18"/>
    </row>
    <row r="568">
      <c r="B568" s="20"/>
      <c r="Y568" s="18"/>
      <c r="AA568" s="18"/>
    </row>
    <row r="569">
      <c r="B569" s="20"/>
      <c r="Y569" s="18"/>
      <c r="AA569" s="18"/>
    </row>
    <row r="570">
      <c r="B570" s="20"/>
      <c r="Y570" s="18"/>
      <c r="AA570" s="18"/>
    </row>
    <row r="571">
      <c r="B571" s="20"/>
      <c r="Y571" s="18"/>
      <c r="AA571" s="18"/>
    </row>
    <row r="572">
      <c r="B572" s="20"/>
      <c r="Y572" s="18"/>
      <c r="AA572" s="18"/>
    </row>
    <row r="573">
      <c r="B573" s="20"/>
      <c r="Y573" s="18"/>
      <c r="AA573" s="18"/>
    </row>
    <row r="574">
      <c r="B574" s="20"/>
      <c r="Y574" s="18"/>
      <c r="AA574" s="18"/>
    </row>
    <row r="575">
      <c r="B575" s="20"/>
      <c r="Y575" s="18"/>
      <c r="AA575" s="18"/>
    </row>
    <row r="576">
      <c r="B576" s="20"/>
      <c r="Y576" s="18"/>
      <c r="AA576" s="18"/>
    </row>
    <row r="577">
      <c r="B577" s="20"/>
      <c r="Y577" s="18"/>
      <c r="AA577" s="18"/>
    </row>
    <row r="578">
      <c r="B578" s="20"/>
      <c r="Y578" s="18"/>
      <c r="AA578" s="18"/>
    </row>
    <row r="579">
      <c r="B579" s="20"/>
      <c r="Y579" s="18"/>
      <c r="AA579" s="18"/>
    </row>
    <row r="580">
      <c r="B580" s="20"/>
      <c r="Y580" s="18"/>
      <c r="AA580" s="18"/>
    </row>
    <row r="581">
      <c r="B581" s="20"/>
      <c r="Y581" s="18"/>
      <c r="AA581" s="18"/>
    </row>
    <row r="582">
      <c r="B582" s="20"/>
      <c r="Y582" s="18"/>
      <c r="AA582" s="18"/>
    </row>
    <row r="583">
      <c r="B583" s="20"/>
      <c r="Y583" s="18"/>
      <c r="AA583" s="18"/>
    </row>
    <row r="584">
      <c r="B584" s="20"/>
      <c r="Y584" s="18"/>
      <c r="AA584" s="18"/>
    </row>
    <row r="585">
      <c r="B585" s="20"/>
      <c r="Y585" s="18"/>
      <c r="AA585" s="18"/>
    </row>
    <row r="586">
      <c r="B586" s="20"/>
      <c r="Y586" s="18"/>
      <c r="AA586" s="18"/>
    </row>
    <row r="587">
      <c r="B587" s="20"/>
      <c r="Y587" s="18"/>
      <c r="AA587" s="18"/>
    </row>
    <row r="588">
      <c r="B588" s="20"/>
      <c r="Y588" s="18"/>
      <c r="AA588" s="18"/>
    </row>
    <row r="589">
      <c r="B589" s="20"/>
      <c r="Y589" s="18"/>
      <c r="AA589" s="18"/>
    </row>
    <row r="590">
      <c r="B590" s="20"/>
      <c r="Y590" s="18"/>
      <c r="AA590" s="18"/>
    </row>
    <row r="591">
      <c r="B591" s="20"/>
      <c r="Y591" s="18"/>
      <c r="AA591" s="18"/>
    </row>
    <row r="592">
      <c r="B592" s="20"/>
      <c r="Y592" s="18"/>
      <c r="AA592" s="18"/>
    </row>
    <row r="593">
      <c r="B593" s="20"/>
      <c r="Y593" s="18"/>
      <c r="AA593" s="18"/>
    </row>
    <row r="594">
      <c r="B594" s="20"/>
      <c r="Y594" s="18"/>
      <c r="AA594" s="18"/>
    </row>
    <row r="595">
      <c r="B595" s="20"/>
      <c r="Y595" s="18"/>
      <c r="AA595" s="18"/>
    </row>
    <row r="596">
      <c r="B596" s="20"/>
      <c r="Y596" s="18"/>
      <c r="AA596" s="18"/>
    </row>
    <row r="597">
      <c r="B597" s="20"/>
      <c r="Y597" s="18"/>
      <c r="AA597" s="18"/>
    </row>
    <row r="598">
      <c r="B598" s="20"/>
      <c r="Y598" s="18"/>
      <c r="AA598" s="18"/>
    </row>
    <row r="599">
      <c r="B599" s="20"/>
      <c r="Y599" s="18"/>
      <c r="AA599" s="18"/>
    </row>
    <row r="600">
      <c r="B600" s="20"/>
      <c r="Y600" s="18"/>
      <c r="AA600" s="18"/>
    </row>
    <row r="601">
      <c r="B601" s="20"/>
      <c r="Y601" s="18"/>
      <c r="AA601" s="18"/>
    </row>
    <row r="602">
      <c r="B602" s="20"/>
      <c r="Y602" s="18"/>
      <c r="AA602" s="18"/>
    </row>
    <row r="603">
      <c r="B603" s="20"/>
      <c r="Y603" s="18"/>
      <c r="AA603" s="18"/>
    </row>
    <row r="604">
      <c r="B604" s="20"/>
      <c r="Y604" s="18"/>
      <c r="AA604" s="18"/>
    </row>
    <row r="605">
      <c r="B605" s="20"/>
      <c r="Y605" s="18"/>
      <c r="AA605" s="18"/>
    </row>
    <row r="606">
      <c r="B606" s="20"/>
      <c r="Y606" s="18"/>
      <c r="AA606" s="18"/>
    </row>
    <row r="607">
      <c r="B607" s="20"/>
      <c r="Y607" s="18"/>
      <c r="AA607" s="18"/>
    </row>
    <row r="608">
      <c r="B608" s="20"/>
      <c r="Y608" s="18"/>
      <c r="AA608" s="18"/>
    </row>
    <row r="609">
      <c r="B609" s="20"/>
      <c r="Y609" s="18"/>
      <c r="AA609" s="18"/>
    </row>
    <row r="610">
      <c r="B610" s="20"/>
      <c r="Y610" s="18"/>
      <c r="AA610" s="18"/>
    </row>
    <row r="611">
      <c r="B611" s="20"/>
      <c r="Y611" s="18"/>
      <c r="AA611" s="18"/>
    </row>
    <row r="612">
      <c r="B612" s="20"/>
      <c r="Y612" s="18"/>
      <c r="AA612" s="18"/>
    </row>
    <row r="613">
      <c r="B613" s="20"/>
      <c r="Y613" s="18"/>
      <c r="AA613" s="18"/>
    </row>
    <row r="614">
      <c r="B614" s="20"/>
      <c r="Y614" s="18"/>
      <c r="AA614" s="18"/>
    </row>
    <row r="615">
      <c r="B615" s="20"/>
      <c r="Y615" s="18"/>
      <c r="AA615" s="18"/>
    </row>
    <row r="616">
      <c r="B616" s="20"/>
      <c r="Y616" s="18"/>
      <c r="AA616" s="18"/>
    </row>
    <row r="617">
      <c r="B617" s="20"/>
      <c r="Y617" s="18"/>
      <c r="AA617" s="18"/>
    </row>
    <row r="618">
      <c r="B618" s="20"/>
      <c r="Y618" s="18"/>
      <c r="AA618" s="18"/>
    </row>
    <row r="619">
      <c r="B619" s="20"/>
      <c r="Y619" s="18"/>
      <c r="AA619" s="18"/>
    </row>
    <row r="620">
      <c r="B620" s="20"/>
      <c r="Y620" s="18"/>
      <c r="AA620" s="18"/>
    </row>
    <row r="621">
      <c r="B621" s="20"/>
      <c r="Y621" s="18"/>
      <c r="AA621" s="18"/>
    </row>
    <row r="622">
      <c r="B622" s="20"/>
      <c r="Y622" s="18"/>
      <c r="AA622" s="18"/>
    </row>
    <row r="623">
      <c r="B623" s="20"/>
      <c r="Y623" s="18"/>
      <c r="AA623" s="18"/>
    </row>
    <row r="624">
      <c r="B624" s="20"/>
      <c r="Y624" s="18"/>
      <c r="AA624" s="18"/>
    </row>
    <row r="625">
      <c r="B625" s="20"/>
      <c r="Y625" s="18"/>
      <c r="AA625" s="18"/>
    </row>
    <row r="626">
      <c r="B626" s="20"/>
      <c r="Y626" s="18"/>
      <c r="AA626" s="18"/>
    </row>
    <row r="627">
      <c r="B627" s="20"/>
      <c r="Y627" s="18"/>
      <c r="AA627" s="18"/>
    </row>
    <row r="628">
      <c r="B628" s="20"/>
      <c r="Y628" s="18"/>
      <c r="AA628" s="18"/>
    </row>
    <row r="629">
      <c r="B629" s="20"/>
      <c r="Y629" s="18"/>
      <c r="AA629" s="18"/>
    </row>
    <row r="630">
      <c r="B630" s="20"/>
      <c r="Y630" s="18"/>
      <c r="AA630" s="18"/>
    </row>
    <row r="631">
      <c r="B631" s="20"/>
      <c r="Y631" s="18"/>
      <c r="AA631" s="18"/>
    </row>
    <row r="632">
      <c r="B632" s="20"/>
      <c r="Y632" s="18"/>
      <c r="AA632" s="18"/>
    </row>
    <row r="633">
      <c r="B633" s="20"/>
      <c r="Y633" s="18"/>
      <c r="AA633" s="18"/>
    </row>
    <row r="634">
      <c r="B634" s="20"/>
      <c r="Y634" s="18"/>
      <c r="AA634" s="18"/>
    </row>
    <row r="635">
      <c r="B635" s="20"/>
      <c r="Y635" s="18"/>
      <c r="AA635" s="18"/>
    </row>
    <row r="636">
      <c r="B636" s="20"/>
      <c r="Y636" s="18"/>
      <c r="AA636" s="18"/>
    </row>
    <row r="637">
      <c r="B637" s="20"/>
      <c r="Y637" s="18"/>
      <c r="AA637" s="18"/>
    </row>
    <row r="638">
      <c r="B638" s="20"/>
      <c r="Y638" s="18"/>
      <c r="AA638" s="18"/>
    </row>
    <row r="639">
      <c r="B639" s="20"/>
      <c r="Y639" s="18"/>
      <c r="AA639" s="18"/>
    </row>
    <row r="640">
      <c r="B640" s="20"/>
      <c r="Y640" s="18"/>
      <c r="AA640" s="18"/>
    </row>
    <row r="641">
      <c r="B641" s="20"/>
      <c r="Y641" s="18"/>
      <c r="AA641" s="18"/>
    </row>
    <row r="642">
      <c r="B642" s="20"/>
      <c r="Y642" s="18"/>
      <c r="AA642" s="18"/>
    </row>
    <row r="643">
      <c r="B643" s="20"/>
      <c r="Y643" s="18"/>
      <c r="AA643" s="18"/>
    </row>
    <row r="644">
      <c r="B644" s="20"/>
      <c r="Y644" s="18"/>
      <c r="AA644" s="18"/>
    </row>
    <row r="645">
      <c r="B645" s="20"/>
      <c r="Y645" s="18"/>
      <c r="AA645" s="18"/>
    </row>
    <row r="646">
      <c r="B646" s="20"/>
      <c r="Y646" s="18"/>
      <c r="AA646" s="18"/>
    </row>
    <row r="647">
      <c r="B647" s="20"/>
      <c r="Y647" s="18"/>
      <c r="AA647" s="18"/>
    </row>
    <row r="648">
      <c r="B648" s="20"/>
      <c r="Y648" s="18"/>
      <c r="AA648" s="18"/>
    </row>
    <row r="649">
      <c r="B649" s="20"/>
      <c r="Y649" s="18"/>
      <c r="AA649" s="18"/>
    </row>
    <row r="650">
      <c r="B650" s="20"/>
      <c r="Y650" s="18"/>
      <c r="AA650" s="18"/>
    </row>
    <row r="651">
      <c r="B651" s="20"/>
      <c r="Y651" s="18"/>
      <c r="AA651" s="18"/>
    </row>
    <row r="652">
      <c r="B652" s="20"/>
      <c r="Y652" s="18"/>
      <c r="AA652" s="18"/>
    </row>
    <row r="653">
      <c r="B653" s="20"/>
      <c r="Y653" s="18"/>
      <c r="AA653" s="18"/>
    </row>
    <row r="654">
      <c r="B654" s="20"/>
      <c r="Y654" s="18"/>
      <c r="AA654" s="18"/>
    </row>
    <row r="655">
      <c r="B655" s="20"/>
      <c r="Y655" s="18"/>
      <c r="AA655" s="18"/>
    </row>
    <row r="656">
      <c r="B656" s="20"/>
      <c r="Y656" s="18"/>
      <c r="AA656" s="18"/>
    </row>
    <row r="657">
      <c r="B657" s="20"/>
      <c r="Y657" s="18"/>
      <c r="AA657" s="18"/>
    </row>
    <row r="658">
      <c r="B658" s="20"/>
      <c r="Y658" s="18"/>
      <c r="AA658" s="18"/>
    </row>
    <row r="659">
      <c r="B659" s="20"/>
      <c r="Y659" s="18"/>
      <c r="AA659" s="18"/>
    </row>
    <row r="660">
      <c r="B660" s="20"/>
      <c r="Y660" s="18"/>
      <c r="AA660" s="18"/>
    </row>
    <row r="661">
      <c r="B661" s="20"/>
      <c r="Y661" s="18"/>
      <c r="AA661" s="18"/>
    </row>
    <row r="662">
      <c r="B662" s="20"/>
      <c r="Y662" s="18"/>
      <c r="AA662" s="18"/>
    </row>
    <row r="663">
      <c r="B663" s="20"/>
      <c r="Y663" s="18"/>
      <c r="AA663" s="18"/>
    </row>
    <row r="664">
      <c r="B664" s="20"/>
      <c r="Y664" s="18"/>
      <c r="AA664" s="18"/>
    </row>
    <row r="665">
      <c r="B665" s="20"/>
      <c r="Y665" s="18"/>
      <c r="AA665" s="18"/>
    </row>
    <row r="666">
      <c r="B666" s="20"/>
      <c r="Y666" s="18"/>
      <c r="AA666" s="18"/>
    </row>
    <row r="667">
      <c r="B667" s="20"/>
      <c r="Y667" s="18"/>
      <c r="AA667" s="18"/>
    </row>
    <row r="668">
      <c r="B668" s="20"/>
      <c r="Y668" s="18"/>
      <c r="AA668" s="18"/>
    </row>
    <row r="669">
      <c r="B669" s="20"/>
      <c r="Y669" s="18"/>
      <c r="AA669" s="18"/>
    </row>
    <row r="670">
      <c r="B670" s="20"/>
      <c r="Y670" s="18"/>
      <c r="AA670" s="18"/>
    </row>
    <row r="671">
      <c r="B671" s="20"/>
      <c r="Y671" s="18"/>
      <c r="AA671" s="18"/>
    </row>
    <row r="672">
      <c r="B672" s="20"/>
      <c r="Y672" s="18"/>
      <c r="AA672" s="18"/>
    </row>
    <row r="673">
      <c r="B673" s="20"/>
      <c r="Y673" s="18"/>
      <c r="AA673" s="18"/>
    </row>
    <row r="674">
      <c r="B674" s="20"/>
      <c r="Y674" s="18"/>
      <c r="AA674" s="18"/>
    </row>
    <row r="675">
      <c r="B675" s="20"/>
      <c r="Y675" s="18"/>
      <c r="AA675" s="18"/>
    </row>
    <row r="676">
      <c r="B676" s="20"/>
      <c r="Y676" s="18"/>
      <c r="AA676" s="18"/>
    </row>
    <row r="677">
      <c r="B677" s="20"/>
      <c r="Y677" s="18"/>
      <c r="AA677" s="18"/>
    </row>
    <row r="678">
      <c r="B678" s="20"/>
      <c r="Y678" s="18"/>
      <c r="AA678" s="18"/>
    </row>
    <row r="679">
      <c r="B679" s="20"/>
      <c r="Y679" s="18"/>
      <c r="AA679" s="18"/>
    </row>
    <row r="680">
      <c r="B680" s="20"/>
      <c r="Y680" s="18"/>
      <c r="AA680" s="18"/>
    </row>
    <row r="681">
      <c r="B681" s="20"/>
      <c r="Y681" s="18"/>
      <c r="AA681" s="18"/>
    </row>
    <row r="682">
      <c r="B682" s="20"/>
      <c r="Y682" s="18"/>
      <c r="AA682" s="18"/>
    </row>
    <row r="683">
      <c r="B683" s="20"/>
      <c r="Y683" s="18"/>
      <c r="AA683" s="18"/>
    </row>
    <row r="684">
      <c r="B684" s="20"/>
      <c r="Y684" s="18"/>
      <c r="AA684" s="18"/>
    </row>
    <row r="685">
      <c r="B685" s="20"/>
      <c r="Y685" s="18"/>
      <c r="AA685" s="18"/>
    </row>
    <row r="686">
      <c r="B686" s="20"/>
      <c r="Y686" s="18"/>
      <c r="AA686" s="18"/>
    </row>
    <row r="687">
      <c r="B687" s="20"/>
      <c r="Y687" s="18"/>
      <c r="AA687" s="18"/>
    </row>
    <row r="688">
      <c r="B688" s="20"/>
      <c r="Y688" s="18"/>
      <c r="AA688" s="18"/>
    </row>
    <row r="689">
      <c r="B689" s="20"/>
      <c r="Y689" s="18"/>
      <c r="AA689" s="18"/>
    </row>
    <row r="690">
      <c r="B690" s="20"/>
      <c r="Y690" s="18"/>
      <c r="AA690" s="18"/>
    </row>
    <row r="691">
      <c r="B691" s="20"/>
      <c r="Y691" s="18"/>
      <c r="AA691" s="18"/>
    </row>
    <row r="692">
      <c r="B692" s="20"/>
      <c r="Y692" s="18"/>
      <c r="AA692" s="18"/>
    </row>
    <row r="693">
      <c r="B693" s="20"/>
      <c r="Y693" s="18"/>
      <c r="AA693" s="18"/>
    </row>
    <row r="694">
      <c r="B694" s="20"/>
      <c r="Y694" s="18"/>
      <c r="AA694" s="18"/>
    </row>
    <row r="695">
      <c r="B695" s="20"/>
      <c r="Y695" s="18"/>
      <c r="AA695" s="18"/>
    </row>
    <row r="696">
      <c r="B696" s="20"/>
      <c r="Y696" s="18"/>
      <c r="AA696" s="18"/>
    </row>
    <row r="697">
      <c r="B697" s="20"/>
      <c r="Y697" s="18"/>
      <c r="AA697" s="18"/>
    </row>
    <row r="698">
      <c r="B698" s="20"/>
      <c r="Y698" s="18"/>
      <c r="AA698" s="18"/>
    </row>
    <row r="699">
      <c r="B699" s="20"/>
      <c r="Y699" s="18"/>
      <c r="AA699" s="18"/>
    </row>
    <row r="700">
      <c r="B700" s="20"/>
      <c r="Y700" s="18"/>
      <c r="AA700" s="18"/>
    </row>
    <row r="701">
      <c r="B701" s="20"/>
      <c r="Y701" s="18"/>
      <c r="AA701" s="18"/>
    </row>
    <row r="702">
      <c r="B702" s="20"/>
      <c r="Y702" s="18"/>
      <c r="AA702" s="18"/>
    </row>
    <row r="703">
      <c r="B703" s="20"/>
      <c r="Y703" s="18"/>
      <c r="AA703" s="18"/>
    </row>
    <row r="704">
      <c r="B704" s="20"/>
      <c r="Y704" s="18"/>
      <c r="AA704" s="18"/>
    </row>
    <row r="705">
      <c r="B705" s="20"/>
      <c r="Y705" s="18"/>
      <c r="AA705" s="18"/>
    </row>
    <row r="706">
      <c r="B706" s="20"/>
      <c r="Y706" s="18"/>
      <c r="AA706" s="18"/>
    </row>
    <row r="707">
      <c r="B707" s="20"/>
      <c r="Y707" s="18"/>
      <c r="AA707" s="18"/>
    </row>
    <row r="708">
      <c r="B708" s="20"/>
      <c r="Y708" s="18"/>
      <c r="AA708" s="18"/>
    </row>
    <row r="709">
      <c r="B709" s="20"/>
      <c r="Y709" s="18"/>
      <c r="AA709" s="18"/>
    </row>
    <row r="710">
      <c r="B710" s="20"/>
      <c r="Y710" s="18"/>
      <c r="AA710" s="18"/>
    </row>
    <row r="711">
      <c r="B711" s="20"/>
      <c r="Y711" s="18"/>
      <c r="AA711" s="18"/>
    </row>
    <row r="712">
      <c r="B712" s="20"/>
      <c r="Y712" s="18"/>
      <c r="AA712" s="18"/>
    </row>
    <row r="713">
      <c r="B713" s="20"/>
      <c r="Y713" s="18"/>
      <c r="AA713" s="18"/>
    </row>
    <row r="714">
      <c r="B714" s="20"/>
      <c r="Y714" s="18"/>
      <c r="AA714" s="18"/>
    </row>
    <row r="715">
      <c r="B715" s="20"/>
      <c r="Y715" s="18"/>
      <c r="AA715" s="18"/>
    </row>
    <row r="716">
      <c r="B716" s="20"/>
      <c r="Y716" s="18"/>
      <c r="AA716" s="18"/>
    </row>
    <row r="717">
      <c r="B717" s="20"/>
      <c r="Y717" s="18"/>
      <c r="AA717" s="18"/>
    </row>
    <row r="718">
      <c r="B718" s="20"/>
      <c r="Y718" s="18"/>
      <c r="AA718" s="18"/>
    </row>
    <row r="719">
      <c r="B719" s="20"/>
      <c r="Y719" s="18"/>
      <c r="AA719" s="18"/>
    </row>
    <row r="720">
      <c r="B720" s="20"/>
      <c r="Y720" s="18"/>
      <c r="AA720" s="18"/>
    </row>
    <row r="721">
      <c r="B721" s="20"/>
      <c r="Y721" s="18"/>
      <c r="AA721" s="18"/>
    </row>
    <row r="722">
      <c r="B722" s="20"/>
      <c r="Y722" s="18"/>
      <c r="AA722" s="18"/>
    </row>
    <row r="723">
      <c r="B723" s="20"/>
      <c r="Y723" s="18"/>
      <c r="AA723" s="18"/>
    </row>
    <row r="724">
      <c r="B724" s="20"/>
      <c r="Y724" s="18"/>
      <c r="AA724" s="18"/>
    </row>
    <row r="725">
      <c r="B725" s="20"/>
      <c r="Y725" s="18"/>
      <c r="AA725" s="18"/>
    </row>
    <row r="726">
      <c r="B726" s="20"/>
      <c r="Y726" s="18"/>
      <c r="AA726" s="18"/>
    </row>
    <row r="727">
      <c r="B727" s="20"/>
      <c r="Y727" s="18"/>
      <c r="AA727" s="18"/>
    </row>
    <row r="728">
      <c r="B728" s="20"/>
      <c r="Y728" s="18"/>
      <c r="AA728" s="18"/>
    </row>
    <row r="729">
      <c r="B729" s="20"/>
      <c r="Y729" s="18"/>
      <c r="AA729" s="18"/>
    </row>
    <row r="730">
      <c r="B730" s="20"/>
      <c r="Y730" s="18"/>
      <c r="AA730" s="18"/>
    </row>
    <row r="731">
      <c r="B731" s="20"/>
      <c r="Y731" s="18"/>
      <c r="AA731" s="18"/>
    </row>
    <row r="732">
      <c r="B732" s="20"/>
      <c r="Y732" s="18"/>
      <c r="AA732" s="18"/>
    </row>
    <row r="733">
      <c r="B733" s="20"/>
      <c r="Y733" s="18"/>
      <c r="AA733" s="18"/>
    </row>
    <row r="734">
      <c r="B734" s="20"/>
      <c r="Y734" s="18"/>
      <c r="AA734" s="18"/>
    </row>
    <row r="735">
      <c r="B735" s="20"/>
      <c r="Y735" s="18"/>
      <c r="AA735" s="18"/>
    </row>
    <row r="736">
      <c r="B736" s="20"/>
      <c r="Y736" s="18"/>
      <c r="AA736" s="18"/>
    </row>
    <row r="737">
      <c r="B737" s="20"/>
      <c r="Y737" s="18"/>
      <c r="AA737" s="18"/>
    </row>
    <row r="738">
      <c r="B738" s="20"/>
      <c r="Y738" s="18"/>
      <c r="AA738" s="18"/>
    </row>
    <row r="739">
      <c r="B739" s="20"/>
      <c r="Y739" s="18"/>
      <c r="AA739" s="18"/>
    </row>
    <row r="740">
      <c r="B740" s="20"/>
      <c r="Y740" s="18"/>
      <c r="AA740" s="18"/>
    </row>
    <row r="741">
      <c r="B741" s="20"/>
      <c r="Y741" s="18"/>
      <c r="AA741" s="18"/>
    </row>
    <row r="742">
      <c r="B742" s="20"/>
      <c r="Y742" s="18"/>
      <c r="AA742" s="18"/>
    </row>
    <row r="743">
      <c r="B743" s="20"/>
      <c r="Y743" s="18"/>
      <c r="AA743" s="18"/>
    </row>
    <row r="744">
      <c r="B744" s="20"/>
      <c r="Y744" s="18"/>
      <c r="AA744" s="18"/>
    </row>
    <row r="745">
      <c r="B745" s="20"/>
      <c r="Y745" s="18"/>
      <c r="AA745" s="18"/>
    </row>
    <row r="746">
      <c r="B746" s="20"/>
      <c r="Y746" s="18"/>
      <c r="AA746" s="18"/>
    </row>
    <row r="747">
      <c r="B747" s="20"/>
      <c r="Y747" s="18"/>
      <c r="AA747" s="18"/>
    </row>
    <row r="748">
      <c r="B748" s="20"/>
      <c r="Y748" s="18"/>
      <c r="AA748" s="18"/>
    </row>
    <row r="749">
      <c r="B749" s="20"/>
      <c r="Y749" s="18"/>
      <c r="AA749" s="18"/>
    </row>
    <row r="750">
      <c r="B750" s="20"/>
      <c r="Y750" s="18"/>
      <c r="AA750" s="18"/>
    </row>
    <row r="751">
      <c r="B751" s="20"/>
      <c r="Y751" s="18"/>
      <c r="AA751" s="18"/>
    </row>
    <row r="752">
      <c r="B752" s="20"/>
      <c r="Y752" s="18"/>
      <c r="AA752" s="18"/>
    </row>
    <row r="753">
      <c r="B753" s="20"/>
      <c r="Y753" s="18"/>
      <c r="AA753" s="18"/>
    </row>
    <row r="754">
      <c r="B754" s="20"/>
      <c r="Y754" s="18"/>
      <c r="AA754" s="18"/>
    </row>
    <row r="755">
      <c r="B755" s="20"/>
      <c r="Y755" s="18"/>
      <c r="AA755" s="18"/>
    </row>
    <row r="756">
      <c r="B756" s="20"/>
      <c r="Y756" s="18"/>
      <c r="AA756" s="18"/>
    </row>
    <row r="757">
      <c r="B757" s="20"/>
      <c r="Y757" s="18"/>
      <c r="AA757" s="18"/>
    </row>
    <row r="758">
      <c r="B758" s="20"/>
      <c r="Y758" s="18"/>
      <c r="AA758" s="18"/>
    </row>
    <row r="759">
      <c r="B759" s="20"/>
      <c r="Y759" s="18"/>
      <c r="AA759" s="18"/>
    </row>
    <row r="760">
      <c r="B760" s="20"/>
      <c r="Y760" s="18"/>
      <c r="AA760" s="18"/>
    </row>
    <row r="761">
      <c r="B761" s="20"/>
      <c r="Y761" s="18"/>
      <c r="AA761" s="18"/>
    </row>
    <row r="762">
      <c r="B762" s="20"/>
      <c r="Y762" s="18"/>
      <c r="AA762" s="18"/>
    </row>
    <row r="763">
      <c r="B763" s="20"/>
      <c r="Y763" s="18"/>
      <c r="AA763" s="18"/>
    </row>
    <row r="764">
      <c r="B764" s="20"/>
      <c r="Y764" s="18"/>
      <c r="AA764" s="18"/>
    </row>
    <row r="765">
      <c r="B765" s="20"/>
      <c r="Y765" s="18"/>
      <c r="AA765" s="18"/>
    </row>
    <row r="766">
      <c r="B766" s="20"/>
      <c r="Y766" s="18"/>
      <c r="AA766" s="18"/>
    </row>
    <row r="767">
      <c r="B767" s="20"/>
      <c r="Y767" s="18"/>
      <c r="AA767" s="18"/>
    </row>
    <row r="768">
      <c r="B768" s="20"/>
      <c r="Y768" s="18"/>
      <c r="AA768" s="18"/>
    </row>
    <row r="769">
      <c r="B769" s="20"/>
      <c r="Y769" s="18"/>
      <c r="AA769" s="18"/>
    </row>
    <row r="770">
      <c r="B770" s="20"/>
      <c r="Y770" s="18"/>
      <c r="AA770" s="18"/>
    </row>
    <row r="771">
      <c r="B771" s="20"/>
      <c r="Y771" s="18"/>
      <c r="AA771" s="18"/>
    </row>
    <row r="772">
      <c r="B772" s="20"/>
      <c r="Y772" s="18"/>
      <c r="AA772" s="18"/>
    </row>
    <row r="773">
      <c r="B773" s="20"/>
      <c r="Y773" s="18"/>
      <c r="AA773" s="18"/>
    </row>
    <row r="774">
      <c r="B774" s="20"/>
      <c r="Y774" s="18"/>
      <c r="AA774" s="18"/>
    </row>
    <row r="775">
      <c r="B775" s="20"/>
      <c r="Y775" s="18"/>
      <c r="AA775" s="18"/>
    </row>
    <row r="776">
      <c r="B776" s="20"/>
      <c r="Y776" s="18"/>
      <c r="AA776" s="18"/>
    </row>
    <row r="777">
      <c r="B777" s="20"/>
      <c r="Y777" s="18"/>
      <c r="AA777" s="18"/>
    </row>
    <row r="778">
      <c r="B778" s="20"/>
      <c r="Y778" s="18"/>
      <c r="AA778" s="18"/>
    </row>
    <row r="779">
      <c r="B779" s="20"/>
      <c r="Y779" s="18"/>
      <c r="AA779" s="18"/>
    </row>
    <row r="780">
      <c r="B780" s="20"/>
      <c r="Y780" s="18"/>
      <c r="AA780" s="18"/>
    </row>
    <row r="781">
      <c r="B781" s="20"/>
      <c r="Y781" s="18"/>
      <c r="AA781" s="18"/>
    </row>
    <row r="782">
      <c r="B782" s="20"/>
      <c r="Y782" s="18"/>
      <c r="AA782" s="18"/>
    </row>
    <row r="783">
      <c r="B783" s="20"/>
      <c r="Y783" s="18"/>
      <c r="AA783" s="18"/>
    </row>
    <row r="784">
      <c r="B784" s="20"/>
      <c r="Y784" s="18"/>
      <c r="AA784" s="18"/>
    </row>
    <row r="785">
      <c r="B785" s="20"/>
      <c r="Y785" s="18"/>
      <c r="AA785" s="18"/>
    </row>
    <row r="786">
      <c r="B786" s="20"/>
      <c r="Y786" s="18"/>
      <c r="AA786" s="18"/>
    </row>
    <row r="787">
      <c r="B787" s="20"/>
      <c r="Y787" s="18"/>
      <c r="AA787" s="18"/>
    </row>
    <row r="788">
      <c r="B788" s="20"/>
      <c r="Y788" s="18"/>
      <c r="AA788" s="18"/>
    </row>
    <row r="789">
      <c r="B789" s="20"/>
      <c r="Y789" s="18"/>
      <c r="AA789" s="18"/>
    </row>
    <row r="790">
      <c r="B790" s="20"/>
      <c r="Y790" s="18"/>
      <c r="AA790" s="18"/>
    </row>
    <row r="791">
      <c r="B791" s="20"/>
      <c r="Y791" s="18"/>
      <c r="AA791" s="18"/>
    </row>
    <row r="792">
      <c r="B792" s="20"/>
      <c r="Y792" s="18"/>
      <c r="AA792" s="18"/>
    </row>
    <row r="793">
      <c r="B793" s="20"/>
      <c r="Y793" s="18"/>
      <c r="AA793" s="18"/>
    </row>
    <row r="794">
      <c r="B794" s="20"/>
      <c r="Y794" s="18"/>
      <c r="AA794" s="18"/>
    </row>
    <row r="795">
      <c r="B795" s="20"/>
      <c r="Y795" s="18"/>
      <c r="AA795" s="18"/>
    </row>
    <row r="796">
      <c r="B796" s="20"/>
      <c r="Y796" s="18"/>
      <c r="AA796" s="18"/>
    </row>
    <row r="797">
      <c r="B797" s="20"/>
      <c r="Y797" s="18"/>
      <c r="AA797" s="18"/>
    </row>
    <row r="798">
      <c r="B798" s="20"/>
      <c r="Y798" s="18"/>
      <c r="AA798" s="18"/>
    </row>
    <row r="799">
      <c r="B799" s="20"/>
      <c r="Y799" s="18"/>
      <c r="AA799" s="18"/>
    </row>
    <row r="800">
      <c r="B800" s="20"/>
      <c r="Y800" s="18"/>
      <c r="AA800" s="18"/>
    </row>
    <row r="801">
      <c r="B801" s="20"/>
      <c r="Y801" s="18"/>
      <c r="AA801" s="18"/>
    </row>
    <row r="802">
      <c r="B802" s="20"/>
      <c r="Y802" s="18"/>
      <c r="AA802" s="18"/>
    </row>
    <row r="803">
      <c r="B803" s="20"/>
      <c r="Y803" s="18"/>
      <c r="AA803" s="18"/>
    </row>
    <row r="804">
      <c r="B804" s="20"/>
      <c r="Y804" s="18"/>
      <c r="AA804" s="18"/>
    </row>
    <row r="805">
      <c r="B805" s="20"/>
      <c r="Y805" s="18"/>
      <c r="AA805" s="18"/>
    </row>
    <row r="806">
      <c r="B806" s="20"/>
      <c r="Y806" s="18"/>
      <c r="AA806" s="18"/>
    </row>
    <row r="807">
      <c r="B807" s="20"/>
      <c r="Y807" s="18"/>
      <c r="AA807" s="18"/>
    </row>
    <row r="808">
      <c r="B808" s="20"/>
      <c r="Y808" s="18"/>
      <c r="AA808" s="18"/>
    </row>
    <row r="809">
      <c r="B809" s="20"/>
      <c r="Y809" s="18"/>
      <c r="AA809" s="18"/>
    </row>
    <row r="810">
      <c r="B810" s="20"/>
      <c r="Y810" s="18"/>
      <c r="AA810" s="18"/>
    </row>
    <row r="811">
      <c r="B811" s="20"/>
      <c r="Y811" s="18"/>
      <c r="AA811" s="18"/>
    </row>
    <row r="812">
      <c r="B812" s="20"/>
      <c r="Y812" s="18"/>
      <c r="AA812" s="18"/>
    </row>
    <row r="813">
      <c r="B813" s="20"/>
      <c r="Y813" s="18"/>
      <c r="AA813" s="18"/>
    </row>
    <row r="814">
      <c r="B814" s="20"/>
      <c r="Y814" s="18"/>
      <c r="AA814" s="18"/>
    </row>
    <row r="815">
      <c r="B815" s="20"/>
      <c r="Y815" s="18"/>
      <c r="AA815" s="18"/>
    </row>
    <row r="816">
      <c r="B816" s="20"/>
      <c r="Y816" s="18"/>
      <c r="AA816" s="18"/>
    </row>
    <row r="817">
      <c r="B817" s="20"/>
      <c r="Y817" s="18"/>
      <c r="AA817" s="18"/>
    </row>
    <row r="818">
      <c r="B818" s="20"/>
      <c r="Y818" s="18"/>
      <c r="AA818" s="18"/>
    </row>
    <row r="819">
      <c r="B819" s="20"/>
      <c r="Y819" s="18"/>
      <c r="AA819" s="18"/>
    </row>
    <row r="820">
      <c r="B820" s="20"/>
      <c r="Y820" s="18"/>
      <c r="AA820" s="18"/>
    </row>
    <row r="821">
      <c r="B821" s="20"/>
      <c r="Y821" s="18"/>
      <c r="AA821" s="18"/>
    </row>
    <row r="822">
      <c r="B822" s="20"/>
      <c r="Y822" s="18"/>
      <c r="AA822" s="18"/>
    </row>
    <row r="823">
      <c r="B823" s="20"/>
      <c r="Y823" s="18"/>
      <c r="AA823" s="18"/>
    </row>
    <row r="824">
      <c r="B824" s="20"/>
      <c r="Y824" s="18"/>
      <c r="AA824" s="18"/>
    </row>
    <row r="825">
      <c r="B825" s="20"/>
      <c r="Y825" s="18"/>
      <c r="AA825" s="18"/>
    </row>
    <row r="826">
      <c r="B826" s="20"/>
      <c r="Y826" s="18"/>
      <c r="AA826" s="18"/>
    </row>
    <row r="827">
      <c r="B827" s="20"/>
      <c r="Y827" s="18"/>
      <c r="AA827" s="18"/>
    </row>
    <row r="828">
      <c r="B828" s="20"/>
      <c r="Y828" s="18"/>
      <c r="AA828" s="18"/>
    </row>
    <row r="829">
      <c r="B829" s="20"/>
      <c r="Y829" s="18"/>
      <c r="AA829" s="18"/>
    </row>
    <row r="830">
      <c r="B830" s="20"/>
      <c r="Y830" s="18"/>
      <c r="AA830" s="18"/>
    </row>
    <row r="831">
      <c r="B831" s="20"/>
      <c r="Y831" s="18"/>
      <c r="AA831" s="18"/>
    </row>
    <row r="832">
      <c r="B832" s="20"/>
      <c r="Y832" s="18"/>
      <c r="AA832" s="18"/>
    </row>
    <row r="833">
      <c r="B833" s="20"/>
      <c r="Y833" s="18"/>
      <c r="AA833" s="18"/>
    </row>
    <row r="834">
      <c r="B834" s="20"/>
      <c r="Y834" s="18"/>
      <c r="AA834" s="18"/>
    </row>
    <row r="835">
      <c r="B835" s="20"/>
      <c r="Y835" s="18"/>
      <c r="AA835" s="18"/>
    </row>
    <row r="836">
      <c r="B836" s="20"/>
      <c r="Y836" s="18"/>
      <c r="AA836" s="18"/>
    </row>
    <row r="837">
      <c r="B837" s="20"/>
      <c r="Y837" s="18"/>
      <c r="AA837" s="18"/>
    </row>
    <row r="838">
      <c r="B838" s="20"/>
      <c r="Y838" s="18"/>
      <c r="AA838" s="18"/>
    </row>
    <row r="839">
      <c r="B839" s="20"/>
      <c r="Y839" s="18"/>
      <c r="AA839" s="18"/>
    </row>
    <row r="840">
      <c r="B840" s="20"/>
      <c r="Y840" s="18"/>
      <c r="AA840" s="18"/>
    </row>
    <row r="841">
      <c r="B841" s="20"/>
      <c r="Y841" s="18"/>
      <c r="AA841" s="18"/>
    </row>
    <row r="842">
      <c r="B842" s="20"/>
      <c r="Y842" s="18"/>
      <c r="AA842" s="18"/>
    </row>
    <row r="843">
      <c r="B843" s="20"/>
      <c r="Y843" s="18"/>
      <c r="AA843" s="18"/>
    </row>
    <row r="844">
      <c r="B844" s="20"/>
      <c r="Y844" s="18"/>
      <c r="AA844" s="18"/>
    </row>
    <row r="845">
      <c r="B845" s="20"/>
      <c r="Y845" s="18"/>
      <c r="AA845" s="18"/>
    </row>
    <row r="846">
      <c r="B846" s="20"/>
      <c r="Y846" s="18"/>
      <c r="AA846" s="18"/>
    </row>
    <row r="847">
      <c r="B847" s="20"/>
      <c r="Y847" s="18"/>
      <c r="AA847" s="18"/>
    </row>
    <row r="848">
      <c r="B848" s="20"/>
      <c r="Y848" s="18"/>
      <c r="AA848" s="18"/>
    </row>
    <row r="849">
      <c r="B849" s="20"/>
      <c r="Y849" s="18"/>
      <c r="AA849" s="18"/>
    </row>
    <row r="850">
      <c r="B850" s="20"/>
      <c r="Y850" s="18"/>
      <c r="AA850" s="18"/>
    </row>
    <row r="851">
      <c r="B851" s="20"/>
      <c r="Y851" s="18"/>
      <c r="AA851" s="18"/>
    </row>
    <row r="852">
      <c r="B852" s="20"/>
      <c r="Y852" s="18"/>
      <c r="AA852" s="18"/>
    </row>
    <row r="853">
      <c r="B853" s="20"/>
      <c r="Y853" s="18"/>
      <c r="AA853" s="18"/>
    </row>
    <row r="854">
      <c r="B854" s="20"/>
      <c r="Y854" s="18"/>
      <c r="AA854" s="18"/>
    </row>
    <row r="855">
      <c r="B855" s="20"/>
      <c r="Y855" s="18"/>
      <c r="AA855" s="18"/>
    </row>
    <row r="856">
      <c r="B856" s="20"/>
      <c r="Y856" s="18"/>
      <c r="AA856" s="18"/>
    </row>
    <row r="857">
      <c r="B857" s="20"/>
      <c r="Y857" s="18"/>
      <c r="AA857" s="18"/>
    </row>
    <row r="858">
      <c r="B858" s="20"/>
      <c r="Y858" s="18"/>
      <c r="AA858" s="18"/>
    </row>
    <row r="859">
      <c r="B859" s="20"/>
      <c r="Y859" s="18"/>
      <c r="AA859" s="18"/>
    </row>
    <row r="860">
      <c r="B860" s="20"/>
      <c r="Y860" s="18"/>
      <c r="AA860" s="18"/>
    </row>
    <row r="861">
      <c r="B861" s="20"/>
      <c r="Y861" s="18"/>
      <c r="AA861" s="18"/>
    </row>
    <row r="862">
      <c r="B862" s="20"/>
      <c r="Y862" s="18"/>
      <c r="AA862" s="18"/>
    </row>
    <row r="863">
      <c r="B863" s="20"/>
      <c r="Y863" s="18"/>
      <c r="AA863" s="18"/>
    </row>
    <row r="864">
      <c r="B864" s="20"/>
      <c r="Y864" s="18"/>
      <c r="AA864" s="18"/>
    </row>
    <row r="865">
      <c r="B865" s="20"/>
      <c r="Y865" s="18"/>
      <c r="AA865" s="18"/>
    </row>
    <row r="866">
      <c r="B866" s="20"/>
      <c r="Y866" s="18"/>
      <c r="AA866" s="18"/>
    </row>
    <row r="867">
      <c r="B867" s="20"/>
      <c r="Y867" s="18"/>
      <c r="AA867" s="18"/>
    </row>
    <row r="868">
      <c r="B868" s="20"/>
      <c r="Y868" s="18"/>
      <c r="AA868" s="18"/>
    </row>
    <row r="869">
      <c r="B869" s="20"/>
      <c r="Y869" s="18"/>
      <c r="AA869" s="18"/>
    </row>
    <row r="870">
      <c r="B870" s="20"/>
      <c r="Y870" s="18"/>
      <c r="AA870" s="18"/>
    </row>
    <row r="871">
      <c r="B871" s="20"/>
      <c r="Y871" s="18"/>
      <c r="AA871" s="18"/>
    </row>
    <row r="872">
      <c r="B872" s="20"/>
      <c r="Y872" s="18"/>
      <c r="AA872" s="18"/>
    </row>
    <row r="873">
      <c r="B873" s="20"/>
      <c r="Y873" s="18"/>
      <c r="AA873" s="18"/>
    </row>
    <row r="874">
      <c r="B874" s="20"/>
      <c r="Y874" s="18"/>
      <c r="AA874" s="18"/>
    </row>
    <row r="875">
      <c r="B875" s="20"/>
      <c r="Y875" s="18"/>
      <c r="AA875" s="18"/>
    </row>
    <row r="876">
      <c r="B876" s="20"/>
      <c r="Y876" s="18"/>
      <c r="AA876" s="18"/>
    </row>
    <row r="877">
      <c r="B877" s="20"/>
      <c r="Y877" s="18"/>
      <c r="AA877" s="18"/>
    </row>
    <row r="878">
      <c r="B878" s="20"/>
      <c r="Y878" s="18"/>
      <c r="AA878" s="18"/>
    </row>
    <row r="879">
      <c r="B879" s="20"/>
      <c r="Y879" s="18"/>
      <c r="AA879" s="18"/>
    </row>
    <row r="880">
      <c r="B880" s="20"/>
      <c r="Y880" s="18"/>
      <c r="AA880" s="18"/>
    </row>
    <row r="881">
      <c r="B881" s="20"/>
      <c r="Y881" s="18"/>
      <c r="AA881" s="18"/>
    </row>
    <row r="882">
      <c r="B882" s="20"/>
      <c r="Y882" s="18"/>
      <c r="AA882" s="18"/>
    </row>
    <row r="883">
      <c r="B883" s="20"/>
      <c r="Y883" s="18"/>
      <c r="AA883" s="18"/>
    </row>
    <row r="884">
      <c r="B884" s="20"/>
      <c r="Y884" s="18"/>
      <c r="AA884" s="18"/>
    </row>
    <row r="885">
      <c r="B885" s="20"/>
      <c r="Y885" s="18"/>
      <c r="AA885" s="18"/>
    </row>
    <row r="886">
      <c r="B886" s="20"/>
      <c r="Y886" s="18"/>
      <c r="AA886" s="18"/>
    </row>
    <row r="887">
      <c r="B887" s="20"/>
      <c r="Y887" s="18"/>
      <c r="AA887" s="18"/>
    </row>
    <row r="888">
      <c r="B888" s="20"/>
      <c r="Y888" s="18"/>
      <c r="AA888" s="18"/>
    </row>
    <row r="889">
      <c r="B889" s="20"/>
      <c r="Y889" s="18"/>
      <c r="AA889" s="18"/>
    </row>
    <row r="890">
      <c r="B890" s="20"/>
      <c r="Y890" s="18"/>
      <c r="AA890" s="18"/>
    </row>
    <row r="891">
      <c r="B891" s="20"/>
      <c r="Y891" s="18"/>
      <c r="AA891" s="18"/>
    </row>
    <row r="892">
      <c r="B892" s="20"/>
      <c r="Y892" s="18"/>
      <c r="AA892" s="18"/>
    </row>
    <row r="893">
      <c r="B893" s="20"/>
      <c r="Y893" s="18"/>
      <c r="AA893" s="18"/>
    </row>
    <row r="894">
      <c r="B894" s="20"/>
      <c r="Y894" s="18"/>
      <c r="AA894" s="18"/>
    </row>
    <row r="895">
      <c r="B895" s="20"/>
      <c r="Y895" s="18"/>
      <c r="AA895" s="18"/>
    </row>
    <row r="896">
      <c r="B896" s="20"/>
      <c r="Y896" s="18"/>
      <c r="AA896" s="18"/>
    </row>
    <row r="897">
      <c r="B897" s="20"/>
      <c r="Y897" s="18"/>
      <c r="AA897" s="18"/>
    </row>
    <row r="898">
      <c r="B898" s="20"/>
      <c r="Y898" s="18"/>
      <c r="AA898" s="18"/>
    </row>
    <row r="899">
      <c r="B899" s="20"/>
      <c r="Y899" s="18"/>
      <c r="AA899" s="18"/>
    </row>
    <row r="900">
      <c r="B900" s="20"/>
      <c r="Y900" s="18"/>
      <c r="AA900" s="18"/>
    </row>
    <row r="901">
      <c r="B901" s="20"/>
      <c r="Y901" s="18"/>
      <c r="AA901" s="18"/>
    </row>
    <row r="902">
      <c r="B902" s="20"/>
      <c r="Y902" s="18"/>
      <c r="AA902" s="18"/>
    </row>
    <row r="903">
      <c r="B903" s="20"/>
      <c r="Y903" s="18"/>
      <c r="AA903" s="18"/>
    </row>
    <row r="904">
      <c r="B904" s="20"/>
      <c r="Y904" s="18"/>
      <c r="AA904" s="18"/>
    </row>
    <row r="905">
      <c r="B905" s="20"/>
      <c r="Y905" s="18"/>
      <c r="AA905" s="18"/>
    </row>
    <row r="906">
      <c r="B906" s="20"/>
      <c r="Y906" s="18"/>
      <c r="AA906" s="18"/>
    </row>
    <row r="907">
      <c r="B907" s="20"/>
      <c r="Y907" s="18"/>
      <c r="AA907" s="18"/>
    </row>
    <row r="908">
      <c r="B908" s="20"/>
      <c r="Y908" s="18"/>
      <c r="AA908" s="18"/>
    </row>
    <row r="909">
      <c r="B909" s="20"/>
      <c r="Y909" s="18"/>
      <c r="AA909" s="18"/>
    </row>
    <row r="910">
      <c r="B910" s="20"/>
      <c r="Y910" s="18"/>
      <c r="AA910" s="18"/>
    </row>
    <row r="911">
      <c r="B911" s="20"/>
      <c r="Y911" s="18"/>
      <c r="AA911" s="18"/>
    </row>
    <row r="912">
      <c r="B912" s="20"/>
      <c r="Y912" s="18"/>
      <c r="AA912" s="18"/>
    </row>
    <row r="913">
      <c r="B913" s="20"/>
      <c r="Y913" s="18"/>
      <c r="AA913" s="18"/>
    </row>
    <row r="914">
      <c r="B914" s="20"/>
      <c r="Y914" s="18"/>
      <c r="AA914" s="18"/>
    </row>
    <row r="915">
      <c r="B915" s="20"/>
      <c r="Y915" s="18"/>
      <c r="AA915" s="18"/>
    </row>
    <row r="916">
      <c r="B916" s="20"/>
      <c r="Y916" s="18"/>
      <c r="AA916" s="18"/>
    </row>
    <row r="917">
      <c r="B917" s="20"/>
      <c r="Y917" s="18"/>
      <c r="AA917" s="18"/>
    </row>
    <row r="918">
      <c r="B918" s="20"/>
      <c r="Y918" s="18"/>
      <c r="AA918" s="18"/>
    </row>
    <row r="919">
      <c r="B919" s="20"/>
      <c r="Y919" s="18"/>
      <c r="AA919" s="18"/>
    </row>
    <row r="920">
      <c r="B920" s="20"/>
      <c r="Y920" s="18"/>
      <c r="AA920" s="18"/>
    </row>
    <row r="921">
      <c r="B921" s="20"/>
      <c r="Y921" s="18"/>
      <c r="AA921" s="18"/>
    </row>
    <row r="922">
      <c r="B922" s="20"/>
      <c r="Y922" s="18"/>
      <c r="AA922" s="18"/>
    </row>
    <row r="923">
      <c r="B923" s="20"/>
      <c r="Y923" s="18"/>
      <c r="AA923" s="18"/>
    </row>
    <row r="924">
      <c r="B924" s="20"/>
      <c r="Y924" s="18"/>
      <c r="AA924" s="18"/>
    </row>
    <row r="925">
      <c r="B925" s="20"/>
      <c r="Y925" s="18"/>
      <c r="AA925" s="18"/>
    </row>
    <row r="926">
      <c r="B926" s="20"/>
      <c r="Y926" s="18"/>
      <c r="AA926" s="18"/>
    </row>
    <row r="927">
      <c r="B927" s="20"/>
      <c r="Y927" s="18"/>
      <c r="AA927" s="18"/>
    </row>
    <row r="928">
      <c r="B928" s="20"/>
      <c r="Y928" s="18"/>
      <c r="AA928" s="18"/>
    </row>
    <row r="929">
      <c r="B929" s="20"/>
      <c r="Y929" s="18"/>
      <c r="AA929" s="18"/>
    </row>
    <row r="930">
      <c r="B930" s="20"/>
      <c r="Y930" s="18"/>
      <c r="AA930" s="18"/>
    </row>
    <row r="931">
      <c r="B931" s="20"/>
      <c r="Y931" s="18"/>
      <c r="AA931" s="18"/>
    </row>
    <row r="932">
      <c r="B932" s="20"/>
      <c r="Y932" s="18"/>
      <c r="AA932" s="18"/>
    </row>
    <row r="933">
      <c r="B933" s="20"/>
      <c r="Y933" s="18"/>
      <c r="AA933" s="18"/>
    </row>
    <row r="934">
      <c r="B934" s="20"/>
      <c r="Y934" s="18"/>
      <c r="AA934" s="18"/>
    </row>
    <row r="935">
      <c r="B935" s="20"/>
      <c r="Y935" s="18"/>
      <c r="AA935" s="18"/>
    </row>
    <row r="936">
      <c r="B936" s="20"/>
      <c r="Y936" s="18"/>
      <c r="AA936" s="18"/>
    </row>
    <row r="937">
      <c r="B937" s="20"/>
      <c r="Y937" s="18"/>
      <c r="AA937" s="18"/>
    </row>
    <row r="938">
      <c r="B938" s="20"/>
      <c r="Y938" s="18"/>
      <c r="AA938" s="18"/>
    </row>
    <row r="939">
      <c r="B939" s="20"/>
      <c r="Y939" s="18"/>
      <c r="AA939" s="18"/>
    </row>
    <row r="940">
      <c r="B940" s="20"/>
      <c r="Y940" s="18"/>
      <c r="AA940" s="18"/>
    </row>
    <row r="941">
      <c r="B941" s="20"/>
      <c r="Y941" s="18"/>
      <c r="AA941" s="18"/>
    </row>
    <row r="942">
      <c r="B942" s="20"/>
      <c r="Y942" s="18"/>
      <c r="AA942" s="18"/>
    </row>
    <row r="943">
      <c r="B943" s="20"/>
      <c r="Y943" s="18"/>
      <c r="AA943" s="18"/>
    </row>
    <row r="944">
      <c r="B944" s="20"/>
      <c r="Y944" s="18"/>
      <c r="AA944" s="18"/>
    </row>
    <row r="945">
      <c r="B945" s="20"/>
      <c r="Y945" s="18"/>
      <c r="AA945" s="18"/>
    </row>
    <row r="946">
      <c r="B946" s="20"/>
      <c r="Y946" s="18"/>
      <c r="AA946" s="18"/>
    </row>
    <row r="947">
      <c r="B947" s="20"/>
      <c r="Y947" s="18"/>
      <c r="AA947" s="18"/>
    </row>
    <row r="948">
      <c r="B948" s="20"/>
      <c r="Y948" s="18"/>
      <c r="AA948" s="18"/>
    </row>
    <row r="949">
      <c r="B949" s="20"/>
      <c r="Y949" s="18"/>
      <c r="AA949" s="18"/>
    </row>
    <row r="950">
      <c r="B950" s="20"/>
      <c r="Y950" s="18"/>
      <c r="AA950" s="18"/>
    </row>
    <row r="951">
      <c r="B951" s="20"/>
      <c r="Y951" s="18"/>
      <c r="AA951" s="18"/>
    </row>
    <row r="952">
      <c r="B952" s="20"/>
      <c r="Y952" s="18"/>
      <c r="AA952" s="18"/>
    </row>
    <row r="953">
      <c r="B953" s="20"/>
      <c r="Y953" s="18"/>
      <c r="AA953" s="18"/>
    </row>
    <row r="954">
      <c r="B954" s="20"/>
      <c r="Y954" s="18"/>
      <c r="AA954" s="18"/>
    </row>
    <row r="955">
      <c r="B955" s="20"/>
      <c r="Y955" s="18"/>
      <c r="AA955" s="18"/>
    </row>
    <row r="956">
      <c r="B956" s="20"/>
      <c r="Y956" s="18"/>
      <c r="AA956" s="18"/>
    </row>
    <row r="957">
      <c r="B957" s="20"/>
      <c r="Y957" s="18"/>
      <c r="AA957" s="18"/>
    </row>
    <row r="958">
      <c r="B958" s="20"/>
      <c r="Y958" s="18"/>
      <c r="AA958" s="18"/>
    </row>
    <row r="959">
      <c r="B959" s="20"/>
      <c r="Y959" s="18"/>
      <c r="AA959" s="18"/>
    </row>
    <row r="960">
      <c r="B960" s="20"/>
      <c r="Y960" s="18"/>
      <c r="AA960" s="18"/>
    </row>
    <row r="961">
      <c r="B961" s="20"/>
      <c r="Y961" s="18"/>
      <c r="AA961" s="18"/>
    </row>
    <row r="962">
      <c r="B962" s="20"/>
      <c r="Y962" s="18"/>
      <c r="AA962" s="18"/>
    </row>
    <row r="963">
      <c r="B963" s="20"/>
      <c r="Y963" s="18"/>
      <c r="AA963" s="18"/>
    </row>
    <row r="964">
      <c r="B964" s="20"/>
      <c r="Y964" s="18"/>
      <c r="AA964" s="18"/>
    </row>
    <row r="965">
      <c r="B965" s="20"/>
      <c r="Y965" s="18"/>
      <c r="AA965" s="18"/>
    </row>
    <row r="966">
      <c r="B966" s="20"/>
      <c r="Y966" s="18"/>
      <c r="AA966" s="18"/>
    </row>
    <row r="967">
      <c r="B967" s="20"/>
      <c r="Y967" s="18"/>
      <c r="AA967" s="18"/>
    </row>
    <row r="968">
      <c r="B968" s="20"/>
      <c r="Y968" s="18"/>
      <c r="AA968" s="18"/>
    </row>
    <row r="969">
      <c r="B969" s="20"/>
      <c r="Y969" s="18"/>
      <c r="AA969" s="18"/>
    </row>
    <row r="970">
      <c r="B970" s="20"/>
      <c r="Y970" s="18"/>
      <c r="AA970" s="18"/>
    </row>
    <row r="971">
      <c r="B971" s="20"/>
      <c r="Y971" s="18"/>
      <c r="AA971" s="18"/>
    </row>
    <row r="972">
      <c r="B972" s="20"/>
      <c r="Y972" s="18"/>
      <c r="AA972" s="18"/>
    </row>
    <row r="973">
      <c r="B973" s="20"/>
      <c r="Y973" s="18"/>
      <c r="AA973" s="18"/>
    </row>
    <row r="974">
      <c r="B974" s="20"/>
      <c r="Y974" s="18"/>
      <c r="AA974" s="18"/>
    </row>
    <row r="975">
      <c r="B975" s="20"/>
      <c r="Y975" s="18"/>
      <c r="AA975" s="18"/>
    </row>
    <row r="976">
      <c r="B976" s="20"/>
      <c r="Y976" s="18"/>
      <c r="AA976" s="18"/>
    </row>
  </sheetData>
  <mergeCells count="35">
    <mergeCell ref="J13:K13"/>
    <mergeCell ref="N13:Q13"/>
    <mergeCell ref="A1:AL1"/>
    <mergeCell ref="C3:I3"/>
    <mergeCell ref="J3:K3"/>
    <mergeCell ref="N3:Q3"/>
    <mergeCell ref="S3:U3"/>
    <mergeCell ref="A11:AL11"/>
    <mergeCell ref="S13:U13"/>
    <mergeCell ref="C13:I13"/>
    <mergeCell ref="A22:AL22"/>
    <mergeCell ref="C24:I24"/>
    <mergeCell ref="J24:K24"/>
    <mergeCell ref="N24:Q24"/>
    <mergeCell ref="S24:U24"/>
    <mergeCell ref="A31:AL31"/>
    <mergeCell ref="N43:Q43"/>
    <mergeCell ref="S43:U43"/>
    <mergeCell ref="C43:I43"/>
    <mergeCell ref="C52:I52"/>
    <mergeCell ref="J52:K52"/>
    <mergeCell ref="N52:Q52"/>
    <mergeCell ref="S52:U52"/>
    <mergeCell ref="A60:AL60"/>
    <mergeCell ref="C62:I62"/>
    <mergeCell ref="J62:K62"/>
    <mergeCell ref="N62:Q62"/>
    <mergeCell ref="S62:U62"/>
    <mergeCell ref="C33:I33"/>
    <mergeCell ref="J33:K33"/>
    <mergeCell ref="N33:Q33"/>
    <mergeCell ref="S33:U33"/>
    <mergeCell ref="A41:AL41"/>
    <mergeCell ref="J43:K43"/>
    <mergeCell ref="A50:AL5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22.75"/>
    <col customWidth="1" min="3" max="3" width="20.13"/>
    <col customWidth="1" min="4" max="4" width="15.88"/>
    <col customWidth="1" min="5" max="5" width="15.75"/>
    <col customWidth="1" min="6" max="6" width="15.38"/>
    <col customWidth="1" min="7" max="7" width="13.75"/>
    <col customWidth="1" min="8" max="8" width="14.75"/>
    <col customWidth="1" min="9" max="9" width="15.88"/>
  </cols>
  <sheetData>
    <row r="1">
      <c r="A1" s="189" t="s">
        <v>1133</v>
      </c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</row>
    <row r="2">
      <c r="A2" s="190"/>
      <c r="B2" s="191" t="s">
        <v>1134</v>
      </c>
      <c r="C2" s="191" t="s">
        <v>1135</v>
      </c>
      <c r="D2" s="72" t="s">
        <v>1136</v>
      </c>
      <c r="E2" s="72" t="s">
        <v>1137</v>
      </c>
      <c r="F2" s="192" t="s">
        <v>1138</v>
      </c>
      <c r="G2" s="72" t="s">
        <v>1139</v>
      </c>
      <c r="H2" s="193" t="s">
        <v>1140</v>
      </c>
      <c r="I2" s="193" t="s">
        <v>1141</v>
      </c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</row>
    <row r="3">
      <c r="A3" s="72" t="s">
        <v>1142</v>
      </c>
      <c r="B3" s="194" t="s">
        <v>1143</v>
      </c>
      <c r="C3" s="194" t="s">
        <v>1144</v>
      </c>
      <c r="D3" s="43">
        <v>2.5</v>
      </c>
      <c r="E3" s="43">
        <v>1.25</v>
      </c>
      <c r="F3" s="70">
        <v>16.0</v>
      </c>
      <c r="G3" s="43">
        <v>25.6</v>
      </c>
      <c r="H3" s="195">
        <f t="shared" ref="H3:H15" si="1">D3/F3/G3*10^9</f>
        <v>6103515.625</v>
      </c>
      <c r="I3" s="195">
        <f t="shared" ref="I3:I15" si="2">E3/F3/G3*10^9</f>
        <v>3051757.813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>
      <c r="A4" s="72" t="s">
        <v>1145</v>
      </c>
      <c r="B4" s="194" t="s">
        <v>1146</v>
      </c>
      <c r="C4" s="194" t="s">
        <v>1147</v>
      </c>
      <c r="D4" s="43">
        <v>1.25</v>
      </c>
      <c r="E4" s="196">
        <v>6.103516E-5</v>
      </c>
      <c r="F4" s="70">
        <v>16.0</v>
      </c>
      <c r="G4" s="43">
        <v>25.6</v>
      </c>
      <c r="H4" s="195">
        <f t="shared" si="1"/>
        <v>3051757.813</v>
      </c>
      <c r="I4" s="195">
        <f t="shared" si="2"/>
        <v>149.0116211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>
      <c r="A5" s="72" t="s">
        <v>1148</v>
      </c>
      <c r="B5" s="194" t="s">
        <v>1149</v>
      </c>
      <c r="C5" s="194" t="s">
        <v>1150</v>
      </c>
      <c r="D5" s="43">
        <v>9.375</v>
      </c>
      <c r="E5" s="47">
        <f>D5/2</f>
        <v>4.6875</v>
      </c>
      <c r="F5" s="70">
        <v>16.0</v>
      </c>
      <c r="G5" s="43">
        <v>25.6</v>
      </c>
      <c r="H5" s="195">
        <f t="shared" si="1"/>
        <v>22888183.59</v>
      </c>
      <c r="I5" s="195">
        <f t="shared" si="2"/>
        <v>11444091.8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>
      <c r="A6" s="72" t="s">
        <v>1151</v>
      </c>
      <c r="B6" s="194" t="s">
        <v>1152</v>
      </c>
      <c r="C6" s="197" t="s">
        <v>1153</v>
      </c>
      <c r="D6" s="43">
        <v>0.25</v>
      </c>
      <c r="E6" s="43">
        <f>0.134217728/64</f>
        <v>0.002097152</v>
      </c>
      <c r="F6" s="70">
        <v>16.0</v>
      </c>
      <c r="G6" s="43">
        <v>25.6</v>
      </c>
      <c r="H6" s="195">
        <f t="shared" si="1"/>
        <v>610351.5625</v>
      </c>
      <c r="I6" s="195">
        <f t="shared" si="2"/>
        <v>5120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>
      <c r="A7" s="72" t="s">
        <v>1154</v>
      </c>
      <c r="B7" s="194" t="s">
        <v>1155</v>
      </c>
      <c r="C7" s="194" t="s">
        <v>1156</v>
      </c>
      <c r="D7" s="43">
        <v>8.388608</v>
      </c>
      <c r="E7" s="43">
        <v>0.0</v>
      </c>
      <c r="F7" s="70">
        <v>16.0</v>
      </c>
      <c r="G7" s="43">
        <v>25.6</v>
      </c>
      <c r="H7" s="195">
        <f t="shared" si="1"/>
        <v>20480000</v>
      </c>
      <c r="I7" s="195">
        <f t="shared" si="2"/>
        <v>0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>
      <c r="A8" s="198" t="s">
        <v>37</v>
      </c>
      <c r="B8" s="199" t="s">
        <v>1157</v>
      </c>
      <c r="C8" s="199" t="s">
        <v>1158</v>
      </c>
      <c r="D8" s="43">
        <v>1.152</v>
      </c>
      <c r="E8" s="43">
        <v>1.152</v>
      </c>
      <c r="F8" s="70">
        <v>16.0</v>
      </c>
      <c r="G8" s="43">
        <v>25.6</v>
      </c>
      <c r="H8" s="195">
        <f t="shared" si="1"/>
        <v>2812500</v>
      </c>
      <c r="I8" s="195">
        <f t="shared" si="2"/>
        <v>2812500</v>
      </c>
      <c r="J8" s="72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>
      <c r="A9" s="193" t="s">
        <v>1159</v>
      </c>
      <c r="B9" s="200" t="s">
        <v>1160</v>
      </c>
      <c r="C9" s="200" t="s">
        <v>1161</v>
      </c>
      <c r="D9" s="201">
        <v>0.671121408</v>
      </c>
      <c r="E9" s="201">
        <v>6.144E-5</v>
      </c>
      <c r="F9" s="70">
        <v>16.0</v>
      </c>
      <c r="G9" s="43">
        <v>25.6</v>
      </c>
      <c r="H9" s="195">
        <f t="shared" si="1"/>
        <v>1638480</v>
      </c>
      <c r="I9" s="195">
        <f t="shared" si="2"/>
        <v>150</v>
      </c>
      <c r="J9" s="202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</row>
    <row r="10">
      <c r="A10" s="72" t="s">
        <v>1162</v>
      </c>
      <c r="B10" s="203" t="s">
        <v>1163</v>
      </c>
      <c r="C10" s="197" t="s">
        <v>1164</v>
      </c>
      <c r="D10" s="43">
        <v>0.0528716400000237</v>
      </c>
      <c r="E10" s="43">
        <v>6.90303875E-4</v>
      </c>
      <c r="F10" s="70">
        <v>16.0</v>
      </c>
      <c r="G10" s="43">
        <v>25.6</v>
      </c>
      <c r="H10" s="195">
        <f t="shared" si="1"/>
        <v>129081.1523</v>
      </c>
      <c r="I10" s="195">
        <f t="shared" si="2"/>
        <v>1685.312195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72" t="s">
        <v>1165</v>
      </c>
      <c r="B11" s="197" t="s">
        <v>1166</v>
      </c>
      <c r="C11" s="194" t="s">
        <v>1167</v>
      </c>
      <c r="D11" s="43">
        <f>0.01048576*29</f>
        <v>0.30408704</v>
      </c>
      <c r="E11" s="196">
        <f>0.00000008*29</f>
        <v>0.00000232</v>
      </c>
      <c r="F11" s="70">
        <v>16.0</v>
      </c>
      <c r="G11" s="43">
        <v>25.6</v>
      </c>
      <c r="H11" s="195">
        <f t="shared" si="1"/>
        <v>742400</v>
      </c>
      <c r="I11" s="195">
        <f t="shared" si="2"/>
        <v>5.6640625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>
      <c r="A12" s="72" t="s">
        <v>1168</v>
      </c>
      <c r="B12" s="203" t="s">
        <v>1169</v>
      </c>
      <c r="C12" s="194" t="s">
        <v>1170</v>
      </c>
      <c r="D12" s="43">
        <v>3.750006152</v>
      </c>
      <c r="E12" s="196">
        <v>2.048E-6</v>
      </c>
      <c r="F12" s="70">
        <v>16.0</v>
      </c>
      <c r="G12" s="43">
        <v>25.6</v>
      </c>
      <c r="H12" s="195">
        <f t="shared" si="1"/>
        <v>9155288.457</v>
      </c>
      <c r="I12" s="195">
        <f t="shared" si="2"/>
        <v>5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72" t="s">
        <v>1171</v>
      </c>
      <c r="B13" s="194" t="s">
        <v>1172</v>
      </c>
      <c r="C13" s="203" t="s">
        <v>1173</v>
      </c>
      <c r="D13" s="43">
        <f>0.262144*32</f>
        <v>8.388608</v>
      </c>
      <c r="E13" s="43">
        <f>0.262145*32</f>
        <v>8.38864</v>
      </c>
      <c r="F13" s="70">
        <v>1.0</v>
      </c>
      <c r="G13" s="43">
        <v>25.6</v>
      </c>
      <c r="H13" s="195">
        <f t="shared" si="1"/>
        <v>327680000</v>
      </c>
      <c r="I13" s="195">
        <f t="shared" si="2"/>
        <v>327681250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>
      <c r="A14" s="198" t="s">
        <v>1174</v>
      </c>
      <c r="B14" s="194" t="s">
        <v>1175</v>
      </c>
      <c r="C14" s="203" t="s">
        <v>1176</v>
      </c>
      <c r="D14" s="196">
        <f>0.000004*100000</f>
        <v>0.4</v>
      </c>
      <c r="E14" s="196">
        <f>0.00000008*100000</f>
        <v>0.008</v>
      </c>
      <c r="F14" s="70">
        <v>1.0</v>
      </c>
      <c r="G14" s="43">
        <v>25.6</v>
      </c>
      <c r="H14" s="195">
        <f t="shared" si="1"/>
        <v>15625000</v>
      </c>
      <c r="I14" s="195">
        <f t="shared" si="2"/>
        <v>312500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72" t="s">
        <v>1177</v>
      </c>
      <c r="B15" s="194" t="s">
        <v>1178</v>
      </c>
      <c r="C15" s="194" t="s">
        <v>1178</v>
      </c>
      <c r="D15" s="43">
        <v>0.001</v>
      </c>
      <c r="E15" s="43">
        <v>0.001</v>
      </c>
      <c r="F15" s="70">
        <v>16.0</v>
      </c>
      <c r="G15" s="43">
        <v>25.6</v>
      </c>
      <c r="H15" s="195">
        <f t="shared" si="1"/>
        <v>2441.40625</v>
      </c>
      <c r="I15" s="195">
        <f t="shared" si="2"/>
        <v>2441.40625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>
      <c r="A16" s="47"/>
      <c r="B16" s="204"/>
      <c r="C16" s="204"/>
      <c r="D16" s="47"/>
      <c r="E16" s="47"/>
      <c r="F16" s="69"/>
      <c r="G16" s="47"/>
      <c r="H16" s="195"/>
      <c r="I16" s="195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7"/>
      <c r="B17" s="204"/>
      <c r="C17" s="204"/>
      <c r="D17" s="47"/>
      <c r="E17" s="47"/>
      <c r="F17" s="69"/>
      <c r="G17" s="47"/>
      <c r="H17" s="195"/>
      <c r="I17" s="195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>
      <c r="A18" s="205" t="s">
        <v>1179</v>
      </c>
      <c r="H18" s="195"/>
      <c r="I18" s="206" t="s">
        <v>1180</v>
      </c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72" t="s">
        <v>1181</v>
      </c>
      <c r="B19" s="207" t="s">
        <v>1182</v>
      </c>
      <c r="C19" s="193" t="s">
        <v>1140</v>
      </c>
      <c r="D19" s="193" t="s">
        <v>1183</v>
      </c>
      <c r="E19" s="72" t="s">
        <v>1184</v>
      </c>
      <c r="F19" s="208" t="s">
        <v>1185</v>
      </c>
      <c r="G19" s="72" t="s">
        <v>132</v>
      </c>
      <c r="H19" s="195"/>
      <c r="I19" s="72" t="s">
        <v>1181</v>
      </c>
      <c r="J19" s="191" t="s">
        <v>1186</v>
      </c>
      <c r="K19" s="191" t="s">
        <v>1187</v>
      </c>
      <c r="L19" s="43" t="s">
        <v>132</v>
      </c>
      <c r="M19" s="43" t="s">
        <v>1188</v>
      </c>
      <c r="N19" s="69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72" t="s">
        <v>1142</v>
      </c>
      <c r="B20" s="209">
        <v>58867.200000000004</v>
      </c>
      <c r="C20" s="210">
        <f t="shared" ref="C20:D20" si="3">H3</f>
        <v>6103515.625</v>
      </c>
      <c r="D20" s="195">
        <f t="shared" si="3"/>
        <v>3051757.813</v>
      </c>
      <c r="E20" s="69">
        <f t="shared" ref="E20:E32" si="5">B20+C20+D20</f>
        <v>9214140.638</v>
      </c>
      <c r="F20" s="211">
        <v>1.0612145599639076E8</v>
      </c>
      <c r="G20" s="47">
        <f t="shared" ref="G20:G32" si="6">F20/E20</f>
        <v>11.51723858</v>
      </c>
      <c r="H20" s="195"/>
      <c r="I20" s="72" t="s">
        <v>1142</v>
      </c>
      <c r="J20" s="69">
        <v>55238.4</v>
      </c>
      <c r="K20" s="209">
        <v>272076.8</v>
      </c>
      <c r="L20" s="47">
        <f t="shared" ref="L20:L31" si="7">K20/J20</f>
        <v>4.925501101</v>
      </c>
      <c r="M20" s="47"/>
      <c r="N20" s="69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>
      <c r="A21" s="72" t="s">
        <v>1145</v>
      </c>
      <c r="B21" s="69">
        <v>1.0989568E7</v>
      </c>
      <c r="C21" s="210">
        <f t="shared" ref="C21:D21" si="4">H4</f>
        <v>3051757.813</v>
      </c>
      <c r="D21" s="195">
        <f t="shared" si="4"/>
        <v>149.0116211</v>
      </c>
      <c r="E21" s="69">
        <f t="shared" si="5"/>
        <v>14041474.82</v>
      </c>
      <c r="F21" s="70">
        <v>7.0541E7</v>
      </c>
      <c r="G21" s="47">
        <f t="shared" si="6"/>
        <v>5.023760031</v>
      </c>
      <c r="H21" s="195"/>
      <c r="I21" s="72" t="s">
        <v>1145</v>
      </c>
      <c r="J21" s="69">
        <v>331328.0</v>
      </c>
      <c r="K21" s="209">
        <v>962118.99375</v>
      </c>
      <c r="L21" s="47">
        <f t="shared" si="7"/>
        <v>2.903826401</v>
      </c>
      <c r="M21" s="47"/>
      <c r="N21" s="69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>
      <c r="A22" s="72" t="s">
        <v>1148</v>
      </c>
      <c r="B22" s="69">
        <v>3.2244028992E9</v>
      </c>
      <c r="C22" s="210">
        <f t="shared" ref="C22:D22" si="8">H5</f>
        <v>22888183.59</v>
      </c>
      <c r="D22" s="195">
        <f t="shared" si="8"/>
        <v>11444091.8</v>
      </c>
      <c r="E22" s="69">
        <f t="shared" si="5"/>
        <v>3258735175</v>
      </c>
      <c r="F22" s="70">
        <v>3.0732124E10</v>
      </c>
      <c r="G22" s="47">
        <f t="shared" si="6"/>
        <v>9.430690852</v>
      </c>
      <c r="H22" s="195"/>
      <c r="I22" s="72" t="s">
        <v>1148</v>
      </c>
      <c r="J22" s="69">
        <v>1682529.408</v>
      </c>
      <c r="K22" s="209">
        <v>5387120.64</v>
      </c>
      <c r="L22" s="47">
        <f t="shared" si="7"/>
        <v>3.2017988</v>
      </c>
      <c r="M22" s="47"/>
      <c r="N22" s="69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72" t="s">
        <v>1151</v>
      </c>
      <c r="B23" s="69">
        <v>1.24721823744E9</v>
      </c>
      <c r="C23" s="210">
        <f t="shared" ref="C23:D23" si="9">H6</f>
        <v>610351.5625</v>
      </c>
      <c r="D23" s="195">
        <f t="shared" si="9"/>
        <v>5120</v>
      </c>
      <c r="E23" s="69">
        <f t="shared" si="5"/>
        <v>1247833709</v>
      </c>
      <c r="F23" s="70">
        <v>1.6552668E10</v>
      </c>
      <c r="G23" s="47">
        <f t="shared" si="6"/>
        <v>13.26512329</v>
      </c>
      <c r="H23" s="195"/>
      <c r="I23" s="72" t="s">
        <v>1151</v>
      </c>
      <c r="J23" s="69">
        <v>3.748921344E7</v>
      </c>
      <c r="K23" s="209">
        <v>7.058489344E7</v>
      </c>
      <c r="L23" s="47">
        <f t="shared" si="7"/>
        <v>1.882805398</v>
      </c>
      <c r="M23" s="47"/>
      <c r="N23" s="6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>
      <c r="A24" s="72" t="s">
        <v>1154</v>
      </c>
      <c r="B24" s="69">
        <v>2.048E7</v>
      </c>
      <c r="C24" s="210">
        <f t="shared" ref="C24:D24" si="10">H7</f>
        <v>20480000</v>
      </c>
      <c r="D24" s="195">
        <f t="shared" si="10"/>
        <v>0</v>
      </c>
      <c r="E24" s="69">
        <f t="shared" si="5"/>
        <v>40960000</v>
      </c>
      <c r="F24" s="70">
        <v>1.60314E8</v>
      </c>
      <c r="G24" s="47">
        <f t="shared" si="6"/>
        <v>3.913916016</v>
      </c>
      <c r="H24" s="195"/>
      <c r="I24" s="72" t="s">
        <v>37</v>
      </c>
      <c r="J24" s="69">
        <v>12974.975999999999</v>
      </c>
      <c r="K24" s="209">
        <v>27207.68</v>
      </c>
      <c r="L24" s="47">
        <f t="shared" si="7"/>
        <v>2.0969349</v>
      </c>
      <c r="M24" s="47"/>
      <c r="N24" s="69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198" t="s">
        <v>37</v>
      </c>
      <c r="B25" s="69">
        <v>250532.352</v>
      </c>
      <c r="C25" s="210">
        <f t="shared" ref="C25:D25" si="11">H8</f>
        <v>2812500</v>
      </c>
      <c r="D25" s="195">
        <f t="shared" si="11"/>
        <v>2812500</v>
      </c>
      <c r="E25" s="69">
        <f t="shared" si="5"/>
        <v>5875532.352</v>
      </c>
      <c r="F25" s="70">
        <v>2.6299964285714287E7</v>
      </c>
      <c r="G25" s="47">
        <f t="shared" si="6"/>
        <v>4.476184065</v>
      </c>
      <c r="H25" s="195"/>
      <c r="I25" s="193" t="s">
        <v>1159</v>
      </c>
      <c r="J25" s="69">
        <v>3294675.84</v>
      </c>
      <c r="K25" s="209">
        <v>3763746.22125</v>
      </c>
      <c r="L25" s="47">
        <f t="shared" si="7"/>
        <v>1.142372241</v>
      </c>
      <c r="M25" s="47"/>
      <c r="N25" s="69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>
      <c r="A26" s="193" t="s">
        <v>1159</v>
      </c>
      <c r="B26" s="69">
        <v>6191063.040000001</v>
      </c>
      <c r="C26" s="210">
        <f t="shared" ref="C26:D26" si="12">H9</f>
        <v>1638480</v>
      </c>
      <c r="D26" s="195">
        <f t="shared" si="12"/>
        <v>150</v>
      </c>
      <c r="E26" s="69">
        <f t="shared" si="5"/>
        <v>7829693.04</v>
      </c>
      <c r="F26" s="70">
        <v>1.7625E8</v>
      </c>
      <c r="G26" s="47">
        <f t="shared" si="6"/>
        <v>22.51046102</v>
      </c>
      <c r="H26" s="195"/>
      <c r="I26" s="72" t="s">
        <v>1162</v>
      </c>
      <c r="J26" s="212">
        <v>7654040.260215923</v>
      </c>
      <c r="K26" s="213">
        <v>1.3100969273887798E7</v>
      </c>
      <c r="L26" s="47">
        <f t="shared" si="7"/>
        <v>1.711641019</v>
      </c>
      <c r="M26" s="47"/>
      <c r="N26" s="69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72" t="s">
        <v>1162</v>
      </c>
      <c r="B27" s="212">
        <v>2.5275733426940954E8</v>
      </c>
      <c r="C27" s="210">
        <f t="shared" ref="C27:D27" si="13">H10</f>
        <v>129081.1523</v>
      </c>
      <c r="D27" s="195">
        <f t="shared" si="13"/>
        <v>1685.312195</v>
      </c>
      <c r="E27" s="212">
        <f t="shared" si="5"/>
        <v>252888100.7</v>
      </c>
      <c r="F27" s="214">
        <v>1.0455367035714285E11</v>
      </c>
      <c r="G27" s="47">
        <f t="shared" si="6"/>
        <v>413.4384736</v>
      </c>
      <c r="H27" s="195"/>
      <c r="I27" s="72" t="s">
        <v>1165</v>
      </c>
      <c r="J27" s="69">
        <v>6195347.52</v>
      </c>
      <c r="K27" s="209">
        <v>6463807.98</v>
      </c>
      <c r="L27" s="47">
        <f t="shared" si="7"/>
        <v>1.043332591</v>
      </c>
      <c r="M27" s="47"/>
      <c r="N27" s="69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>
      <c r="A28" s="72" t="s">
        <v>1165</v>
      </c>
      <c r="B28" s="69">
        <v>1.8999065728E8</v>
      </c>
      <c r="C28" s="210">
        <f t="shared" ref="C28:D28" si="14">H11</f>
        <v>742400</v>
      </c>
      <c r="D28" s="195">
        <f t="shared" si="14"/>
        <v>5.6640625</v>
      </c>
      <c r="E28" s="69">
        <f t="shared" si="5"/>
        <v>190733062.9</v>
      </c>
      <c r="F28" s="50">
        <v>2.8205E9</v>
      </c>
      <c r="G28" s="47">
        <f t="shared" si="6"/>
        <v>14.78768262</v>
      </c>
      <c r="H28" s="195"/>
      <c r="I28" s="72" t="s">
        <v>1168</v>
      </c>
      <c r="J28" s="69">
        <v>2.15274479616E7</v>
      </c>
      <c r="K28" s="209">
        <v>4.62882879488E7</v>
      </c>
      <c r="L28" s="47">
        <f t="shared" si="7"/>
        <v>2.150198576</v>
      </c>
      <c r="M28" s="47"/>
      <c r="N28" s="69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</row>
    <row r="29">
      <c r="A29" s="72" t="s">
        <v>1168</v>
      </c>
      <c r="B29" s="69">
        <v>2.3956350566400003E7</v>
      </c>
      <c r="C29" s="210">
        <f t="shared" ref="C29:D29" si="15">H12</f>
        <v>9155288.457</v>
      </c>
      <c r="D29" s="195">
        <f t="shared" si="15"/>
        <v>5</v>
      </c>
      <c r="E29" s="69">
        <f t="shared" si="5"/>
        <v>33111644.02</v>
      </c>
      <c r="F29" s="70">
        <v>7.591792E7</v>
      </c>
      <c r="G29" s="47">
        <f t="shared" si="6"/>
        <v>2.292786186</v>
      </c>
      <c r="H29" s="195"/>
      <c r="I29" s="72" t="s">
        <v>1171</v>
      </c>
      <c r="J29" s="69">
        <v>5.66610032E9</v>
      </c>
      <c r="K29" s="209">
        <v>3.6817794595E10</v>
      </c>
      <c r="L29" s="47">
        <f t="shared" si="7"/>
        <v>6.497907293</v>
      </c>
      <c r="M29" s="47"/>
      <c r="N29" s="69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72" t="s">
        <v>1171</v>
      </c>
      <c r="B30" s="69">
        <v>1.84924116992E11</v>
      </c>
      <c r="C30" s="210">
        <f t="shared" ref="C30:D30" si="16">H13</f>
        <v>327680000</v>
      </c>
      <c r="D30" s="195">
        <f t="shared" si="16"/>
        <v>327681250</v>
      </c>
      <c r="E30" s="69">
        <f t="shared" si="5"/>
        <v>185579478242</v>
      </c>
      <c r="F30" s="18">
        <v>1.2655586730124695E10</v>
      </c>
      <c r="G30" s="47">
        <f t="shared" si="6"/>
        <v>0.06819496881</v>
      </c>
      <c r="H30" s="195"/>
      <c r="I30" s="72" t="s">
        <v>1174</v>
      </c>
      <c r="J30" s="70">
        <v>6.0540571488E7</v>
      </c>
      <c r="K30" s="211">
        <v>6.4318569888E7</v>
      </c>
      <c r="L30" s="47">
        <f t="shared" si="7"/>
        <v>1.062404406</v>
      </c>
      <c r="M30" s="47"/>
      <c r="N30" s="69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198" t="s">
        <v>1174</v>
      </c>
      <c r="B31" s="70">
        <v>1.81912018464E9</v>
      </c>
      <c r="C31" s="210">
        <f t="shared" ref="C31:D31" si="17">H14</f>
        <v>15625000</v>
      </c>
      <c r="D31" s="195">
        <f t="shared" si="17"/>
        <v>312500</v>
      </c>
      <c r="E31" s="69">
        <f t="shared" si="5"/>
        <v>1835057685</v>
      </c>
      <c r="F31" s="70">
        <v>2.9649247608439894E9</v>
      </c>
      <c r="G31" s="47">
        <f t="shared" si="6"/>
        <v>1.615712021</v>
      </c>
      <c r="H31" s="195"/>
      <c r="I31" s="72" t="s">
        <v>1177</v>
      </c>
      <c r="J31" s="69">
        <v>137850.546875</v>
      </c>
      <c r="K31" s="209">
        <v>198927.41943359375</v>
      </c>
      <c r="L31" s="47">
        <f t="shared" si="7"/>
        <v>1.443065871</v>
      </c>
      <c r="M31" s="47"/>
      <c r="N31" s="69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</row>
    <row r="32">
      <c r="A32" s="72" t="s">
        <v>1177</v>
      </c>
      <c r="B32" s="69">
        <v>4449017.5</v>
      </c>
      <c r="C32" s="210">
        <f t="shared" ref="C32:D32" si="18">H15</f>
        <v>2441.40625</v>
      </c>
      <c r="D32" s="195">
        <f t="shared" si="18"/>
        <v>2441.40625</v>
      </c>
      <c r="E32" s="69">
        <f t="shared" si="5"/>
        <v>4453900.313</v>
      </c>
      <c r="F32" s="70">
        <v>1.143975E7</v>
      </c>
      <c r="G32" s="47">
        <f t="shared" si="6"/>
        <v>2.56847913</v>
      </c>
      <c r="H32" s="195"/>
      <c r="I32" s="72" t="s">
        <v>1189</v>
      </c>
      <c r="J32" s="204"/>
      <c r="K32" s="204"/>
      <c r="L32" s="215">
        <f>GEOMEAN(L20:L31)</f>
        <v>2.112547053</v>
      </c>
      <c r="M32" s="47"/>
      <c r="N32" s="69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72" t="s">
        <v>1189</v>
      </c>
      <c r="B33" s="204"/>
      <c r="C33" s="204"/>
      <c r="D33" s="47"/>
      <c r="E33" s="47"/>
      <c r="F33" s="69"/>
      <c r="G33" s="216">
        <f>GEOMEAN(G20:G32)</f>
        <v>5.934509494</v>
      </c>
      <c r="H33" s="195"/>
      <c r="I33" s="195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47"/>
      <c r="B34" s="204"/>
      <c r="C34" s="204"/>
      <c r="D34" s="47"/>
      <c r="E34" s="47"/>
      <c r="F34" s="69"/>
      <c r="G34" s="47"/>
      <c r="H34" s="195"/>
      <c r="I34" s="195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217" t="s">
        <v>1190</v>
      </c>
      <c r="H35" s="195"/>
      <c r="I35" s="195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126" t="s">
        <v>1181</v>
      </c>
      <c r="B36" s="207" t="s">
        <v>1182</v>
      </c>
      <c r="C36" s="218" t="s">
        <v>1140</v>
      </c>
      <c r="D36" s="218" t="s">
        <v>1183</v>
      </c>
      <c r="E36" s="126" t="s">
        <v>1184</v>
      </c>
      <c r="F36" s="219" t="s">
        <v>1185</v>
      </c>
      <c r="G36" s="126" t="s">
        <v>132</v>
      </c>
      <c r="H36" s="195"/>
      <c r="I36" s="195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72" t="s">
        <v>1142</v>
      </c>
      <c r="B37" s="209">
        <v>29433.600000000002</v>
      </c>
      <c r="C37" s="220">
        <f t="shared" ref="C37:D37" si="19">H3</f>
        <v>6103515.625</v>
      </c>
      <c r="D37" s="195">
        <f t="shared" si="19"/>
        <v>3051757.813</v>
      </c>
      <c r="E37" s="69">
        <f t="shared" ref="E37:E49" si="21">B37+C37+D37</f>
        <v>9184707.038</v>
      </c>
      <c r="F37" s="211">
        <v>1.0612145599639076E8</v>
      </c>
      <c r="G37" s="47">
        <f t="shared" ref="G37:G49" si="22">F37/E37</f>
        <v>11.55414708</v>
      </c>
      <c r="H37" s="195"/>
      <c r="I37" s="195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72" t="s">
        <v>1145</v>
      </c>
      <c r="B38" s="209">
        <v>5494784.0</v>
      </c>
      <c r="C38" s="220">
        <f t="shared" ref="C38:D38" si="20">H4</f>
        <v>3051757.813</v>
      </c>
      <c r="D38" s="195">
        <f t="shared" si="20"/>
        <v>149.0116211</v>
      </c>
      <c r="E38" s="69">
        <f t="shared" si="21"/>
        <v>8546690.824</v>
      </c>
      <c r="F38" s="70">
        <v>7.0541E7</v>
      </c>
      <c r="G38" s="47">
        <f t="shared" si="22"/>
        <v>8.253603816</v>
      </c>
      <c r="H38" s="195"/>
      <c r="I38" s="195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72" t="s">
        <v>1148</v>
      </c>
      <c r="B39" s="209">
        <v>3.202206110208E9</v>
      </c>
      <c r="C39" s="220">
        <f t="shared" ref="C39:D39" si="23">H5</f>
        <v>22888183.59</v>
      </c>
      <c r="D39" s="195">
        <f t="shared" si="23"/>
        <v>11444091.8</v>
      </c>
      <c r="E39" s="69">
        <f t="shared" si="21"/>
        <v>3236538386</v>
      </c>
      <c r="F39" s="70">
        <v>3.0732124E10</v>
      </c>
      <c r="G39" s="47">
        <f t="shared" si="22"/>
        <v>9.495368304</v>
      </c>
      <c r="H39" s="195"/>
      <c r="I39" s="195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72" t="s">
        <v>1151</v>
      </c>
      <c r="B40" s="209">
        <v>6.2360911872E8</v>
      </c>
      <c r="C40" s="220">
        <f t="shared" ref="C40:D40" si="24">H6</f>
        <v>610351.5625</v>
      </c>
      <c r="D40" s="195">
        <f t="shared" si="24"/>
        <v>5120</v>
      </c>
      <c r="E40" s="69">
        <f t="shared" si="21"/>
        <v>624224590.3</v>
      </c>
      <c r="F40" s="70">
        <v>1.6552668E10</v>
      </c>
      <c r="G40" s="47">
        <f t="shared" si="22"/>
        <v>26.51716747</v>
      </c>
      <c r="H40" s="195"/>
      <c r="I40" s="195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72" t="s">
        <v>1154</v>
      </c>
      <c r="B41" s="209">
        <v>2.048E7</v>
      </c>
      <c r="C41" s="220">
        <f t="shared" ref="C41:D41" si="25">H7</f>
        <v>20480000</v>
      </c>
      <c r="D41" s="195">
        <f t="shared" si="25"/>
        <v>0</v>
      </c>
      <c r="E41" s="69">
        <f t="shared" si="21"/>
        <v>40960000</v>
      </c>
      <c r="F41" s="70">
        <v>1.60314E8</v>
      </c>
      <c r="G41" s="47">
        <f t="shared" si="22"/>
        <v>3.913916016</v>
      </c>
      <c r="H41" s="195"/>
      <c r="I41" s="195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198" t="s">
        <v>37</v>
      </c>
      <c r="B42" s="209">
        <v>125266.176</v>
      </c>
      <c r="C42" s="220">
        <f t="shared" ref="C42:D42" si="26">H8</f>
        <v>2812500</v>
      </c>
      <c r="D42" s="195">
        <f t="shared" si="26"/>
        <v>2812500</v>
      </c>
      <c r="E42" s="69">
        <f t="shared" si="21"/>
        <v>5750266.176</v>
      </c>
      <c r="F42" s="70">
        <v>2.6299964285714287E7</v>
      </c>
      <c r="G42" s="47">
        <f t="shared" si="22"/>
        <v>4.573695109</v>
      </c>
      <c r="H42" s="195"/>
      <c r="I42" s="195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193" t="s">
        <v>1159</v>
      </c>
      <c r="B43" s="209">
        <v>4700835.84</v>
      </c>
      <c r="C43" s="220">
        <f t="shared" ref="C43:D43" si="27">H9</f>
        <v>1638480</v>
      </c>
      <c r="D43" s="195">
        <f t="shared" si="27"/>
        <v>150</v>
      </c>
      <c r="E43" s="69">
        <f t="shared" si="21"/>
        <v>6339465.84</v>
      </c>
      <c r="F43" s="70">
        <v>1.7625E8</v>
      </c>
      <c r="G43" s="47">
        <f t="shared" si="22"/>
        <v>27.80202693</v>
      </c>
      <c r="H43" s="195"/>
      <c r="I43" s="195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72" t="s">
        <v>1162</v>
      </c>
      <c r="B44" s="213">
        <v>1.2637866713470477E8</v>
      </c>
      <c r="C44" s="220">
        <f t="shared" ref="C44:D44" si="28">H10</f>
        <v>129081.1523</v>
      </c>
      <c r="D44" s="195">
        <f t="shared" si="28"/>
        <v>1685.312195</v>
      </c>
      <c r="E44" s="212">
        <f t="shared" si="21"/>
        <v>126509433.6</v>
      </c>
      <c r="F44" s="214">
        <v>1.0455367035714285E11</v>
      </c>
      <c r="G44" s="47">
        <f t="shared" si="22"/>
        <v>826.4495965</v>
      </c>
      <c r="H44" s="195"/>
      <c r="I44" s="195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72" t="s">
        <v>1165</v>
      </c>
      <c r="B45" s="209">
        <v>9.499532864E7</v>
      </c>
      <c r="C45" s="220">
        <f t="shared" ref="C45:D45" si="29">H11</f>
        <v>742400</v>
      </c>
      <c r="D45" s="195">
        <f t="shared" si="29"/>
        <v>5.6640625</v>
      </c>
      <c r="E45" s="69">
        <f t="shared" si="21"/>
        <v>95737734.3</v>
      </c>
      <c r="F45" s="50">
        <v>2.014642857142857E8</v>
      </c>
      <c r="G45" s="47">
        <f t="shared" si="22"/>
        <v>2.104335215</v>
      </c>
      <c r="H45" s="195"/>
      <c r="I45" s="195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72" t="s">
        <v>1168</v>
      </c>
      <c r="B46" s="209">
        <v>2.13191000064E7</v>
      </c>
      <c r="C46" s="220">
        <f t="shared" ref="C46:D46" si="30">H12</f>
        <v>9155288.457</v>
      </c>
      <c r="D46" s="195">
        <f t="shared" si="30"/>
        <v>5</v>
      </c>
      <c r="E46" s="69">
        <f t="shared" si="21"/>
        <v>30474393.46</v>
      </c>
      <c r="F46" s="70">
        <v>7.591792E7</v>
      </c>
      <c r="G46" s="47">
        <f t="shared" si="22"/>
        <v>2.491203643</v>
      </c>
      <c r="H46" s="195"/>
      <c r="I46" s="195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72" t="s">
        <v>1171</v>
      </c>
      <c r="B47" s="209">
        <v>9.2503387136E10</v>
      </c>
      <c r="C47" s="220">
        <f t="shared" ref="C47:D47" si="31">H13</f>
        <v>327680000</v>
      </c>
      <c r="D47" s="195">
        <f t="shared" si="31"/>
        <v>327681250</v>
      </c>
      <c r="E47" s="69">
        <f t="shared" si="21"/>
        <v>93158748386</v>
      </c>
      <c r="F47" s="18">
        <v>1.2655586730124695E10</v>
      </c>
      <c r="G47" s="47">
        <f t="shared" si="22"/>
        <v>0.1358496861</v>
      </c>
      <c r="H47" s="195"/>
      <c r="I47" s="195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</row>
    <row r="48">
      <c r="A48" s="198" t="s">
        <v>1174</v>
      </c>
      <c r="B48" s="211">
        <v>9.0956009232E8</v>
      </c>
      <c r="C48" s="220">
        <f t="shared" ref="C48:D48" si="32">H14</f>
        <v>15625000</v>
      </c>
      <c r="D48" s="195">
        <f t="shared" si="32"/>
        <v>312500</v>
      </c>
      <c r="E48" s="69">
        <f t="shared" si="21"/>
        <v>925497592.3</v>
      </c>
      <c r="F48" s="70">
        <v>2.9649247608439894E9</v>
      </c>
      <c r="G48" s="47">
        <f t="shared" si="22"/>
        <v>3.203600728</v>
      </c>
      <c r="H48" s="195"/>
      <c r="I48" s="195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72" t="s">
        <v>1177</v>
      </c>
      <c r="B49" s="209">
        <v>2224508.75</v>
      </c>
      <c r="C49" s="220">
        <f t="shared" ref="C49:D49" si="33">H15</f>
        <v>2441.40625</v>
      </c>
      <c r="D49" s="195">
        <f t="shared" si="33"/>
        <v>2441.40625</v>
      </c>
      <c r="E49" s="69">
        <f t="shared" si="21"/>
        <v>2229391.563</v>
      </c>
      <c r="F49" s="70">
        <v>1.143975E7</v>
      </c>
      <c r="G49" s="47">
        <f t="shared" si="22"/>
        <v>5.131332778</v>
      </c>
      <c r="H49" s="195"/>
      <c r="I49" s="195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72" t="s">
        <v>1189</v>
      </c>
      <c r="B50" s="204"/>
      <c r="C50" s="220" t="str">
        <f t="shared" ref="C50:D50" si="34">H16</f>
        <v/>
      </c>
      <c r="D50" s="195" t="str">
        <f t="shared" si="34"/>
        <v/>
      </c>
      <c r="E50" s="47"/>
      <c r="F50" s="69"/>
      <c r="G50" s="215">
        <f>GEOMEAN(G37:G49)</f>
        <v>7.095832172</v>
      </c>
      <c r="H50" s="195"/>
      <c r="I50" s="195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7"/>
      <c r="B51" s="204"/>
      <c r="C51" s="204"/>
      <c r="D51" s="47"/>
      <c r="E51" s="47"/>
      <c r="F51" s="69"/>
      <c r="G51" s="47"/>
      <c r="H51" s="195"/>
      <c r="I51" s="195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217" t="s">
        <v>1191</v>
      </c>
      <c r="H52" s="195"/>
      <c r="I52" s="195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126" t="s">
        <v>1181</v>
      </c>
      <c r="B53" s="207" t="s">
        <v>1182</v>
      </c>
      <c r="C53" s="218" t="s">
        <v>1140</v>
      </c>
      <c r="D53" s="218" t="s">
        <v>1183</v>
      </c>
      <c r="E53" s="126" t="s">
        <v>1184</v>
      </c>
      <c r="F53" s="219" t="s">
        <v>1185</v>
      </c>
      <c r="G53" s="126" t="s">
        <v>132</v>
      </c>
      <c r="H53" s="195"/>
      <c r="I53" s="195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72" t="s">
        <v>1142</v>
      </c>
      <c r="B54" s="18">
        <v>14716.800000000001</v>
      </c>
      <c r="C54" s="220">
        <f t="shared" ref="C54:D54" si="35">H3</f>
        <v>6103515.625</v>
      </c>
      <c r="D54" s="195">
        <f t="shared" si="35"/>
        <v>3051757.813</v>
      </c>
      <c r="E54" s="69">
        <f t="shared" ref="E54:E66" si="37">B54+C54+D54</f>
        <v>9169990.238</v>
      </c>
      <c r="F54" s="211">
        <v>1.0612145599639076E8</v>
      </c>
      <c r="G54" s="47">
        <f t="shared" ref="G54:G66" si="38">F54/E54</f>
        <v>11.57269018</v>
      </c>
      <c r="H54" s="195"/>
      <c r="I54" s="195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72" t="s">
        <v>1145</v>
      </c>
      <c r="B55" s="209">
        <v>2747392.0</v>
      </c>
      <c r="C55" s="220">
        <f t="shared" ref="C55:D55" si="36">H4</f>
        <v>3051757.813</v>
      </c>
      <c r="D55" s="195">
        <f t="shared" si="36"/>
        <v>149.0116211</v>
      </c>
      <c r="E55" s="69">
        <f t="shared" si="37"/>
        <v>5799298.824</v>
      </c>
      <c r="F55" s="70">
        <v>7.0541E7</v>
      </c>
      <c r="G55" s="47">
        <f t="shared" si="38"/>
        <v>12.16371188</v>
      </c>
      <c r="H55" s="195"/>
      <c r="I55" s="195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72" t="s">
        <v>1148</v>
      </c>
      <c r="B56" s="209">
        <v>3.190807759104E9</v>
      </c>
      <c r="C56" s="220">
        <f t="shared" ref="C56:D56" si="39">H5</f>
        <v>22888183.59</v>
      </c>
      <c r="D56" s="195">
        <f t="shared" si="39"/>
        <v>11444091.8</v>
      </c>
      <c r="E56" s="69">
        <f t="shared" si="37"/>
        <v>3225140034</v>
      </c>
      <c r="F56" s="70">
        <v>3.0732124E10</v>
      </c>
      <c r="G56" s="47">
        <f t="shared" si="38"/>
        <v>9.528927014</v>
      </c>
      <c r="H56" s="195"/>
      <c r="I56" s="195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72" t="s">
        <v>1151</v>
      </c>
      <c r="B57" s="209">
        <v>3.1180455936E8</v>
      </c>
      <c r="C57" s="220">
        <f t="shared" ref="C57:D57" si="40">H6</f>
        <v>610351.5625</v>
      </c>
      <c r="D57" s="195">
        <f t="shared" si="40"/>
        <v>5120</v>
      </c>
      <c r="E57" s="69">
        <f t="shared" si="37"/>
        <v>312420030.9</v>
      </c>
      <c r="F57" s="70">
        <v>1.6552668E10</v>
      </c>
      <c r="G57" s="47">
        <f t="shared" si="38"/>
        <v>52.98209577</v>
      </c>
      <c r="H57" s="195"/>
      <c r="I57" s="195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</row>
    <row r="58">
      <c r="A58" s="72" t="s">
        <v>1154</v>
      </c>
      <c r="B58" s="209">
        <v>2.048E7</v>
      </c>
      <c r="C58" s="220">
        <f t="shared" ref="C58:D58" si="41">H7</f>
        <v>20480000</v>
      </c>
      <c r="D58" s="195">
        <f t="shared" si="41"/>
        <v>0</v>
      </c>
      <c r="E58" s="69">
        <f t="shared" si="37"/>
        <v>40960000</v>
      </c>
      <c r="F58" s="70">
        <v>1.60314E8</v>
      </c>
      <c r="G58" s="47">
        <f t="shared" si="38"/>
        <v>3.913916016</v>
      </c>
      <c r="H58" s="195"/>
      <c r="I58" s="195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198" t="s">
        <v>37</v>
      </c>
      <c r="B59" s="209">
        <v>69592.31999999999</v>
      </c>
      <c r="C59" s="220">
        <f t="shared" ref="C59:D59" si="42">H8</f>
        <v>2812500</v>
      </c>
      <c r="D59" s="195">
        <f t="shared" si="42"/>
        <v>2812500</v>
      </c>
      <c r="E59" s="69">
        <f t="shared" si="37"/>
        <v>5694592.32</v>
      </c>
      <c r="F59" s="70">
        <v>2.6299964285714287E7</v>
      </c>
      <c r="G59" s="47">
        <f t="shared" si="38"/>
        <v>4.618410381</v>
      </c>
      <c r="H59" s="195"/>
      <c r="I59" s="195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193" t="s">
        <v>1159</v>
      </c>
      <c r="B60" s="209">
        <v>3955722.24</v>
      </c>
      <c r="C60" s="220">
        <f t="shared" ref="C60:D60" si="43">H9</f>
        <v>1638480</v>
      </c>
      <c r="D60" s="195">
        <f t="shared" si="43"/>
        <v>150</v>
      </c>
      <c r="E60" s="69">
        <f t="shared" si="37"/>
        <v>5594352.24</v>
      </c>
      <c r="F60" s="70">
        <v>1.7625E8</v>
      </c>
      <c r="G60" s="47">
        <f t="shared" si="38"/>
        <v>31.50498797</v>
      </c>
      <c r="H60" s="195"/>
      <c r="I60" s="195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72" t="s">
        <v>1162</v>
      </c>
      <c r="B61" s="213">
        <v>3.573016439561023E8</v>
      </c>
      <c r="C61" s="220">
        <f t="shared" ref="C61:D61" si="44">H10</f>
        <v>129081.1523</v>
      </c>
      <c r="D61" s="195">
        <f t="shared" si="44"/>
        <v>1685.312195</v>
      </c>
      <c r="E61" s="212">
        <f t="shared" si="37"/>
        <v>357432410.4</v>
      </c>
      <c r="F61" s="214">
        <v>1.0455367035714285E11</v>
      </c>
      <c r="G61" s="47">
        <f t="shared" si="38"/>
        <v>292.5131222</v>
      </c>
      <c r="H61" s="195"/>
      <c r="I61" s="195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72" t="s">
        <v>1165</v>
      </c>
      <c r="B62" s="209">
        <v>4.749766432E7</v>
      </c>
      <c r="C62" s="220">
        <f t="shared" ref="C62:D62" si="45">H11</f>
        <v>742400</v>
      </c>
      <c r="D62" s="195">
        <f t="shared" si="45"/>
        <v>5.6640625</v>
      </c>
      <c r="E62" s="69">
        <f t="shared" si="37"/>
        <v>48240069.98</v>
      </c>
      <c r="F62" s="50">
        <v>2.014642857142857E8</v>
      </c>
      <c r="G62" s="47">
        <f t="shared" si="38"/>
        <v>4.176285104</v>
      </c>
      <c r="H62" s="195"/>
      <c r="I62" s="195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72" t="s">
        <v>1168</v>
      </c>
      <c r="B63" s="209">
        <v>2.0000474726400003E7</v>
      </c>
      <c r="C63" s="220">
        <f t="shared" ref="C63:D63" si="46">H12</f>
        <v>9155288.457</v>
      </c>
      <c r="D63" s="195">
        <f t="shared" si="46"/>
        <v>5</v>
      </c>
      <c r="E63" s="69">
        <f t="shared" si="37"/>
        <v>29155768.18</v>
      </c>
      <c r="F63" s="70">
        <v>7.591792E7</v>
      </c>
      <c r="G63" s="47">
        <f t="shared" si="38"/>
        <v>2.603873083</v>
      </c>
      <c r="H63" s="195"/>
      <c r="I63" s="195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72" t="s">
        <v>1171</v>
      </c>
      <c r="B64" s="209">
        <v>4.6293022208E10</v>
      </c>
      <c r="C64" s="220">
        <f t="shared" ref="C64:D64" si="47">H13</f>
        <v>327680000</v>
      </c>
      <c r="D64" s="195">
        <f t="shared" si="47"/>
        <v>327681250</v>
      </c>
      <c r="E64" s="69">
        <f t="shared" si="37"/>
        <v>46948383458</v>
      </c>
      <c r="F64" s="18">
        <v>1.2655586730124695E10</v>
      </c>
      <c r="G64" s="47">
        <f t="shared" si="38"/>
        <v>0.2695638443</v>
      </c>
      <c r="H64" s="195"/>
      <c r="I64" s="195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</row>
    <row r="65">
      <c r="A65" s="198" t="s">
        <v>1174</v>
      </c>
      <c r="B65" s="211">
        <v>4.5478004616E8</v>
      </c>
      <c r="C65" s="220">
        <f t="shared" ref="C65:D65" si="48">H14</f>
        <v>15625000</v>
      </c>
      <c r="D65" s="195">
        <f t="shared" si="48"/>
        <v>312500</v>
      </c>
      <c r="E65" s="69">
        <f t="shared" si="37"/>
        <v>470717546.2</v>
      </c>
      <c r="F65" s="70">
        <v>2.9649247608439894E9</v>
      </c>
      <c r="G65" s="47">
        <f t="shared" si="38"/>
        <v>6.298734315</v>
      </c>
      <c r="H65" s="195"/>
      <c r="I65" s="195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72" t="s">
        <v>1177</v>
      </c>
      <c r="B66" s="209">
        <v>1112254.375</v>
      </c>
      <c r="C66" s="220">
        <f t="shared" ref="C66:D66" si="49">H15</f>
        <v>2441.40625</v>
      </c>
      <c r="D66" s="195">
        <f t="shared" si="49"/>
        <v>2441.40625</v>
      </c>
      <c r="E66" s="69">
        <f t="shared" si="37"/>
        <v>1117137.188</v>
      </c>
      <c r="F66" s="70">
        <v>1.143975E7</v>
      </c>
      <c r="G66" s="47">
        <f t="shared" si="38"/>
        <v>10.24023739</v>
      </c>
      <c r="H66" s="195"/>
      <c r="I66" s="195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72" t="s">
        <v>1189</v>
      </c>
      <c r="B67" s="204"/>
      <c r="C67" s="220" t="str">
        <f t="shared" ref="C67:D67" si="50">H16</f>
        <v/>
      </c>
      <c r="D67" s="195" t="str">
        <f t="shared" si="50"/>
        <v/>
      </c>
      <c r="E67" s="47"/>
      <c r="F67" s="69"/>
      <c r="G67" s="215">
        <f>GEOMEAN(G54:G66)</f>
        <v>8.912410225</v>
      </c>
      <c r="H67" s="195"/>
      <c r="I67" s="195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7"/>
      <c r="B68" s="204"/>
      <c r="C68" s="204"/>
      <c r="D68" s="47"/>
      <c r="E68" s="47"/>
      <c r="F68" s="69"/>
      <c r="G68" s="47"/>
      <c r="H68" s="195"/>
      <c r="I68" s="195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217" t="s">
        <v>1192</v>
      </c>
      <c r="H69" s="195"/>
      <c r="I69" s="195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126" t="s">
        <v>1181</v>
      </c>
      <c r="B70" s="207" t="s">
        <v>1182</v>
      </c>
      <c r="C70" s="218" t="s">
        <v>1140</v>
      </c>
      <c r="D70" s="218" t="s">
        <v>1183</v>
      </c>
      <c r="E70" s="126" t="s">
        <v>1184</v>
      </c>
      <c r="F70" s="219" t="s">
        <v>1185</v>
      </c>
      <c r="G70" s="126" t="s">
        <v>132</v>
      </c>
      <c r="H70" s="195"/>
      <c r="I70" s="195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72" t="s">
        <v>1142</v>
      </c>
      <c r="B71" s="209">
        <v>8830.08</v>
      </c>
      <c r="C71" s="220">
        <f t="shared" ref="C71:D71" si="51">H3</f>
        <v>6103515.625</v>
      </c>
      <c r="D71" s="195">
        <f t="shared" si="51"/>
        <v>3051757.813</v>
      </c>
      <c r="E71" s="69">
        <f t="shared" ref="E71:E83" si="53">B71+C71+D71</f>
        <v>9164103.518</v>
      </c>
      <c r="F71" s="211">
        <v>1.0612145599639076E8</v>
      </c>
      <c r="G71" s="47">
        <f t="shared" ref="G71:G83" si="54">F71/E71</f>
        <v>11.5801241</v>
      </c>
      <c r="H71" s="195"/>
      <c r="I71" s="195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72" t="s">
        <v>1145</v>
      </c>
      <c r="B72" s="209">
        <v>1373696.0</v>
      </c>
      <c r="C72" s="220">
        <f t="shared" ref="C72:D72" si="52">H4</f>
        <v>3051757.813</v>
      </c>
      <c r="D72" s="195">
        <f t="shared" si="52"/>
        <v>149.0116211</v>
      </c>
      <c r="E72" s="69">
        <f t="shared" si="53"/>
        <v>4425602.824</v>
      </c>
      <c r="F72" s="70">
        <v>7.0541E7</v>
      </c>
      <c r="G72" s="47">
        <f t="shared" si="54"/>
        <v>15.93929749</v>
      </c>
      <c r="H72" s="195"/>
      <c r="I72" s="195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72" t="s">
        <v>1148</v>
      </c>
      <c r="B73" s="209">
        <v>3.18540854016E9</v>
      </c>
      <c r="C73" s="220">
        <f t="shared" ref="C73:D73" si="55">H5</f>
        <v>22888183.59</v>
      </c>
      <c r="D73" s="195">
        <f t="shared" si="55"/>
        <v>11444091.8</v>
      </c>
      <c r="E73" s="69">
        <f t="shared" si="53"/>
        <v>3219740816</v>
      </c>
      <c r="F73" s="70">
        <v>3.0732124E10</v>
      </c>
      <c r="G73" s="47">
        <f t="shared" si="54"/>
        <v>9.544906177</v>
      </c>
      <c r="H73" s="195"/>
      <c r="I73" s="195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72" t="s">
        <v>1151</v>
      </c>
      <c r="B74" s="209">
        <v>1.5590227968E8</v>
      </c>
      <c r="C74" s="220">
        <f t="shared" ref="C74:D74" si="56">H6</f>
        <v>610351.5625</v>
      </c>
      <c r="D74" s="195">
        <f t="shared" si="56"/>
        <v>5120</v>
      </c>
      <c r="E74" s="69">
        <f t="shared" si="53"/>
        <v>156517751.2</v>
      </c>
      <c r="F74" s="70">
        <v>1.6552668E10</v>
      </c>
      <c r="G74" s="47">
        <f t="shared" si="54"/>
        <v>105.7558511</v>
      </c>
      <c r="H74" s="195"/>
      <c r="I74" s="195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72" t="s">
        <v>1154</v>
      </c>
      <c r="B75" s="209">
        <v>2.048E7</v>
      </c>
      <c r="C75" s="220">
        <f t="shared" ref="C75:D75" si="57">H7</f>
        <v>20480000</v>
      </c>
      <c r="D75" s="195">
        <f t="shared" si="57"/>
        <v>0</v>
      </c>
      <c r="E75" s="69">
        <f t="shared" si="53"/>
        <v>40960000</v>
      </c>
      <c r="F75" s="70">
        <v>1.60314E8</v>
      </c>
      <c r="G75" s="47">
        <f t="shared" si="54"/>
        <v>3.913916016</v>
      </c>
      <c r="H75" s="195"/>
      <c r="I75" s="195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198" t="s">
        <v>37</v>
      </c>
      <c r="B76" s="209">
        <v>41755.392</v>
      </c>
      <c r="C76" s="220">
        <f t="shared" ref="C76:D76" si="58">H8</f>
        <v>2812500</v>
      </c>
      <c r="D76" s="195">
        <f t="shared" si="58"/>
        <v>2812500</v>
      </c>
      <c r="E76" s="69">
        <f t="shared" si="53"/>
        <v>5666755.392</v>
      </c>
      <c r="F76" s="70">
        <v>2.6299964285714287E7</v>
      </c>
      <c r="G76" s="47">
        <f t="shared" si="54"/>
        <v>4.6410975</v>
      </c>
      <c r="H76" s="195"/>
      <c r="I76" s="195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193" t="s">
        <v>1159</v>
      </c>
      <c r="B77" s="18">
        <v>3583165.44</v>
      </c>
      <c r="C77" s="220">
        <f t="shared" ref="C77:D77" si="59">H9</f>
        <v>1638480</v>
      </c>
      <c r="D77" s="195">
        <f t="shared" si="59"/>
        <v>150</v>
      </c>
      <c r="E77" s="69">
        <f t="shared" si="53"/>
        <v>5221795.44</v>
      </c>
      <c r="F77" s="70">
        <v>1.7625E8</v>
      </c>
      <c r="G77" s="47">
        <f t="shared" si="54"/>
        <v>33.75275842</v>
      </c>
      <c r="H77" s="195"/>
      <c r="I77" s="195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72" t="s">
        <v>1162</v>
      </c>
      <c r="B78" s="213">
        <v>3.1594666783676192E7</v>
      </c>
      <c r="C78" s="220">
        <f t="shared" ref="C78:D78" si="60">H10</f>
        <v>129081.1523</v>
      </c>
      <c r="D78" s="195">
        <f t="shared" si="60"/>
        <v>1685.312195</v>
      </c>
      <c r="E78" s="212">
        <f t="shared" si="53"/>
        <v>31725433.25</v>
      </c>
      <c r="F78" s="214">
        <v>1.0455367035714285E11</v>
      </c>
      <c r="G78" s="47">
        <f t="shared" si="54"/>
        <v>3295.578961</v>
      </c>
      <c r="H78" s="195"/>
      <c r="I78" s="195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72" t="s">
        <v>1165</v>
      </c>
      <c r="B79" s="209">
        <v>2.478139008E7</v>
      </c>
      <c r="C79" s="220">
        <f t="shared" ref="C79:D79" si="61">H11</f>
        <v>742400</v>
      </c>
      <c r="D79" s="195">
        <f t="shared" si="61"/>
        <v>5.6640625</v>
      </c>
      <c r="E79" s="69">
        <f t="shared" si="53"/>
        <v>25523795.74</v>
      </c>
      <c r="F79" s="50">
        <v>2.014642857142857E8</v>
      </c>
      <c r="G79" s="47">
        <f t="shared" si="54"/>
        <v>7.89319456</v>
      </c>
      <c r="H79" s="195"/>
      <c r="I79" s="195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72" t="s">
        <v>1168</v>
      </c>
      <c r="B80" s="209">
        <v>2.21041852416E7</v>
      </c>
      <c r="C80" s="220">
        <f t="shared" ref="C80:D80" si="62">H12</f>
        <v>9155288.457</v>
      </c>
      <c r="D80" s="195">
        <f t="shared" si="62"/>
        <v>5</v>
      </c>
      <c r="E80" s="69">
        <f t="shared" si="53"/>
        <v>31259478.7</v>
      </c>
      <c r="F80" s="70">
        <v>7.591792E7</v>
      </c>
      <c r="G80" s="47">
        <f t="shared" si="54"/>
        <v>2.42863679</v>
      </c>
      <c r="H80" s="195"/>
      <c r="I80" s="195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72" t="s">
        <v>1171</v>
      </c>
      <c r="B81" s="209">
        <v>2.3187839744E10</v>
      </c>
      <c r="C81" s="220">
        <f t="shared" ref="C81:D81" si="63">H13</f>
        <v>327680000</v>
      </c>
      <c r="D81" s="195">
        <f t="shared" si="63"/>
        <v>327681250</v>
      </c>
      <c r="E81" s="69">
        <f t="shared" si="53"/>
        <v>23843200994</v>
      </c>
      <c r="F81" s="18">
        <v>1.2655586730124695E10</v>
      </c>
      <c r="G81" s="47">
        <f t="shared" si="54"/>
        <v>0.5307838798</v>
      </c>
      <c r="H81" s="195"/>
      <c r="I81" s="195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198" t="s">
        <v>1174</v>
      </c>
      <c r="B82" s="211">
        <v>2.4254935795199996E8</v>
      </c>
      <c r="C82" s="220">
        <f t="shared" ref="C82:D82" si="64">H14</f>
        <v>15625000</v>
      </c>
      <c r="D82" s="195">
        <f t="shared" si="64"/>
        <v>312500</v>
      </c>
      <c r="E82" s="69">
        <f t="shared" si="53"/>
        <v>258486858</v>
      </c>
      <c r="F82" s="70">
        <v>2.9649247608439894E9</v>
      </c>
      <c r="G82" s="47">
        <f t="shared" si="54"/>
        <v>11.47031143</v>
      </c>
      <c r="H82" s="195"/>
      <c r="I82" s="195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72" t="s">
        <v>1177</v>
      </c>
      <c r="B83" s="209"/>
      <c r="C83" s="220">
        <f t="shared" ref="C83:D83" si="65">H15</f>
        <v>2441.40625</v>
      </c>
      <c r="D83" s="195">
        <f t="shared" si="65"/>
        <v>2441.40625</v>
      </c>
      <c r="E83" s="69">
        <f t="shared" si="53"/>
        <v>4882.8125</v>
      </c>
      <c r="F83" s="70">
        <v>1.143975E7</v>
      </c>
      <c r="G83" s="47">
        <f t="shared" si="54"/>
        <v>2342.8608</v>
      </c>
      <c r="H83" s="195"/>
      <c r="I83" s="195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72" t="s">
        <v>1189</v>
      </c>
      <c r="B84" s="204"/>
      <c r="C84" s="220" t="str">
        <f t="shared" ref="C84:D84" si="66">H16</f>
        <v/>
      </c>
      <c r="D84" s="195" t="str">
        <f t="shared" si="66"/>
        <v/>
      </c>
      <c r="E84" s="47"/>
      <c r="F84" s="69"/>
      <c r="G84" s="215">
        <f>GEOMEAN(G71:G83)</f>
        <v>20.35450268</v>
      </c>
      <c r="H84" s="195"/>
      <c r="I84" s="195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7"/>
      <c r="B85" s="204"/>
      <c r="C85" s="204"/>
      <c r="D85" s="47"/>
      <c r="E85" s="47"/>
      <c r="F85" s="69"/>
      <c r="G85" s="47"/>
      <c r="H85" s="195"/>
      <c r="I85" s="19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217" t="s">
        <v>1193</v>
      </c>
      <c r="H86" s="195"/>
      <c r="I86" s="195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126" t="s">
        <v>1181</v>
      </c>
      <c r="B87" s="207" t="s">
        <v>1182</v>
      </c>
      <c r="C87" s="218" t="s">
        <v>1140</v>
      </c>
      <c r="D87" s="218" t="s">
        <v>1183</v>
      </c>
      <c r="E87" s="126" t="s">
        <v>1184</v>
      </c>
      <c r="F87" s="219" t="s">
        <v>1185</v>
      </c>
      <c r="G87" s="126" t="s">
        <v>132</v>
      </c>
      <c r="H87" s="195"/>
      <c r="I87" s="195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72" t="s">
        <v>1142</v>
      </c>
      <c r="B88" s="209">
        <v>5886.72</v>
      </c>
      <c r="C88" s="220">
        <f t="shared" ref="C88:D88" si="67">H3</f>
        <v>6103515.625</v>
      </c>
      <c r="D88" s="195">
        <f t="shared" si="67"/>
        <v>3051757.813</v>
      </c>
      <c r="E88" s="69">
        <f t="shared" ref="E88:E100" si="69">B88+C88+D88</f>
        <v>9161160.158</v>
      </c>
      <c r="F88" s="211">
        <v>1.0612145599639076E8</v>
      </c>
      <c r="G88" s="47">
        <f t="shared" ref="G88:G100" si="70">F88/E88</f>
        <v>11.58384464</v>
      </c>
      <c r="H88" s="195"/>
      <c r="I88" s="195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72" t="s">
        <v>1145</v>
      </c>
      <c r="B89" s="209">
        <v>686848.0</v>
      </c>
      <c r="C89" s="220">
        <f t="shared" ref="C89:D89" si="68">H4</f>
        <v>3051757.813</v>
      </c>
      <c r="D89" s="195">
        <f t="shared" si="68"/>
        <v>149.0116211</v>
      </c>
      <c r="E89" s="69">
        <f t="shared" si="69"/>
        <v>3738754.824</v>
      </c>
      <c r="F89" s="70">
        <v>7.0541E7</v>
      </c>
      <c r="G89" s="47">
        <f t="shared" si="70"/>
        <v>18.8675116</v>
      </c>
      <c r="H89" s="195"/>
      <c r="I89" s="195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72" t="s">
        <v>1148</v>
      </c>
      <c r="B90" s="209">
        <v>3.18240897408E9</v>
      </c>
      <c r="C90" s="220">
        <f t="shared" ref="C90:D90" si="71">H5</f>
        <v>22888183.59</v>
      </c>
      <c r="D90" s="195">
        <f t="shared" si="71"/>
        <v>11444091.8</v>
      </c>
      <c r="E90" s="69">
        <f t="shared" si="69"/>
        <v>3216741249</v>
      </c>
      <c r="F90" s="70">
        <v>3.0732124E10</v>
      </c>
      <c r="G90" s="47">
        <f t="shared" si="70"/>
        <v>9.553806668</v>
      </c>
      <c r="H90" s="195"/>
      <c r="I90" s="195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72" t="s">
        <v>1151</v>
      </c>
      <c r="B91" s="209">
        <v>7.795113984E7</v>
      </c>
      <c r="C91" s="220">
        <f t="shared" ref="C91:D91" si="72">H6</f>
        <v>610351.5625</v>
      </c>
      <c r="D91" s="195">
        <f t="shared" si="72"/>
        <v>5120</v>
      </c>
      <c r="E91" s="69">
        <f t="shared" si="69"/>
        <v>78566611.4</v>
      </c>
      <c r="F91" s="70">
        <v>1.6552668E10</v>
      </c>
      <c r="G91" s="47">
        <f t="shared" si="70"/>
        <v>210.6832369</v>
      </c>
      <c r="H91" s="195"/>
      <c r="I91" s="195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72" t="s">
        <v>1154</v>
      </c>
      <c r="B92" s="209">
        <v>2.048E7</v>
      </c>
      <c r="C92" s="220">
        <f t="shared" ref="C92:D92" si="73">H7</f>
        <v>20480000</v>
      </c>
      <c r="D92" s="195">
        <f t="shared" si="73"/>
        <v>0</v>
      </c>
      <c r="E92" s="69">
        <f t="shared" si="69"/>
        <v>40960000</v>
      </c>
      <c r="F92" s="70">
        <v>1.60314E8</v>
      </c>
      <c r="G92" s="47">
        <f t="shared" si="70"/>
        <v>3.913916016</v>
      </c>
      <c r="H92" s="195"/>
      <c r="I92" s="195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</row>
    <row r="93">
      <c r="A93" s="198" t="s">
        <v>37</v>
      </c>
      <c r="B93" s="209">
        <v>27836.928</v>
      </c>
      <c r="C93" s="220">
        <f t="shared" ref="C93:D93" si="74">H8</f>
        <v>2812500</v>
      </c>
      <c r="D93" s="195">
        <f t="shared" si="74"/>
        <v>2812500</v>
      </c>
      <c r="E93" s="69">
        <f t="shared" si="69"/>
        <v>5652836.928</v>
      </c>
      <c r="F93" s="70">
        <v>2.6299964285714287E7</v>
      </c>
      <c r="G93" s="47">
        <f t="shared" si="70"/>
        <v>4.652524851</v>
      </c>
      <c r="H93" s="195"/>
      <c r="I93" s="195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193" t="s">
        <v>1159</v>
      </c>
      <c r="B94" s="18">
        <v>3396887.0400000005</v>
      </c>
      <c r="C94" s="220">
        <f t="shared" ref="C94:D94" si="75">H9</f>
        <v>1638480</v>
      </c>
      <c r="D94" s="195">
        <f t="shared" si="75"/>
        <v>150</v>
      </c>
      <c r="E94" s="69">
        <f t="shared" si="69"/>
        <v>5035517.04</v>
      </c>
      <c r="F94" s="70">
        <v>1.7625E8</v>
      </c>
      <c r="G94" s="47">
        <f t="shared" si="70"/>
        <v>35.00137098</v>
      </c>
      <c r="H94" s="195"/>
      <c r="I94" s="195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</row>
    <row r="95">
      <c r="A95" s="72" t="s">
        <v>1162</v>
      </c>
      <c r="B95" s="213">
        <v>3.337199501890256E8</v>
      </c>
      <c r="C95" s="220">
        <f t="shared" ref="C95:D95" si="76">H10</f>
        <v>129081.1523</v>
      </c>
      <c r="D95" s="195">
        <f t="shared" si="76"/>
        <v>1685.312195</v>
      </c>
      <c r="E95" s="212">
        <f t="shared" si="69"/>
        <v>333850716.7</v>
      </c>
      <c r="F95" s="214">
        <v>1.0455367035714285E11</v>
      </c>
      <c r="G95" s="47">
        <f t="shared" si="70"/>
        <v>313.1749166</v>
      </c>
      <c r="H95" s="195"/>
      <c r="I95" s="195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72" t="s">
        <v>1165</v>
      </c>
      <c r="B96" s="209">
        <v>1.239069504E7</v>
      </c>
      <c r="C96" s="220">
        <f t="shared" ref="C96:D96" si="77">H11</f>
        <v>742400</v>
      </c>
      <c r="D96" s="195">
        <f t="shared" si="77"/>
        <v>5.6640625</v>
      </c>
      <c r="E96" s="69">
        <f t="shared" si="69"/>
        <v>13133100.7</v>
      </c>
      <c r="F96" s="50">
        <v>2.014642857142857E8</v>
      </c>
      <c r="G96" s="47">
        <f t="shared" si="70"/>
        <v>15.34019195</v>
      </c>
      <c r="H96" s="195"/>
      <c r="I96" s="195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</row>
    <row r="97">
      <c r="A97" s="72" t="s">
        <v>1168</v>
      </c>
      <c r="B97" s="209">
        <v>1.90585995264E7</v>
      </c>
      <c r="C97" s="220">
        <f t="shared" ref="C97:D97" si="78">H12</f>
        <v>9155288.457</v>
      </c>
      <c r="D97" s="195">
        <f t="shared" si="78"/>
        <v>5</v>
      </c>
      <c r="E97" s="69">
        <f t="shared" si="69"/>
        <v>28213892.98</v>
      </c>
      <c r="F97" s="70">
        <v>7.591792E7</v>
      </c>
      <c r="G97" s="47">
        <f t="shared" si="70"/>
        <v>2.690799176</v>
      </c>
      <c r="H97" s="195"/>
      <c r="I97" s="195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72" t="s">
        <v>1171</v>
      </c>
      <c r="B98" s="209">
        <v>1.1635248512E10</v>
      </c>
      <c r="C98" s="220">
        <f t="shared" ref="C98:D98" si="79">H13</f>
        <v>327680000</v>
      </c>
      <c r="D98" s="195">
        <f t="shared" si="79"/>
        <v>327681250</v>
      </c>
      <c r="E98" s="69">
        <f t="shared" si="69"/>
        <v>12290609762</v>
      </c>
      <c r="F98" s="18">
        <v>1.2655586730124695E10</v>
      </c>
      <c r="G98" s="47">
        <f t="shared" si="70"/>
        <v>1.029695595</v>
      </c>
      <c r="H98" s="195"/>
      <c r="I98" s="195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</row>
    <row r="99">
      <c r="A99" s="198" t="s">
        <v>1174</v>
      </c>
      <c r="B99" s="211">
        <v>1.2127467897599998E8</v>
      </c>
      <c r="C99" s="220">
        <f t="shared" ref="C99:D99" si="80">H14</f>
        <v>15625000</v>
      </c>
      <c r="D99" s="195">
        <f t="shared" si="80"/>
        <v>312500</v>
      </c>
      <c r="E99" s="69">
        <f t="shared" si="69"/>
        <v>137212179</v>
      </c>
      <c r="F99" s="70">
        <v>2.9649247608439894E9</v>
      </c>
      <c r="G99" s="47">
        <f t="shared" si="70"/>
        <v>21.60832065</v>
      </c>
      <c r="H99" s="195"/>
      <c r="I99" s="195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72" t="s">
        <v>1177</v>
      </c>
      <c r="B100" s="209">
        <v>278063.59375</v>
      </c>
      <c r="C100" s="220">
        <f t="shared" ref="C100:D100" si="81">H15</f>
        <v>2441.40625</v>
      </c>
      <c r="D100" s="195">
        <f t="shared" si="81"/>
        <v>2441.40625</v>
      </c>
      <c r="E100" s="69">
        <f t="shared" si="69"/>
        <v>282946.4063</v>
      </c>
      <c r="F100" s="70">
        <v>1.143975E7</v>
      </c>
      <c r="G100" s="47">
        <f t="shared" si="70"/>
        <v>40.43080155</v>
      </c>
      <c r="H100" s="195"/>
      <c r="I100" s="195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72" t="s">
        <v>1189</v>
      </c>
      <c r="B101" s="204"/>
      <c r="C101" s="220" t="str">
        <f t="shared" ref="C101:D101" si="82">H16</f>
        <v/>
      </c>
      <c r="D101" s="195" t="str">
        <f t="shared" si="82"/>
        <v/>
      </c>
      <c r="E101" s="47"/>
      <c r="F101" s="69"/>
      <c r="G101" s="216">
        <f>GEOMEAN(G88:G100)</f>
        <v>15.60740835</v>
      </c>
      <c r="H101" s="195"/>
      <c r="I101" s="195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7"/>
      <c r="B102" s="204"/>
      <c r="C102" s="204"/>
      <c r="D102" s="47"/>
      <c r="E102" s="47"/>
      <c r="F102" s="69"/>
      <c r="G102" s="47"/>
      <c r="H102" s="195"/>
      <c r="I102" s="195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</row>
    <row r="103">
      <c r="A103" s="217" t="s">
        <v>1194</v>
      </c>
      <c r="H103" s="195"/>
      <c r="I103" s="221"/>
      <c r="J103" s="221"/>
      <c r="K103" s="221"/>
      <c r="L103" s="221"/>
      <c r="M103" s="221"/>
      <c r="N103" s="221"/>
      <c r="O103" s="221"/>
      <c r="P103" s="221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</row>
    <row r="104">
      <c r="A104" s="126"/>
      <c r="B104" s="207" t="s">
        <v>1182</v>
      </c>
      <c r="C104" s="218" t="s">
        <v>1140</v>
      </c>
      <c r="D104" s="218" t="s">
        <v>1183</v>
      </c>
      <c r="E104" s="126" t="s">
        <v>1184</v>
      </c>
      <c r="F104" s="219" t="s">
        <v>1185</v>
      </c>
      <c r="G104" s="126" t="s">
        <v>132</v>
      </c>
      <c r="H104" s="195"/>
      <c r="I104" s="126"/>
      <c r="J104" s="77" t="s">
        <v>132</v>
      </c>
      <c r="K104" s="218"/>
      <c r="L104" s="218"/>
      <c r="M104" s="126"/>
      <c r="N104" s="219"/>
      <c r="O104" s="126"/>
      <c r="P104" s="6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</row>
    <row r="105">
      <c r="A105" s="72" t="s">
        <v>1142</v>
      </c>
      <c r="B105" s="18">
        <v>2943.36</v>
      </c>
      <c r="C105" s="220">
        <f t="shared" ref="C105:D105" si="83">H3</f>
        <v>6103515.625</v>
      </c>
      <c r="D105" s="195">
        <f t="shared" si="83"/>
        <v>3051757.813</v>
      </c>
      <c r="E105" s="69">
        <f t="shared" ref="E105:E117" si="85">B105+C105+D105</f>
        <v>9158216.798</v>
      </c>
      <c r="F105" s="211">
        <v>1.0612145599639076E8</v>
      </c>
      <c r="G105" s="47">
        <f t="shared" ref="G105:G117" si="86">F105/E105</f>
        <v>11.58756757</v>
      </c>
      <c r="H105" s="195"/>
      <c r="I105" s="3" t="s">
        <v>1142</v>
      </c>
      <c r="J105" s="170">
        <f t="shared" ref="J105:J118" si="87">G105</f>
        <v>11.58756757</v>
      </c>
      <c r="K105" s="222"/>
      <c r="L105" s="18">
        <v>2943.36</v>
      </c>
      <c r="N105" s="223"/>
      <c r="P105" s="224"/>
      <c r="Q105" s="217" t="s">
        <v>1195</v>
      </c>
      <c r="X105" s="47"/>
      <c r="Y105" s="47"/>
      <c r="Z105" s="47"/>
      <c r="AA105" s="47"/>
      <c r="AB105" s="47"/>
    </row>
    <row r="106">
      <c r="A106" s="72" t="s">
        <v>1145</v>
      </c>
      <c r="B106" s="18">
        <v>343424.0</v>
      </c>
      <c r="C106" s="220">
        <f t="shared" ref="C106:D106" si="84">H4</f>
        <v>3051757.813</v>
      </c>
      <c r="D106" s="195">
        <f t="shared" si="84"/>
        <v>149.0116211</v>
      </c>
      <c r="E106" s="69">
        <f t="shared" si="85"/>
        <v>3395330.824</v>
      </c>
      <c r="F106" s="70">
        <v>7.0541E7</v>
      </c>
      <c r="G106" s="47">
        <f t="shared" si="86"/>
        <v>20.77588419</v>
      </c>
      <c r="H106" s="195"/>
      <c r="I106" s="3" t="s">
        <v>1145</v>
      </c>
      <c r="J106" s="170">
        <f t="shared" si="87"/>
        <v>20.77588419</v>
      </c>
      <c r="K106" s="222"/>
      <c r="L106" s="18">
        <v>343424.0</v>
      </c>
      <c r="N106" s="50"/>
      <c r="P106" s="224"/>
      <c r="Q106" s="126"/>
      <c r="R106" s="207" t="s">
        <v>1182</v>
      </c>
      <c r="S106" s="218" t="s">
        <v>1140</v>
      </c>
      <c r="T106" s="218" t="s">
        <v>1183</v>
      </c>
      <c r="U106" s="126" t="s">
        <v>1184</v>
      </c>
      <c r="V106" s="219" t="s">
        <v>1185</v>
      </c>
      <c r="W106" s="225" t="s">
        <v>1196</v>
      </c>
      <c r="X106" s="47"/>
      <c r="Y106" s="47"/>
      <c r="Z106" s="47"/>
      <c r="AA106" s="47"/>
      <c r="AB106" s="47"/>
    </row>
    <row r="107">
      <c r="A107" s="72" t="s">
        <v>1148</v>
      </c>
      <c r="B107" s="18">
        <v>3.181209147648E9</v>
      </c>
      <c r="C107" s="220">
        <f t="shared" ref="C107:D107" si="88">H5</f>
        <v>22888183.59</v>
      </c>
      <c r="D107" s="195">
        <f t="shared" si="88"/>
        <v>11444091.8</v>
      </c>
      <c r="E107" s="69">
        <f t="shared" si="85"/>
        <v>3215541423</v>
      </c>
      <c r="F107" s="70">
        <v>3.0732124E10</v>
      </c>
      <c r="G107" s="47">
        <f t="shared" si="86"/>
        <v>9.557371514</v>
      </c>
      <c r="H107" s="195"/>
      <c r="I107" s="3" t="s">
        <v>1148</v>
      </c>
      <c r="J107" s="170">
        <f t="shared" si="87"/>
        <v>9.557371514</v>
      </c>
      <c r="K107" s="222"/>
      <c r="L107" s="18">
        <v>3.181209147648E9</v>
      </c>
      <c r="N107" s="50"/>
      <c r="P107" s="224"/>
      <c r="Q107" s="43" t="s">
        <v>1142</v>
      </c>
      <c r="R107" s="18">
        <v>2943.36</v>
      </c>
      <c r="S107" s="220">
        <v>6103515.625</v>
      </c>
      <c r="T107" s="195">
        <v>3051757.8125</v>
      </c>
      <c r="U107" s="69">
        <f t="shared" ref="U107:U119" si="90">R107+S107+T107</f>
        <v>9158216.798</v>
      </c>
      <c r="V107" s="211">
        <v>1.0612145599639076E8</v>
      </c>
      <c r="W107" s="47">
        <f t="shared" ref="W107:W119" si="91">(S107+T107)/U107</f>
        <v>0.9996786099</v>
      </c>
      <c r="X107" s="47"/>
      <c r="Y107" s="47"/>
      <c r="Z107" s="47"/>
      <c r="AA107" s="47"/>
      <c r="AB107" s="47"/>
    </row>
    <row r="108">
      <c r="A108" s="72" t="s">
        <v>1151</v>
      </c>
      <c r="B108" s="50">
        <v>3.8314967E7</v>
      </c>
      <c r="C108" s="220">
        <f t="shared" ref="C108:D108" si="89">H6</f>
        <v>610351.5625</v>
      </c>
      <c r="D108" s="195">
        <f t="shared" si="89"/>
        <v>5120</v>
      </c>
      <c r="E108" s="69">
        <f t="shared" si="85"/>
        <v>38930438.56</v>
      </c>
      <c r="F108" s="70">
        <v>1.6552668E10</v>
      </c>
      <c r="G108" s="47">
        <f t="shared" si="86"/>
        <v>425.1857572</v>
      </c>
      <c r="H108" s="195"/>
      <c r="I108" s="3" t="s">
        <v>1151</v>
      </c>
      <c r="J108" s="170">
        <f t="shared" si="87"/>
        <v>425.1857572</v>
      </c>
      <c r="K108" s="222"/>
      <c r="L108" s="50">
        <v>3.8314967E7</v>
      </c>
      <c r="N108" s="50"/>
      <c r="P108" s="224"/>
      <c r="Q108" s="43" t="s">
        <v>1145</v>
      </c>
      <c r="R108" s="18">
        <v>343424.0</v>
      </c>
      <c r="S108" s="220">
        <v>3051757.8125</v>
      </c>
      <c r="T108" s="195">
        <v>149.01162109375</v>
      </c>
      <c r="U108" s="69">
        <f t="shared" si="90"/>
        <v>3395330.824</v>
      </c>
      <c r="V108" s="70">
        <v>7.0541E7</v>
      </c>
      <c r="W108" s="47">
        <f t="shared" si="91"/>
        <v>0.8988540387</v>
      </c>
      <c r="X108" s="47"/>
      <c r="Y108" s="47"/>
      <c r="Z108" s="47"/>
      <c r="AA108" s="47"/>
      <c r="AB108" s="47"/>
    </row>
    <row r="109">
      <c r="A109" s="72" t="s">
        <v>1154</v>
      </c>
      <c r="B109" s="18">
        <v>2.048E7</v>
      </c>
      <c r="C109" s="220">
        <f t="shared" ref="C109:D109" si="92">H7</f>
        <v>20480000</v>
      </c>
      <c r="D109" s="195">
        <f t="shared" si="92"/>
        <v>0</v>
      </c>
      <c r="E109" s="69">
        <f t="shared" si="85"/>
        <v>40960000</v>
      </c>
      <c r="F109" s="70">
        <v>1.60314E8</v>
      </c>
      <c r="G109" s="47">
        <f t="shared" si="86"/>
        <v>3.913916016</v>
      </c>
      <c r="H109" s="195"/>
      <c r="I109" s="3" t="s">
        <v>1154</v>
      </c>
      <c r="J109" s="170">
        <f t="shared" si="87"/>
        <v>3.913916016</v>
      </c>
      <c r="K109" s="222"/>
      <c r="L109" s="18">
        <v>2.048E7</v>
      </c>
      <c r="N109" s="50"/>
      <c r="P109" s="224"/>
      <c r="Q109" s="43" t="s">
        <v>1148</v>
      </c>
      <c r="R109" s="18">
        <v>3.181209147648E9</v>
      </c>
      <c r="S109" s="220">
        <v>2.288818359375E7</v>
      </c>
      <c r="T109" s="195">
        <v>1.1444091796875E7</v>
      </c>
      <c r="U109" s="69">
        <f t="shared" si="90"/>
        <v>3215541423</v>
      </c>
      <c r="V109" s="70">
        <v>3.0732124E10</v>
      </c>
      <c r="W109" s="47">
        <f t="shared" si="91"/>
        <v>0.01067698122</v>
      </c>
      <c r="X109" s="47"/>
      <c r="Y109" s="47"/>
      <c r="Z109" s="47"/>
      <c r="AA109" s="47"/>
      <c r="AB109" s="47"/>
    </row>
    <row r="110">
      <c r="A110" s="198" t="s">
        <v>37</v>
      </c>
      <c r="B110" s="18">
        <v>13918.464</v>
      </c>
      <c r="C110" s="220">
        <f t="shared" ref="C110:D110" si="93">H8</f>
        <v>2812500</v>
      </c>
      <c r="D110" s="195">
        <f t="shared" si="93"/>
        <v>2812500</v>
      </c>
      <c r="E110" s="69">
        <f t="shared" si="85"/>
        <v>5638918.464</v>
      </c>
      <c r="F110" s="70">
        <v>2.6299964285714287E7</v>
      </c>
      <c r="G110" s="47">
        <f t="shared" si="86"/>
        <v>4.664008613</v>
      </c>
      <c r="H110" s="195"/>
      <c r="I110" s="226" t="s">
        <v>37</v>
      </c>
      <c r="J110" s="170">
        <f t="shared" si="87"/>
        <v>4.664008613</v>
      </c>
      <c r="K110" s="222"/>
      <c r="L110" s="18">
        <v>13918.464</v>
      </c>
      <c r="N110" s="50"/>
      <c r="P110" s="224"/>
      <c r="Q110" s="72" t="s">
        <v>1151</v>
      </c>
      <c r="R110" s="50">
        <v>3.8314967E7</v>
      </c>
      <c r="S110" s="220">
        <v>610351.5625</v>
      </c>
      <c r="T110" s="195">
        <v>5120.0</v>
      </c>
      <c r="U110" s="69">
        <f t="shared" si="90"/>
        <v>38930438.56</v>
      </c>
      <c r="V110" s="70">
        <v>1.6552668E10</v>
      </c>
      <c r="W110" s="47">
        <f t="shared" si="91"/>
        <v>0.0158095204</v>
      </c>
      <c r="X110" s="47"/>
      <c r="Y110" s="47"/>
      <c r="Z110" s="47"/>
      <c r="AA110" s="47"/>
      <c r="AB110" s="47"/>
    </row>
    <row r="111">
      <c r="A111" s="193" t="s">
        <v>1159</v>
      </c>
      <c r="B111" s="18">
        <v>3303747.84</v>
      </c>
      <c r="C111" s="220">
        <f t="shared" ref="C111:D111" si="94">H9</f>
        <v>1638480</v>
      </c>
      <c r="D111" s="195">
        <f t="shared" si="94"/>
        <v>150</v>
      </c>
      <c r="E111" s="69">
        <f t="shared" si="85"/>
        <v>4942377.84</v>
      </c>
      <c r="F111" s="70">
        <v>1.7625E8</v>
      </c>
      <c r="G111" s="47">
        <f t="shared" si="86"/>
        <v>35.66097245</v>
      </c>
      <c r="H111" s="195"/>
      <c r="I111" s="227" t="s">
        <v>1159</v>
      </c>
      <c r="J111" s="170">
        <f t="shared" si="87"/>
        <v>35.66097245</v>
      </c>
      <c r="K111" s="222"/>
      <c r="L111" s="18">
        <v>3303747.84</v>
      </c>
      <c r="N111" s="50"/>
      <c r="P111" s="224"/>
      <c r="Q111" s="72" t="s">
        <v>1154</v>
      </c>
      <c r="R111" s="18">
        <v>2.048E7</v>
      </c>
      <c r="S111" s="220">
        <v>2.048E7</v>
      </c>
      <c r="T111" s="195">
        <v>0.0</v>
      </c>
      <c r="U111" s="69">
        <f t="shared" si="90"/>
        <v>40960000</v>
      </c>
      <c r="V111" s="70">
        <v>1.60314E8</v>
      </c>
      <c r="W111" s="47">
        <f t="shared" si="91"/>
        <v>0.5</v>
      </c>
      <c r="X111" s="47"/>
      <c r="Y111" s="47"/>
      <c r="Z111" s="47"/>
      <c r="AA111" s="47"/>
      <c r="AB111" s="47"/>
    </row>
    <row r="112">
      <c r="A112" s="72" t="s">
        <v>1162</v>
      </c>
      <c r="B112" s="120">
        <v>3.297896678945127E8</v>
      </c>
      <c r="C112" s="220">
        <f t="shared" ref="C112:D112" si="95">H10</f>
        <v>129081.1523</v>
      </c>
      <c r="D112" s="195">
        <f t="shared" si="95"/>
        <v>1685.312195</v>
      </c>
      <c r="E112" s="212">
        <f t="shared" si="85"/>
        <v>329920434.4</v>
      </c>
      <c r="F112" s="214">
        <v>1.0455367035714285E11</v>
      </c>
      <c r="G112" s="47">
        <f t="shared" si="86"/>
        <v>316.9057126</v>
      </c>
      <c r="H112" s="195"/>
      <c r="I112" s="3" t="s">
        <v>1162</v>
      </c>
      <c r="J112" s="170">
        <f t="shared" si="87"/>
        <v>316.9057126</v>
      </c>
      <c r="K112" s="222"/>
      <c r="L112" s="120">
        <v>3.297896678945127E8</v>
      </c>
      <c r="N112" s="119"/>
      <c r="P112" s="224"/>
      <c r="Q112" s="228" t="s">
        <v>37</v>
      </c>
      <c r="R112" s="18">
        <v>13918.464</v>
      </c>
      <c r="S112" s="220">
        <v>2812499.9999999995</v>
      </c>
      <c r="T112" s="195">
        <v>2812499.9999999995</v>
      </c>
      <c r="U112" s="69">
        <f t="shared" si="90"/>
        <v>5638918.464</v>
      </c>
      <c r="V112" s="70">
        <v>2.6299964285714287E7</v>
      </c>
      <c r="W112" s="47">
        <f t="shared" si="91"/>
        <v>0.9975317139</v>
      </c>
      <c r="X112" s="47"/>
      <c r="Y112" s="47"/>
      <c r="Z112" s="47"/>
      <c r="AA112" s="47"/>
      <c r="AB112" s="47"/>
    </row>
    <row r="113">
      <c r="A113" s="72" t="s">
        <v>1165</v>
      </c>
      <c r="B113" s="18">
        <v>6195347.52</v>
      </c>
      <c r="C113" s="220">
        <f t="shared" ref="C113:D113" si="96">H11</f>
        <v>742400</v>
      </c>
      <c r="D113" s="195">
        <f t="shared" si="96"/>
        <v>5.6640625</v>
      </c>
      <c r="E113" s="69">
        <f t="shared" si="85"/>
        <v>6937753.184</v>
      </c>
      <c r="F113" s="50">
        <v>2.014642857142857E8</v>
      </c>
      <c r="G113" s="47">
        <f t="shared" si="86"/>
        <v>29.03883727</v>
      </c>
      <c r="H113" s="195"/>
      <c r="I113" s="3" t="s">
        <v>1165</v>
      </c>
      <c r="J113" s="170">
        <f t="shared" si="87"/>
        <v>29.03883727</v>
      </c>
      <c r="K113" s="222"/>
      <c r="L113" s="18">
        <v>6195347.52</v>
      </c>
      <c r="N113" s="50"/>
      <c r="P113" s="224"/>
      <c r="Q113" s="193" t="s">
        <v>1159</v>
      </c>
      <c r="R113" s="18">
        <v>3303747.84</v>
      </c>
      <c r="S113" s="220">
        <v>1638480.0</v>
      </c>
      <c r="T113" s="195">
        <v>149.99999999999997</v>
      </c>
      <c r="U113" s="69">
        <f t="shared" si="90"/>
        <v>4942377.84</v>
      </c>
      <c r="V113" s="70">
        <v>1.7625E8</v>
      </c>
      <c r="W113" s="47">
        <f t="shared" si="91"/>
        <v>0.3315468896</v>
      </c>
      <c r="X113" s="47"/>
      <c r="Y113" s="47"/>
      <c r="Z113" s="47"/>
      <c r="AA113" s="47"/>
      <c r="AB113" s="47"/>
    </row>
    <row r="114">
      <c r="A114" s="72" t="s">
        <v>1168</v>
      </c>
      <c r="B114" s="18">
        <v>1.88702244864E7</v>
      </c>
      <c r="C114" s="220">
        <f t="shared" ref="C114:D114" si="97">H12</f>
        <v>9155288.457</v>
      </c>
      <c r="D114" s="195">
        <f t="shared" si="97"/>
        <v>5</v>
      </c>
      <c r="E114" s="69">
        <f t="shared" si="85"/>
        <v>28025517.94</v>
      </c>
      <c r="F114" s="70">
        <v>7.591792E7</v>
      </c>
      <c r="G114" s="47">
        <f t="shared" si="86"/>
        <v>2.708885529</v>
      </c>
      <c r="H114" s="195"/>
      <c r="I114" s="3" t="s">
        <v>1168</v>
      </c>
      <c r="J114" s="170">
        <f t="shared" si="87"/>
        <v>2.708885529</v>
      </c>
      <c r="K114" s="222"/>
      <c r="L114" s="18">
        <v>1.88702244864E7</v>
      </c>
      <c r="N114" s="50"/>
      <c r="P114" s="224"/>
      <c r="Q114" s="72" t="s">
        <v>1162</v>
      </c>
      <c r="R114" s="120">
        <v>3.297896678945127E8</v>
      </c>
      <c r="S114" s="220">
        <v>129081.15234380786</v>
      </c>
      <c r="T114" s="195">
        <v>1685.3121948242188</v>
      </c>
      <c r="U114" s="212">
        <f t="shared" si="90"/>
        <v>329920434.4</v>
      </c>
      <c r="V114" s="214">
        <v>1.0455367035714285E11</v>
      </c>
      <c r="W114" s="47">
        <f t="shared" si="91"/>
        <v>0.0003963575787</v>
      </c>
      <c r="X114" s="47"/>
      <c r="Y114" s="47"/>
      <c r="Z114" s="47"/>
      <c r="AA114" s="47"/>
      <c r="AB114" s="47"/>
    </row>
    <row r="115">
      <c r="A115" s="72" t="s">
        <v>1171</v>
      </c>
      <c r="B115" s="18">
        <v>5.858952896E9</v>
      </c>
      <c r="C115" s="220">
        <f t="shared" ref="C115:D115" si="98">H13</f>
        <v>327680000</v>
      </c>
      <c r="D115" s="195">
        <f t="shared" si="98"/>
        <v>327681250</v>
      </c>
      <c r="E115" s="69">
        <f t="shared" si="85"/>
        <v>6514314146</v>
      </c>
      <c r="F115" s="18">
        <v>1.2655586730124695E10</v>
      </c>
      <c r="G115" s="47">
        <f t="shared" si="86"/>
        <v>1.942735098</v>
      </c>
      <c r="H115" s="195"/>
      <c r="I115" s="3" t="s">
        <v>1171</v>
      </c>
      <c r="J115" s="170">
        <f t="shared" si="87"/>
        <v>1.942735098</v>
      </c>
      <c r="K115" s="222"/>
      <c r="L115" s="18">
        <v>5.858952896E9</v>
      </c>
      <c r="N115" s="18"/>
      <c r="P115" s="224"/>
      <c r="Q115" s="72" t="s">
        <v>1165</v>
      </c>
      <c r="R115" s="18">
        <v>6195347.52</v>
      </c>
      <c r="S115" s="220">
        <v>742400.0</v>
      </c>
      <c r="T115" s="195">
        <v>5.6640625</v>
      </c>
      <c r="U115" s="69">
        <f t="shared" si="90"/>
        <v>6937753.184</v>
      </c>
      <c r="V115" s="50">
        <v>2.014642857142857E8</v>
      </c>
      <c r="W115" s="47">
        <f t="shared" si="91"/>
        <v>0.1070095237</v>
      </c>
      <c r="X115" s="47"/>
      <c r="Y115" s="47"/>
      <c r="Z115" s="47"/>
      <c r="AA115" s="47"/>
      <c r="AB115" s="47"/>
    </row>
    <row r="116">
      <c r="A116" s="198" t="s">
        <v>1174</v>
      </c>
      <c r="B116" s="50">
        <v>6.063733948799999E7</v>
      </c>
      <c r="C116" s="220">
        <f t="shared" ref="C116:D116" si="99">H14</f>
        <v>15625000</v>
      </c>
      <c r="D116" s="195">
        <f t="shared" si="99"/>
        <v>312500</v>
      </c>
      <c r="E116" s="69">
        <f t="shared" si="85"/>
        <v>76574839.49</v>
      </c>
      <c r="F116" s="70">
        <v>2.9649247608439894E9</v>
      </c>
      <c r="G116" s="47">
        <f t="shared" si="86"/>
        <v>38.71930755</v>
      </c>
      <c r="H116" s="195"/>
      <c r="I116" s="226" t="s">
        <v>1174</v>
      </c>
      <c r="J116" s="170">
        <f t="shared" si="87"/>
        <v>38.71930755</v>
      </c>
      <c r="K116" s="222"/>
      <c r="L116" s="50">
        <v>6.063733948799999E7</v>
      </c>
      <c r="N116" s="50"/>
      <c r="P116" s="224"/>
      <c r="Q116" s="43" t="s">
        <v>1168</v>
      </c>
      <c r="R116" s="18">
        <v>1.88702244864E7</v>
      </c>
      <c r="S116" s="220">
        <v>9155288.457031248</v>
      </c>
      <c r="T116" s="195">
        <v>5.0</v>
      </c>
      <c r="U116" s="69">
        <f t="shared" si="90"/>
        <v>28025517.94</v>
      </c>
      <c r="V116" s="70">
        <v>7.591792E7</v>
      </c>
      <c r="W116" s="47">
        <f t="shared" si="91"/>
        <v>0.3266770475</v>
      </c>
      <c r="X116" s="47"/>
      <c r="Y116" s="47"/>
      <c r="Z116" s="47"/>
      <c r="AA116" s="47"/>
      <c r="AB116" s="47"/>
    </row>
    <row r="117">
      <c r="A117" s="72" t="s">
        <v>1177</v>
      </c>
      <c r="B117" s="209">
        <v>139031.796875</v>
      </c>
      <c r="C117" s="220">
        <f t="shared" ref="C117:D117" si="100">H15</f>
        <v>2441.40625</v>
      </c>
      <c r="D117" s="195">
        <f t="shared" si="100"/>
        <v>2441.40625</v>
      </c>
      <c r="E117" s="69">
        <f t="shared" si="85"/>
        <v>143914.6094</v>
      </c>
      <c r="F117" s="70">
        <v>1.143975E7</v>
      </c>
      <c r="G117" s="47">
        <f t="shared" si="86"/>
        <v>79.48984505</v>
      </c>
      <c r="H117" s="195"/>
      <c r="I117" s="3" t="s">
        <v>1177</v>
      </c>
      <c r="J117" s="170">
        <f t="shared" si="87"/>
        <v>79.48984505</v>
      </c>
      <c r="K117" s="222"/>
      <c r="L117" s="18">
        <v>1138948.48</v>
      </c>
      <c r="N117" s="50"/>
      <c r="P117" s="224"/>
      <c r="Q117" s="72" t="s">
        <v>1171</v>
      </c>
      <c r="R117" s="18">
        <v>5.858952896E9</v>
      </c>
      <c r="S117" s="220">
        <v>3.2768E8</v>
      </c>
      <c r="T117" s="195">
        <v>3.2768125E8</v>
      </c>
      <c r="U117" s="69">
        <f t="shared" si="90"/>
        <v>6514314146</v>
      </c>
      <c r="V117" s="18">
        <v>1.2655586730124695E10</v>
      </c>
      <c r="W117" s="47">
        <f t="shared" si="91"/>
        <v>0.1006032616</v>
      </c>
      <c r="X117" s="47"/>
      <c r="Y117" s="47"/>
      <c r="Z117" s="47"/>
      <c r="AA117" s="47"/>
      <c r="AB117" s="47"/>
    </row>
    <row r="118">
      <c r="A118" s="72" t="s">
        <v>1189</v>
      </c>
      <c r="B118" s="204"/>
      <c r="C118" s="220" t="str">
        <f t="shared" ref="C118:D118" si="101">H16</f>
        <v/>
      </c>
      <c r="D118" s="195" t="str">
        <f t="shared" si="101"/>
        <v/>
      </c>
      <c r="E118" s="47"/>
      <c r="F118" s="69"/>
      <c r="G118" s="215">
        <f>GEOMEAN(G105:G117)</f>
        <v>20.22799097</v>
      </c>
      <c r="H118" s="195"/>
      <c r="I118" s="3" t="s">
        <v>1189</v>
      </c>
      <c r="J118" s="170">
        <f t="shared" si="87"/>
        <v>20.22799097</v>
      </c>
      <c r="K118" s="222"/>
      <c r="L118" s="210"/>
      <c r="N118" s="18"/>
      <c r="O118" s="2"/>
      <c r="P118" s="224"/>
      <c r="Q118" s="198" t="s">
        <v>1174</v>
      </c>
      <c r="R118" s="50">
        <v>6.063733948799999E7</v>
      </c>
      <c r="S118" s="220">
        <v>1.5624999999999998E7</v>
      </c>
      <c r="T118" s="195">
        <v>312500.0</v>
      </c>
      <c r="U118" s="69">
        <f t="shared" si="90"/>
        <v>76574839.49</v>
      </c>
      <c r="V118" s="70">
        <v>2.9649247608439894E9</v>
      </c>
      <c r="W118" s="47">
        <f t="shared" si="91"/>
        <v>0.2081297213</v>
      </c>
      <c r="X118" s="47"/>
      <c r="Y118" s="47"/>
      <c r="Z118" s="47"/>
      <c r="AA118" s="47"/>
      <c r="AB118" s="47"/>
    </row>
    <row r="119">
      <c r="A119" s="47"/>
      <c r="B119" s="204"/>
      <c r="C119" s="204"/>
      <c r="D119" s="47"/>
      <c r="E119" s="47"/>
      <c r="F119" s="69"/>
      <c r="G119" s="47"/>
      <c r="H119" s="195"/>
      <c r="I119" s="195"/>
      <c r="J119" s="47"/>
      <c r="K119" s="47"/>
      <c r="L119" s="47"/>
      <c r="M119" s="47"/>
      <c r="N119" s="47"/>
      <c r="O119" s="47"/>
      <c r="P119" s="47"/>
      <c r="Q119" s="72" t="s">
        <v>1177</v>
      </c>
      <c r="R119" s="209">
        <v>139031.796875</v>
      </c>
      <c r="S119" s="220">
        <v>2441.40625</v>
      </c>
      <c r="T119" s="195">
        <v>2441.40625</v>
      </c>
      <c r="U119" s="69">
        <f t="shared" si="90"/>
        <v>143914.6094</v>
      </c>
      <c r="V119" s="70">
        <v>1.143975E7</v>
      </c>
      <c r="W119" s="47">
        <f t="shared" si="91"/>
        <v>0.03392853944</v>
      </c>
      <c r="X119" s="47"/>
      <c r="Y119" s="47"/>
      <c r="Z119" s="47"/>
      <c r="AA119" s="47"/>
      <c r="AB119" s="47"/>
    </row>
    <row r="120">
      <c r="A120" s="47"/>
      <c r="B120" s="204"/>
      <c r="C120" s="204"/>
      <c r="D120" s="47"/>
      <c r="E120" s="47"/>
      <c r="F120" s="69"/>
      <c r="G120" s="47"/>
      <c r="H120" s="195"/>
      <c r="I120" s="195"/>
      <c r="J120" s="47"/>
      <c r="K120" s="47"/>
      <c r="L120" s="47"/>
      <c r="M120" s="47"/>
      <c r="N120" s="47"/>
      <c r="O120" s="47"/>
      <c r="P120" s="47"/>
      <c r="Q120" s="72" t="s">
        <v>1189</v>
      </c>
      <c r="R120" s="204"/>
      <c r="S120" s="220" t="str">
        <f t="shared" ref="S120:T120" si="102">X18</f>
        <v/>
      </c>
      <c r="T120" s="195" t="str">
        <f t="shared" si="102"/>
        <v/>
      </c>
      <c r="U120" s="47"/>
      <c r="V120" s="69"/>
      <c r="W120" s="215"/>
      <c r="X120" s="47"/>
      <c r="Y120" s="47"/>
      <c r="Z120" s="47"/>
      <c r="AA120" s="47"/>
      <c r="AB120" s="47"/>
    </row>
    <row r="121">
      <c r="A121" s="217" t="s">
        <v>1197</v>
      </c>
      <c r="H121" s="195"/>
      <c r="I121" s="217" t="s">
        <v>1198</v>
      </c>
      <c r="P121" s="47"/>
      <c r="Q121" s="217" t="s">
        <v>1199</v>
      </c>
      <c r="X121" s="47"/>
      <c r="Y121" s="47"/>
      <c r="Z121" s="47"/>
      <c r="AA121" s="47"/>
      <c r="AB121" s="47"/>
    </row>
    <row r="122">
      <c r="A122" s="126" t="s">
        <v>1181</v>
      </c>
      <c r="B122" s="207" t="s">
        <v>1182</v>
      </c>
      <c r="C122" s="218" t="s">
        <v>1140</v>
      </c>
      <c r="D122" s="218" t="s">
        <v>1183</v>
      </c>
      <c r="E122" s="126" t="s">
        <v>1184</v>
      </c>
      <c r="F122" s="219" t="s">
        <v>1185</v>
      </c>
      <c r="G122" s="126" t="s">
        <v>132</v>
      </c>
      <c r="H122" s="195"/>
      <c r="I122" s="126" t="s">
        <v>1181</v>
      </c>
      <c r="J122" s="207" t="s">
        <v>1182</v>
      </c>
      <c r="K122" s="218" t="s">
        <v>1140</v>
      </c>
      <c r="L122" s="218" t="s">
        <v>1183</v>
      </c>
      <c r="M122" s="126" t="s">
        <v>1184</v>
      </c>
      <c r="N122" s="219" t="s">
        <v>1185</v>
      </c>
      <c r="O122" s="126" t="s">
        <v>132</v>
      </c>
      <c r="P122" s="47"/>
      <c r="Q122" s="126" t="s">
        <v>1181</v>
      </c>
      <c r="R122" s="207" t="s">
        <v>1182</v>
      </c>
      <c r="S122" s="218" t="s">
        <v>1140</v>
      </c>
      <c r="T122" s="218" t="s">
        <v>1183</v>
      </c>
      <c r="U122" s="126" t="s">
        <v>1184</v>
      </c>
      <c r="V122" s="219" t="s">
        <v>1185</v>
      </c>
      <c r="W122" s="126" t="s">
        <v>132</v>
      </c>
      <c r="X122" s="47"/>
      <c r="Y122" s="47"/>
      <c r="Z122" s="47"/>
      <c r="AA122" s="47"/>
      <c r="AB122" s="47"/>
    </row>
    <row r="123">
      <c r="A123" s="72" t="s">
        <v>1142</v>
      </c>
      <c r="B123" s="209">
        <v>16401.42</v>
      </c>
      <c r="C123" s="220">
        <f t="shared" ref="C123:D123" si="103">H3</f>
        <v>6103515.625</v>
      </c>
      <c r="D123" s="195">
        <f t="shared" si="103"/>
        <v>3051757.813</v>
      </c>
      <c r="E123" s="69">
        <f t="shared" ref="E123:E135" si="105">B123+C123+D123</f>
        <v>9171674.858</v>
      </c>
      <c r="F123" s="211">
        <v>1.0612145599639076E8</v>
      </c>
      <c r="G123" s="47">
        <f t="shared" ref="G123:G135" si="106">F123/E123</f>
        <v>11.57056455</v>
      </c>
      <c r="H123" s="195"/>
      <c r="I123" s="72" t="s">
        <v>1142</v>
      </c>
      <c r="J123" s="209">
        <v>164014.19999999998</v>
      </c>
      <c r="K123" s="220">
        <v>6103515.625</v>
      </c>
      <c r="L123" s="195">
        <v>3051757.8125</v>
      </c>
      <c r="M123" s="69">
        <f t="shared" ref="M123:M135" si="107">J123+K123+L123</f>
        <v>9319287.638</v>
      </c>
      <c r="N123" s="211">
        <v>1.0612145599639076E8</v>
      </c>
      <c r="O123" s="47">
        <f t="shared" ref="O123:O135" si="108">N123/M123</f>
        <v>11.38729269</v>
      </c>
      <c r="P123" s="47"/>
      <c r="Q123" s="72" t="s">
        <v>1142</v>
      </c>
      <c r="R123" s="209">
        <v>17270.82</v>
      </c>
      <c r="S123" s="220">
        <v>6103515.625</v>
      </c>
      <c r="T123" s="195">
        <v>3051757.8125</v>
      </c>
      <c r="U123" s="69">
        <f t="shared" ref="U123:U135" si="109">R123+S123+T123</f>
        <v>9172544.258</v>
      </c>
      <c r="V123" s="211">
        <v>1.0612145599639076E8</v>
      </c>
      <c r="W123" s="47">
        <f t="shared" ref="W123:W135" si="110">V123/U123</f>
        <v>11.56946786</v>
      </c>
      <c r="X123" s="47"/>
      <c r="Y123" s="47"/>
      <c r="Z123" s="47"/>
      <c r="AA123" s="47"/>
      <c r="AB123" s="47"/>
    </row>
    <row r="124">
      <c r="A124" s="72" t="s">
        <v>1145</v>
      </c>
      <c r="B124" s="209">
        <v>1133470.2079999999</v>
      </c>
      <c r="C124" s="220">
        <f t="shared" ref="C124:D124" si="104">H4</f>
        <v>3051757.813</v>
      </c>
      <c r="D124" s="195">
        <f t="shared" si="104"/>
        <v>149.0116211</v>
      </c>
      <c r="E124" s="69">
        <f t="shared" si="105"/>
        <v>4185377.032</v>
      </c>
      <c r="F124" s="70">
        <v>7.0541E7</v>
      </c>
      <c r="G124" s="47">
        <f t="shared" si="106"/>
        <v>16.85415662</v>
      </c>
      <c r="H124" s="195"/>
      <c r="I124" s="72" t="s">
        <v>1145</v>
      </c>
      <c r="J124" s="209">
        <v>1.8135523327999998E7</v>
      </c>
      <c r="K124" s="220">
        <v>3051757.8125</v>
      </c>
      <c r="L124" s="195">
        <v>149.01162109375</v>
      </c>
      <c r="M124" s="69">
        <f t="shared" si="107"/>
        <v>21187430.15</v>
      </c>
      <c r="N124" s="70">
        <v>7.0541E7</v>
      </c>
      <c r="O124" s="47">
        <f t="shared" si="108"/>
        <v>3.329379707</v>
      </c>
      <c r="P124" s="47"/>
      <c r="Q124" s="72" t="s">
        <v>1145</v>
      </c>
      <c r="R124" s="209">
        <v>2075393.0240000002</v>
      </c>
      <c r="S124" s="220">
        <v>3051757.8125</v>
      </c>
      <c r="T124" s="195">
        <v>149.01162109375</v>
      </c>
      <c r="U124" s="69">
        <f t="shared" si="109"/>
        <v>5127299.848</v>
      </c>
      <c r="V124" s="70">
        <v>7.0541E7</v>
      </c>
      <c r="W124" s="47">
        <f t="shared" si="110"/>
        <v>13.75792368</v>
      </c>
      <c r="X124" s="47"/>
      <c r="Y124" s="47"/>
      <c r="Z124" s="47"/>
      <c r="AA124" s="47"/>
      <c r="AB124" s="47"/>
    </row>
    <row r="125">
      <c r="A125" s="72" t="s">
        <v>1148</v>
      </c>
      <c r="B125" s="209">
        <v>3.192544793088E9</v>
      </c>
      <c r="C125" s="220">
        <f t="shared" ref="C125:D125" si="111">H5</f>
        <v>22888183.59</v>
      </c>
      <c r="D125" s="195">
        <f t="shared" si="111"/>
        <v>11444091.8</v>
      </c>
      <c r="E125" s="69">
        <f t="shared" si="105"/>
        <v>3226877068</v>
      </c>
      <c r="F125" s="70">
        <v>3.0732124E10</v>
      </c>
      <c r="G125" s="47">
        <f t="shared" si="106"/>
        <v>9.523797575</v>
      </c>
      <c r="H125" s="195"/>
      <c r="I125" s="72" t="s">
        <v>1148</v>
      </c>
      <c r="J125" s="209">
        <v>3.5077940352E9</v>
      </c>
      <c r="K125" s="220">
        <v>2.288818359375E7</v>
      </c>
      <c r="L125" s="195">
        <v>1.1444091796875E7</v>
      </c>
      <c r="M125" s="69">
        <f t="shared" si="107"/>
        <v>3542126311</v>
      </c>
      <c r="N125" s="70">
        <v>3.0732124E10</v>
      </c>
      <c r="O125" s="47">
        <f t="shared" si="108"/>
        <v>8.67617959</v>
      </c>
      <c r="P125" s="47"/>
      <c r="Q125" s="72" t="s">
        <v>1148</v>
      </c>
      <c r="R125" s="209">
        <v>3.194244457992E9</v>
      </c>
      <c r="S125" s="220">
        <v>2.288818359375E7</v>
      </c>
      <c r="T125" s="195">
        <v>1.1444091796875E7</v>
      </c>
      <c r="U125" s="69">
        <f t="shared" si="109"/>
        <v>3228576733</v>
      </c>
      <c r="V125" s="70">
        <v>3.0732124E10</v>
      </c>
      <c r="W125" s="47">
        <f t="shared" si="110"/>
        <v>9.518783829</v>
      </c>
      <c r="X125" s="47"/>
      <c r="Y125" s="47"/>
      <c r="Z125" s="47"/>
      <c r="AA125" s="47"/>
      <c r="AB125" s="47"/>
    </row>
    <row r="126">
      <c r="A126" s="72" t="s">
        <v>1151</v>
      </c>
      <c r="B126" s="209">
        <v>6.308757504000001E7</v>
      </c>
      <c r="C126" s="220">
        <f t="shared" ref="C126:D126" si="112">H6</f>
        <v>610351.5625</v>
      </c>
      <c r="D126" s="195">
        <f t="shared" si="112"/>
        <v>5120</v>
      </c>
      <c r="E126" s="69">
        <f t="shared" si="105"/>
        <v>63703046.6</v>
      </c>
      <c r="F126" s="70">
        <v>1.6552668E10</v>
      </c>
      <c r="G126" s="47">
        <f t="shared" si="106"/>
        <v>259.8410733</v>
      </c>
      <c r="H126" s="195"/>
      <c r="I126" s="72" t="s">
        <v>1151</v>
      </c>
      <c r="J126" s="209">
        <v>3.345790952448E9</v>
      </c>
      <c r="K126" s="220">
        <v>610351.5625</v>
      </c>
      <c r="L126" s="195">
        <v>5120.0</v>
      </c>
      <c r="M126" s="69">
        <f t="shared" si="107"/>
        <v>3346406424</v>
      </c>
      <c r="N126" s="70">
        <v>1.6552668E10</v>
      </c>
      <c r="O126" s="47">
        <f t="shared" si="108"/>
        <v>4.946400975</v>
      </c>
      <c r="P126" s="47"/>
      <c r="Q126" s="72" t="s">
        <v>1151</v>
      </c>
      <c r="R126" s="209">
        <v>1.5901949951999998E8</v>
      </c>
      <c r="S126" s="220">
        <v>610351.5625</v>
      </c>
      <c r="T126" s="195">
        <v>5120.0</v>
      </c>
      <c r="U126" s="69">
        <f t="shared" si="109"/>
        <v>159634971.1</v>
      </c>
      <c r="V126" s="70">
        <v>1.6552668E10</v>
      </c>
      <c r="W126" s="47">
        <f t="shared" si="110"/>
        <v>103.6907382</v>
      </c>
      <c r="X126" s="47"/>
      <c r="Y126" s="47"/>
      <c r="Z126" s="47"/>
      <c r="AA126" s="47"/>
      <c r="AB126" s="47"/>
    </row>
    <row r="127">
      <c r="A127" s="72" t="s">
        <v>1154</v>
      </c>
      <c r="B127" s="209">
        <v>2.048E7</v>
      </c>
      <c r="C127" s="220">
        <f t="shared" ref="C127:D127" si="113">H7</f>
        <v>20480000</v>
      </c>
      <c r="D127" s="195">
        <f t="shared" si="113"/>
        <v>0</v>
      </c>
      <c r="E127" s="69">
        <f t="shared" si="105"/>
        <v>40960000</v>
      </c>
      <c r="F127" s="70">
        <v>1.60314E8</v>
      </c>
      <c r="G127" s="47">
        <f t="shared" si="106"/>
        <v>3.913916016</v>
      </c>
      <c r="H127" s="195"/>
      <c r="I127" s="72" t="s">
        <v>1154</v>
      </c>
      <c r="J127" s="209">
        <v>2.048E7</v>
      </c>
      <c r="K127" s="220">
        <v>2.048E7</v>
      </c>
      <c r="L127" s="195">
        <v>0.0</v>
      </c>
      <c r="M127" s="69">
        <f t="shared" si="107"/>
        <v>40960000</v>
      </c>
      <c r="N127" s="70">
        <v>1.60314E8</v>
      </c>
      <c r="O127" s="47">
        <f t="shared" si="108"/>
        <v>3.913916016</v>
      </c>
      <c r="P127" s="47"/>
      <c r="Q127" s="72" t="s">
        <v>1154</v>
      </c>
      <c r="R127" s="209">
        <v>2.048E7</v>
      </c>
      <c r="S127" s="220">
        <v>2.048E7</v>
      </c>
      <c r="T127" s="195">
        <v>0.0</v>
      </c>
      <c r="U127" s="69">
        <f t="shared" si="109"/>
        <v>40960000</v>
      </c>
      <c r="V127" s="70">
        <v>1.60314E8</v>
      </c>
      <c r="W127" s="47">
        <f t="shared" si="110"/>
        <v>3.913916016</v>
      </c>
      <c r="X127" s="47"/>
      <c r="Y127" s="47"/>
      <c r="Z127" s="47"/>
      <c r="AA127" s="47"/>
      <c r="AB127" s="47"/>
    </row>
    <row r="128">
      <c r="A128" s="198" t="s">
        <v>37</v>
      </c>
      <c r="B128" s="209">
        <v>52819.200000000004</v>
      </c>
      <c r="C128" s="220">
        <f t="shared" ref="C128:D128" si="114">H8</f>
        <v>2812500</v>
      </c>
      <c r="D128" s="195">
        <f t="shared" si="114"/>
        <v>2812500</v>
      </c>
      <c r="E128" s="69">
        <f t="shared" si="105"/>
        <v>5677819.2</v>
      </c>
      <c r="F128" s="70">
        <v>2.6299964285714287E7</v>
      </c>
      <c r="G128" s="47">
        <f t="shared" si="106"/>
        <v>4.63205385</v>
      </c>
      <c r="H128" s="195"/>
      <c r="I128" s="198" t="s">
        <v>37</v>
      </c>
      <c r="J128" s="209">
        <v>475372.8</v>
      </c>
      <c r="K128" s="220">
        <v>2812499.9999999995</v>
      </c>
      <c r="L128" s="195">
        <v>2812499.9999999995</v>
      </c>
      <c r="M128" s="69">
        <f t="shared" si="107"/>
        <v>6100372.8</v>
      </c>
      <c r="N128" s="70">
        <v>2.6299964285714287E7</v>
      </c>
      <c r="O128" s="47">
        <f t="shared" si="108"/>
        <v>4.311206077</v>
      </c>
      <c r="P128" s="47"/>
      <c r="Q128" s="198" t="s">
        <v>37</v>
      </c>
      <c r="R128" s="209">
        <v>61356.95999999999</v>
      </c>
      <c r="S128" s="220">
        <v>2812499.9999999995</v>
      </c>
      <c r="T128" s="195">
        <v>2812499.9999999995</v>
      </c>
      <c r="U128" s="69">
        <f t="shared" si="109"/>
        <v>5686356.96</v>
      </c>
      <c r="V128" s="70">
        <v>2.6299964285714287E7</v>
      </c>
      <c r="W128" s="47">
        <f t="shared" si="110"/>
        <v>4.62509907</v>
      </c>
      <c r="X128" s="47"/>
      <c r="Y128" s="47"/>
      <c r="Z128" s="47"/>
      <c r="AA128" s="47"/>
      <c r="AB128" s="47"/>
    </row>
    <row r="129">
      <c r="A129" s="193" t="s">
        <v>1159</v>
      </c>
      <c r="B129" s="18">
        <v>3896282.496</v>
      </c>
      <c r="C129" s="220">
        <f t="shared" ref="C129:D129" si="115">H9</f>
        <v>1638480</v>
      </c>
      <c r="D129" s="195">
        <f t="shared" si="115"/>
        <v>150</v>
      </c>
      <c r="E129" s="69">
        <f t="shared" si="105"/>
        <v>5534912.496</v>
      </c>
      <c r="F129" s="70">
        <v>1.7625E8</v>
      </c>
      <c r="G129" s="47">
        <f t="shared" si="106"/>
        <v>31.84332185</v>
      </c>
      <c r="H129" s="195"/>
      <c r="I129" s="193" t="s">
        <v>1159</v>
      </c>
      <c r="J129" s="18">
        <v>1.4181390336E7</v>
      </c>
      <c r="K129" s="220">
        <v>1638480.0</v>
      </c>
      <c r="L129" s="195">
        <v>149.99999999999997</v>
      </c>
      <c r="M129" s="69">
        <f t="shared" si="107"/>
        <v>15820020.34</v>
      </c>
      <c r="N129" s="70">
        <v>1.7625E8</v>
      </c>
      <c r="O129" s="47">
        <f t="shared" si="108"/>
        <v>11.14094649</v>
      </c>
      <c r="P129" s="47"/>
      <c r="Q129" s="193" t="s">
        <v>1159</v>
      </c>
      <c r="R129" s="18">
        <v>4109438.208</v>
      </c>
      <c r="S129" s="220">
        <v>1638480.0</v>
      </c>
      <c r="T129" s="195">
        <v>149.99999999999997</v>
      </c>
      <c r="U129" s="69">
        <f t="shared" si="109"/>
        <v>5748068.208</v>
      </c>
      <c r="V129" s="70">
        <v>1.7625E8</v>
      </c>
      <c r="W129" s="47">
        <f t="shared" si="110"/>
        <v>30.6624754</v>
      </c>
      <c r="X129" s="47"/>
      <c r="Y129" s="47"/>
      <c r="Z129" s="47"/>
      <c r="AA129" s="47"/>
      <c r="AB129" s="47"/>
    </row>
    <row r="130">
      <c r="A130" s="72" t="s">
        <v>1162</v>
      </c>
      <c r="B130" s="213">
        <v>6.556490534945127E8</v>
      </c>
      <c r="C130" s="220">
        <f t="shared" ref="C130:D130" si="116">H10</f>
        <v>129081.1523</v>
      </c>
      <c r="D130" s="195">
        <f t="shared" si="116"/>
        <v>1685.312195</v>
      </c>
      <c r="E130" s="212">
        <f t="shared" si="105"/>
        <v>655779820</v>
      </c>
      <c r="F130" s="214">
        <v>1.0455367035714285E11</v>
      </c>
      <c r="G130" s="47">
        <f t="shared" si="106"/>
        <v>159.4341076</v>
      </c>
      <c r="H130" s="195"/>
      <c r="I130" s="72" t="s">
        <v>1162</v>
      </c>
      <c r="J130" s="213">
        <v>7.146032879122046E8</v>
      </c>
      <c r="K130" s="220">
        <v>129081.15234380786</v>
      </c>
      <c r="L130" s="195">
        <v>1685.3121948242188</v>
      </c>
      <c r="M130" s="212">
        <f t="shared" si="107"/>
        <v>714734054.4</v>
      </c>
      <c r="N130" s="214">
        <v>1.0455367035714285E11</v>
      </c>
      <c r="O130" s="47">
        <f t="shared" si="108"/>
        <v>146.28332</v>
      </c>
      <c r="P130" s="47"/>
      <c r="Q130" s="72" t="s">
        <v>1162</v>
      </c>
      <c r="R130" s="213">
        <v>3.5371654497805125E8</v>
      </c>
      <c r="S130" s="220">
        <v>129081.15234380786</v>
      </c>
      <c r="T130" s="195">
        <v>1685.3121948242188</v>
      </c>
      <c r="U130" s="212">
        <f t="shared" si="109"/>
        <v>353847311.4</v>
      </c>
      <c r="V130" s="214">
        <v>1.0455367035714285E11</v>
      </c>
      <c r="W130" s="47">
        <f t="shared" si="110"/>
        <v>295.4767974</v>
      </c>
      <c r="X130" s="47"/>
      <c r="Y130" s="47"/>
      <c r="Z130" s="47"/>
      <c r="AA130" s="47"/>
      <c r="AB130" s="47"/>
    </row>
    <row r="131">
      <c r="A131" s="72" t="s">
        <v>1165</v>
      </c>
      <c r="B131" s="209">
        <v>6533304.9216</v>
      </c>
      <c r="C131" s="220">
        <f t="shared" ref="C131:D131" si="117">H11</f>
        <v>742400</v>
      </c>
      <c r="D131" s="195">
        <f t="shared" si="117"/>
        <v>5.6640625</v>
      </c>
      <c r="E131" s="69">
        <f t="shared" si="105"/>
        <v>7275710.586</v>
      </c>
      <c r="F131" s="50">
        <v>2.014642857142857E8</v>
      </c>
      <c r="G131" s="47">
        <f t="shared" si="106"/>
        <v>27.6899807</v>
      </c>
      <c r="H131" s="195"/>
      <c r="I131" s="72" t="s">
        <v>1165</v>
      </c>
      <c r="J131" s="209">
        <v>1.001773421312E8</v>
      </c>
      <c r="K131" s="220">
        <v>742400.0</v>
      </c>
      <c r="L131" s="195">
        <v>5.6640625</v>
      </c>
      <c r="M131" s="69">
        <f t="shared" si="107"/>
        <v>100919747.8</v>
      </c>
      <c r="N131" s="50">
        <v>2.014642857142857E8</v>
      </c>
      <c r="O131" s="47">
        <f t="shared" si="108"/>
        <v>1.996282097</v>
      </c>
      <c r="P131" s="47"/>
      <c r="Q131" s="72" t="s">
        <v>1165</v>
      </c>
      <c r="R131" s="209">
        <v>2.50961667072E7</v>
      </c>
      <c r="S131" s="220">
        <v>742400.0</v>
      </c>
      <c r="T131" s="195">
        <v>5.6640625</v>
      </c>
      <c r="U131" s="69">
        <f t="shared" si="109"/>
        <v>25838572.37</v>
      </c>
      <c r="V131" s="50">
        <v>2.014642857142857E8</v>
      </c>
      <c r="W131" s="47">
        <f t="shared" si="110"/>
        <v>7.797036261</v>
      </c>
      <c r="X131" s="47"/>
      <c r="Y131" s="47"/>
      <c r="Z131" s="47"/>
      <c r="AA131" s="47"/>
      <c r="AB131" s="47"/>
    </row>
    <row r="132">
      <c r="A132" s="72" t="s">
        <v>1168</v>
      </c>
      <c r="B132" s="209">
        <v>1.90585995264E7</v>
      </c>
      <c r="C132" s="220">
        <f t="shared" ref="C132:D132" si="118">H12</f>
        <v>9155288.457</v>
      </c>
      <c r="D132" s="195">
        <f t="shared" si="118"/>
        <v>5</v>
      </c>
      <c r="E132" s="69">
        <f t="shared" si="105"/>
        <v>28213892.98</v>
      </c>
      <c r="F132" s="70">
        <v>7.591792E7</v>
      </c>
      <c r="G132" s="47">
        <f t="shared" si="106"/>
        <v>2.690799176</v>
      </c>
      <c r="H132" s="195"/>
      <c r="I132" s="72" t="s">
        <v>1168</v>
      </c>
      <c r="J132" s="209">
        <v>2.3956350566400003E7</v>
      </c>
      <c r="K132" s="220">
        <v>9155288.457031248</v>
      </c>
      <c r="L132" s="195">
        <v>5.0</v>
      </c>
      <c r="M132" s="69">
        <f t="shared" si="107"/>
        <v>33111644.02</v>
      </c>
      <c r="N132" s="70">
        <v>7.591792E7</v>
      </c>
      <c r="O132" s="47">
        <f t="shared" si="108"/>
        <v>2.292786186</v>
      </c>
      <c r="P132" s="47"/>
      <c r="Q132" s="72" t="s">
        <v>1168</v>
      </c>
      <c r="R132" s="209">
        <v>1.94856689664E7</v>
      </c>
      <c r="S132" s="220">
        <v>9155288.457031248</v>
      </c>
      <c r="T132" s="195">
        <v>5.0</v>
      </c>
      <c r="U132" s="69">
        <f t="shared" si="109"/>
        <v>28640962.42</v>
      </c>
      <c r="V132" s="70">
        <v>7.591792E7</v>
      </c>
      <c r="W132" s="47">
        <f t="shared" si="110"/>
        <v>2.650676289</v>
      </c>
      <c r="X132" s="47"/>
      <c r="Y132" s="47"/>
      <c r="Z132" s="47"/>
      <c r="AA132" s="47"/>
      <c r="AB132" s="47"/>
    </row>
    <row r="133">
      <c r="A133" s="72" t="s">
        <v>1171</v>
      </c>
      <c r="B133" s="209">
        <v>4.56196020284E10</v>
      </c>
      <c r="C133" s="220">
        <f t="shared" ref="C133:D133" si="119">H13</f>
        <v>327680000</v>
      </c>
      <c r="D133" s="195">
        <f t="shared" si="119"/>
        <v>327681250</v>
      </c>
      <c r="E133" s="69">
        <f t="shared" si="105"/>
        <v>46274963278</v>
      </c>
      <c r="F133" s="18">
        <v>1.2655586730124695E10</v>
      </c>
      <c r="G133" s="47">
        <f t="shared" si="106"/>
        <v>0.2734866942</v>
      </c>
      <c r="H133" s="195"/>
      <c r="I133" s="72" t="s">
        <v>1171</v>
      </c>
      <c r="J133" s="209">
        <v>7.286737732544E11</v>
      </c>
      <c r="K133" s="220">
        <v>3.2768E8</v>
      </c>
      <c r="L133" s="195">
        <v>3.2768125E8</v>
      </c>
      <c r="M133" s="69">
        <f t="shared" si="107"/>
        <v>729329134504</v>
      </c>
      <c r="N133" s="18">
        <v>1.2655586730124695E10</v>
      </c>
      <c r="O133" s="47">
        <f t="shared" si="108"/>
        <v>0.0173523669</v>
      </c>
      <c r="P133" s="47"/>
      <c r="Q133" s="72" t="s">
        <v>1171</v>
      </c>
      <c r="R133" s="209">
        <v>5.9776454475200005E10</v>
      </c>
      <c r="S133" s="220">
        <v>3.2768E8</v>
      </c>
      <c r="T133" s="195">
        <v>3.2768125E8</v>
      </c>
      <c r="U133" s="69">
        <f t="shared" si="109"/>
        <v>60431815725</v>
      </c>
      <c r="V133" s="18">
        <v>1.2655586730124695E10</v>
      </c>
      <c r="W133" s="47">
        <f t="shared" si="110"/>
        <v>0.2094192699</v>
      </c>
      <c r="X133" s="47"/>
      <c r="Y133" s="47"/>
      <c r="Z133" s="47"/>
      <c r="AA133" s="47"/>
      <c r="AB133" s="47"/>
    </row>
    <row r="134">
      <c r="A134" s="198" t="s">
        <v>1174</v>
      </c>
      <c r="B134" s="211">
        <v>6.644810668799999E7</v>
      </c>
      <c r="C134" s="220">
        <f t="shared" ref="C134:D134" si="120">H14</f>
        <v>15625000</v>
      </c>
      <c r="D134" s="195">
        <f t="shared" si="120"/>
        <v>312500</v>
      </c>
      <c r="E134" s="69">
        <f t="shared" si="105"/>
        <v>82385606.69</v>
      </c>
      <c r="F134" s="70">
        <v>2.9649247608439894E9</v>
      </c>
      <c r="G134" s="47">
        <f t="shared" si="106"/>
        <v>35.98838292</v>
      </c>
      <c r="H134" s="195"/>
      <c r="I134" s="198" t="s">
        <v>1174</v>
      </c>
      <c r="J134" s="211">
        <v>9.9672160032E8</v>
      </c>
      <c r="K134" s="220">
        <v>1.5624999999999998E7</v>
      </c>
      <c r="L134" s="195">
        <v>312500.0</v>
      </c>
      <c r="M134" s="69">
        <f t="shared" si="107"/>
        <v>1012659100</v>
      </c>
      <c r="N134" s="70">
        <v>2.9649247608439894E9</v>
      </c>
      <c r="O134" s="47">
        <f t="shared" si="108"/>
        <v>2.927860679</v>
      </c>
      <c r="P134" s="47"/>
      <c r="Q134" s="198" t="s">
        <v>1174</v>
      </c>
      <c r="R134" s="211">
        <v>2.4750085555200002E8</v>
      </c>
      <c r="S134" s="220">
        <v>1.5624999999999998E7</v>
      </c>
      <c r="T134" s="195">
        <v>312500.0</v>
      </c>
      <c r="U134" s="69">
        <f t="shared" si="109"/>
        <v>263438355.6</v>
      </c>
      <c r="V134" s="70">
        <v>2.9649247608439894E9</v>
      </c>
      <c r="W134" s="47">
        <f t="shared" si="110"/>
        <v>11.25471936</v>
      </c>
      <c r="X134" s="47"/>
      <c r="Y134" s="47"/>
      <c r="Z134" s="47"/>
      <c r="AA134" s="47"/>
      <c r="AB134" s="47"/>
    </row>
    <row r="135">
      <c r="A135" s="72" t="s">
        <v>1177</v>
      </c>
      <c r="B135" s="209">
        <v>1770985.4463999998</v>
      </c>
      <c r="C135" s="220">
        <f t="shared" ref="C135:D135" si="121">H15</f>
        <v>2441.40625</v>
      </c>
      <c r="D135" s="195">
        <f t="shared" si="121"/>
        <v>2441.40625</v>
      </c>
      <c r="E135" s="69">
        <f t="shared" si="105"/>
        <v>1775868.259</v>
      </c>
      <c r="F135" s="70">
        <v>1.143975E7</v>
      </c>
      <c r="G135" s="47">
        <f t="shared" si="106"/>
        <v>6.441778517</v>
      </c>
      <c r="H135" s="195"/>
      <c r="I135" s="72" t="s">
        <v>1177</v>
      </c>
      <c r="J135" s="209">
        <v>2340529.55</v>
      </c>
      <c r="K135" s="220">
        <v>2441.40625</v>
      </c>
      <c r="L135" s="195">
        <v>2441.40625</v>
      </c>
      <c r="M135" s="69">
        <f t="shared" si="107"/>
        <v>2345412.363</v>
      </c>
      <c r="N135" s="70">
        <v>1.143975E7</v>
      </c>
      <c r="O135" s="47">
        <f t="shared" si="108"/>
        <v>4.877500512</v>
      </c>
      <c r="P135" s="47"/>
      <c r="Q135" s="72" t="s">
        <v>1177</v>
      </c>
      <c r="R135" s="209">
        <v>1279287.8848</v>
      </c>
      <c r="S135" s="220">
        <v>2441.40625</v>
      </c>
      <c r="T135" s="195">
        <v>2441.40625</v>
      </c>
      <c r="U135" s="69">
        <f t="shared" si="109"/>
        <v>1284170.697</v>
      </c>
      <c r="V135" s="70">
        <v>1.143975E7</v>
      </c>
      <c r="W135" s="47">
        <f t="shared" si="110"/>
        <v>8.908278334</v>
      </c>
      <c r="X135" s="47"/>
      <c r="Y135" s="47"/>
      <c r="Z135" s="47"/>
      <c r="AA135" s="47"/>
      <c r="AB135" s="47"/>
    </row>
    <row r="136">
      <c r="A136" s="72" t="s">
        <v>1189</v>
      </c>
      <c r="B136" s="204"/>
      <c r="C136" s="220"/>
      <c r="D136" s="195"/>
      <c r="E136" s="47"/>
      <c r="F136" s="69"/>
      <c r="G136" s="215">
        <f>GEOMEAN(G123:G135)</f>
        <v>12.63812073</v>
      </c>
      <c r="H136" s="195"/>
      <c r="I136" s="72" t="s">
        <v>1189</v>
      </c>
      <c r="J136" s="204"/>
      <c r="K136" s="220"/>
      <c r="L136" s="195"/>
      <c r="M136" s="47"/>
      <c r="N136" s="69"/>
      <c r="O136" s="215">
        <f>GEOMEAN(O123:O135)</f>
        <v>3.914936068</v>
      </c>
      <c r="P136" s="47"/>
      <c r="Q136" s="72" t="s">
        <v>1189</v>
      </c>
      <c r="R136" s="204"/>
      <c r="S136" s="220"/>
      <c r="T136" s="195"/>
      <c r="U136" s="47"/>
      <c r="V136" s="69"/>
      <c r="W136" s="215">
        <f>GEOMEAN(W123:W135)</f>
        <v>10.08624235</v>
      </c>
      <c r="X136" s="47"/>
      <c r="Y136" s="47"/>
      <c r="Z136" s="47"/>
      <c r="AA136" s="47"/>
      <c r="AB136" s="47"/>
    </row>
    <row r="137">
      <c r="A137" s="47"/>
      <c r="B137" s="204"/>
      <c r="C137" s="204"/>
      <c r="D137" s="47"/>
      <c r="E137" s="47"/>
      <c r="F137" s="69"/>
      <c r="G137" s="47"/>
      <c r="H137" s="195"/>
      <c r="I137" s="195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</row>
    <row r="138">
      <c r="A138" s="47"/>
      <c r="B138" s="204"/>
      <c r="C138" s="204"/>
      <c r="D138" s="47"/>
      <c r="E138" s="47"/>
      <c r="F138" s="69"/>
      <c r="G138" s="47"/>
      <c r="H138" s="195"/>
      <c r="I138" s="195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</row>
    <row r="139">
      <c r="A139" s="217" t="s">
        <v>1200</v>
      </c>
      <c r="H139" s="195"/>
      <c r="I139" s="195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</row>
    <row r="140">
      <c r="A140" s="126" t="s">
        <v>1181</v>
      </c>
      <c r="B140" s="207" t="s">
        <v>1182</v>
      </c>
      <c r="C140" s="218" t="s">
        <v>1140</v>
      </c>
      <c r="D140" s="218" t="s">
        <v>1183</v>
      </c>
      <c r="E140" s="126" t="s">
        <v>1184</v>
      </c>
      <c r="F140" s="219" t="s">
        <v>1185</v>
      </c>
      <c r="G140" s="126" t="s">
        <v>132</v>
      </c>
      <c r="H140" s="195"/>
      <c r="I140" s="195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</row>
    <row r="141">
      <c r="A141" s="72" t="s">
        <v>1142</v>
      </c>
      <c r="B141" s="209">
        <v>7974.54</v>
      </c>
      <c r="C141" s="220">
        <f t="shared" ref="C141:D141" si="122">H3</f>
        <v>6103515.625</v>
      </c>
      <c r="D141" s="195">
        <f t="shared" si="122"/>
        <v>3051757.813</v>
      </c>
      <c r="E141" s="69">
        <f t="shared" ref="E141:E153" si="124">B141+C141+D141</f>
        <v>9163247.978</v>
      </c>
      <c r="F141" s="211">
        <v>1.0612145599639076E8</v>
      </c>
      <c r="G141" s="47">
        <f t="shared" ref="G141:G153" si="125">F141/E141</f>
        <v>11.58120529</v>
      </c>
      <c r="H141" s="195"/>
      <c r="I141" s="195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</row>
    <row r="142">
      <c r="A142" s="72" t="s">
        <v>1145</v>
      </c>
      <c r="B142" s="209">
        <v>701126.9119999999</v>
      </c>
      <c r="C142" s="220">
        <f t="shared" ref="C142:D142" si="123">H4</f>
        <v>3051757.813</v>
      </c>
      <c r="D142" s="195">
        <f t="shared" si="123"/>
        <v>149.0116211</v>
      </c>
      <c r="E142" s="69">
        <f t="shared" si="124"/>
        <v>3753033.736</v>
      </c>
      <c r="F142" s="70">
        <v>7.0541E7</v>
      </c>
      <c r="G142" s="47">
        <f t="shared" si="125"/>
        <v>18.79572766</v>
      </c>
      <c r="H142" s="195"/>
      <c r="I142" s="195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</row>
    <row r="143">
      <c r="A143" s="72" t="s">
        <v>1148</v>
      </c>
      <c r="B143" s="209">
        <v>3.1865297522688E9</v>
      </c>
      <c r="C143" s="220">
        <f t="shared" ref="C143:D143" si="126">H5</f>
        <v>22888183.59</v>
      </c>
      <c r="D143" s="195">
        <f t="shared" si="126"/>
        <v>11444091.8</v>
      </c>
      <c r="E143" s="69">
        <f t="shared" si="124"/>
        <v>3220862028</v>
      </c>
      <c r="F143" s="70">
        <v>3.0732124E10</v>
      </c>
      <c r="G143" s="47">
        <f t="shared" si="125"/>
        <v>9.541583507</v>
      </c>
      <c r="H143" s="195"/>
      <c r="I143" s="195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</row>
    <row r="144">
      <c r="A144" s="72" t="s">
        <v>1151</v>
      </c>
      <c r="B144" s="209">
        <v>5.978456064E7</v>
      </c>
      <c r="C144" s="220">
        <f t="shared" ref="C144:D144" si="127">H6</f>
        <v>610351.5625</v>
      </c>
      <c r="D144" s="195">
        <f t="shared" si="127"/>
        <v>5120</v>
      </c>
      <c r="E144" s="69">
        <f t="shared" si="124"/>
        <v>60400032.2</v>
      </c>
      <c r="F144" s="70">
        <v>1.6552668E10</v>
      </c>
      <c r="G144" s="47">
        <f t="shared" si="125"/>
        <v>274.0506486</v>
      </c>
      <c r="H144" s="195"/>
      <c r="I144" s="195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</row>
    <row r="145">
      <c r="A145" s="72" t="s">
        <v>1154</v>
      </c>
      <c r="B145" s="209">
        <v>2.048E7</v>
      </c>
      <c r="C145" s="220">
        <f t="shared" ref="C145:D145" si="128">H7</f>
        <v>20480000</v>
      </c>
      <c r="D145" s="195">
        <f t="shared" si="128"/>
        <v>0</v>
      </c>
      <c r="E145" s="69">
        <f t="shared" si="124"/>
        <v>40960000</v>
      </c>
      <c r="F145" s="70">
        <v>1.60314E8</v>
      </c>
      <c r="G145" s="47">
        <f t="shared" si="125"/>
        <v>3.913916016</v>
      </c>
      <c r="H145" s="195"/>
      <c r="I145" s="195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</row>
    <row r="146">
      <c r="A146" s="198" t="s">
        <v>37</v>
      </c>
      <c r="B146" s="209">
        <v>30974.579999999998</v>
      </c>
      <c r="C146" s="220">
        <f t="shared" ref="C146:D146" si="129">H8</f>
        <v>2812500</v>
      </c>
      <c r="D146" s="195">
        <f t="shared" si="129"/>
        <v>2812500</v>
      </c>
      <c r="E146" s="69">
        <f t="shared" si="124"/>
        <v>5655974.58</v>
      </c>
      <c r="F146" s="70">
        <v>2.6299964285714287E7</v>
      </c>
      <c r="G146" s="47">
        <f t="shared" si="125"/>
        <v>4.649943863</v>
      </c>
      <c r="H146" s="195"/>
      <c r="I146" s="195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</row>
    <row r="147">
      <c r="A147" s="193" t="s">
        <v>1159</v>
      </c>
      <c r="B147" s="18">
        <v>3572025.0239999997</v>
      </c>
      <c r="C147" s="220">
        <f t="shared" ref="C147:D147" si="130">H9</f>
        <v>1638480</v>
      </c>
      <c r="D147" s="195">
        <f t="shared" si="130"/>
        <v>150</v>
      </c>
      <c r="E147" s="69">
        <f t="shared" si="124"/>
        <v>5210655.024</v>
      </c>
      <c r="F147" s="70">
        <v>1.7625E8</v>
      </c>
      <c r="G147" s="47">
        <f t="shared" si="125"/>
        <v>33.82492205</v>
      </c>
      <c r="H147" s="195"/>
      <c r="I147" s="195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</row>
    <row r="148">
      <c r="A148" s="72" t="s">
        <v>1162</v>
      </c>
      <c r="B148" s="213">
        <v>6.110107814945127E8</v>
      </c>
      <c r="C148" s="220">
        <f t="shared" ref="C148:D148" si="131">H10</f>
        <v>129081.1523</v>
      </c>
      <c r="D148" s="195">
        <f t="shared" si="131"/>
        <v>1685.312195</v>
      </c>
      <c r="E148" s="212">
        <f t="shared" si="124"/>
        <v>611141548</v>
      </c>
      <c r="F148" s="214">
        <v>1.0455367035714285E11</v>
      </c>
      <c r="G148" s="47">
        <f t="shared" si="125"/>
        <v>171.0793035</v>
      </c>
      <c r="H148" s="195"/>
      <c r="I148" s="195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</row>
    <row r="149">
      <c r="A149" s="72" t="s">
        <v>1165</v>
      </c>
      <c r="B149" s="209">
        <v>6340347.1104</v>
      </c>
      <c r="C149" s="220">
        <f t="shared" ref="C149:D149" si="132">H11</f>
        <v>742400</v>
      </c>
      <c r="D149" s="195">
        <f t="shared" si="132"/>
        <v>5.6640625</v>
      </c>
      <c r="E149" s="69">
        <f t="shared" si="124"/>
        <v>7082752.774</v>
      </c>
      <c r="F149" s="50">
        <v>2.014642857142857E8</v>
      </c>
      <c r="G149" s="47">
        <f t="shared" si="125"/>
        <v>28.44434814</v>
      </c>
      <c r="H149" s="195"/>
      <c r="I149" s="195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</row>
    <row r="150">
      <c r="A150" s="72" t="s">
        <v>1168</v>
      </c>
      <c r="B150" s="209">
        <v>1.9032794726400003E7</v>
      </c>
      <c r="C150" s="220">
        <f t="shared" ref="C150:D150" si="133">H12</f>
        <v>9155288.457</v>
      </c>
      <c r="D150" s="195">
        <f t="shared" si="133"/>
        <v>5</v>
      </c>
      <c r="E150" s="69">
        <f t="shared" si="124"/>
        <v>28188088.18</v>
      </c>
      <c r="F150" s="70">
        <v>7.591792E7</v>
      </c>
      <c r="G150" s="47">
        <f t="shared" si="125"/>
        <v>2.69326247</v>
      </c>
      <c r="H150" s="195"/>
      <c r="I150" s="195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</row>
    <row r="151">
      <c r="A151" s="72" t="s">
        <v>1171</v>
      </c>
      <c r="B151" s="209">
        <v>2.40846924476E10</v>
      </c>
      <c r="C151" s="220">
        <f t="shared" ref="C151:D151" si="134">H13</f>
        <v>327680000</v>
      </c>
      <c r="D151" s="195">
        <f t="shared" si="134"/>
        <v>327681250</v>
      </c>
      <c r="E151" s="69">
        <f t="shared" si="124"/>
        <v>24740053698</v>
      </c>
      <c r="F151" s="18">
        <v>1.2655586730124695E10</v>
      </c>
      <c r="G151" s="47">
        <f t="shared" si="125"/>
        <v>0.5115424115</v>
      </c>
      <c r="H151" s="195"/>
      <c r="I151" s="195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</row>
    <row r="152">
      <c r="A152" s="198" t="s">
        <v>1174</v>
      </c>
      <c r="B152" s="211">
        <v>6.3506863488E7</v>
      </c>
      <c r="C152" s="220">
        <f t="shared" ref="C152:D152" si="135">H14</f>
        <v>15625000</v>
      </c>
      <c r="D152" s="195">
        <f t="shared" si="135"/>
        <v>312500</v>
      </c>
      <c r="E152" s="69">
        <f t="shared" si="124"/>
        <v>79444363.49</v>
      </c>
      <c r="F152" s="70">
        <v>2.9649247608439894E9</v>
      </c>
      <c r="G152" s="47">
        <f t="shared" si="125"/>
        <v>37.32076929</v>
      </c>
      <c r="H152" s="195"/>
      <c r="I152" s="195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</row>
    <row r="153">
      <c r="A153" s="72" t="s">
        <v>1177</v>
      </c>
      <c r="B153" s="209">
        <v>1425110.8096</v>
      </c>
      <c r="C153" s="220">
        <f t="shared" ref="C153:D153" si="136">H15</f>
        <v>2441.40625</v>
      </c>
      <c r="D153" s="195">
        <f t="shared" si="136"/>
        <v>2441.40625</v>
      </c>
      <c r="E153" s="69">
        <f t="shared" si="124"/>
        <v>1429993.622</v>
      </c>
      <c r="F153" s="70">
        <v>1.143975E7</v>
      </c>
      <c r="G153" s="47">
        <f t="shared" si="125"/>
        <v>7.999860855</v>
      </c>
      <c r="H153" s="195"/>
      <c r="I153" s="195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</row>
    <row r="154">
      <c r="A154" s="72" t="s">
        <v>1189</v>
      </c>
      <c r="B154" s="204"/>
      <c r="C154" s="220" t="str">
        <f t="shared" ref="C154:D154" si="137">H33</f>
        <v/>
      </c>
      <c r="D154" s="195" t="str">
        <f t="shared" si="137"/>
        <v/>
      </c>
      <c r="E154" s="47"/>
      <c r="F154" s="69"/>
      <c r="G154" s="215">
        <f>GEOMEAN(G141:G153)</f>
        <v>13.86742815</v>
      </c>
      <c r="H154" s="195"/>
      <c r="I154" s="195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</row>
    <row r="155">
      <c r="A155" s="47"/>
      <c r="B155" s="204"/>
      <c r="C155" s="204"/>
      <c r="D155" s="47"/>
      <c r="E155" s="47"/>
      <c r="F155" s="69"/>
      <c r="G155" s="47"/>
      <c r="H155" s="195"/>
      <c r="I155" s="195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</row>
    <row r="156">
      <c r="A156" s="217" t="s">
        <v>1201</v>
      </c>
      <c r="H156" s="195"/>
      <c r="I156" s="195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</row>
    <row r="157">
      <c r="A157" s="126" t="s">
        <v>1181</v>
      </c>
      <c r="B157" s="207" t="s">
        <v>1182</v>
      </c>
      <c r="C157" s="218" t="s">
        <v>1140</v>
      </c>
      <c r="D157" s="218" t="s">
        <v>1183</v>
      </c>
      <c r="E157" s="126" t="s">
        <v>1184</v>
      </c>
      <c r="F157" s="219" t="s">
        <v>1185</v>
      </c>
      <c r="G157" s="126" t="s">
        <v>132</v>
      </c>
      <c r="H157" s="195"/>
      <c r="I157" s="195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</row>
    <row r="158">
      <c r="A158" s="72" t="s">
        <v>1142</v>
      </c>
      <c r="B158" s="209">
        <v>5756.94</v>
      </c>
      <c r="C158" s="220">
        <f t="shared" ref="C158:D158" si="138">H3</f>
        <v>6103515.625</v>
      </c>
      <c r="D158" s="195">
        <f t="shared" si="138"/>
        <v>3051757.813</v>
      </c>
      <c r="E158" s="69">
        <f t="shared" ref="E158:E170" si="140">B158+C158+D158</f>
        <v>9161030.378</v>
      </c>
      <c r="F158" s="211">
        <v>1.0612145599639076E8</v>
      </c>
      <c r="G158" s="47">
        <f t="shared" ref="G158:G170" si="141">F158/E158</f>
        <v>11.58400874</v>
      </c>
      <c r="H158" s="195"/>
      <c r="I158" s="209"/>
      <c r="J158" s="69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</row>
    <row r="159">
      <c r="A159" s="72" t="s">
        <v>1145</v>
      </c>
      <c r="B159" s="209">
        <v>518848.25600000005</v>
      </c>
      <c r="C159" s="220">
        <f t="shared" ref="C159:D159" si="139">H4</f>
        <v>3051757.813</v>
      </c>
      <c r="D159" s="195">
        <f t="shared" si="139"/>
        <v>149.0116211</v>
      </c>
      <c r="E159" s="69">
        <f t="shared" si="140"/>
        <v>3570755.08</v>
      </c>
      <c r="F159" s="70">
        <v>7.0541E7</v>
      </c>
      <c r="G159" s="47">
        <f t="shared" si="141"/>
        <v>19.75520539</v>
      </c>
      <c r="H159" s="195"/>
      <c r="I159" s="209"/>
      <c r="J159" s="69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</row>
    <row r="160">
      <c r="A160" s="72" t="s">
        <v>1148</v>
      </c>
      <c r="B160" s="209">
        <v>3.1838599229976E9</v>
      </c>
      <c r="C160" s="220">
        <f t="shared" ref="C160:D160" si="142">H5</f>
        <v>22888183.59</v>
      </c>
      <c r="D160" s="195">
        <f t="shared" si="142"/>
        <v>11444091.8</v>
      </c>
      <c r="E160" s="69">
        <f t="shared" si="140"/>
        <v>3218192198</v>
      </c>
      <c r="F160" s="70">
        <v>3.0732124E10</v>
      </c>
      <c r="G160" s="47">
        <f t="shared" si="141"/>
        <v>9.549499255</v>
      </c>
      <c r="H160" s="195"/>
      <c r="I160" s="209"/>
      <c r="J160" s="69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</row>
    <row r="161">
      <c r="A161" s="72" t="s">
        <v>1151</v>
      </c>
      <c r="B161" s="209">
        <v>3.9754874879999995E7</v>
      </c>
      <c r="C161" s="220">
        <f t="shared" ref="C161:D161" si="143">H6</f>
        <v>610351.5625</v>
      </c>
      <c r="D161" s="195">
        <f t="shared" si="143"/>
        <v>5120</v>
      </c>
      <c r="E161" s="69">
        <f t="shared" si="140"/>
        <v>40370346.44</v>
      </c>
      <c r="F161" s="70">
        <v>1.6552668E10</v>
      </c>
      <c r="G161" s="47">
        <f t="shared" si="141"/>
        <v>410.0204595</v>
      </c>
      <c r="H161" s="195"/>
      <c r="I161" s="209"/>
      <c r="J161" s="69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</row>
    <row r="162">
      <c r="A162" s="72" t="s">
        <v>1154</v>
      </c>
      <c r="B162" s="209">
        <v>2.048E7</v>
      </c>
      <c r="C162" s="220">
        <f t="shared" ref="C162:D162" si="144">H7</f>
        <v>20480000</v>
      </c>
      <c r="D162" s="195">
        <f t="shared" si="144"/>
        <v>0</v>
      </c>
      <c r="E162" s="69">
        <f t="shared" si="140"/>
        <v>40960000</v>
      </c>
      <c r="F162" s="70">
        <v>1.60314E8</v>
      </c>
      <c r="G162" s="47">
        <f t="shared" si="141"/>
        <v>3.913916016</v>
      </c>
      <c r="H162" s="195"/>
      <c r="I162" s="209"/>
      <c r="J162" s="69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</row>
    <row r="163">
      <c r="A163" s="198" t="s">
        <v>37</v>
      </c>
      <c r="B163" s="209">
        <v>20452.32</v>
      </c>
      <c r="C163" s="220">
        <f t="shared" ref="C163:D163" si="145">H8</f>
        <v>2812500</v>
      </c>
      <c r="D163" s="195">
        <f t="shared" si="145"/>
        <v>2812500</v>
      </c>
      <c r="E163" s="69">
        <f t="shared" si="140"/>
        <v>5645452.32</v>
      </c>
      <c r="F163" s="70">
        <v>2.6299964285714287E7</v>
      </c>
      <c r="G163" s="47">
        <f t="shared" si="141"/>
        <v>4.658610647</v>
      </c>
      <c r="H163" s="195"/>
      <c r="I163" s="209"/>
      <c r="J163" s="69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</row>
    <row r="164">
      <c r="A164" s="193" t="s">
        <v>1159</v>
      </c>
      <c r="B164" s="18">
        <v>3435316.032</v>
      </c>
      <c r="C164" s="220">
        <f t="shared" ref="C164:D164" si="146">H9</f>
        <v>1638480</v>
      </c>
      <c r="D164" s="195">
        <f t="shared" si="146"/>
        <v>150</v>
      </c>
      <c r="E164" s="69">
        <f t="shared" si="140"/>
        <v>5073946.032</v>
      </c>
      <c r="F164" s="70">
        <v>1.7625E8</v>
      </c>
      <c r="G164" s="47">
        <f t="shared" si="141"/>
        <v>34.73627801</v>
      </c>
      <c r="H164" s="195"/>
      <c r="I164" s="18"/>
      <c r="J164" s="69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</row>
    <row r="165">
      <c r="A165" s="72" t="s">
        <v>1162</v>
      </c>
      <c r="B165" s="213">
        <v>3.4192569809451276E8</v>
      </c>
      <c r="C165" s="220">
        <f t="shared" ref="C165:D165" si="147">H10</f>
        <v>129081.1523</v>
      </c>
      <c r="D165" s="195">
        <f t="shared" si="147"/>
        <v>1685.312195</v>
      </c>
      <c r="E165" s="212">
        <f t="shared" si="140"/>
        <v>342056464.6</v>
      </c>
      <c r="F165" s="214">
        <v>1.0455367035714285E11</v>
      </c>
      <c r="G165" s="47">
        <f t="shared" si="141"/>
        <v>305.6620213</v>
      </c>
      <c r="H165" s="195"/>
      <c r="I165" s="213"/>
      <c r="J165" s="212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</row>
    <row r="166">
      <c r="A166" s="72" t="s">
        <v>1165</v>
      </c>
      <c r="B166" s="209">
        <v>6274041.6768</v>
      </c>
      <c r="C166" s="220">
        <f t="shared" ref="C166:D166" si="148">H11</f>
        <v>742400</v>
      </c>
      <c r="D166" s="195">
        <f t="shared" si="148"/>
        <v>5.6640625</v>
      </c>
      <c r="E166" s="69">
        <f t="shared" si="140"/>
        <v>7016447.341</v>
      </c>
      <c r="F166" s="50">
        <v>2.014642857142857E8</v>
      </c>
      <c r="G166" s="47">
        <f t="shared" si="141"/>
        <v>28.71314726</v>
      </c>
      <c r="H166" s="195"/>
      <c r="I166" s="209"/>
      <c r="J166" s="69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</row>
    <row r="167">
      <c r="A167" s="72" t="s">
        <v>1168</v>
      </c>
      <c r="B167" s="209">
        <v>1.88828043264E7</v>
      </c>
      <c r="C167" s="220">
        <f t="shared" ref="C167:D167" si="149">H12</f>
        <v>9155288.457</v>
      </c>
      <c r="D167" s="195">
        <f t="shared" si="149"/>
        <v>5</v>
      </c>
      <c r="E167" s="69">
        <f t="shared" si="140"/>
        <v>28038097.78</v>
      </c>
      <c r="F167" s="70">
        <v>7.591792E7</v>
      </c>
      <c r="G167" s="47">
        <f t="shared" si="141"/>
        <v>2.707670135</v>
      </c>
      <c r="H167" s="195"/>
      <c r="I167" s="209"/>
      <c r="J167" s="69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</row>
    <row r="168">
      <c r="A168" s="72" t="s">
        <v>1171</v>
      </c>
      <c r="B168" s="209">
        <v>1.5006106578800001E10</v>
      </c>
      <c r="C168" s="220">
        <f t="shared" ref="C168:D168" si="150">H13</f>
        <v>327680000</v>
      </c>
      <c r="D168" s="195">
        <f t="shared" si="150"/>
        <v>327681250</v>
      </c>
      <c r="E168" s="69">
        <f t="shared" si="140"/>
        <v>15661467829</v>
      </c>
      <c r="F168" s="18">
        <v>1.2655586730124695E10</v>
      </c>
      <c r="G168" s="47">
        <f t="shared" si="141"/>
        <v>0.8080715593</v>
      </c>
      <c r="H168" s="195"/>
      <c r="I168" s="209"/>
      <c r="J168" s="69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</row>
    <row r="169">
      <c r="A169" s="198" t="s">
        <v>1174</v>
      </c>
      <c r="B169" s="211">
        <v>6.1875213888000004E7</v>
      </c>
      <c r="C169" s="220">
        <f t="shared" ref="C169:D169" si="151">H14</f>
        <v>15625000</v>
      </c>
      <c r="D169" s="195">
        <f t="shared" si="151"/>
        <v>312500</v>
      </c>
      <c r="E169" s="69">
        <f t="shared" si="140"/>
        <v>77812713.89</v>
      </c>
      <c r="F169" s="70">
        <v>2.9649247608439894E9</v>
      </c>
      <c r="G169" s="47">
        <f t="shared" si="141"/>
        <v>38.103346</v>
      </c>
      <c r="H169" s="195"/>
      <c r="I169" s="211"/>
      <c r="J169" s="70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</row>
    <row r="170">
      <c r="A170" s="72" t="s">
        <v>1177</v>
      </c>
      <c r="B170" s="209">
        <v>1279287.8848</v>
      </c>
      <c r="C170" s="220">
        <f t="shared" ref="C170:D170" si="152">H15</f>
        <v>2441.40625</v>
      </c>
      <c r="D170" s="195">
        <f t="shared" si="152"/>
        <v>2441.40625</v>
      </c>
      <c r="E170" s="69">
        <f t="shared" si="140"/>
        <v>1284170.697</v>
      </c>
      <c r="F170" s="70">
        <v>1.143975E7</v>
      </c>
      <c r="G170" s="47">
        <f t="shared" si="141"/>
        <v>8.908278334</v>
      </c>
      <c r="H170" s="195"/>
      <c r="I170" s="209"/>
      <c r="J170" s="69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</row>
    <row r="171">
      <c r="A171" s="72" t="s">
        <v>1189</v>
      </c>
      <c r="B171" s="204"/>
      <c r="C171" s="220" t="str">
        <f t="shared" ref="C171:D171" si="153">H50</f>
        <v/>
      </c>
      <c r="D171" s="195" t="str">
        <f t="shared" si="153"/>
        <v/>
      </c>
      <c r="E171" s="47"/>
      <c r="F171" s="69"/>
      <c r="G171" s="215">
        <f>GEOMEAN(G158:G170)</f>
        <v>15.75964194</v>
      </c>
      <c r="H171" s="195"/>
      <c r="I171" s="195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</row>
    <row r="172">
      <c r="A172" s="47"/>
      <c r="B172" s="204"/>
      <c r="C172" s="204"/>
      <c r="D172" s="47"/>
      <c r="E172" s="47"/>
      <c r="F172" s="69"/>
      <c r="G172" s="47"/>
      <c r="H172" s="195"/>
      <c r="I172" s="195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</row>
    <row r="173">
      <c r="A173" s="217" t="s">
        <v>1202</v>
      </c>
      <c r="H173" s="195"/>
      <c r="I173" s="195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</row>
    <row r="174">
      <c r="A174" s="126" t="s">
        <v>1181</v>
      </c>
      <c r="B174" s="207" t="s">
        <v>1182</v>
      </c>
      <c r="C174" s="218" t="s">
        <v>1140</v>
      </c>
      <c r="D174" s="218" t="s">
        <v>1183</v>
      </c>
      <c r="E174" s="126" t="s">
        <v>1184</v>
      </c>
      <c r="F174" s="219" t="s">
        <v>1185</v>
      </c>
      <c r="G174" s="126" t="s">
        <v>132</v>
      </c>
      <c r="H174" s="195"/>
      <c r="I174" s="195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</row>
    <row r="175">
      <c r="A175" s="72" t="s">
        <v>1142</v>
      </c>
      <c r="B175" s="209">
        <v>2945.88</v>
      </c>
      <c r="C175" s="220">
        <f t="shared" ref="C175:D175" si="154">H3</f>
        <v>6103515.625</v>
      </c>
      <c r="D175" s="195">
        <f t="shared" si="154"/>
        <v>3051757.813</v>
      </c>
      <c r="E175" s="69">
        <f t="shared" ref="E175:E187" si="156">B175+C175+D175</f>
        <v>9158219.318</v>
      </c>
      <c r="F175" s="211">
        <v>1.0612145599639076E8</v>
      </c>
      <c r="G175" s="47">
        <f t="shared" ref="G175:G187" si="157">F175/E175</f>
        <v>11.58756439</v>
      </c>
      <c r="H175" s="195"/>
      <c r="I175" s="195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</row>
    <row r="176">
      <c r="A176" s="72" t="s">
        <v>1145</v>
      </c>
      <c r="B176" s="209">
        <v>417677.312</v>
      </c>
      <c r="C176" s="220">
        <f t="shared" ref="C176:D176" si="155">H4</f>
        <v>3051757.813</v>
      </c>
      <c r="D176" s="195">
        <f t="shared" si="155"/>
        <v>149.0116211</v>
      </c>
      <c r="E176" s="69">
        <f t="shared" si="156"/>
        <v>3469584.136</v>
      </c>
      <c r="F176" s="70">
        <v>7.0541E7</v>
      </c>
      <c r="G176" s="47">
        <f t="shared" si="157"/>
        <v>20.33125505</v>
      </c>
      <c r="H176" s="195"/>
      <c r="I176" s="195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</row>
    <row r="177">
      <c r="A177" s="72" t="s">
        <v>1148</v>
      </c>
      <c r="B177" s="209">
        <v>3.182359041792E9</v>
      </c>
      <c r="C177" s="220">
        <f t="shared" ref="C177:D177" si="158">H5</f>
        <v>22888183.59</v>
      </c>
      <c r="D177" s="195">
        <f t="shared" si="158"/>
        <v>11444091.8</v>
      </c>
      <c r="E177" s="69">
        <f t="shared" si="156"/>
        <v>3216691317</v>
      </c>
      <c r="F177" s="70">
        <v>3.0732124E10</v>
      </c>
      <c r="G177" s="47">
        <f t="shared" si="157"/>
        <v>9.553954971</v>
      </c>
      <c r="H177" s="195"/>
      <c r="I177" s="195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</row>
    <row r="178">
      <c r="A178" s="72" t="s">
        <v>1151</v>
      </c>
      <c r="B178" s="209">
        <v>3.831496704000001E7</v>
      </c>
      <c r="C178" s="220">
        <f t="shared" ref="C178:D178" si="159">H6</f>
        <v>610351.5625</v>
      </c>
      <c r="D178" s="195">
        <f t="shared" si="159"/>
        <v>5120</v>
      </c>
      <c r="E178" s="69">
        <f t="shared" si="156"/>
        <v>38930438.6</v>
      </c>
      <c r="F178" s="70">
        <v>1.6552668E10</v>
      </c>
      <c r="G178" s="47">
        <f t="shared" si="157"/>
        <v>425.1857568</v>
      </c>
      <c r="H178" s="195"/>
      <c r="I178" s="195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</row>
    <row r="179">
      <c r="A179" s="72" t="s">
        <v>1154</v>
      </c>
      <c r="B179" s="209">
        <v>2.048E7</v>
      </c>
      <c r="C179" s="220">
        <f t="shared" ref="C179:D179" si="160">H7</f>
        <v>20480000</v>
      </c>
      <c r="D179" s="195">
        <f t="shared" si="160"/>
        <v>0</v>
      </c>
      <c r="E179" s="69">
        <f t="shared" si="156"/>
        <v>40960000</v>
      </c>
      <c r="F179" s="70">
        <v>1.60314E8</v>
      </c>
      <c r="G179" s="47">
        <f t="shared" si="157"/>
        <v>3.913916016</v>
      </c>
      <c r="H179" s="195"/>
      <c r="I179" s="195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</row>
    <row r="180">
      <c r="A180" s="198" t="s">
        <v>37</v>
      </c>
      <c r="B180" s="209">
        <v>12980.52</v>
      </c>
      <c r="C180" s="220">
        <f t="shared" ref="C180:D180" si="161">H8</f>
        <v>2812500</v>
      </c>
      <c r="D180" s="195">
        <f t="shared" si="161"/>
        <v>2812500</v>
      </c>
      <c r="E180" s="69">
        <f t="shared" si="156"/>
        <v>5637980.52</v>
      </c>
      <c r="F180" s="70">
        <v>2.6299964285714287E7</v>
      </c>
      <c r="G180" s="47">
        <f t="shared" si="157"/>
        <v>4.664784526</v>
      </c>
      <c r="H180" s="195"/>
      <c r="I180" s="195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</row>
    <row r="181">
      <c r="A181" s="193" t="s">
        <v>1159</v>
      </c>
      <c r="B181" s="18">
        <v>3359437.824</v>
      </c>
      <c r="C181" s="220">
        <f t="shared" ref="C181:D181" si="162">H9</f>
        <v>1638480</v>
      </c>
      <c r="D181" s="195">
        <f t="shared" si="162"/>
        <v>150</v>
      </c>
      <c r="E181" s="69">
        <f t="shared" si="156"/>
        <v>4998067.824</v>
      </c>
      <c r="F181" s="70">
        <v>1.7625E8</v>
      </c>
      <c r="G181" s="47">
        <f t="shared" si="157"/>
        <v>35.26362711</v>
      </c>
      <c r="H181" s="195"/>
      <c r="I181" s="195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</row>
    <row r="182">
      <c r="A182" s="72" t="s">
        <v>1162</v>
      </c>
      <c r="B182" s="213">
        <v>3.2086201349451274E8</v>
      </c>
      <c r="C182" s="220">
        <f t="shared" ref="C182:D182" si="163">H10</f>
        <v>129081.1523</v>
      </c>
      <c r="D182" s="195">
        <f t="shared" si="163"/>
        <v>1685.312195</v>
      </c>
      <c r="E182" s="212">
        <f t="shared" si="156"/>
        <v>320992780</v>
      </c>
      <c r="F182" s="214">
        <v>1.0455367035714285E11</v>
      </c>
      <c r="G182" s="47">
        <f t="shared" si="157"/>
        <v>325.7196949</v>
      </c>
      <c r="H182" s="195"/>
      <c r="I182" s="195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</row>
    <row r="183">
      <c r="A183" s="72" t="s">
        <v>1165</v>
      </c>
      <c r="B183" s="209">
        <v>6229777.5744</v>
      </c>
      <c r="C183" s="220">
        <f t="shared" ref="C183:D183" si="164">H11</f>
        <v>742400</v>
      </c>
      <c r="D183" s="195">
        <f t="shared" si="164"/>
        <v>5.6640625</v>
      </c>
      <c r="E183" s="69">
        <f t="shared" si="156"/>
        <v>6972183.238</v>
      </c>
      <c r="F183" s="50">
        <v>2.014642857142857E8</v>
      </c>
      <c r="G183" s="47">
        <f t="shared" si="157"/>
        <v>28.8954376</v>
      </c>
      <c r="H183" s="195"/>
      <c r="I183" s="195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</row>
    <row r="184">
      <c r="A184" s="72" t="s">
        <v>1168</v>
      </c>
      <c r="B184" s="209">
        <v>1.88650635264E7</v>
      </c>
      <c r="C184" s="220">
        <f t="shared" ref="C184:D184" si="165">H12</f>
        <v>9155288.457</v>
      </c>
      <c r="D184" s="195">
        <f t="shared" si="165"/>
        <v>5</v>
      </c>
      <c r="E184" s="69">
        <f t="shared" si="156"/>
        <v>28020356.98</v>
      </c>
      <c r="F184" s="70">
        <v>7.591792E7</v>
      </c>
      <c r="G184" s="47">
        <f t="shared" si="157"/>
        <v>2.709384468</v>
      </c>
      <c r="H184" s="195"/>
      <c r="I184" s="195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</row>
    <row r="185">
      <c r="A185" s="72" t="s">
        <v>1171</v>
      </c>
      <c r="B185" s="209">
        <v>9.966388037599998E9</v>
      </c>
      <c r="C185" s="220">
        <f t="shared" ref="C185:D185" si="166">H13</f>
        <v>327680000</v>
      </c>
      <c r="D185" s="195">
        <f t="shared" si="166"/>
        <v>327681250</v>
      </c>
      <c r="E185" s="69">
        <f t="shared" si="156"/>
        <v>10621749288</v>
      </c>
      <c r="F185" s="18">
        <v>1.2655586730124695E10</v>
      </c>
      <c r="G185" s="47">
        <f t="shared" si="157"/>
        <v>1.191478577</v>
      </c>
      <c r="H185" s="195"/>
      <c r="I185" s="195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</row>
    <row r="186">
      <c r="A186" s="198" t="s">
        <v>1174</v>
      </c>
      <c r="B186" s="211">
        <v>6.0641220287999995E7</v>
      </c>
      <c r="C186" s="220">
        <f t="shared" ref="C186:D186" si="167">H14</f>
        <v>15625000</v>
      </c>
      <c r="D186" s="195">
        <f t="shared" si="167"/>
        <v>312500</v>
      </c>
      <c r="E186" s="69">
        <f t="shared" si="156"/>
        <v>76578720.29</v>
      </c>
      <c r="F186" s="70">
        <v>2.9649247608439894E9</v>
      </c>
      <c r="G186" s="47">
        <f t="shared" si="157"/>
        <v>38.71734536</v>
      </c>
      <c r="H186" s="195"/>
      <c r="I186" s="195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</row>
    <row r="187">
      <c r="A187" s="72" t="s">
        <v>1177</v>
      </c>
      <c r="B187" s="209">
        <v>1198351.1296</v>
      </c>
      <c r="C187" s="220">
        <f t="shared" ref="C187:D187" si="168">H15</f>
        <v>2441.40625</v>
      </c>
      <c r="D187" s="195">
        <f t="shared" si="168"/>
        <v>2441.40625</v>
      </c>
      <c r="E187" s="69">
        <f t="shared" si="156"/>
        <v>1203233.942</v>
      </c>
      <c r="F187" s="70">
        <v>1.143975E7</v>
      </c>
      <c r="G187" s="47">
        <f t="shared" si="157"/>
        <v>9.507502739</v>
      </c>
      <c r="H187" s="195"/>
      <c r="I187" s="195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</row>
    <row r="188">
      <c r="A188" s="72" t="s">
        <v>1189</v>
      </c>
      <c r="B188" s="204"/>
      <c r="C188" s="220" t="str">
        <f t="shared" ref="C188:D188" si="169">H67</f>
        <v/>
      </c>
      <c r="D188" s="195" t="str">
        <f t="shared" si="169"/>
        <v/>
      </c>
      <c r="E188" s="47"/>
      <c r="F188" s="69"/>
      <c r="G188" s="215">
        <f>GEOMEAN(G175:G187)</f>
        <v>16.53217676</v>
      </c>
      <c r="H188" s="195"/>
      <c r="I188" s="195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</row>
    <row r="189">
      <c r="A189" s="47"/>
      <c r="B189" s="204"/>
      <c r="C189" s="204"/>
      <c r="D189" s="47"/>
      <c r="E189" s="47"/>
      <c r="F189" s="69"/>
      <c r="G189" s="47"/>
      <c r="H189" s="195"/>
      <c r="I189" s="195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</row>
    <row r="190">
      <c r="A190" s="217" t="s">
        <v>1203</v>
      </c>
      <c r="H190" s="195"/>
      <c r="I190" s="229" t="s">
        <v>1204</v>
      </c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</row>
    <row r="191">
      <c r="A191" s="126" t="s">
        <v>1181</v>
      </c>
      <c r="B191" s="207" t="s">
        <v>1182</v>
      </c>
      <c r="C191" s="218" t="s">
        <v>1140</v>
      </c>
      <c r="D191" s="218" t="s">
        <v>1183</v>
      </c>
      <c r="E191" s="126" t="s">
        <v>1184</v>
      </c>
      <c r="F191" s="219" t="s">
        <v>1185</v>
      </c>
      <c r="G191" s="126" t="s">
        <v>132</v>
      </c>
      <c r="H191" s="195"/>
      <c r="I191" s="72" t="s">
        <v>1181</v>
      </c>
      <c r="J191" s="207" t="s">
        <v>1182</v>
      </c>
      <c r="K191" s="193" t="s">
        <v>1140</v>
      </c>
      <c r="L191" s="193" t="s">
        <v>1183</v>
      </c>
      <c r="M191" s="72" t="s">
        <v>1184</v>
      </c>
      <c r="N191" s="208" t="s">
        <v>1185</v>
      </c>
      <c r="O191" s="72" t="s">
        <v>132</v>
      </c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</row>
    <row r="192">
      <c r="A192" s="72" t="s">
        <v>1142</v>
      </c>
      <c r="B192" s="209">
        <v>272076.8</v>
      </c>
      <c r="C192" s="220">
        <f t="shared" ref="C192:D192" si="170">H3</f>
        <v>6103515.625</v>
      </c>
      <c r="D192" s="195">
        <f t="shared" si="170"/>
        <v>3051757.813</v>
      </c>
      <c r="E192" s="69">
        <f t="shared" ref="E192:E204" si="173">B192+C192+D192</f>
        <v>9427350.238</v>
      </c>
      <c r="F192" s="211">
        <v>1.0612145599639076E8</v>
      </c>
      <c r="G192" s="47">
        <f t="shared" ref="G192:G204" si="174">F192/E192</f>
        <v>11.25676392</v>
      </c>
      <c r="H192" s="195"/>
      <c r="I192" s="72" t="s">
        <v>1142</v>
      </c>
      <c r="J192" s="209">
        <v>58867.200000000004</v>
      </c>
      <c r="K192" s="210">
        <f t="shared" ref="K192:L192" si="171">H3</f>
        <v>6103515.625</v>
      </c>
      <c r="L192" s="195">
        <f t="shared" si="171"/>
        <v>3051757.813</v>
      </c>
      <c r="M192" s="69">
        <f t="shared" ref="M192:M204" si="176">J192+K192+L192</f>
        <v>9214140.638</v>
      </c>
      <c r="N192" s="211">
        <v>1.0612145599639076E8</v>
      </c>
      <c r="O192" s="47">
        <f t="shared" ref="O192:O204" si="177">N192/M192</f>
        <v>11.51723858</v>
      </c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</row>
    <row r="193">
      <c r="A193" s="72" t="s">
        <v>1145</v>
      </c>
      <c r="B193" s="209">
        <v>3.07878078E7</v>
      </c>
      <c r="C193" s="220">
        <f t="shared" ref="C193:D193" si="172">H4</f>
        <v>3051757.813</v>
      </c>
      <c r="D193" s="195">
        <f t="shared" si="172"/>
        <v>149.0116211</v>
      </c>
      <c r="E193" s="69">
        <f t="shared" si="173"/>
        <v>33839714.62</v>
      </c>
      <c r="F193" s="70">
        <v>7.0541E7</v>
      </c>
      <c r="G193" s="47">
        <f t="shared" si="174"/>
        <v>2.084562497</v>
      </c>
      <c r="H193" s="195"/>
      <c r="I193" s="72" t="s">
        <v>1145</v>
      </c>
      <c r="J193" s="69">
        <v>1.0989568E7</v>
      </c>
      <c r="K193" s="210">
        <f t="shared" ref="K193:L193" si="175">H4</f>
        <v>3051757.813</v>
      </c>
      <c r="L193" s="195">
        <f t="shared" si="175"/>
        <v>149.0116211</v>
      </c>
      <c r="M193" s="69">
        <f t="shared" si="176"/>
        <v>14041474.82</v>
      </c>
      <c r="N193" s="70">
        <v>7.0541E7</v>
      </c>
      <c r="O193" s="47">
        <f t="shared" si="177"/>
        <v>5.023760031</v>
      </c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</row>
    <row r="194">
      <c r="A194" s="72" t="s">
        <v>1148</v>
      </c>
      <c r="B194" s="209">
        <v>3.314087424E9</v>
      </c>
      <c r="C194" s="220">
        <f t="shared" ref="C194:D194" si="178">H5</f>
        <v>22888183.59</v>
      </c>
      <c r="D194" s="195">
        <f t="shared" si="178"/>
        <v>11444091.8</v>
      </c>
      <c r="E194" s="69">
        <f t="shared" si="173"/>
        <v>3348419699</v>
      </c>
      <c r="F194" s="70">
        <v>3.0732124E10</v>
      </c>
      <c r="G194" s="47">
        <f t="shared" si="174"/>
        <v>9.178097956</v>
      </c>
      <c r="H194" s="195"/>
      <c r="I194" s="72" t="s">
        <v>1148</v>
      </c>
      <c r="J194" s="69">
        <v>3.2244028992E9</v>
      </c>
      <c r="K194" s="210">
        <f t="shared" ref="K194:L194" si="179">H5</f>
        <v>22888183.59</v>
      </c>
      <c r="L194" s="195">
        <f t="shared" si="179"/>
        <v>11444091.8</v>
      </c>
      <c r="M194" s="69">
        <f t="shared" si="176"/>
        <v>3258735175</v>
      </c>
      <c r="N194" s="70">
        <v>3.0732124E10</v>
      </c>
      <c r="O194" s="47">
        <f t="shared" si="177"/>
        <v>9.430690852</v>
      </c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</row>
    <row r="195">
      <c r="A195" s="72" t="s">
        <v>1151</v>
      </c>
      <c r="B195" s="209">
        <v>2.25871659008E9</v>
      </c>
      <c r="C195" s="220">
        <f t="shared" ref="C195:D195" si="180">H6</f>
        <v>610351.5625</v>
      </c>
      <c r="D195" s="195">
        <f t="shared" si="180"/>
        <v>5120</v>
      </c>
      <c r="E195" s="69">
        <f t="shared" si="173"/>
        <v>2259332062</v>
      </c>
      <c r="F195" s="70">
        <v>1.6552668E10</v>
      </c>
      <c r="G195" s="47">
        <f t="shared" si="174"/>
        <v>7.32635467</v>
      </c>
      <c r="H195" s="195"/>
      <c r="I195" s="72" t="s">
        <v>1151</v>
      </c>
      <c r="J195" s="69">
        <v>1.24721823744E9</v>
      </c>
      <c r="K195" s="210">
        <f t="shared" ref="K195:L195" si="181">H6</f>
        <v>610351.5625</v>
      </c>
      <c r="L195" s="195">
        <f t="shared" si="181"/>
        <v>5120</v>
      </c>
      <c r="M195" s="69">
        <f t="shared" si="176"/>
        <v>1247833709</v>
      </c>
      <c r="N195" s="70">
        <v>1.6552668E10</v>
      </c>
      <c r="O195" s="47">
        <f t="shared" si="177"/>
        <v>13.26512329</v>
      </c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</row>
    <row r="196">
      <c r="A196" s="72" t="s">
        <v>1154</v>
      </c>
      <c r="B196" s="209">
        <v>2.048E7</v>
      </c>
      <c r="C196" s="220">
        <f t="shared" ref="C196:D196" si="182">H7</f>
        <v>20480000</v>
      </c>
      <c r="D196" s="195">
        <f t="shared" si="182"/>
        <v>0</v>
      </c>
      <c r="E196" s="69">
        <f t="shared" si="173"/>
        <v>40960000</v>
      </c>
      <c r="F196" s="70">
        <v>1.60314E8</v>
      </c>
      <c r="G196" s="47">
        <f t="shared" si="174"/>
        <v>3.913916016</v>
      </c>
      <c r="H196" s="195"/>
      <c r="I196" s="72" t="s">
        <v>1154</v>
      </c>
      <c r="J196" s="69">
        <v>2.048E7</v>
      </c>
      <c r="K196" s="210">
        <f t="shared" ref="K196:L196" si="183">H7</f>
        <v>20480000</v>
      </c>
      <c r="L196" s="195">
        <f t="shared" si="183"/>
        <v>0</v>
      </c>
      <c r="M196" s="69">
        <f t="shared" si="176"/>
        <v>40960000</v>
      </c>
      <c r="N196" s="70">
        <v>1.60314E8</v>
      </c>
      <c r="O196" s="47">
        <f t="shared" si="177"/>
        <v>3.913916016</v>
      </c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</row>
    <row r="197">
      <c r="A197" s="198" t="s">
        <v>37</v>
      </c>
      <c r="B197" s="209">
        <v>489738.24</v>
      </c>
      <c r="C197" s="220">
        <f t="shared" ref="C197:D197" si="184">H8</f>
        <v>2812500</v>
      </c>
      <c r="D197" s="195">
        <f t="shared" si="184"/>
        <v>2812500</v>
      </c>
      <c r="E197" s="69">
        <f t="shared" si="173"/>
        <v>6114738.24</v>
      </c>
      <c r="F197" s="70">
        <v>2.6299964285714287E7</v>
      </c>
      <c r="G197" s="47">
        <f t="shared" si="174"/>
        <v>4.3010777</v>
      </c>
      <c r="H197" s="195"/>
      <c r="I197" s="198" t="s">
        <v>37</v>
      </c>
      <c r="J197" s="69">
        <v>250532.352</v>
      </c>
      <c r="K197" s="210">
        <f t="shared" ref="K197:L197" si="185">H8</f>
        <v>2812500</v>
      </c>
      <c r="L197" s="195">
        <f t="shared" si="185"/>
        <v>2812500</v>
      </c>
      <c r="M197" s="69">
        <f t="shared" si="176"/>
        <v>5875532.352</v>
      </c>
      <c r="N197" s="70">
        <v>2.6299964285714287E7</v>
      </c>
      <c r="O197" s="47">
        <f t="shared" si="177"/>
        <v>4.476184065</v>
      </c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</row>
    <row r="198">
      <c r="A198" s="193" t="s">
        <v>1159</v>
      </c>
      <c r="B198" s="18">
        <v>2.0911011240000002E7</v>
      </c>
      <c r="C198" s="220">
        <f t="shared" ref="C198:D198" si="186">H9</f>
        <v>1638480</v>
      </c>
      <c r="D198" s="195">
        <f t="shared" si="186"/>
        <v>150</v>
      </c>
      <c r="E198" s="69">
        <f t="shared" si="173"/>
        <v>22549641.24</v>
      </c>
      <c r="F198" s="70">
        <v>1.7625E8</v>
      </c>
      <c r="G198" s="47">
        <f t="shared" si="174"/>
        <v>7.816088874</v>
      </c>
      <c r="H198" s="195"/>
      <c r="I198" s="193" t="s">
        <v>1159</v>
      </c>
      <c r="J198" s="69">
        <v>6191063.040000001</v>
      </c>
      <c r="K198" s="210">
        <f t="shared" ref="K198:L198" si="187">H9</f>
        <v>1638480</v>
      </c>
      <c r="L198" s="195">
        <f t="shared" si="187"/>
        <v>150</v>
      </c>
      <c r="M198" s="69">
        <f t="shared" si="176"/>
        <v>7829693.04</v>
      </c>
      <c r="N198" s="70">
        <v>1.7625E8</v>
      </c>
      <c r="O198" s="47">
        <f t="shared" si="177"/>
        <v>22.51046102</v>
      </c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</row>
    <row r="199">
      <c r="A199" s="72" t="s">
        <v>1162</v>
      </c>
      <c r="B199" s="213">
        <v>4.1923101676440954E8</v>
      </c>
      <c r="C199" s="220">
        <f t="shared" ref="C199:D199" si="188">H10</f>
        <v>129081.1523</v>
      </c>
      <c r="D199" s="195">
        <f t="shared" si="188"/>
        <v>1685.312195</v>
      </c>
      <c r="E199" s="212">
        <f t="shared" si="173"/>
        <v>419361783.2</v>
      </c>
      <c r="F199" s="214">
        <v>1.0455367035714285E11</v>
      </c>
      <c r="G199" s="47">
        <f t="shared" si="174"/>
        <v>249.3161622</v>
      </c>
      <c r="H199" s="195"/>
      <c r="I199" s="72" t="s">
        <v>1162</v>
      </c>
      <c r="J199" s="212">
        <v>2.5275733426940954E8</v>
      </c>
      <c r="K199" s="210">
        <f t="shared" ref="K199:L199" si="189">H10</f>
        <v>129081.1523</v>
      </c>
      <c r="L199" s="195">
        <f t="shared" si="189"/>
        <v>1685.312195</v>
      </c>
      <c r="M199" s="212">
        <f t="shared" si="176"/>
        <v>252888100.7</v>
      </c>
      <c r="N199" s="214">
        <v>1.0455367035714285E11</v>
      </c>
      <c r="O199" s="47">
        <f t="shared" si="177"/>
        <v>413.4384736</v>
      </c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</row>
    <row r="200">
      <c r="A200" s="72" t="s">
        <v>1165</v>
      </c>
      <c r="B200" s="209">
        <v>1.9822344472E8</v>
      </c>
      <c r="C200" s="220">
        <f t="shared" ref="C200:D200" si="190">H11</f>
        <v>742400</v>
      </c>
      <c r="D200" s="195">
        <f t="shared" si="190"/>
        <v>5.6640625</v>
      </c>
      <c r="E200" s="69">
        <f t="shared" si="173"/>
        <v>198965850.4</v>
      </c>
      <c r="F200" s="50">
        <v>2.014642857142857E8</v>
      </c>
      <c r="G200" s="47">
        <f t="shared" si="174"/>
        <v>1.012557106</v>
      </c>
      <c r="H200" s="195"/>
      <c r="I200" s="72" t="s">
        <v>1165</v>
      </c>
      <c r="J200" s="69">
        <v>1.8999065728E8</v>
      </c>
      <c r="K200" s="210">
        <f t="shared" ref="K200:L200" si="191">H11</f>
        <v>742400</v>
      </c>
      <c r="L200" s="195">
        <f t="shared" si="191"/>
        <v>5.6640625</v>
      </c>
      <c r="M200" s="69">
        <f t="shared" si="176"/>
        <v>190733062.9</v>
      </c>
      <c r="N200" s="50">
        <v>2.8205E9</v>
      </c>
      <c r="O200" s="47">
        <f t="shared" si="177"/>
        <v>14.78768262</v>
      </c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</row>
    <row r="201">
      <c r="A201" s="72" t="s">
        <v>1168</v>
      </c>
      <c r="B201" s="209">
        <v>2.6396179046400003E7</v>
      </c>
      <c r="C201" s="220">
        <f t="shared" ref="C201:D201" si="192">H12</f>
        <v>9155288.457</v>
      </c>
      <c r="D201" s="195">
        <f t="shared" si="192"/>
        <v>5</v>
      </c>
      <c r="E201" s="69">
        <f t="shared" si="173"/>
        <v>35551472.5</v>
      </c>
      <c r="F201" s="70">
        <v>7.591792E7</v>
      </c>
      <c r="G201" s="47">
        <f t="shared" si="174"/>
        <v>2.135436725</v>
      </c>
      <c r="H201" s="195"/>
      <c r="I201" s="72" t="s">
        <v>1168</v>
      </c>
      <c r="J201" s="69">
        <v>2.3956350566400003E7</v>
      </c>
      <c r="K201" s="210">
        <f t="shared" ref="K201:L201" si="193">H12</f>
        <v>9155288.457</v>
      </c>
      <c r="L201" s="195">
        <f t="shared" si="193"/>
        <v>5</v>
      </c>
      <c r="M201" s="69">
        <f t="shared" si="176"/>
        <v>33111644.02</v>
      </c>
      <c r="N201" s="70">
        <v>7.591792E7</v>
      </c>
      <c r="O201" s="47">
        <f t="shared" si="177"/>
        <v>2.292786186</v>
      </c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</row>
    <row r="202">
      <c r="A202" s="72" t="s">
        <v>1171</v>
      </c>
      <c r="B202" s="209">
        <v>1.17560705136E12</v>
      </c>
      <c r="C202" s="220">
        <f t="shared" ref="C202:D202" si="194">H13</f>
        <v>327680000</v>
      </c>
      <c r="D202" s="195">
        <f t="shared" si="194"/>
        <v>327681250</v>
      </c>
      <c r="E202" s="69">
        <f t="shared" si="173"/>
        <v>1176262412610</v>
      </c>
      <c r="F202" s="18">
        <v>1.2655586730124695E10</v>
      </c>
      <c r="G202" s="47">
        <f t="shared" si="174"/>
        <v>0.01075915254</v>
      </c>
      <c r="H202" s="195"/>
      <c r="I202" s="72" t="s">
        <v>1171</v>
      </c>
      <c r="J202" s="69">
        <v>1.84924116992E11</v>
      </c>
      <c r="K202" s="210">
        <f t="shared" ref="K202:L202" si="195">H13</f>
        <v>327680000</v>
      </c>
      <c r="L202" s="195">
        <f t="shared" si="195"/>
        <v>327681250</v>
      </c>
      <c r="M202" s="69">
        <f t="shared" si="176"/>
        <v>185579478242</v>
      </c>
      <c r="N202" s="18">
        <v>1.2655586730124695E10</v>
      </c>
      <c r="O202" s="47">
        <f t="shared" si="177"/>
        <v>0.06819496881</v>
      </c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</row>
    <row r="203">
      <c r="A203" s="198" t="s">
        <v>1174</v>
      </c>
      <c r="B203" s="211">
        <v>1.92955709664E9</v>
      </c>
      <c r="C203" s="220">
        <f t="shared" ref="C203:D203" si="196">H14</f>
        <v>15625000</v>
      </c>
      <c r="D203" s="195">
        <f t="shared" si="196"/>
        <v>312500</v>
      </c>
      <c r="E203" s="69">
        <f t="shared" si="173"/>
        <v>1945494597</v>
      </c>
      <c r="F203" s="70">
        <v>2.9649247608439894E9</v>
      </c>
      <c r="G203" s="47">
        <f t="shared" si="174"/>
        <v>1.523995372</v>
      </c>
      <c r="H203" s="195"/>
      <c r="I203" s="198" t="s">
        <v>1174</v>
      </c>
      <c r="J203" s="70">
        <v>1.81824927264E9</v>
      </c>
      <c r="K203" s="210">
        <f t="shared" ref="K203:L203" si="197">H14</f>
        <v>15625000</v>
      </c>
      <c r="L203" s="195">
        <f t="shared" si="197"/>
        <v>312500</v>
      </c>
      <c r="M203" s="69">
        <f t="shared" si="176"/>
        <v>1834186773</v>
      </c>
      <c r="N203" s="70">
        <v>2.9649247608439894E9</v>
      </c>
      <c r="O203" s="47">
        <f t="shared" si="177"/>
        <v>1.616479197</v>
      </c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</row>
    <row r="204">
      <c r="A204" s="72" t="s">
        <v>1177</v>
      </c>
      <c r="B204" s="209">
        <v>6365677.421875</v>
      </c>
      <c r="C204" s="220">
        <f t="shared" ref="C204:D204" si="198">H15</f>
        <v>2441.40625</v>
      </c>
      <c r="D204" s="195">
        <f t="shared" si="198"/>
        <v>2441.40625</v>
      </c>
      <c r="E204" s="69">
        <f t="shared" si="173"/>
        <v>6370560.234</v>
      </c>
      <c r="F204" s="70">
        <v>1.143975E7</v>
      </c>
      <c r="G204" s="47">
        <f t="shared" si="174"/>
        <v>1.795721189</v>
      </c>
      <c r="H204" s="195"/>
      <c r="I204" s="72" t="s">
        <v>1177</v>
      </c>
      <c r="J204" s="69">
        <v>4449017.5</v>
      </c>
      <c r="K204" s="210">
        <f t="shared" ref="K204:L204" si="199">H15</f>
        <v>2441.40625</v>
      </c>
      <c r="L204" s="195">
        <f t="shared" si="199"/>
        <v>2441.40625</v>
      </c>
      <c r="M204" s="69">
        <f t="shared" si="176"/>
        <v>4453900.313</v>
      </c>
      <c r="N204" s="70">
        <v>3.20313E8</v>
      </c>
      <c r="O204" s="47">
        <f t="shared" si="177"/>
        <v>71.91741564</v>
      </c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</row>
    <row r="205">
      <c r="A205" s="72" t="s">
        <v>1189</v>
      </c>
      <c r="B205" s="204"/>
      <c r="C205" s="220" t="str">
        <f t="shared" ref="C205:D205" si="200">H84</f>
        <v/>
      </c>
      <c r="D205" s="195" t="str">
        <f t="shared" si="200"/>
        <v/>
      </c>
      <c r="E205" s="47"/>
      <c r="F205" s="69"/>
      <c r="G205" s="215">
        <f>GEOMEAN(G192:G204)</f>
        <v>3.172322142</v>
      </c>
      <c r="H205" s="195"/>
      <c r="I205" s="72" t="s">
        <v>1189</v>
      </c>
      <c r="J205" s="204"/>
      <c r="K205" s="204"/>
      <c r="L205" s="47"/>
      <c r="M205" s="47"/>
      <c r="N205" s="69"/>
      <c r="O205" s="216">
        <f>GEOMEAN(O192:O204)</f>
        <v>7.668678595</v>
      </c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</row>
    <row r="206">
      <c r="A206" s="47"/>
      <c r="B206" s="204"/>
      <c r="C206" s="204"/>
      <c r="D206" s="47"/>
      <c r="E206" s="47"/>
      <c r="F206" s="69"/>
      <c r="G206" s="47"/>
      <c r="H206" s="195"/>
      <c r="I206" s="195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</row>
    <row r="207">
      <c r="A207" s="217" t="s">
        <v>1205</v>
      </c>
      <c r="H207" s="195"/>
      <c r="I207" s="217" t="s">
        <v>1206</v>
      </c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</row>
    <row r="208">
      <c r="A208" s="126" t="s">
        <v>1181</v>
      </c>
      <c r="B208" s="207" t="s">
        <v>1182</v>
      </c>
      <c r="C208" s="218" t="s">
        <v>1140</v>
      </c>
      <c r="D208" s="218" t="s">
        <v>1183</v>
      </c>
      <c r="E208" s="126" t="s">
        <v>1184</v>
      </c>
      <c r="F208" s="219" t="s">
        <v>1185</v>
      </c>
      <c r="G208" s="126" t="s">
        <v>132</v>
      </c>
      <c r="H208" s="195"/>
      <c r="I208" s="126" t="s">
        <v>1181</v>
      </c>
      <c r="J208" s="207" t="s">
        <v>1182</v>
      </c>
      <c r="K208" s="218" t="s">
        <v>1140</v>
      </c>
      <c r="L208" s="218" t="s">
        <v>1183</v>
      </c>
      <c r="M208" s="126" t="s">
        <v>1184</v>
      </c>
      <c r="N208" s="219" t="s">
        <v>1185</v>
      </c>
      <c r="O208" s="126" t="s">
        <v>132</v>
      </c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</row>
    <row r="209">
      <c r="A209" s="72" t="s">
        <v>1142</v>
      </c>
      <c r="B209" s="209">
        <v>13603.84</v>
      </c>
      <c r="C209" s="220">
        <f t="shared" ref="C209:D209" si="201">H3</f>
        <v>6103515.625</v>
      </c>
      <c r="D209" s="195">
        <f t="shared" si="201"/>
        <v>3051757.813</v>
      </c>
      <c r="E209" s="69">
        <f t="shared" ref="E209:E221" si="204">B209+C209+D209</f>
        <v>9168877.278</v>
      </c>
      <c r="F209" s="211">
        <v>1.0612145599639076E8</v>
      </c>
      <c r="G209" s="47">
        <f t="shared" ref="G209:G221" si="205">F209/E209</f>
        <v>11.57409493</v>
      </c>
      <c r="H209" s="195"/>
      <c r="I209" s="72" t="s">
        <v>1142</v>
      </c>
      <c r="J209" s="209">
        <v>2943.36</v>
      </c>
      <c r="K209" s="220">
        <f t="shared" ref="K209:L209" si="202">H3</f>
        <v>6103515.625</v>
      </c>
      <c r="L209" s="195">
        <f t="shared" si="202"/>
        <v>3051757.813</v>
      </c>
      <c r="M209" s="69">
        <f t="shared" ref="M209:M221" si="207">J209+K209+L209</f>
        <v>9158216.798</v>
      </c>
      <c r="N209" s="211">
        <v>1.0612145599639076E8</v>
      </c>
      <c r="O209" s="47">
        <f t="shared" ref="O209:O221" si="208">N209/M209</f>
        <v>11.58756757</v>
      </c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</row>
    <row r="210">
      <c r="A210" s="72" t="s">
        <v>1145</v>
      </c>
      <c r="B210" s="209">
        <v>962118.99375</v>
      </c>
      <c r="C210" s="220">
        <f t="shared" ref="C210:D210" si="203">H4</f>
        <v>3051757.813</v>
      </c>
      <c r="D210" s="195">
        <f t="shared" si="203"/>
        <v>149.0116211</v>
      </c>
      <c r="E210" s="69">
        <f t="shared" si="204"/>
        <v>4014025.818</v>
      </c>
      <c r="F210" s="70">
        <v>7.0541E7</v>
      </c>
      <c r="G210" s="47">
        <f t="shared" si="205"/>
        <v>17.57362887</v>
      </c>
      <c r="H210" s="195"/>
      <c r="I210" s="72" t="s">
        <v>1145</v>
      </c>
      <c r="J210" s="209">
        <v>343424.0</v>
      </c>
      <c r="K210" s="220">
        <f t="shared" ref="K210:L210" si="206">H4</f>
        <v>3051757.813</v>
      </c>
      <c r="L210" s="195">
        <f t="shared" si="206"/>
        <v>149.0116211</v>
      </c>
      <c r="M210" s="69">
        <f t="shared" si="207"/>
        <v>3395330.824</v>
      </c>
      <c r="N210" s="70">
        <v>7.0541E7</v>
      </c>
      <c r="O210" s="47">
        <f t="shared" si="208"/>
        <v>20.77588419</v>
      </c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</row>
    <row r="211">
      <c r="A211" s="72" t="s">
        <v>1148</v>
      </c>
      <c r="B211" s="209">
        <v>3.18479652864E9</v>
      </c>
      <c r="C211" s="220">
        <f t="shared" ref="C211:D211" si="209">H5</f>
        <v>22888183.59</v>
      </c>
      <c r="D211" s="195">
        <f t="shared" si="209"/>
        <v>11444091.8</v>
      </c>
      <c r="E211" s="69">
        <f t="shared" si="204"/>
        <v>3219128804</v>
      </c>
      <c r="F211" s="70">
        <v>3.0732124E10</v>
      </c>
      <c r="G211" s="47">
        <f t="shared" si="205"/>
        <v>9.546720828</v>
      </c>
      <c r="H211" s="195"/>
      <c r="I211" s="72" t="s">
        <v>1148</v>
      </c>
      <c r="J211" s="209">
        <v>3.181209147648E9</v>
      </c>
      <c r="K211" s="220">
        <f t="shared" ref="K211:L211" si="210">H5</f>
        <v>22888183.59</v>
      </c>
      <c r="L211" s="195">
        <f t="shared" si="210"/>
        <v>11444091.8</v>
      </c>
      <c r="M211" s="69">
        <f t="shared" si="207"/>
        <v>3215541423</v>
      </c>
      <c r="N211" s="70">
        <v>3.0732124E10</v>
      </c>
      <c r="O211" s="47">
        <f t="shared" si="208"/>
        <v>9.557371514</v>
      </c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</row>
    <row r="212">
      <c r="A212" s="72" t="s">
        <v>1151</v>
      </c>
      <c r="B212" s="209">
        <v>7.058489344E7</v>
      </c>
      <c r="C212" s="220">
        <f t="shared" ref="C212:D212" si="211">H6</f>
        <v>610351.5625</v>
      </c>
      <c r="D212" s="195">
        <f t="shared" si="211"/>
        <v>5120</v>
      </c>
      <c r="E212" s="69">
        <f t="shared" si="204"/>
        <v>71200365</v>
      </c>
      <c r="F212" s="70">
        <v>1.6552668E10</v>
      </c>
      <c r="G212" s="47">
        <f t="shared" si="205"/>
        <v>232.4801003</v>
      </c>
      <c r="H212" s="195"/>
      <c r="I212" s="72" t="s">
        <v>1151</v>
      </c>
      <c r="J212" s="209">
        <v>3.897556992E7</v>
      </c>
      <c r="K212" s="220">
        <f t="shared" ref="K212:L212" si="212">H6</f>
        <v>610351.5625</v>
      </c>
      <c r="L212" s="195">
        <f t="shared" si="212"/>
        <v>5120</v>
      </c>
      <c r="M212" s="69">
        <f t="shared" si="207"/>
        <v>39591041.48</v>
      </c>
      <c r="N212" s="70">
        <v>1.6552668E10</v>
      </c>
      <c r="O212" s="47">
        <f t="shared" si="208"/>
        <v>418.0912494</v>
      </c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</row>
    <row r="213">
      <c r="A213" s="72" t="s">
        <v>1154</v>
      </c>
      <c r="B213" s="209">
        <v>2.048E7</v>
      </c>
      <c r="C213" s="220">
        <f t="shared" ref="C213:D213" si="213">H7</f>
        <v>20480000</v>
      </c>
      <c r="D213" s="195">
        <f t="shared" si="213"/>
        <v>0</v>
      </c>
      <c r="E213" s="69">
        <f t="shared" si="204"/>
        <v>40960000</v>
      </c>
      <c r="F213" s="70">
        <v>1.60314E8</v>
      </c>
      <c r="G213" s="47">
        <f t="shared" si="205"/>
        <v>3.913916016</v>
      </c>
      <c r="H213" s="195"/>
      <c r="I213" s="72" t="s">
        <v>1154</v>
      </c>
      <c r="J213" s="209">
        <v>2.048E7</v>
      </c>
      <c r="K213" s="220">
        <f t="shared" ref="K213:L213" si="214">H7</f>
        <v>20480000</v>
      </c>
      <c r="L213" s="195">
        <f t="shared" si="214"/>
        <v>0</v>
      </c>
      <c r="M213" s="69">
        <f t="shared" si="207"/>
        <v>40960000</v>
      </c>
      <c r="N213" s="70">
        <v>1.60314E8</v>
      </c>
      <c r="O213" s="47">
        <f t="shared" si="208"/>
        <v>3.913916016</v>
      </c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</row>
    <row r="214">
      <c r="A214" s="198" t="s">
        <v>37</v>
      </c>
      <c r="B214" s="209">
        <v>27207.68</v>
      </c>
      <c r="C214" s="220">
        <f t="shared" ref="C214:D214" si="215">H8</f>
        <v>2812500</v>
      </c>
      <c r="D214" s="195">
        <f t="shared" si="215"/>
        <v>2812500</v>
      </c>
      <c r="E214" s="69">
        <f t="shared" si="204"/>
        <v>5652207.68</v>
      </c>
      <c r="F214" s="70">
        <v>2.6299964285714287E7</v>
      </c>
      <c r="G214" s="47">
        <f t="shared" si="205"/>
        <v>4.653042806</v>
      </c>
      <c r="H214" s="195"/>
      <c r="I214" s="198" t="s">
        <v>37</v>
      </c>
      <c r="J214" s="209">
        <v>13918.464</v>
      </c>
      <c r="K214" s="220">
        <f t="shared" ref="K214:L214" si="216">H8</f>
        <v>2812500</v>
      </c>
      <c r="L214" s="195">
        <f t="shared" si="216"/>
        <v>2812500</v>
      </c>
      <c r="M214" s="69">
        <f t="shared" si="207"/>
        <v>5638918.464</v>
      </c>
      <c r="N214" s="70">
        <v>2.6299964285714287E7</v>
      </c>
      <c r="O214" s="47">
        <f t="shared" si="208"/>
        <v>4.664008613</v>
      </c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</row>
    <row r="215">
      <c r="A215" s="193" t="s">
        <v>1159</v>
      </c>
      <c r="B215" s="18">
        <v>3763746.22125</v>
      </c>
      <c r="C215" s="220">
        <f t="shared" ref="C215:D215" si="217">H9</f>
        <v>1638480</v>
      </c>
      <c r="D215" s="195">
        <f t="shared" si="217"/>
        <v>150</v>
      </c>
      <c r="E215" s="69">
        <f t="shared" si="204"/>
        <v>5402376.221</v>
      </c>
      <c r="F215" s="70">
        <v>1.7625E8</v>
      </c>
      <c r="G215" s="47">
        <f t="shared" si="205"/>
        <v>32.62453276</v>
      </c>
      <c r="H215" s="195"/>
      <c r="I215" s="193" t="s">
        <v>1159</v>
      </c>
      <c r="J215" s="18">
        <v>3303747.84</v>
      </c>
      <c r="K215" s="220">
        <f t="shared" ref="K215:L215" si="218">H9</f>
        <v>1638480</v>
      </c>
      <c r="L215" s="195">
        <f t="shared" si="218"/>
        <v>150</v>
      </c>
      <c r="M215" s="69">
        <f t="shared" si="207"/>
        <v>4942377.84</v>
      </c>
      <c r="N215" s="70">
        <v>1.7625E8</v>
      </c>
      <c r="O215" s="47">
        <f t="shared" si="208"/>
        <v>35.66097245</v>
      </c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</row>
    <row r="216">
      <c r="A216" s="72" t="s">
        <v>1162</v>
      </c>
      <c r="B216" s="213">
        <v>7.569708454945128E8</v>
      </c>
      <c r="C216" s="220">
        <f t="shared" ref="C216:D216" si="219">H10</f>
        <v>129081.1523</v>
      </c>
      <c r="D216" s="195">
        <f t="shared" si="219"/>
        <v>1685.312195</v>
      </c>
      <c r="E216" s="212">
        <f t="shared" si="204"/>
        <v>757101612</v>
      </c>
      <c r="F216" s="214">
        <v>1.0455367035714285E11</v>
      </c>
      <c r="G216" s="47">
        <f t="shared" si="205"/>
        <v>138.0972761</v>
      </c>
      <c r="H216" s="195"/>
      <c r="I216" s="72" t="s">
        <v>1162</v>
      </c>
      <c r="J216" s="213">
        <v>7898666.695919048</v>
      </c>
      <c r="K216" s="220">
        <f t="shared" ref="K216:L216" si="220">H10</f>
        <v>129081.1523</v>
      </c>
      <c r="L216" s="195">
        <f t="shared" si="220"/>
        <v>1685.312195</v>
      </c>
      <c r="M216" s="212">
        <f t="shared" si="207"/>
        <v>8029433.16</v>
      </c>
      <c r="N216" s="214">
        <v>1.0455367035714285E11</v>
      </c>
      <c r="O216" s="47">
        <f t="shared" si="208"/>
        <v>13021.30154</v>
      </c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</row>
    <row r="217">
      <c r="A217" s="72" t="s">
        <v>1165</v>
      </c>
      <c r="B217" s="209">
        <v>6463807.98</v>
      </c>
      <c r="C217" s="220">
        <f t="shared" ref="C217:D217" si="221">H11</f>
        <v>742400</v>
      </c>
      <c r="D217" s="195">
        <f t="shared" si="221"/>
        <v>5.6640625</v>
      </c>
      <c r="E217" s="69">
        <f t="shared" si="204"/>
        <v>7206213.644</v>
      </c>
      <c r="F217" s="50">
        <v>2.014642857142857E8</v>
      </c>
      <c r="G217" s="47">
        <f t="shared" si="205"/>
        <v>27.95702371</v>
      </c>
      <c r="H217" s="195"/>
      <c r="I217" s="72" t="s">
        <v>1165</v>
      </c>
      <c r="J217" s="209">
        <v>6195347.52</v>
      </c>
      <c r="K217" s="220">
        <f t="shared" ref="K217:L217" si="222">H11</f>
        <v>742400</v>
      </c>
      <c r="L217" s="195">
        <f t="shared" si="222"/>
        <v>5.6640625</v>
      </c>
      <c r="M217" s="69">
        <f t="shared" si="207"/>
        <v>6937753.184</v>
      </c>
      <c r="N217" s="50">
        <v>2.8205E9</v>
      </c>
      <c r="O217" s="47">
        <f t="shared" si="208"/>
        <v>406.5437217</v>
      </c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</row>
    <row r="218">
      <c r="A218" s="72" t="s">
        <v>1168</v>
      </c>
      <c r="B218" s="209">
        <v>1.9322182246400002E7</v>
      </c>
      <c r="C218" s="220">
        <f t="shared" ref="C218:D218" si="223">H12</f>
        <v>9155288.457</v>
      </c>
      <c r="D218" s="195">
        <f t="shared" si="223"/>
        <v>5</v>
      </c>
      <c r="E218" s="69">
        <f t="shared" si="204"/>
        <v>28477475.7</v>
      </c>
      <c r="F218" s="70">
        <v>7.591792E7</v>
      </c>
      <c r="G218" s="47">
        <f t="shared" si="205"/>
        <v>2.665893592</v>
      </c>
      <c r="H218" s="195"/>
      <c r="I218" s="72" t="s">
        <v>1168</v>
      </c>
      <c r="J218" s="209">
        <v>1.88702244864E7</v>
      </c>
      <c r="K218" s="220">
        <f t="shared" ref="K218:L218" si="224">H12</f>
        <v>9155288.457</v>
      </c>
      <c r="L218" s="195">
        <f t="shared" si="224"/>
        <v>5</v>
      </c>
      <c r="M218" s="69">
        <f t="shared" si="207"/>
        <v>28025517.94</v>
      </c>
      <c r="N218" s="70">
        <v>7.591792E7</v>
      </c>
      <c r="O218" s="47">
        <f t="shared" si="208"/>
        <v>2.708885529</v>
      </c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</row>
    <row r="219">
      <c r="A219" s="72" t="s">
        <v>1171</v>
      </c>
      <c r="B219" s="209">
        <v>3.6817794595E10</v>
      </c>
      <c r="C219" s="220">
        <f t="shared" ref="C219:D219" si="225">H13</f>
        <v>327680000</v>
      </c>
      <c r="D219" s="195">
        <f t="shared" si="225"/>
        <v>327681250</v>
      </c>
      <c r="E219" s="69">
        <f t="shared" si="204"/>
        <v>37473155845</v>
      </c>
      <c r="F219" s="18">
        <v>1.2655586730124695E10</v>
      </c>
      <c r="G219" s="47">
        <f t="shared" si="205"/>
        <v>0.3377240706</v>
      </c>
      <c r="H219" s="195"/>
      <c r="I219" s="72" t="s">
        <v>1171</v>
      </c>
      <c r="J219" s="209">
        <v>5.858952896E9</v>
      </c>
      <c r="K219" s="220">
        <f t="shared" ref="K219:L219" si="226">H13</f>
        <v>327680000</v>
      </c>
      <c r="L219" s="195">
        <f t="shared" si="226"/>
        <v>327681250</v>
      </c>
      <c r="M219" s="69">
        <f t="shared" si="207"/>
        <v>6514314146</v>
      </c>
      <c r="N219" s="18">
        <v>1.2655586730124695E10</v>
      </c>
      <c r="O219" s="47">
        <f t="shared" si="208"/>
        <v>1.942735098</v>
      </c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</row>
    <row r="220">
      <c r="A220" s="198" t="s">
        <v>1174</v>
      </c>
      <c r="B220" s="211">
        <v>6.5622158688E7</v>
      </c>
      <c r="C220" s="220">
        <f t="shared" ref="C220:D220" si="227">H14</f>
        <v>15625000</v>
      </c>
      <c r="D220" s="195">
        <f t="shared" si="227"/>
        <v>312500</v>
      </c>
      <c r="E220" s="69">
        <f t="shared" si="204"/>
        <v>81559658.69</v>
      </c>
      <c r="F220" s="70">
        <v>2.9649247608439894E9</v>
      </c>
      <c r="G220" s="47">
        <f t="shared" si="205"/>
        <v>36.35283434</v>
      </c>
      <c r="H220" s="195"/>
      <c r="I220" s="198" t="s">
        <v>1174</v>
      </c>
      <c r="J220" s="211">
        <v>6.0608309088E7</v>
      </c>
      <c r="K220" s="220">
        <f t="shared" ref="K220:L220" si="228">H14</f>
        <v>15625000</v>
      </c>
      <c r="L220" s="195">
        <f t="shared" si="228"/>
        <v>312500</v>
      </c>
      <c r="M220" s="69">
        <f t="shared" si="207"/>
        <v>76545809.09</v>
      </c>
      <c r="N220" s="70">
        <v>2.9649247608439894E9</v>
      </c>
      <c r="O220" s="47">
        <f t="shared" si="208"/>
        <v>38.73399205</v>
      </c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</row>
    <row r="221">
      <c r="A221" s="72" t="s">
        <v>1177</v>
      </c>
      <c r="B221" s="209">
        <v>1629613.42</v>
      </c>
      <c r="C221" s="220">
        <f t="shared" ref="C221:D221" si="229">H15</f>
        <v>2441.40625</v>
      </c>
      <c r="D221" s="195">
        <f t="shared" si="229"/>
        <v>2441.40625</v>
      </c>
      <c r="E221" s="69">
        <f t="shared" si="204"/>
        <v>1634496.233</v>
      </c>
      <c r="F221" s="70">
        <v>1.143975E7</v>
      </c>
      <c r="G221" s="47">
        <f t="shared" si="205"/>
        <v>6.998945469</v>
      </c>
      <c r="H221" s="195"/>
      <c r="I221" s="72" t="s">
        <v>1177</v>
      </c>
      <c r="J221" s="209">
        <v>139031.796875</v>
      </c>
      <c r="K221" s="220">
        <f t="shared" ref="K221:L221" si="230">H15</f>
        <v>2441.40625</v>
      </c>
      <c r="L221" s="195">
        <f t="shared" si="230"/>
        <v>2441.40625</v>
      </c>
      <c r="M221" s="69">
        <f t="shared" si="207"/>
        <v>143914.6094</v>
      </c>
      <c r="N221" s="70">
        <v>3.20313E8</v>
      </c>
      <c r="O221" s="47">
        <f t="shared" si="208"/>
        <v>2225.715661</v>
      </c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</row>
    <row r="222">
      <c r="A222" s="72" t="s">
        <v>1189</v>
      </c>
      <c r="B222" s="204"/>
      <c r="C222" s="220" t="str">
        <f t="shared" ref="C222:D222" si="231">H101</f>
        <v/>
      </c>
      <c r="D222" s="195" t="str">
        <f t="shared" si="231"/>
        <v/>
      </c>
      <c r="E222" s="47"/>
      <c r="F222" s="69"/>
      <c r="G222" s="215">
        <f>GEOMEAN(G209:G221)</f>
        <v>12.75790811</v>
      </c>
      <c r="H222" s="195"/>
      <c r="I222" s="72" t="s">
        <v>1189</v>
      </c>
      <c r="J222" s="204"/>
      <c r="K222" s="220" t="str">
        <f t="shared" ref="K222:L222" si="232">P120</f>
        <v/>
      </c>
      <c r="L222" s="195" t="str">
        <f t="shared" si="232"/>
        <v>GEOMEAN</v>
      </c>
      <c r="M222" s="47"/>
      <c r="N222" s="69"/>
      <c r="O222" s="215">
        <f>GEOMEAN(O209:O221)</f>
        <v>42.56175009</v>
      </c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</row>
    <row r="223">
      <c r="A223" s="47"/>
      <c r="B223" s="204"/>
      <c r="C223" s="204"/>
      <c r="D223" s="47"/>
      <c r="E223" s="47"/>
      <c r="F223" s="69"/>
      <c r="G223" s="47"/>
      <c r="H223" s="195"/>
      <c r="I223" s="195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</row>
    <row r="224">
      <c r="A224" s="230" t="s">
        <v>1207</v>
      </c>
      <c r="I224" s="195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</row>
    <row r="225">
      <c r="A225" s="126" t="s">
        <v>1181</v>
      </c>
      <c r="B225" s="194" t="s">
        <v>1208</v>
      </c>
      <c r="C225" s="6" t="s">
        <v>134</v>
      </c>
      <c r="D225" s="43" t="s">
        <v>10</v>
      </c>
      <c r="E225" s="194" t="s">
        <v>48</v>
      </c>
      <c r="F225" s="43" t="s">
        <v>67</v>
      </c>
      <c r="G225" s="43" t="s">
        <v>82</v>
      </c>
      <c r="H225" s="70" t="s">
        <v>1209</v>
      </c>
      <c r="I225" s="6" t="s">
        <v>1210</v>
      </c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</row>
    <row r="226">
      <c r="A226" s="72" t="s">
        <v>1142</v>
      </c>
      <c r="B226" s="209">
        <f t="shared" ref="B226:B239" si="233">B209</f>
        <v>13603.84</v>
      </c>
      <c r="C226" s="220">
        <f t="shared" ref="C226:C238" si="234">B209/B226</f>
        <v>1</v>
      </c>
      <c r="D226" s="195">
        <f t="shared" ref="D226:D238" si="235">B226/B123</f>
        <v>0.8294306225</v>
      </c>
      <c r="E226" s="195">
        <f t="shared" ref="E226:E238" si="236">B226/B141</f>
        <v>1.705909056</v>
      </c>
      <c r="F226" s="195">
        <f t="shared" ref="F226:F238" si="237">B226/B158</f>
        <v>2.363033139</v>
      </c>
      <c r="G226" s="195">
        <f t="shared" ref="G226:G238" si="238">B226/B175</f>
        <v>4.617920621</v>
      </c>
      <c r="H226" s="195">
        <f>B226/B105</f>
        <v>4.621874321</v>
      </c>
      <c r="I226" s="10">
        <f t="shared" ref="I226:I239" si="239">H226/D226</f>
        <v>5.57234589</v>
      </c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</row>
    <row r="227">
      <c r="A227" s="72" t="s">
        <v>1145</v>
      </c>
      <c r="B227" s="209">
        <f t="shared" si="233"/>
        <v>962118.9938</v>
      </c>
      <c r="C227" s="220">
        <f t="shared" si="234"/>
        <v>1</v>
      </c>
      <c r="D227" s="195">
        <f t="shared" si="235"/>
        <v>0.8488260097</v>
      </c>
      <c r="E227" s="195">
        <f t="shared" si="236"/>
        <v>1.372246561</v>
      </c>
      <c r="F227" s="195">
        <f t="shared" si="237"/>
        <v>1.854335989</v>
      </c>
      <c r="G227" s="195">
        <f t="shared" si="238"/>
        <v>2.303498337</v>
      </c>
      <c r="H227" s="195"/>
      <c r="I227" s="10">
        <f t="shared" si="239"/>
        <v>0</v>
      </c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</row>
    <row r="228">
      <c r="A228" s="72" t="s">
        <v>1148</v>
      </c>
      <c r="B228" s="209">
        <f t="shared" si="233"/>
        <v>3184796529</v>
      </c>
      <c r="C228" s="220">
        <f t="shared" si="234"/>
        <v>1</v>
      </c>
      <c r="D228" s="195">
        <f t="shared" si="235"/>
        <v>0.9975730131</v>
      </c>
      <c r="E228" s="195">
        <f t="shared" si="236"/>
        <v>0.999456078</v>
      </c>
      <c r="F228" s="195">
        <f t="shared" si="237"/>
        <v>1.000294173</v>
      </c>
      <c r="G228" s="195">
        <f t="shared" si="238"/>
        <v>1.000765937</v>
      </c>
      <c r="H228" s="195"/>
      <c r="I228" s="10">
        <f t="shared" si="239"/>
        <v>0</v>
      </c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</row>
    <row r="229">
      <c r="A229" s="72" t="s">
        <v>1151</v>
      </c>
      <c r="B229" s="209">
        <f t="shared" si="233"/>
        <v>70584893.44</v>
      </c>
      <c r="C229" s="220">
        <f t="shared" si="234"/>
        <v>1</v>
      </c>
      <c r="D229" s="195">
        <f t="shared" si="235"/>
        <v>1.118839857</v>
      </c>
      <c r="E229" s="195">
        <f t="shared" si="236"/>
        <v>1.180654214</v>
      </c>
      <c r="F229" s="195">
        <f t="shared" si="237"/>
        <v>1.775502845</v>
      </c>
      <c r="G229" s="195">
        <f t="shared" si="238"/>
        <v>1.842227696</v>
      </c>
      <c r="H229" s="195"/>
      <c r="I229" s="10">
        <f t="shared" si="239"/>
        <v>0</v>
      </c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</row>
    <row r="230">
      <c r="A230" s="72" t="s">
        <v>1154</v>
      </c>
      <c r="B230" s="209">
        <f t="shared" si="233"/>
        <v>20480000</v>
      </c>
      <c r="C230" s="220">
        <f t="shared" si="234"/>
        <v>1</v>
      </c>
      <c r="D230" s="195">
        <f t="shared" si="235"/>
        <v>1</v>
      </c>
      <c r="E230" s="195">
        <f t="shared" si="236"/>
        <v>1</v>
      </c>
      <c r="F230" s="195">
        <f t="shared" si="237"/>
        <v>1</v>
      </c>
      <c r="G230" s="195">
        <f t="shared" si="238"/>
        <v>1</v>
      </c>
      <c r="H230" s="195"/>
      <c r="I230" s="10">
        <f t="shared" si="239"/>
        <v>0</v>
      </c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</row>
    <row r="231">
      <c r="A231" s="198" t="s">
        <v>37</v>
      </c>
      <c r="B231" s="209">
        <f t="shared" si="233"/>
        <v>27207.68</v>
      </c>
      <c r="C231" s="220">
        <f t="shared" si="234"/>
        <v>1</v>
      </c>
      <c r="D231" s="195">
        <f t="shared" si="235"/>
        <v>0.5151096571</v>
      </c>
      <c r="E231" s="195">
        <f t="shared" si="236"/>
        <v>0.8783873744</v>
      </c>
      <c r="F231" s="195">
        <f t="shared" si="237"/>
        <v>1.330297981</v>
      </c>
      <c r="G231" s="195">
        <f t="shared" si="238"/>
        <v>2.096039296</v>
      </c>
      <c r="H231" s="195"/>
      <c r="I231" s="10">
        <f t="shared" si="239"/>
        <v>0</v>
      </c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</row>
    <row r="232">
      <c r="A232" s="193" t="s">
        <v>1159</v>
      </c>
      <c r="B232" s="209">
        <f t="shared" si="233"/>
        <v>3763746.221</v>
      </c>
      <c r="C232" s="220">
        <f t="shared" si="234"/>
        <v>1</v>
      </c>
      <c r="D232" s="195">
        <f t="shared" si="235"/>
        <v>0.9659839155</v>
      </c>
      <c r="E232" s="195">
        <f t="shared" si="236"/>
        <v>1.053672971</v>
      </c>
      <c r="F232" s="195">
        <f t="shared" si="237"/>
        <v>1.095604069</v>
      </c>
      <c r="G232" s="195">
        <f t="shared" si="238"/>
        <v>1.120350016</v>
      </c>
      <c r="H232" s="195"/>
      <c r="I232" s="10">
        <f t="shared" si="239"/>
        <v>0</v>
      </c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</row>
    <row r="233">
      <c r="A233" s="72" t="s">
        <v>1162</v>
      </c>
      <c r="B233" s="209">
        <f t="shared" si="233"/>
        <v>756970845.5</v>
      </c>
      <c r="C233" s="220">
        <f t="shared" si="234"/>
        <v>1</v>
      </c>
      <c r="D233" s="195">
        <f t="shared" si="235"/>
        <v>1.154536625</v>
      </c>
      <c r="E233" s="195">
        <f t="shared" si="236"/>
        <v>1.23888296</v>
      </c>
      <c r="F233" s="195">
        <f t="shared" si="237"/>
        <v>2.213846019</v>
      </c>
      <c r="G233" s="195">
        <f t="shared" si="238"/>
        <v>2.359178755</v>
      </c>
      <c r="H233" s="195"/>
      <c r="I233" s="10">
        <f t="shared" si="239"/>
        <v>0</v>
      </c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</row>
    <row r="234">
      <c r="A234" s="72" t="s">
        <v>1165</v>
      </c>
      <c r="B234" s="209">
        <f t="shared" si="233"/>
        <v>6463807.98</v>
      </c>
      <c r="C234" s="220">
        <f t="shared" si="234"/>
        <v>1</v>
      </c>
      <c r="D234" s="195">
        <f t="shared" si="235"/>
        <v>0.9893626668</v>
      </c>
      <c r="E234" s="195">
        <f t="shared" si="236"/>
        <v>1.019472257</v>
      </c>
      <c r="F234" s="195">
        <f t="shared" si="237"/>
        <v>1.030246261</v>
      </c>
      <c r="G234" s="195">
        <f t="shared" si="238"/>
        <v>1.037566414</v>
      </c>
      <c r="H234" s="195"/>
      <c r="I234" s="10">
        <f t="shared" si="239"/>
        <v>0</v>
      </c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</row>
    <row r="235">
      <c r="A235" s="72" t="s">
        <v>1168</v>
      </c>
      <c r="B235" s="209">
        <f t="shared" si="233"/>
        <v>19322182.25</v>
      </c>
      <c r="C235" s="220">
        <f t="shared" si="234"/>
        <v>1</v>
      </c>
      <c r="D235" s="195">
        <f t="shared" si="235"/>
        <v>1.01383012</v>
      </c>
      <c r="E235" s="195">
        <f t="shared" si="236"/>
        <v>1.015204678</v>
      </c>
      <c r="F235" s="195">
        <f t="shared" si="237"/>
        <v>1.023268679</v>
      </c>
      <c r="G235" s="195">
        <f t="shared" si="238"/>
        <v>1.024230966</v>
      </c>
      <c r="H235" s="195"/>
      <c r="I235" s="10">
        <f t="shared" si="239"/>
        <v>0</v>
      </c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</row>
    <row r="236">
      <c r="A236" s="72" t="s">
        <v>1171</v>
      </c>
      <c r="B236" s="209">
        <f t="shared" si="233"/>
        <v>36817794595</v>
      </c>
      <c r="C236" s="220">
        <f t="shared" si="234"/>
        <v>1</v>
      </c>
      <c r="D236" s="195">
        <f t="shared" si="235"/>
        <v>0.8070608457</v>
      </c>
      <c r="E236" s="195">
        <f t="shared" si="236"/>
        <v>1.528680288</v>
      </c>
      <c r="F236" s="195">
        <f t="shared" si="237"/>
        <v>2.453520798</v>
      </c>
      <c r="G236" s="195">
        <f t="shared" si="238"/>
        <v>3.694196378</v>
      </c>
      <c r="H236" s="195"/>
      <c r="I236" s="10">
        <f t="shared" si="239"/>
        <v>0</v>
      </c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</row>
    <row r="237">
      <c r="A237" s="198" t="s">
        <v>1174</v>
      </c>
      <c r="B237" s="209">
        <f t="shared" si="233"/>
        <v>65622158.69</v>
      </c>
      <c r="C237" s="220">
        <f t="shared" si="234"/>
        <v>1</v>
      </c>
      <c r="D237" s="195">
        <f t="shared" si="235"/>
        <v>0.9875700296</v>
      </c>
      <c r="E237" s="195">
        <f t="shared" si="236"/>
        <v>1.033308135</v>
      </c>
      <c r="F237" s="195">
        <f t="shared" si="237"/>
        <v>1.060556474</v>
      </c>
      <c r="G237" s="195">
        <f t="shared" si="238"/>
        <v>1.082137833</v>
      </c>
      <c r="H237" s="195"/>
      <c r="I237" s="10">
        <f t="shared" si="239"/>
        <v>0</v>
      </c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</row>
    <row r="238">
      <c r="A238" s="72" t="s">
        <v>1177</v>
      </c>
      <c r="B238" s="209">
        <f t="shared" si="233"/>
        <v>1629613.42</v>
      </c>
      <c r="C238" s="220">
        <f t="shared" si="234"/>
        <v>1</v>
      </c>
      <c r="D238" s="195">
        <f t="shared" si="235"/>
        <v>0.9201732421</v>
      </c>
      <c r="E238" s="195">
        <f t="shared" si="236"/>
        <v>1.143499445</v>
      </c>
      <c r="F238" s="195">
        <f t="shared" si="237"/>
        <v>1.273844175</v>
      </c>
      <c r="G238" s="195">
        <f t="shared" si="238"/>
        <v>1.359879738</v>
      </c>
      <c r="H238" s="195"/>
      <c r="I238" s="10">
        <f t="shared" si="239"/>
        <v>0</v>
      </c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</row>
    <row r="239">
      <c r="A239" s="231" t="s">
        <v>1189</v>
      </c>
      <c r="B239" s="209" t="str">
        <f t="shared" si="233"/>
        <v/>
      </c>
      <c r="C239" s="232">
        <f t="shared" ref="C239:H239" si="240">GEOMEAN(C226:C238)</f>
        <v>1</v>
      </c>
      <c r="D239" s="233">
        <f t="shared" si="240"/>
        <v>0.9186991606</v>
      </c>
      <c r="E239" s="233">
        <f t="shared" si="240"/>
        <v>1.146610758</v>
      </c>
      <c r="F239" s="233">
        <f t="shared" si="240"/>
        <v>1.410844241</v>
      </c>
      <c r="G239" s="233">
        <f t="shared" si="240"/>
        <v>1.641386473</v>
      </c>
      <c r="H239" s="233">
        <f t="shared" si="240"/>
        <v>4.621874321</v>
      </c>
      <c r="I239" s="10">
        <f t="shared" si="239"/>
        <v>5.030889891</v>
      </c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</row>
    <row r="240">
      <c r="A240" s="47"/>
      <c r="B240" s="204"/>
      <c r="C240" s="204"/>
      <c r="D240" s="47"/>
      <c r="E240" s="47"/>
      <c r="F240" s="69"/>
      <c r="G240" s="47"/>
      <c r="H240" s="195"/>
      <c r="I240" s="195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</row>
    <row r="241">
      <c r="A241" s="47"/>
      <c r="B241" s="204"/>
      <c r="C241" s="204"/>
      <c r="D241" s="47"/>
      <c r="E241" s="47"/>
      <c r="F241" s="69"/>
      <c r="G241" s="47"/>
      <c r="H241" s="195"/>
      <c r="I241" s="195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</row>
    <row r="242">
      <c r="A242" s="47"/>
      <c r="B242" s="204"/>
      <c r="C242" s="204"/>
      <c r="D242" s="47"/>
      <c r="E242" s="47"/>
      <c r="F242" s="69"/>
      <c r="G242" s="47"/>
      <c r="H242" s="195"/>
      <c r="I242" s="195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</row>
    <row r="243">
      <c r="A243" s="47"/>
      <c r="B243" s="204"/>
      <c r="C243" s="204"/>
      <c r="D243" s="47"/>
      <c r="E243" s="47"/>
      <c r="F243" s="69"/>
      <c r="G243" s="47"/>
      <c r="H243" s="195"/>
      <c r="I243" s="195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</row>
    <row r="244">
      <c r="A244" s="47"/>
      <c r="B244" s="204"/>
      <c r="C244" s="204"/>
      <c r="D244" s="47"/>
      <c r="E244" s="47"/>
      <c r="F244" s="69"/>
      <c r="G244" s="47"/>
      <c r="H244" s="195"/>
      <c r="I244" s="195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</row>
    <row r="245">
      <c r="A245" s="47"/>
      <c r="B245" s="204"/>
      <c r="C245" s="204"/>
      <c r="D245" s="47"/>
      <c r="E245" s="47"/>
      <c r="F245" s="69"/>
      <c r="G245" s="47"/>
      <c r="H245" s="195"/>
      <c r="I245" s="195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</row>
    <row r="246">
      <c r="A246" s="47"/>
      <c r="B246" s="204"/>
      <c r="C246" s="204"/>
      <c r="D246" s="47"/>
      <c r="E246" s="47"/>
      <c r="F246" s="69"/>
      <c r="G246" s="47"/>
      <c r="H246" s="195"/>
      <c r="I246" s="195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</row>
    <row r="247">
      <c r="A247" s="47"/>
      <c r="B247" s="204"/>
      <c r="C247" s="204"/>
      <c r="D247" s="47"/>
      <c r="E247" s="47"/>
      <c r="F247" s="69"/>
      <c r="G247" s="47"/>
      <c r="H247" s="195"/>
      <c r="I247" s="195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</row>
    <row r="248">
      <c r="A248" s="47"/>
      <c r="B248" s="204"/>
      <c r="C248" s="204"/>
      <c r="D248" s="47"/>
      <c r="E248" s="47"/>
      <c r="F248" s="69"/>
      <c r="G248" s="47"/>
      <c r="H248" s="195"/>
      <c r="I248" s="195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</row>
    <row r="249">
      <c r="A249" s="47"/>
      <c r="B249" s="204"/>
      <c r="C249" s="204"/>
      <c r="D249" s="47"/>
      <c r="E249" s="47"/>
      <c r="F249" s="69"/>
      <c r="G249" s="47"/>
      <c r="H249" s="195"/>
      <c r="I249" s="195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</row>
    <row r="250">
      <c r="A250" s="47"/>
      <c r="B250" s="204"/>
      <c r="C250" s="204"/>
      <c r="D250" s="47"/>
      <c r="E250" s="47"/>
      <c r="F250" s="69"/>
      <c r="G250" s="47"/>
      <c r="H250" s="195"/>
      <c r="I250" s="195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</row>
    <row r="251">
      <c r="A251" s="47"/>
      <c r="B251" s="204"/>
      <c r="C251" s="204"/>
      <c r="D251" s="47"/>
      <c r="E251" s="47"/>
      <c r="F251" s="69"/>
      <c r="G251" s="47"/>
      <c r="H251" s="195"/>
      <c r="I251" s="195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</row>
    <row r="252">
      <c r="A252" s="47"/>
      <c r="B252" s="204"/>
      <c r="C252" s="204"/>
      <c r="D252" s="47"/>
      <c r="E252" s="47"/>
      <c r="F252" s="69"/>
      <c r="G252" s="47"/>
      <c r="H252" s="195"/>
      <c r="I252" s="195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</row>
    <row r="253">
      <c r="A253" s="47"/>
      <c r="B253" s="204"/>
      <c r="C253" s="204"/>
      <c r="D253" s="47"/>
      <c r="E253" s="47"/>
      <c r="F253" s="69"/>
      <c r="G253" s="47"/>
      <c r="H253" s="195"/>
      <c r="I253" s="195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</row>
    <row r="254">
      <c r="A254" s="47"/>
      <c r="B254" s="204"/>
      <c r="C254" s="204"/>
      <c r="D254" s="47"/>
      <c r="E254" s="47"/>
      <c r="F254" s="69"/>
      <c r="G254" s="47"/>
      <c r="H254" s="195"/>
      <c r="I254" s="195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</row>
    <row r="255">
      <c r="A255" s="47"/>
      <c r="B255" s="204"/>
      <c r="C255" s="204"/>
      <c r="D255" s="47"/>
      <c r="E255" s="47"/>
      <c r="F255" s="69"/>
      <c r="G255" s="47"/>
      <c r="H255" s="195"/>
      <c r="I255" s="195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</row>
    <row r="256">
      <c r="A256" s="47"/>
      <c r="B256" s="204"/>
      <c r="C256" s="204"/>
      <c r="D256" s="47"/>
      <c r="E256" s="47"/>
      <c r="F256" s="69"/>
      <c r="G256" s="47"/>
      <c r="H256" s="195"/>
      <c r="I256" s="195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</row>
    <row r="257">
      <c r="A257" s="47"/>
      <c r="B257" s="204"/>
      <c r="C257" s="204"/>
      <c r="D257" s="47"/>
      <c r="E257" s="47"/>
      <c r="F257" s="69"/>
      <c r="G257" s="47"/>
      <c r="H257" s="195"/>
      <c r="I257" s="195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</row>
    <row r="258">
      <c r="A258" s="47"/>
      <c r="B258" s="204"/>
      <c r="C258" s="204"/>
      <c r="D258" s="47"/>
      <c r="E258" s="47"/>
      <c r="F258" s="69"/>
      <c r="G258" s="47"/>
      <c r="H258" s="195"/>
      <c r="I258" s="195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</row>
    <row r="259">
      <c r="A259" s="47"/>
      <c r="B259" s="204"/>
      <c r="C259" s="204"/>
      <c r="D259" s="47"/>
      <c r="E259" s="47"/>
      <c r="F259" s="69"/>
      <c r="G259" s="47"/>
      <c r="H259" s="195"/>
      <c r="I259" s="195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</row>
    <row r="260">
      <c r="A260" s="47"/>
      <c r="B260" s="204"/>
      <c r="C260" s="204"/>
      <c r="D260" s="47"/>
      <c r="E260" s="47"/>
      <c r="F260" s="69"/>
      <c r="G260" s="47"/>
      <c r="H260" s="195"/>
      <c r="I260" s="195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</row>
    <row r="261">
      <c r="A261" s="47"/>
      <c r="B261" s="204"/>
      <c r="C261" s="204"/>
      <c r="D261" s="47"/>
      <c r="E261" s="47"/>
      <c r="F261" s="69"/>
      <c r="G261" s="47"/>
      <c r="H261" s="195"/>
      <c r="I261" s="195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</row>
    <row r="262">
      <c r="A262" s="47"/>
      <c r="B262" s="204"/>
      <c r="C262" s="204"/>
      <c r="D262" s="47"/>
      <c r="E262" s="47"/>
      <c r="F262" s="69"/>
      <c r="G262" s="47"/>
      <c r="H262" s="195"/>
      <c r="I262" s="195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</row>
    <row r="263">
      <c r="A263" s="47"/>
      <c r="B263" s="204"/>
      <c r="C263" s="204"/>
      <c r="D263" s="47"/>
      <c r="E263" s="47"/>
      <c r="F263" s="69"/>
      <c r="G263" s="47"/>
      <c r="H263" s="195"/>
      <c r="I263" s="195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</row>
    <row r="264">
      <c r="A264" s="47"/>
      <c r="B264" s="204"/>
      <c r="C264" s="204"/>
      <c r="D264" s="47"/>
      <c r="E264" s="47"/>
      <c r="F264" s="69"/>
      <c r="G264" s="47"/>
      <c r="H264" s="195"/>
      <c r="I264" s="195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</row>
    <row r="265">
      <c r="A265" s="47"/>
      <c r="B265" s="204"/>
      <c r="C265" s="204"/>
      <c r="D265" s="47"/>
      <c r="E265" s="47"/>
      <c r="F265" s="69"/>
      <c r="G265" s="47"/>
      <c r="H265" s="195"/>
      <c r="I265" s="195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</row>
    <row r="266">
      <c r="A266" s="47"/>
      <c r="B266" s="204"/>
      <c r="C266" s="204"/>
      <c r="D266" s="47"/>
      <c r="E266" s="47"/>
      <c r="F266" s="69"/>
      <c r="G266" s="47"/>
      <c r="H266" s="195"/>
      <c r="I266" s="195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</row>
    <row r="267">
      <c r="A267" s="47"/>
      <c r="B267" s="204"/>
      <c r="C267" s="204"/>
      <c r="D267" s="47"/>
      <c r="E267" s="47"/>
      <c r="F267" s="69"/>
      <c r="G267" s="47"/>
      <c r="H267" s="195"/>
      <c r="I267" s="195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</row>
    <row r="268">
      <c r="A268" s="47"/>
      <c r="B268" s="204"/>
      <c r="C268" s="204"/>
      <c r="D268" s="47"/>
      <c r="E268" s="47"/>
      <c r="F268" s="69"/>
      <c r="G268" s="47"/>
      <c r="H268" s="195"/>
      <c r="I268" s="195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</row>
    <row r="269">
      <c r="A269" s="47"/>
      <c r="B269" s="204"/>
      <c r="C269" s="204"/>
      <c r="D269" s="47"/>
      <c r="E269" s="47"/>
      <c r="F269" s="69"/>
      <c r="G269" s="47"/>
      <c r="H269" s="195"/>
      <c r="I269" s="195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</row>
    <row r="270">
      <c r="A270" s="47"/>
      <c r="B270" s="204"/>
      <c r="C270" s="204"/>
      <c r="D270" s="47"/>
      <c r="E270" s="47"/>
      <c r="F270" s="69"/>
      <c r="G270" s="47"/>
      <c r="H270" s="195"/>
      <c r="I270" s="195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</row>
    <row r="271">
      <c r="A271" s="47"/>
      <c r="B271" s="204"/>
      <c r="C271" s="204"/>
      <c r="D271" s="47"/>
      <c r="E271" s="47"/>
      <c r="F271" s="69"/>
      <c r="G271" s="47"/>
      <c r="H271" s="195"/>
      <c r="I271" s="195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</row>
    <row r="272">
      <c r="A272" s="47"/>
      <c r="B272" s="204"/>
      <c r="C272" s="204"/>
      <c r="D272" s="47"/>
      <c r="E272" s="47"/>
      <c r="F272" s="69"/>
      <c r="G272" s="47"/>
      <c r="H272" s="195"/>
      <c r="I272" s="195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</row>
    <row r="273">
      <c r="A273" s="47"/>
      <c r="B273" s="204"/>
      <c r="C273" s="204"/>
      <c r="D273" s="47"/>
      <c r="E273" s="47"/>
      <c r="F273" s="69"/>
      <c r="G273" s="47"/>
      <c r="H273" s="195"/>
      <c r="I273" s="195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</row>
    <row r="274">
      <c r="A274" s="47"/>
      <c r="B274" s="204"/>
      <c r="C274" s="204"/>
      <c r="D274" s="47"/>
      <c r="E274" s="47"/>
      <c r="F274" s="69"/>
      <c r="G274" s="47"/>
      <c r="H274" s="195"/>
      <c r="I274" s="195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</row>
    <row r="275">
      <c r="A275" s="47"/>
      <c r="B275" s="204"/>
      <c r="C275" s="204"/>
      <c r="D275" s="47"/>
      <c r="E275" s="47"/>
      <c r="F275" s="69"/>
      <c r="G275" s="47"/>
      <c r="H275" s="195"/>
      <c r="I275" s="195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</row>
    <row r="276">
      <c r="A276" s="47"/>
      <c r="B276" s="204"/>
      <c r="C276" s="204"/>
      <c r="D276" s="47"/>
      <c r="E276" s="47"/>
      <c r="F276" s="69"/>
      <c r="G276" s="47"/>
      <c r="H276" s="195"/>
      <c r="I276" s="195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</row>
    <row r="277">
      <c r="A277" s="47"/>
      <c r="B277" s="204"/>
      <c r="C277" s="204"/>
      <c r="D277" s="47"/>
      <c r="E277" s="47"/>
      <c r="F277" s="69"/>
      <c r="G277" s="47"/>
      <c r="H277" s="195"/>
      <c r="I277" s="195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</row>
    <row r="278">
      <c r="A278" s="47"/>
      <c r="B278" s="204"/>
      <c r="C278" s="204"/>
      <c r="D278" s="47"/>
      <c r="E278" s="47"/>
      <c r="F278" s="69"/>
      <c r="G278" s="47"/>
      <c r="H278" s="195"/>
      <c r="I278" s="195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</row>
    <row r="279">
      <c r="A279" s="47"/>
      <c r="B279" s="204"/>
      <c r="C279" s="204"/>
      <c r="D279" s="47"/>
      <c r="E279" s="47"/>
      <c r="F279" s="69"/>
      <c r="G279" s="47"/>
      <c r="H279" s="195"/>
      <c r="I279" s="195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</row>
    <row r="280">
      <c r="A280" s="47"/>
      <c r="B280" s="204"/>
      <c r="C280" s="204"/>
      <c r="D280" s="47"/>
      <c r="E280" s="47"/>
      <c r="F280" s="69"/>
      <c r="G280" s="47"/>
      <c r="H280" s="195"/>
      <c r="I280" s="195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</row>
    <row r="281">
      <c r="A281" s="47"/>
      <c r="B281" s="204"/>
      <c r="C281" s="204"/>
      <c r="D281" s="47"/>
      <c r="E281" s="47"/>
      <c r="F281" s="69"/>
      <c r="G281" s="47"/>
      <c r="H281" s="195"/>
      <c r="I281" s="195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</row>
    <row r="282">
      <c r="A282" s="47"/>
      <c r="B282" s="204"/>
      <c r="C282" s="204"/>
      <c r="D282" s="47"/>
      <c r="E282" s="47"/>
      <c r="F282" s="69"/>
      <c r="G282" s="47"/>
      <c r="H282" s="195"/>
      <c r="I282" s="195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</row>
    <row r="283">
      <c r="A283" s="47"/>
      <c r="B283" s="204"/>
      <c r="C283" s="204"/>
      <c r="D283" s="47"/>
      <c r="E283" s="47"/>
      <c r="F283" s="69"/>
      <c r="G283" s="47"/>
      <c r="H283" s="195"/>
      <c r="I283" s="195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</row>
    <row r="284">
      <c r="A284" s="47"/>
      <c r="B284" s="204"/>
      <c r="C284" s="204"/>
      <c r="D284" s="47"/>
      <c r="E284" s="47"/>
      <c r="F284" s="69"/>
      <c r="G284" s="47"/>
      <c r="H284" s="195"/>
      <c r="I284" s="195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</row>
    <row r="285">
      <c r="A285" s="47"/>
      <c r="B285" s="204"/>
      <c r="C285" s="204"/>
      <c r="D285" s="47"/>
      <c r="E285" s="47"/>
      <c r="F285" s="69"/>
      <c r="G285" s="47"/>
      <c r="H285" s="195"/>
      <c r="I285" s="195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</row>
    <row r="286">
      <c r="A286" s="47"/>
      <c r="B286" s="204"/>
      <c r="C286" s="204"/>
      <c r="D286" s="47"/>
      <c r="E286" s="47"/>
      <c r="F286" s="69"/>
      <c r="G286" s="47"/>
      <c r="H286" s="195"/>
      <c r="I286" s="195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</row>
    <row r="287">
      <c r="A287" s="47"/>
      <c r="B287" s="204"/>
      <c r="C287" s="204"/>
      <c r="D287" s="47"/>
      <c r="E287" s="47"/>
      <c r="F287" s="69"/>
      <c r="G287" s="47"/>
      <c r="H287" s="195"/>
      <c r="I287" s="195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</row>
    <row r="288">
      <c r="A288" s="47"/>
      <c r="B288" s="204"/>
      <c r="C288" s="204"/>
      <c r="D288" s="47"/>
      <c r="E288" s="47"/>
      <c r="F288" s="69"/>
      <c r="G288" s="47"/>
      <c r="H288" s="195"/>
      <c r="I288" s="195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</row>
    <row r="289">
      <c r="A289" s="47"/>
      <c r="B289" s="204"/>
      <c r="C289" s="204"/>
      <c r="D289" s="47"/>
      <c r="E289" s="47"/>
      <c r="F289" s="69"/>
      <c r="G289" s="47"/>
      <c r="H289" s="195"/>
      <c r="I289" s="195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</row>
    <row r="290">
      <c r="A290" s="47"/>
      <c r="B290" s="204"/>
      <c r="C290" s="204"/>
      <c r="D290" s="47"/>
      <c r="E290" s="47"/>
      <c r="F290" s="69"/>
      <c r="G290" s="47"/>
      <c r="H290" s="195"/>
      <c r="I290" s="195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</row>
    <row r="291">
      <c r="A291" s="47"/>
      <c r="B291" s="204"/>
      <c r="C291" s="204"/>
      <c r="D291" s="47"/>
      <c r="E291" s="47"/>
      <c r="F291" s="69"/>
      <c r="G291" s="47"/>
      <c r="H291" s="195"/>
      <c r="I291" s="195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</row>
    <row r="292">
      <c r="A292" s="47"/>
      <c r="B292" s="204"/>
      <c r="C292" s="204"/>
      <c r="D292" s="47"/>
      <c r="E292" s="47"/>
      <c r="F292" s="69"/>
      <c r="G292" s="47"/>
      <c r="H292" s="195"/>
      <c r="I292" s="195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</row>
    <row r="293">
      <c r="A293" s="47"/>
      <c r="B293" s="204"/>
      <c r="C293" s="204"/>
      <c r="D293" s="47"/>
      <c r="E293" s="47"/>
      <c r="F293" s="69"/>
      <c r="G293" s="47"/>
      <c r="H293" s="195"/>
      <c r="I293" s="195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</row>
    <row r="294">
      <c r="A294" s="47"/>
      <c r="B294" s="204"/>
      <c r="C294" s="204"/>
      <c r="D294" s="47"/>
      <c r="E294" s="47"/>
      <c r="F294" s="69"/>
      <c r="G294" s="47"/>
      <c r="H294" s="195"/>
      <c r="I294" s="195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</row>
    <row r="295">
      <c r="A295" s="47"/>
      <c r="B295" s="204"/>
      <c r="C295" s="204"/>
      <c r="D295" s="47"/>
      <c r="E295" s="47"/>
      <c r="F295" s="69"/>
      <c r="G295" s="47"/>
      <c r="H295" s="195"/>
      <c r="I295" s="195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</row>
    <row r="296">
      <c r="A296" s="47"/>
      <c r="B296" s="204"/>
      <c r="C296" s="204"/>
      <c r="D296" s="47"/>
      <c r="E296" s="47"/>
      <c r="F296" s="69"/>
      <c r="G296" s="47"/>
      <c r="H296" s="195"/>
      <c r="I296" s="195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</row>
    <row r="297">
      <c r="A297" s="47"/>
      <c r="B297" s="204"/>
      <c r="C297" s="204"/>
      <c r="D297" s="47"/>
      <c r="E297" s="47"/>
      <c r="F297" s="69"/>
      <c r="G297" s="47"/>
      <c r="H297" s="195"/>
      <c r="I297" s="195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</row>
    <row r="298">
      <c r="A298" s="47"/>
      <c r="B298" s="204"/>
      <c r="C298" s="204"/>
      <c r="D298" s="47"/>
      <c r="E298" s="47"/>
      <c r="F298" s="69"/>
      <c r="G298" s="47"/>
      <c r="H298" s="195"/>
      <c r="I298" s="195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</row>
    <row r="299">
      <c r="A299" s="47"/>
      <c r="B299" s="204"/>
      <c r="C299" s="204"/>
      <c r="D299" s="47"/>
      <c r="E299" s="47"/>
      <c r="F299" s="69"/>
      <c r="G299" s="47"/>
      <c r="H299" s="195"/>
      <c r="I299" s="195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</row>
    <row r="300">
      <c r="A300" s="47"/>
      <c r="B300" s="204"/>
      <c r="C300" s="204"/>
      <c r="D300" s="47"/>
      <c r="E300" s="47"/>
      <c r="F300" s="69"/>
      <c r="G300" s="47"/>
      <c r="H300" s="195"/>
      <c r="I300" s="195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</row>
    <row r="301">
      <c r="A301" s="47"/>
      <c r="B301" s="204"/>
      <c r="C301" s="204"/>
      <c r="D301" s="47"/>
      <c r="E301" s="47"/>
      <c r="F301" s="69"/>
      <c r="G301" s="47"/>
      <c r="H301" s="195"/>
      <c r="I301" s="195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</row>
    <row r="302">
      <c r="A302" s="47"/>
      <c r="B302" s="204"/>
      <c r="C302" s="204"/>
      <c r="D302" s="47"/>
      <c r="E302" s="47"/>
      <c r="F302" s="69"/>
      <c r="G302" s="47"/>
      <c r="H302" s="195"/>
      <c r="I302" s="195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</row>
    <row r="303">
      <c r="A303" s="47"/>
      <c r="B303" s="204"/>
      <c r="C303" s="204"/>
      <c r="D303" s="47"/>
      <c r="E303" s="47"/>
      <c r="F303" s="69"/>
      <c r="G303" s="47"/>
      <c r="H303" s="195"/>
      <c r="I303" s="195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</row>
    <row r="304">
      <c r="A304" s="47"/>
      <c r="B304" s="204"/>
      <c r="C304" s="204"/>
      <c r="D304" s="47"/>
      <c r="E304" s="47"/>
      <c r="F304" s="69"/>
      <c r="G304" s="47"/>
      <c r="H304" s="195"/>
      <c r="I304" s="195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</row>
    <row r="305">
      <c r="A305" s="47"/>
      <c r="B305" s="204"/>
      <c r="C305" s="204"/>
      <c r="D305" s="47"/>
      <c r="E305" s="47"/>
      <c r="F305" s="69"/>
      <c r="G305" s="47"/>
      <c r="H305" s="195"/>
      <c r="I305" s="195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</row>
    <row r="306">
      <c r="A306" s="47"/>
      <c r="B306" s="204"/>
      <c r="C306" s="204"/>
      <c r="D306" s="47"/>
      <c r="E306" s="47"/>
      <c r="F306" s="69"/>
      <c r="G306" s="47"/>
      <c r="H306" s="195"/>
      <c r="I306" s="195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</row>
    <row r="307">
      <c r="A307" s="47"/>
      <c r="B307" s="204"/>
      <c r="C307" s="204"/>
      <c r="D307" s="47"/>
      <c r="E307" s="47"/>
      <c r="F307" s="69"/>
      <c r="G307" s="47"/>
      <c r="H307" s="195"/>
      <c r="I307" s="195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</row>
    <row r="308">
      <c r="A308" s="47"/>
      <c r="B308" s="204"/>
      <c r="C308" s="204"/>
      <c r="D308" s="47"/>
      <c r="E308" s="47"/>
      <c r="F308" s="69"/>
      <c r="G308" s="47"/>
      <c r="H308" s="195"/>
      <c r="I308" s="195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</row>
    <row r="309">
      <c r="A309" s="47"/>
      <c r="B309" s="204"/>
      <c r="C309" s="204"/>
      <c r="D309" s="47"/>
      <c r="E309" s="47"/>
      <c r="F309" s="69"/>
      <c r="G309" s="47"/>
      <c r="H309" s="195"/>
      <c r="I309" s="195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</row>
    <row r="310">
      <c r="A310" s="47"/>
      <c r="B310" s="204"/>
      <c r="C310" s="204"/>
      <c r="D310" s="47"/>
      <c r="E310" s="47"/>
      <c r="F310" s="69"/>
      <c r="G310" s="47"/>
      <c r="H310" s="195"/>
      <c r="I310" s="195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</row>
    <row r="311">
      <c r="A311" s="47"/>
      <c r="B311" s="204"/>
      <c r="C311" s="204"/>
      <c r="D311" s="47"/>
      <c r="E311" s="47"/>
      <c r="F311" s="69"/>
      <c r="G311" s="47"/>
      <c r="H311" s="195"/>
      <c r="I311" s="195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</row>
    <row r="312">
      <c r="A312" s="47"/>
      <c r="B312" s="204"/>
      <c r="C312" s="204"/>
      <c r="D312" s="47"/>
      <c r="E312" s="47"/>
      <c r="F312" s="69"/>
      <c r="G312" s="47"/>
      <c r="H312" s="195"/>
      <c r="I312" s="195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</row>
    <row r="313">
      <c r="A313" s="47"/>
      <c r="B313" s="204"/>
      <c r="C313" s="204"/>
      <c r="D313" s="47"/>
      <c r="E313" s="47"/>
      <c r="F313" s="69"/>
      <c r="G313" s="47"/>
      <c r="H313" s="195"/>
      <c r="I313" s="195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</row>
    <row r="314">
      <c r="A314" s="47"/>
      <c r="B314" s="204"/>
      <c r="C314" s="204"/>
      <c r="D314" s="47"/>
      <c r="E314" s="47"/>
      <c r="F314" s="69"/>
      <c r="G314" s="47"/>
      <c r="H314" s="195"/>
      <c r="I314" s="195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</row>
    <row r="315">
      <c r="A315" s="47"/>
      <c r="B315" s="204"/>
      <c r="C315" s="204"/>
      <c r="D315" s="47"/>
      <c r="E315" s="47"/>
      <c r="F315" s="69"/>
      <c r="G315" s="47"/>
      <c r="H315" s="195"/>
      <c r="I315" s="195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</row>
    <row r="316">
      <c r="A316" s="47"/>
      <c r="B316" s="204"/>
      <c r="C316" s="204"/>
      <c r="D316" s="47"/>
      <c r="E316" s="47"/>
      <c r="F316" s="69"/>
      <c r="G316" s="47"/>
      <c r="H316" s="195"/>
      <c r="I316" s="195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</row>
    <row r="317">
      <c r="A317" s="47"/>
      <c r="B317" s="204"/>
      <c r="C317" s="204"/>
      <c r="D317" s="47"/>
      <c r="E317" s="47"/>
      <c r="F317" s="69"/>
      <c r="G317" s="47"/>
      <c r="H317" s="195"/>
      <c r="I317" s="195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</row>
    <row r="318">
      <c r="A318" s="47"/>
      <c r="B318" s="204"/>
      <c r="C318" s="204"/>
      <c r="D318" s="47"/>
      <c r="E318" s="47"/>
      <c r="F318" s="69"/>
      <c r="G318" s="47"/>
      <c r="H318" s="195"/>
      <c r="I318" s="195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</row>
    <row r="319">
      <c r="A319" s="47"/>
      <c r="B319" s="204"/>
      <c r="C319" s="204"/>
      <c r="D319" s="47"/>
      <c r="E319" s="47"/>
      <c r="F319" s="69"/>
      <c r="G319" s="47"/>
      <c r="H319" s="195"/>
      <c r="I319" s="195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</row>
    <row r="320">
      <c r="A320" s="47"/>
      <c r="B320" s="204"/>
      <c r="C320" s="204"/>
      <c r="D320" s="47"/>
      <c r="E320" s="47"/>
      <c r="F320" s="69"/>
      <c r="G320" s="47"/>
      <c r="H320" s="195"/>
      <c r="I320" s="195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</row>
    <row r="321">
      <c r="A321" s="47"/>
      <c r="B321" s="204"/>
      <c r="C321" s="204"/>
      <c r="D321" s="47"/>
      <c r="E321" s="47"/>
      <c r="F321" s="69"/>
      <c r="G321" s="47"/>
      <c r="H321" s="195"/>
      <c r="I321" s="195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</row>
    <row r="322">
      <c r="A322" s="47"/>
      <c r="B322" s="204"/>
      <c r="C322" s="204"/>
      <c r="D322" s="47"/>
      <c r="E322" s="47"/>
      <c r="F322" s="69"/>
      <c r="G322" s="47"/>
      <c r="H322" s="195"/>
      <c r="I322" s="195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</row>
    <row r="323">
      <c r="A323" s="47"/>
      <c r="B323" s="204"/>
      <c r="C323" s="204"/>
      <c r="D323" s="47"/>
      <c r="E323" s="47"/>
      <c r="F323" s="69"/>
      <c r="G323" s="47"/>
      <c r="H323" s="195"/>
      <c r="I323" s="195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</row>
    <row r="324">
      <c r="A324" s="47"/>
      <c r="B324" s="204"/>
      <c r="C324" s="204"/>
      <c r="D324" s="47"/>
      <c r="E324" s="47"/>
      <c r="F324" s="69"/>
      <c r="G324" s="47"/>
      <c r="H324" s="195"/>
      <c r="I324" s="195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</row>
    <row r="325">
      <c r="A325" s="47"/>
      <c r="B325" s="204"/>
      <c r="C325" s="204"/>
      <c r="D325" s="47"/>
      <c r="E325" s="47"/>
      <c r="F325" s="69"/>
      <c r="G325" s="47"/>
      <c r="H325" s="195"/>
      <c r="I325" s="195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</row>
    <row r="326">
      <c r="A326" s="47"/>
      <c r="B326" s="204"/>
      <c r="C326" s="204"/>
      <c r="D326" s="47"/>
      <c r="E326" s="47"/>
      <c r="F326" s="69"/>
      <c r="G326" s="47"/>
      <c r="H326" s="195"/>
      <c r="I326" s="195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</row>
    <row r="327">
      <c r="A327" s="47"/>
      <c r="B327" s="204"/>
      <c r="C327" s="204"/>
      <c r="D327" s="47"/>
      <c r="E327" s="47"/>
      <c r="F327" s="69"/>
      <c r="G327" s="47"/>
      <c r="H327" s="195"/>
      <c r="I327" s="195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</row>
    <row r="328">
      <c r="A328" s="47"/>
      <c r="B328" s="204"/>
      <c r="C328" s="204"/>
      <c r="D328" s="47"/>
      <c r="E328" s="47"/>
      <c r="F328" s="69"/>
      <c r="G328" s="47"/>
      <c r="H328" s="195"/>
      <c r="I328" s="195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</row>
    <row r="329">
      <c r="A329" s="47"/>
      <c r="B329" s="204"/>
      <c r="C329" s="204"/>
      <c r="D329" s="47"/>
      <c r="E329" s="47"/>
      <c r="F329" s="69"/>
      <c r="G329" s="47"/>
      <c r="H329" s="195"/>
      <c r="I329" s="195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</row>
    <row r="330">
      <c r="A330" s="47"/>
      <c r="B330" s="204"/>
      <c r="C330" s="204"/>
      <c r="D330" s="47"/>
      <c r="E330" s="47"/>
      <c r="F330" s="69"/>
      <c r="G330" s="47"/>
      <c r="H330" s="195"/>
      <c r="I330" s="195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</row>
    <row r="331">
      <c r="A331" s="47"/>
      <c r="B331" s="204"/>
      <c r="C331" s="204"/>
      <c r="D331" s="47"/>
      <c r="E331" s="47"/>
      <c r="F331" s="69"/>
      <c r="G331" s="47"/>
      <c r="H331" s="195"/>
      <c r="I331" s="195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</row>
    <row r="332">
      <c r="A332" s="47"/>
      <c r="B332" s="204"/>
      <c r="C332" s="204"/>
      <c r="D332" s="47"/>
      <c r="E332" s="47"/>
      <c r="F332" s="69"/>
      <c r="G332" s="47"/>
      <c r="H332" s="195"/>
      <c r="I332" s="195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</row>
    <row r="333">
      <c r="A333" s="47"/>
      <c r="B333" s="204"/>
      <c r="C333" s="204"/>
      <c r="D333" s="47"/>
      <c r="E333" s="47"/>
      <c r="F333" s="69"/>
      <c r="G333" s="47"/>
      <c r="H333" s="195"/>
      <c r="I333" s="195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</row>
    <row r="334">
      <c r="A334" s="47"/>
      <c r="B334" s="204"/>
      <c r="C334" s="204"/>
      <c r="D334" s="47"/>
      <c r="E334" s="47"/>
      <c r="F334" s="69"/>
      <c r="G334" s="47"/>
      <c r="H334" s="195"/>
      <c r="I334" s="195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</row>
    <row r="335">
      <c r="A335" s="47"/>
      <c r="B335" s="204"/>
      <c r="C335" s="204"/>
      <c r="D335" s="47"/>
      <c r="E335" s="47"/>
      <c r="F335" s="69"/>
      <c r="G335" s="47"/>
      <c r="H335" s="195"/>
      <c r="I335" s="195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</row>
    <row r="336">
      <c r="A336" s="47"/>
      <c r="B336" s="204"/>
      <c r="C336" s="204"/>
      <c r="D336" s="47"/>
      <c r="E336" s="47"/>
      <c r="F336" s="69"/>
      <c r="G336" s="47"/>
      <c r="H336" s="195"/>
      <c r="I336" s="195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</row>
    <row r="337">
      <c r="A337" s="47"/>
      <c r="B337" s="204"/>
      <c r="C337" s="204"/>
      <c r="D337" s="47"/>
      <c r="E337" s="47"/>
      <c r="F337" s="69"/>
      <c r="G337" s="47"/>
      <c r="H337" s="195"/>
      <c r="I337" s="195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</row>
    <row r="338">
      <c r="A338" s="47"/>
      <c r="B338" s="204"/>
      <c r="C338" s="204"/>
      <c r="D338" s="47"/>
      <c r="E338" s="47"/>
      <c r="F338" s="69"/>
      <c r="G338" s="47"/>
      <c r="H338" s="195"/>
      <c r="I338" s="195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</row>
    <row r="339">
      <c r="A339" s="47"/>
      <c r="B339" s="204"/>
      <c r="C339" s="204"/>
      <c r="D339" s="47"/>
      <c r="E339" s="47"/>
      <c r="F339" s="69"/>
      <c r="G339" s="47"/>
      <c r="H339" s="195"/>
      <c r="I339" s="195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</row>
    <row r="340">
      <c r="A340" s="47"/>
      <c r="B340" s="204"/>
      <c r="C340" s="204"/>
      <c r="D340" s="47"/>
      <c r="E340" s="47"/>
      <c r="F340" s="69"/>
      <c r="G340" s="47"/>
      <c r="H340" s="195"/>
      <c r="I340" s="195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</row>
    <row r="341">
      <c r="A341" s="47"/>
      <c r="B341" s="204"/>
      <c r="C341" s="204"/>
      <c r="D341" s="47"/>
      <c r="E341" s="47"/>
      <c r="F341" s="69"/>
      <c r="G341" s="47"/>
      <c r="H341" s="195"/>
      <c r="I341" s="195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</row>
    <row r="342">
      <c r="A342" s="47"/>
      <c r="B342" s="204"/>
      <c r="C342" s="204"/>
      <c r="D342" s="47"/>
      <c r="E342" s="47"/>
      <c r="F342" s="69"/>
      <c r="G342" s="47"/>
      <c r="H342" s="195"/>
      <c r="I342" s="195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</row>
    <row r="343">
      <c r="A343" s="47"/>
      <c r="B343" s="204"/>
      <c r="C343" s="204"/>
      <c r="D343" s="47"/>
      <c r="E343" s="47"/>
      <c r="F343" s="69"/>
      <c r="G343" s="47"/>
      <c r="H343" s="195"/>
      <c r="I343" s="195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</row>
    <row r="344">
      <c r="A344" s="47"/>
      <c r="B344" s="204"/>
      <c r="C344" s="204"/>
      <c r="D344" s="47"/>
      <c r="E344" s="47"/>
      <c r="F344" s="69"/>
      <c r="G344" s="47"/>
      <c r="H344" s="195"/>
      <c r="I344" s="195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</row>
    <row r="345">
      <c r="A345" s="47"/>
      <c r="B345" s="204"/>
      <c r="C345" s="204"/>
      <c r="D345" s="47"/>
      <c r="E345" s="47"/>
      <c r="F345" s="69"/>
      <c r="G345" s="47"/>
      <c r="H345" s="195"/>
      <c r="I345" s="195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</row>
    <row r="346">
      <c r="A346" s="47"/>
      <c r="B346" s="204"/>
      <c r="C346" s="204"/>
      <c r="D346" s="47"/>
      <c r="E346" s="47"/>
      <c r="F346" s="69"/>
      <c r="G346" s="47"/>
      <c r="H346" s="195"/>
      <c r="I346" s="195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</row>
    <row r="347">
      <c r="A347" s="47"/>
      <c r="B347" s="204"/>
      <c r="C347" s="204"/>
      <c r="D347" s="47"/>
      <c r="E347" s="47"/>
      <c r="F347" s="69"/>
      <c r="G347" s="47"/>
      <c r="H347" s="195"/>
      <c r="I347" s="195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</row>
    <row r="348">
      <c r="A348" s="47"/>
      <c r="B348" s="204"/>
      <c r="C348" s="204"/>
      <c r="D348" s="47"/>
      <c r="E348" s="47"/>
      <c r="F348" s="69"/>
      <c r="G348" s="47"/>
      <c r="H348" s="195"/>
      <c r="I348" s="195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</row>
    <row r="349">
      <c r="A349" s="47"/>
      <c r="B349" s="204"/>
      <c r="C349" s="204"/>
      <c r="D349" s="47"/>
      <c r="E349" s="47"/>
      <c r="F349" s="69"/>
      <c r="G349" s="47"/>
      <c r="H349" s="195"/>
      <c r="I349" s="195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</row>
    <row r="350">
      <c r="A350" s="47"/>
      <c r="B350" s="204"/>
      <c r="C350" s="204"/>
      <c r="D350" s="47"/>
      <c r="E350" s="47"/>
      <c r="F350" s="69"/>
      <c r="G350" s="47"/>
      <c r="H350" s="195"/>
      <c r="I350" s="195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</row>
    <row r="351">
      <c r="A351" s="47"/>
      <c r="B351" s="204"/>
      <c r="C351" s="204"/>
      <c r="D351" s="47"/>
      <c r="E351" s="47"/>
      <c r="F351" s="69"/>
      <c r="G351" s="47"/>
      <c r="H351" s="195"/>
      <c r="I351" s="195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</row>
    <row r="352">
      <c r="A352" s="47"/>
      <c r="B352" s="204"/>
      <c r="C352" s="204"/>
      <c r="D352" s="47"/>
      <c r="E352" s="47"/>
      <c r="F352" s="69"/>
      <c r="G352" s="47"/>
      <c r="H352" s="195"/>
      <c r="I352" s="195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</row>
    <row r="353">
      <c r="A353" s="47"/>
      <c r="B353" s="204"/>
      <c r="C353" s="204"/>
      <c r="D353" s="47"/>
      <c r="E353" s="47"/>
      <c r="F353" s="69"/>
      <c r="G353" s="47"/>
      <c r="H353" s="195"/>
      <c r="I353" s="195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</row>
    <row r="354">
      <c r="A354" s="47"/>
      <c r="B354" s="204"/>
      <c r="C354" s="204"/>
      <c r="D354" s="47"/>
      <c r="E354" s="47"/>
      <c r="F354" s="69"/>
      <c r="G354" s="47"/>
      <c r="H354" s="195"/>
      <c r="I354" s="195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</row>
    <row r="355">
      <c r="A355" s="47"/>
      <c r="B355" s="204"/>
      <c r="C355" s="204"/>
      <c r="D355" s="47"/>
      <c r="E355" s="47"/>
      <c r="F355" s="69"/>
      <c r="G355" s="47"/>
      <c r="H355" s="195"/>
      <c r="I355" s="195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</row>
    <row r="356">
      <c r="A356" s="47"/>
      <c r="B356" s="204"/>
      <c r="C356" s="204"/>
      <c r="D356" s="47"/>
      <c r="E356" s="47"/>
      <c r="F356" s="69"/>
      <c r="G356" s="47"/>
      <c r="H356" s="195"/>
      <c r="I356" s="195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</row>
    <row r="357">
      <c r="A357" s="47"/>
      <c r="B357" s="204"/>
      <c r="C357" s="204"/>
      <c r="D357" s="47"/>
      <c r="E357" s="47"/>
      <c r="F357" s="69"/>
      <c r="G357" s="47"/>
      <c r="H357" s="195"/>
      <c r="I357" s="195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</row>
    <row r="358">
      <c r="A358" s="47"/>
      <c r="B358" s="204"/>
      <c r="C358" s="204"/>
      <c r="D358" s="47"/>
      <c r="E358" s="47"/>
      <c r="F358" s="69"/>
      <c r="G358" s="47"/>
      <c r="H358" s="195"/>
      <c r="I358" s="195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</row>
    <row r="359">
      <c r="A359" s="47"/>
      <c r="B359" s="204"/>
      <c r="C359" s="204"/>
      <c r="D359" s="47"/>
      <c r="E359" s="47"/>
      <c r="F359" s="69"/>
      <c r="G359" s="47"/>
      <c r="H359" s="195"/>
      <c r="I359" s="195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</row>
    <row r="360">
      <c r="A360" s="47"/>
      <c r="B360" s="204"/>
      <c r="C360" s="204"/>
      <c r="D360" s="47"/>
      <c r="E360" s="47"/>
      <c r="F360" s="69"/>
      <c r="G360" s="47"/>
      <c r="H360" s="195"/>
      <c r="I360" s="195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</row>
    <row r="361">
      <c r="A361" s="47"/>
      <c r="B361" s="204"/>
      <c r="C361" s="204"/>
      <c r="D361" s="47"/>
      <c r="E361" s="47"/>
      <c r="F361" s="69"/>
      <c r="G361" s="47"/>
      <c r="H361" s="195"/>
      <c r="I361" s="195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</row>
    <row r="362">
      <c r="A362" s="47"/>
      <c r="B362" s="204"/>
      <c r="C362" s="204"/>
      <c r="D362" s="47"/>
      <c r="E362" s="47"/>
      <c r="F362" s="69"/>
      <c r="G362" s="47"/>
      <c r="H362" s="195"/>
      <c r="I362" s="195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</row>
    <row r="363">
      <c r="A363" s="47"/>
      <c r="B363" s="204"/>
      <c r="C363" s="204"/>
      <c r="D363" s="47"/>
      <c r="E363" s="47"/>
      <c r="F363" s="69"/>
      <c r="G363" s="47"/>
      <c r="H363" s="195"/>
      <c r="I363" s="195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</row>
    <row r="364">
      <c r="A364" s="47"/>
      <c r="B364" s="204"/>
      <c r="C364" s="204"/>
      <c r="D364" s="47"/>
      <c r="E364" s="47"/>
      <c r="F364" s="69"/>
      <c r="G364" s="47"/>
      <c r="H364" s="195"/>
      <c r="I364" s="195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</row>
    <row r="365">
      <c r="A365" s="47"/>
      <c r="B365" s="204"/>
      <c r="C365" s="204"/>
      <c r="D365" s="47"/>
      <c r="E365" s="47"/>
      <c r="F365" s="69"/>
      <c r="G365" s="47"/>
      <c r="H365" s="195"/>
      <c r="I365" s="19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</row>
    <row r="366">
      <c r="A366" s="47"/>
      <c r="B366" s="204"/>
      <c r="C366" s="204"/>
      <c r="D366" s="47"/>
      <c r="E366" s="47"/>
      <c r="F366" s="69"/>
      <c r="G366" s="47"/>
      <c r="H366" s="195"/>
      <c r="I366" s="195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</row>
    <row r="367">
      <c r="A367" s="47"/>
      <c r="B367" s="204"/>
      <c r="C367" s="204"/>
      <c r="D367" s="47"/>
      <c r="E367" s="47"/>
      <c r="F367" s="69"/>
      <c r="G367" s="47"/>
      <c r="H367" s="195"/>
      <c r="I367" s="19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</row>
    <row r="368">
      <c r="A368" s="47"/>
      <c r="B368" s="204"/>
      <c r="C368" s="204"/>
      <c r="D368" s="47"/>
      <c r="E368" s="47"/>
      <c r="F368" s="69"/>
      <c r="G368" s="47"/>
      <c r="H368" s="195"/>
      <c r="I368" s="19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</row>
    <row r="369">
      <c r="A369" s="47"/>
      <c r="B369" s="204"/>
      <c r="C369" s="204"/>
      <c r="D369" s="47"/>
      <c r="E369" s="47"/>
      <c r="F369" s="69"/>
      <c r="G369" s="47"/>
      <c r="H369" s="195"/>
      <c r="I369" s="195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</row>
    <row r="370">
      <c r="A370" s="47"/>
      <c r="B370" s="204"/>
      <c r="C370" s="204"/>
      <c r="D370" s="47"/>
      <c r="E370" s="47"/>
      <c r="F370" s="69"/>
      <c r="G370" s="47"/>
      <c r="H370" s="195"/>
      <c r="I370" s="19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</row>
    <row r="371">
      <c r="A371" s="47"/>
      <c r="B371" s="204"/>
      <c r="C371" s="204"/>
      <c r="D371" s="47"/>
      <c r="E371" s="47"/>
      <c r="F371" s="69"/>
      <c r="G371" s="47"/>
      <c r="H371" s="195"/>
      <c r="I371" s="195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</row>
    <row r="372">
      <c r="A372" s="47"/>
      <c r="B372" s="204"/>
      <c r="C372" s="204"/>
      <c r="D372" s="47"/>
      <c r="E372" s="47"/>
      <c r="F372" s="69"/>
      <c r="G372" s="47"/>
      <c r="H372" s="195"/>
      <c r="I372" s="195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</row>
    <row r="373">
      <c r="A373" s="47"/>
      <c r="B373" s="204"/>
      <c r="C373" s="204"/>
      <c r="D373" s="47"/>
      <c r="E373" s="47"/>
      <c r="F373" s="69"/>
      <c r="G373" s="47"/>
      <c r="H373" s="195"/>
      <c r="I373" s="19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</row>
    <row r="374">
      <c r="A374" s="47"/>
      <c r="B374" s="204"/>
      <c r="C374" s="204"/>
      <c r="D374" s="47"/>
      <c r="E374" s="47"/>
      <c r="F374" s="69"/>
      <c r="G374" s="47"/>
      <c r="H374" s="195"/>
      <c r="I374" s="19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</row>
    <row r="375">
      <c r="A375" s="47"/>
      <c r="B375" s="204"/>
      <c r="C375" s="204"/>
      <c r="D375" s="47"/>
      <c r="E375" s="47"/>
      <c r="F375" s="69"/>
      <c r="G375" s="47"/>
      <c r="H375" s="195"/>
      <c r="I375" s="195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</row>
    <row r="376">
      <c r="A376" s="47"/>
      <c r="B376" s="204"/>
      <c r="C376" s="204"/>
      <c r="D376" s="47"/>
      <c r="E376" s="47"/>
      <c r="F376" s="69"/>
      <c r="G376" s="47"/>
      <c r="H376" s="195"/>
      <c r="I376" s="19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</row>
    <row r="377">
      <c r="A377" s="47"/>
      <c r="B377" s="204"/>
      <c r="C377" s="204"/>
      <c r="D377" s="47"/>
      <c r="E377" s="47"/>
      <c r="F377" s="69"/>
      <c r="G377" s="47"/>
      <c r="H377" s="195"/>
      <c r="I377" s="195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</row>
    <row r="378">
      <c r="A378" s="47"/>
      <c r="B378" s="204"/>
      <c r="C378" s="204"/>
      <c r="D378" s="47"/>
      <c r="E378" s="47"/>
      <c r="F378" s="69"/>
      <c r="G378" s="47"/>
      <c r="H378" s="195"/>
      <c r="I378" s="195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</row>
    <row r="379">
      <c r="A379" s="47"/>
      <c r="B379" s="204"/>
      <c r="C379" s="204"/>
      <c r="D379" s="47"/>
      <c r="E379" s="47"/>
      <c r="F379" s="69"/>
      <c r="G379" s="47"/>
      <c r="H379" s="195"/>
      <c r="I379" s="19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</row>
    <row r="380">
      <c r="A380" s="47"/>
      <c r="B380" s="204"/>
      <c r="C380" s="204"/>
      <c r="D380" s="47"/>
      <c r="E380" s="47"/>
      <c r="F380" s="69"/>
      <c r="G380" s="47"/>
      <c r="H380" s="195"/>
      <c r="I380" s="195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</row>
    <row r="381">
      <c r="A381" s="47"/>
      <c r="B381" s="204"/>
      <c r="C381" s="204"/>
      <c r="D381" s="47"/>
      <c r="E381" s="47"/>
      <c r="F381" s="69"/>
      <c r="G381" s="47"/>
      <c r="H381" s="195"/>
      <c r="I381" s="19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</row>
    <row r="382">
      <c r="A382" s="47"/>
      <c r="B382" s="204"/>
      <c r="C382" s="204"/>
      <c r="D382" s="47"/>
      <c r="E382" s="47"/>
      <c r="F382" s="69"/>
      <c r="G382" s="47"/>
      <c r="H382" s="195"/>
      <c r="I382" s="19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</row>
    <row r="383">
      <c r="A383" s="47"/>
      <c r="B383" s="204"/>
      <c r="C383" s="204"/>
      <c r="D383" s="47"/>
      <c r="E383" s="47"/>
      <c r="F383" s="69"/>
      <c r="G383" s="47"/>
      <c r="H383" s="195"/>
      <c r="I383" s="195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</row>
    <row r="384">
      <c r="A384" s="47"/>
      <c r="B384" s="204"/>
      <c r="C384" s="204"/>
      <c r="D384" s="47"/>
      <c r="E384" s="47"/>
      <c r="F384" s="69"/>
      <c r="G384" s="47"/>
      <c r="H384" s="195"/>
      <c r="I384" s="195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</row>
    <row r="385">
      <c r="A385" s="47"/>
      <c r="B385" s="204"/>
      <c r="C385" s="204"/>
      <c r="D385" s="47"/>
      <c r="E385" s="47"/>
      <c r="F385" s="69"/>
      <c r="G385" s="47"/>
      <c r="H385" s="195"/>
      <c r="I385" s="19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</row>
    <row r="386">
      <c r="A386" s="47"/>
      <c r="B386" s="204"/>
      <c r="C386" s="204"/>
      <c r="D386" s="47"/>
      <c r="E386" s="47"/>
      <c r="F386" s="69"/>
      <c r="G386" s="47"/>
      <c r="H386" s="195"/>
      <c r="I386" s="195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</row>
    <row r="387">
      <c r="A387" s="47"/>
      <c r="B387" s="204"/>
      <c r="C387" s="204"/>
      <c r="D387" s="47"/>
      <c r="E387" s="47"/>
      <c r="F387" s="69"/>
      <c r="G387" s="47"/>
      <c r="H387" s="195"/>
      <c r="I387" s="19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</row>
    <row r="388">
      <c r="A388" s="47"/>
      <c r="B388" s="204"/>
      <c r="C388" s="204"/>
      <c r="D388" s="47"/>
      <c r="E388" s="47"/>
      <c r="F388" s="69"/>
      <c r="G388" s="47"/>
      <c r="H388" s="195"/>
      <c r="I388" s="19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</row>
    <row r="389">
      <c r="A389" s="47"/>
      <c r="B389" s="204"/>
      <c r="C389" s="204"/>
      <c r="D389" s="47"/>
      <c r="E389" s="47"/>
      <c r="F389" s="69"/>
      <c r="G389" s="47"/>
      <c r="H389" s="195"/>
      <c r="I389" s="19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</row>
    <row r="390">
      <c r="A390" s="47"/>
      <c r="B390" s="204"/>
      <c r="C390" s="204"/>
      <c r="D390" s="47"/>
      <c r="E390" s="47"/>
      <c r="F390" s="69"/>
      <c r="G390" s="47"/>
      <c r="H390" s="195"/>
      <c r="I390" s="195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</row>
    <row r="391">
      <c r="A391" s="47"/>
      <c r="B391" s="204"/>
      <c r="C391" s="204"/>
      <c r="D391" s="47"/>
      <c r="E391" s="47"/>
      <c r="F391" s="69"/>
      <c r="G391" s="47"/>
      <c r="H391" s="195"/>
      <c r="I391" s="195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</row>
    <row r="392">
      <c r="A392" s="47"/>
      <c r="B392" s="204"/>
      <c r="C392" s="204"/>
      <c r="D392" s="47"/>
      <c r="E392" s="47"/>
      <c r="F392" s="69"/>
      <c r="G392" s="47"/>
      <c r="H392" s="195"/>
      <c r="I392" s="19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</row>
    <row r="393">
      <c r="A393" s="47"/>
      <c r="B393" s="204"/>
      <c r="C393" s="204"/>
      <c r="D393" s="47"/>
      <c r="E393" s="47"/>
      <c r="F393" s="69"/>
      <c r="G393" s="47"/>
      <c r="H393" s="195"/>
      <c r="I393" s="19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</row>
    <row r="394">
      <c r="A394" s="47"/>
      <c r="B394" s="204"/>
      <c r="C394" s="204"/>
      <c r="D394" s="47"/>
      <c r="E394" s="47"/>
      <c r="F394" s="69"/>
      <c r="G394" s="47"/>
      <c r="H394" s="195"/>
      <c r="I394" s="19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</row>
    <row r="395">
      <c r="A395" s="47"/>
      <c r="B395" s="204"/>
      <c r="C395" s="204"/>
      <c r="D395" s="47"/>
      <c r="E395" s="47"/>
      <c r="F395" s="69"/>
      <c r="G395" s="47"/>
      <c r="H395" s="195"/>
      <c r="I395" s="195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</row>
    <row r="396">
      <c r="A396" s="47"/>
      <c r="B396" s="204"/>
      <c r="C396" s="204"/>
      <c r="D396" s="47"/>
      <c r="E396" s="47"/>
      <c r="F396" s="69"/>
      <c r="G396" s="47"/>
      <c r="H396" s="195"/>
      <c r="I396" s="195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</row>
    <row r="397">
      <c r="A397" s="47"/>
      <c r="B397" s="204"/>
      <c r="C397" s="204"/>
      <c r="D397" s="47"/>
      <c r="E397" s="47"/>
      <c r="F397" s="69"/>
      <c r="G397" s="47"/>
      <c r="H397" s="195"/>
      <c r="I397" s="19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</row>
    <row r="398">
      <c r="A398" s="47"/>
      <c r="B398" s="204"/>
      <c r="C398" s="204"/>
      <c r="D398" s="47"/>
      <c r="E398" s="47"/>
      <c r="F398" s="69"/>
      <c r="G398" s="47"/>
      <c r="H398" s="195"/>
      <c r="I398" s="19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</row>
    <row r="399">
      <c r="A399" s="47"/>
      <c r="B399" s="204"/>
      <c r="C399" s="204"/>
      <c r="D399" s="47"/>
      <c r="E399" s="47"/>
      <c r="F399" s="69"/>
      <c r="G399" s="47"/>
      <c r="H399" s="195"/>
      <c r="I399" s="19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</row>
    <row r="400">
      <c r="A400" s="47"/>
      <c r="B400" s="204"/>
      <c r="C400" s="204"/>
      <c r="D400" s="47"/>
      <c r="E400" s="47"/>
      <c r="F400" s="69"/>
      <c r="G400" s="47"/>
      <c r="H400" s="195"/>
      <c r="I400" s="195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</row>
    <row r="401">
      <c r="A401" s="47"/>
      <c r="B401" s="204"/>
      <c r="C401" s="204"/>
      <c r="D401" s="47"/>
      <c r="E401" s="47"/>
      <c r="F401" s="69"/>
      <c r="G401" s="47"/>
      <c r="H401" s="195"/>
      <c r="I401" s="195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</row>
    <row r="402">
      <c r="A402" s="47"/>
      <c r="B402" s="204"/>
      <c r="C402" s="204"/>
      <c r="D402" s="47"/>
      <c r="E402" s="47"/>
      <c r="F402" s="69"/>
      <c r="G402" s="47"/>
      <c r="H402" s="195"/>
      <c r="I402" s="195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</row>
    <row r="403">
      <c r="A403" s="47"/>
      <c r="B403" s="204"/>
      <c r="C403" s="204"/>
      <c r="D403" s="47"/>
      <c r="E403" s="47"/>
      <c r="F403" s="69"/>
      <c r="G403" s="47"/>
      <c r="H403" s="195"/>
      <c r="I403" s="195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</row>
    <row r="404">
      <c r="A404" s="47"/>
      <c r="B404" s="204"/>
      <c r="C404" s="204"/>
      <c r="D404" s="47"/>
      <c r="E404" s="47"/>
      <c r="F404" s="69"/>
      <c r="G404" s="47"/>
      <c r="H404" s="195"/>
      <c r="I404" s="19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</row>
    <row r="405">
      <c r="A405" s="47"/>
      <c r="B405" s="204"/>
      <c r="C405" s="204"/>
      <c r="D405" s="47"/>
      <c r="E405" s="47"/>
      <c r="F405" s="69"/>
      <c r="G405" s="47"/>
      <c r="H405" s="195"/>
      <c r="I405" s="195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</row>
    <row r="406">
      <c r="A406" s="47"/>
      <c r="B406" s="204"/>
      <c r="C406" s="204"/>
      <c r="D406" s="47"/>
      <c r="E406" s="47"/>
      <c r="F406" s="69"/>
      <c r="G406" s="47"/>
      <c r="H406" s="195"/>
      <c r="I406" s="19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</row>
    <row r="407">
      <c r="A407" s="47"/>
      <c r="B407" s="204"/>
      <c r="C407" s="204"/>
      <c r="D407" s="47"/>
      <c r="E407" s="47"/>
      <c r="F407" s="69"/>
      <c r="G407" s="47"/>
      <c r="H407" s="195"/>
      <c r="I407" s="195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</row>
    <row r="408">
      <c r="A408" s="47"/>
      <c r="B408" s="204"/>
      <c r="C408" s="204"/>
      <c r="D408" s="47"/>
      <c r="E408" s="47"/>
      <c r="F408" s="69"/>
      <c r="G408" s="47"/>
      <c r="H408" s="195"/>
      <c r="I408" s="19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</row>
    <row r="409">
      <c r="A409" s="47"/>
      <c r="B409" s="204"/>
      <c r="C409" s="204"/>
      <c r="D409" s="47"/>
      <c r="E409" s="47"/>
      <c r="F409" s="69"/>
      <c r="G409" s="47"/>
      <c r="H409" s="195"/>
      <c r="I409" s="195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</row>
    <row r="410">
      <c r="A410" s="47"/>
      <c r="B410" s="204"/>
      <c r="C410" s="204"/>
      <c r="D410" s="47"/>
      <c r="E410" s="47"/>
      <c r="F410" s="69"/>
      <c r="G410" s="47"/>
      <c r="H410" s="195"/>
      <c r="I410" s="195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</row>
    <row r="411">
      <c r="A411" s="47"/>
      <c r="B411" s="204"/>
      <c r="C411" s="204"/>
      <c r="D411" s="47"/>
      <c r="E411" s="47"/>
      <c r="F411" s="69"/>
      <c r="G411" s="47"/>
      <c r="H411" s="195"/>
      <c r="I411" s="195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</row>
    <row r="412">
      <c r="A412" s="47"/>
      <c r="B412" s="204"/>
      <c r="C412" s="204"/>
      <c r="D412" s="47"/>
      <c r="E412" s="47"/>
      <c r="F412" s="69"/>
      <c r="G412" s="47"/>
      <c r="H412" s="195"/>
      <c r="I412" s="19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</row>
    <row r="413">
      <c r="A413" s="47"/>
      <c r="B413" s="204"/>
      <c r="C413" s="204"/>
      <c r="D413" s="47"/>
      <c r="E413" s="47"/>
      <c r="F413" s="69"/>
      <c r="G413" s="47"/>
      <c r="H413" s="195"/>
      <c r="I413" s="195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</row>
    <row r="414">
      <c r="A414" s="47"/>
      <c r="B414" s="204"/>
      <c r="C414" s="204"/>
      <c r="D414" s="47"/>
      <c r="E414" s="47"/>
      <c r="F414" s="69"/>
      <c r="G414" s="47"/>
      <c r="H414" s="195"/>
      <c r="I414" s="19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</row>
    <row r="415">
      <c r="A415" s="47"/>
      <c r="B415" s="204"/>
      <c r="C415" s="204"/>
      <c r="D415" s="47"/>
      <c r="E415" s="47"/>
      <c r="F415" s="69"/>
      <c r="G415" s="47"/>
      <c r="H415" s="195"/>
      <c r="I415" s="195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</row>
    <row r="416">
      <c r="A416" s="47"/>
      <c r="B416" s="204"/>
      <c r="C416" s="204"/>
      <c r="D416" s="47"/>
      <c r="E416" s="47"/>
      <c r="F416" s="69"/>
      <c r="G416" s="47"/>
      <c r="H416" s="195"/>
      <c r="I416" s="19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</row>
    <row r="417">
      <c r="A417" s="47"/>
      <c r="B417" s="204"/>
      <c r="C417" s="204"/>
      <c r="D417" s="47"/>
      <c r="E417" s="47"/>
      <c r="F417" s="69"/>
      <c r="G417" s="47"/>
      <c r="H417" s="195"/>
      <c r="I417" s="195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</row>
    <row r="418">
      <c r="A418" s="47"/>
      <c r="B418" s="204"/>
      <c r="C418" s="204"/>
      <c r="D418" s="47"/>
      <c r="E418" s="47"/>
      <c r="F418" s="69"/>
      <c r="G418" s="47"/>
      <c r="H418" s="195"/>
      <c r="I418" s="195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</row>
    <row r="419">
      <c r="A419" s="47"/>
      <c r="B419" s="204"/>
      <c r="C419" s="204"/>
      <c r="D419" s="47"/>
      <c r="E419" s="47"/>
      <c r="F419" s="69"/>
      <c r="G419" s="47"/>
      <c r="H419" s="195"/>
      <c r="I419" s="19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</row>
    <row r="420">
      <c r="A420" s="47"/>
      <c r="B420" s="204"/>
      <c r="C420" s="204"/>
      <c r="D420" s="47"/>
      <c r="E420" s="47"/>
      <c r="F420" s="69"/>
      <c r="G420" s="47"/>
      <c r="H420" s="195"/>
      <c r="I420" s="19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</row>
    <row r="421">
      <c r="A421" s="47"/>
      <c r="B421" s="204"/>
      <c r="C421" s="204"/>
      <c r="D421" s="47"/>
      <c r="E421" s="47"/>
      <c r="F421" s="69"/>
      <c r="G421" s="47"/>
      <c r="H421" s="195"/>
      <c r="I421" s="195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</row>
    <row r="422">
      <c r="A422" s="47"/>
      <c r="B422" s="204"/>
      <c r="C422" s="204"/>
      <c r="D422" s="47"/>
      <c r="E422" s="47"/>
      <c r="F422" s="69"/>
      <c r="G422" s="47"/>
      <c r="H422" s="195"/>
      <c r="I422" s="195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</row>
    <row r="423">
      <c r="A423" s="47"/>
      <c r="B423" s="204"/>
      <c r="C423" s="204"/>
      <c r="D423" s="47"/>
      <c r="E423" s="47"/>
      <c r="F423" s="69"/>
      <c r="G423" s="47"/>
      <c r="H423" s="195"/>
      <c r="I423" s="195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</row>
    <row r="424">
      <c r="A424" s="47"/>
      <c r="B424" s="204"/>
      <c r="C424" s="204"/>
      <c r="D424" s="47"/>
      <c r="E424" s="47"/>
      <c r="F424" s="69"/>
      <c r="G424" s="47"/>
      <c r="H424" s="195"/>
      <c r="I424" s="195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</row>
    <row r="425">
      <c r="A425" s="47"/>
      <c r="B425" s="204"/>
      <c r="C425" s="204"/>
      <c r="D425" s="47"/>
      <c r="E425" s="47"/>
      <c r="F425" s="69"/>
      <c r="G425" s="47"/>
      <c r="H425" s="195"/>
      <c r="I425" s="195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</row>
    <row r="426">
      <c r="A426" s="47"/>
      <c r="B426" s="204"/>
      <c r="C426" s="204"/>
      <c r="D426" s="47"/>
      <c r="E426" s="47"/>
      <c r="F426" s="69"/>
      <c r="G426" s="47"/>
      <c r="H426" s="195"/>
      <c r="I426" s="195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</row>
    <row r="427">
      <c r="A427" s="47"/>
      <c r="B427" s="204"/>
      <c r="C427" s="204"/>
      <c r="D427" s="47"/>
      <c r="E427" s="47"/>
      <c r="F427" s="69"/>
      <c r="G427" s="47"/>
      <c r="H427" s="195"/>
      <c r="I427" s="195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</row>
    <row r="428">
      <c r="A428" s="47"/>
      <c r="B428" s="204"/>
      <c r="C428" s="204"/>
      <c r="D428" s="47"/>
      <c r="E428" s="47"/>
      <c r="F428" s="69"/>
      <c r="G428" s="47"/>
      <c r="H428" s="195"/>
      <c r="I428" s="19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</row>
    <row r="429">
      <c r="A429" s="47"/>
      <c r="B429" s="204"/>
      <c r="C429" s="204"/>
      <c r="D429" s="47"/>
      <c r="E429" s="47"/>
      <c r="F429" s="69"/>
      <c r="G429" s="47"/>
      <c r="H429" s="195"/>
      <c r="I429" s="19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</row>
    <row r="430">
      <c r="A430" s="47"/>
      <c r="B430" s="204"/>
      <c r="C430" s="204"/>
      <c r="D430" s="47"/>
      <c r="E430" s="47"/>
      <c r="F430" s="69"/>
      <c r="G430" s="47"/>
      <c r="H430" s="195"/>
      <c r="I430" s="195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</row>
    <row r="431">
      <c r="A431" s="47"/>
      <c r="B431" s="204"/>
      <c r="C431" s="204"/>
      <c r="D431" s="47"/>
      <c r="E431" s="47"/>
      <c r="F431" s="69"/>
      <c r="G431" s="47"/>
      <c r="H431" s="195"/>
      <c r="I431" s="195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</row>
    <row r="432">
      <c r="A432" s="47"/>
      <c r="B432" s="204"/>
      <c r="C432" s="204"/>
      <c r="D432" s="47"/>
      <c r="E432" s="47"/>
      <c r="F432" s="69"/>
      <c r="G432" s="47"/>
      <c r="H432" s="195"/>
      <c r="I432" s="19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</row>
    <row r="433">
      <c r="A433" s="47"/>
      <c r="B433" s="204"/>
      <c r="C433" s="204"/>
      <c r="D433" s="47"/>
      <c r="E433" s="47"/>
      <c r="F433" s="69"/>
      <c r="G433" s="47"/>
      <c r="H433" s="195"/>
      <c r="I433" s="195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</row>
    <row r="434">
      <c r="A434" s="47"/>
      <c r="B434" s="204"/>
      <c r="C434" s="204"/>
      <c r="D434" s="47"/>
      <c r="E434" s="47"/>
      <c r="F434" s="69"/>
      <c r="G434" s="47"/>
      <c r="H434" s="195"/>
      <c r="I434" s="19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</row>
    <row r="435">
      <c r="A435" s="47"/>
      <c r="B435" s="204"/>
      <c r="C435" s="204"/>
      <c r="D435" s="47"/>
      <c r="E435" s="47"/>
      <c r="F435" s="69"/>
      <c r="G435" s="47"/>
      <c r="H435" s="195"/>
      <c r="I435" s="195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</row>
    <row r="436">
      <c r="A436" s="47"/>
      <c r="B436" s="204"/>
      <c r="C436" s="204"/>
      <c r="D436" s="47"/>
      <c r="E436" s="47"/>
      <c r="F436" s="69"/>
      <c r="G436" s="47"/>
      <c r="H436" s="195"/>
      <c r="I436" s="19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</row>
    <row r="437">
      <c r="A437" s="47"/>
      <c r="B437" s="204"/>
      <c r="C437" s="204"/>
      <c r="D437" s="47"/>
      <c r="E437" s="47"/>
      <c r="F437" s="69"/>
      <c r="G437" s="47"/>
      <c r="H437" s="195"/>
      <c r="I437" s="19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</row>
    <row r="438">
      <c r="A438" s="47"/>
      <c r="B438" s="204"/>
      <c r="C438" s="204"/>
      <c r="D438" s="47"/>
      <c r="E438" s="47"/>
      <c r="F438" s="69"/>
      <c r="G438" s="47"/>
      <c r="H438" s="195"/>
      <c r="I438" s="195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</row>
    <row r="439">
      <c r="A439" s="47"/>
      <c r="B439" s="204"/>
      <c r="C439" s="204"/>
      <c r="D439" s="47"/>
      <c r="E439" s="47"/>
      <c r="F439" s="69"/>
      <c r="G439" s="47"/>
      <c r="H439" s="195"/>
      <c r="I439" s="195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</row>
    <row r="440">
      <c r="A440" s="47"/>
      <c r="B440" s="204"/>
      <c r="C440" s="204"/>
      <c r="D440" s="47"/>
      <c r="E440" s="47"/>
      <c r="F440" s="69"/>
      <c r="G440" s="47"/>
      <c r="H440" s="195"/>
      <c r="I440" s="195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</row>
    <row r="441">
      <c r="A441" s="47"/>
      <c r="B441" s="204"/>
      <c r="C441" s="204"/>
      <c r="D441" s="47"/>
      <c r="E441" s="47"/>
      <c r="F441" s="69"/>
      <c r="G441" s="47"/>
      <c r="H441" s="195"/>
      <c r="I441" s="195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</row>
    <row r="442">
      <c r="A442" s="47"/>
      <c r="B442" s="204"/>
      <c r="C442" s="204"/>
      <c r="D442" s="47"/>
      <c r="E442" s="47"/>
      <c r="F442" s="69"/>
      <c r="G442" s="47"/>
      <c r="H442" s="195"/>
      <c r="I442" s="19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</row>
    <row r="443">
      <c r="A443" s="47"/>
      <c r="B443" s="204"/>
      <c r="C443" s="204"/>
      <c r="D443" s="47"/>
      <c r="E443" s="47"/>
      <c r="F443" s="69"/>
      <c r="G443" s="47"/>
      <c r="H443" s="195"/>
      <c r="I443" s="19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</row>
    <row r="444">
      <c r="A444" s="47"/>
      <c r="B444" s="204"/>
      <c r="C444" s="204"/>
      <c r="D444" s="47"/>
      <c r="E444" s="47"/>
      <c r="F444" s="69"/>
      <c r="G444" s="47"/>
      <c r="H444" s="195"/>
      <c r="I444" s="19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</row>
    <row r="445">
      <c r="A445" s="47"/>
      <c r="B445" s="204"/>
      <c r="C445" s="204"/>
      <c r="D445" s="47"/>
      <c r="E445" s="47"/>
      <c r="F445" s="69"/>
      <c r="G445" s="47"/>
      <c r="H445" s="195"/>
      <c r="I445" s="19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</row>
    <row r="446">
      <c r="A446" s="47"/>
      <c r="B446" s="204"/>
      <c r="C446" s="204"/>
      <c r="D446" s="47"/>
      <c r="E446" s="47"/>
      <c r="F446" s="69"/>
      <c r="G446" s="47"/>
      <c r="H446" s="195"/>
      <c r="I446" s="19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</row>
    <row r="447">
      <c r="A447" s="47"/>
      <c r="B447" s="204"/>
      <c r="C447" s="204"/>
      <c r="D447" s="47"/>
      <c r="E447" s="47"/>
      <c r="F447" s="69"/>
      <c r="G447" s="47"/>
      <c r="H447" s="195"/>
      <c r="I447" s="195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</row>
    <row r="448">
      <c r="A448" s="47"/>
      <c r="B448" s="204"/>
      <c r="C448" s="204"/>
      <c r="D448" s="47"/>
      <c r="E448" s="47"/>
      <c r="F448" s="69"/>
      <c r="G448" s="47"/>
      <c r="H448" s="195"/>
      <c r="I448" s="195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</row>
    <row r="449">
      <c r="A449" s="47"/>
      <c r="B449" s="204"/>
      <c r="C449" s="204"/>
      <c r="D449" s="47"/>
      <c r="E449" s="47"/>
      <c r="F449" s="69"/>
      <c r="G449" s="47"/>
      <c r="H449" s="195"/>
      <c r="I449" s="195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</row>
    <row r="450">
      <c r="A450" s="47"/>
      <c r="B450" s="204"/>
      <c r="C450" s="204"/>
      <c r="D450" s="47"/>
      <c r="E450" s="47"/>
      <c r="F450" s="69"/>
      <c r="G450" s="47"/>
      <c r="H450" s="195"/>
      <c r="I450" s="19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</row>
    <row r="451">
      <c r="A451" s="47"/>
      <c r="B451" s="204"/>
      <c r="C451" s="204"/>
      <c r="D451" s="47"/>
      <c r="E451" s="47"/>
      <c r="F451" s="69"/>
      <c r="G451" s="47"/>
      <c r="H451" s="195"/>
      <c r="I451" s="19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</row>
    <row r="452">
      <c r="A452" s="47"/>
      <c r="B452" s="204"/>
      <c r="C452" s="204"/>
      <c r="D452" s="47"/>
      <c r="E452" s="47"/>
      <c r="F452" s="69"/>
      <c r="G452" s="47"/>
      <c r="H452" s="195"/>
      <c r="I452" s="195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</row>
    <row r="453">
      <c r="A453" s="47"/>
      <c r="B453" s="204"/>
      <c r="C453" s="204"/>
      <c r="D453" s="47"/>
      <c r="E453" s="47"/>
      <c r="F453" s="69"/>
      <c r="G453" s="47"/>
      <c r="H453" s="195"/>
      <c r="I453" s="195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</row>
    <row r="454">
      <c r="A454" s="47"/>
      <c r="B454" s="204"/>
      <c r="C454" s="204"/>
      <c r="D454" s="47"/>
      <c r="E454" s="47"/>
      <c r="F454" s="69"/>
      <c r="G454" s="47"/>
      <c r="H454" s="195"/>
      <c r="I454" s="195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</row>
    <row r="455">
      <c r="A455" s="47"/>
      <c r="B455" s="204"/>
      <c r="C455" s="204"/>
      <c r="D455" s="47"/>
      <c r="E455" s="47"/>
      <c r="F455" s="69"/>
      <c r="G455" s="47"/>
      <c r="H455" s="195"/>
      <c r="I455" s="195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</row>
    <row r="456">
      <c r="A456" s="47"/>
      <c r="B456" s="204"/>
      <c r="C456" s="204"/>
      <c r="D456" s="47"/>
      <c r="E456" s="47"/>
      <c r="F456" s="69"/>
      <c r="G456" s="47"/>
      <c r="H456" s="195"/>
      <c r="I456" s="195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</row>
    <row r="457">
      <c r="A457" s="47"/>
      <c r="B457" s="204"/>
      <c r="C457" s="204"/>
      <c r="D457" s="47"/>
      <c r="E457" s="47"/>
      <c r="F457" s="69"/>
      <c r="G457" s="47"/>
      <c r="H457" s="195"/>
      <c r="I457" s="19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</row>
    <row r="458">
      <c r="A458" s="47"/>
      <c r="B458" s="204"/>
      <c r="C458" s="204"/>
      <c r="D458" s="47"/>
      <c r="E458" s="47"/>
      <c r="F458" s="69"/>
      <c r="G458" s="47"/>
      <c r="H458" s="195"/>
      <c r="I458" s="195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</row>
    <row r="459">
      <c r="A459" s="47"/>
      <c r="B459" s="204"/>
      <c r="C459" s="204"/>
      <c r="D459" s="47"/>
      <c r="E459" s="47"/>
      <c r="F459" s="69"/>
      <c r="G459" s="47"/>
      <c r="H459" s="195"/>
      <c r="I459" s="19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</row>
    <row r="460">
      <c r="A460" s="47"/>
      <c r="B460" s="204"/>
      <c r="C460" s="204"/>
      <c r="D460" s="47"/>
      <c r="E460" s="47"/>
      <c r="F460" s="69"/>
      <c r="G460" s="47"/>
      <c r="H460" s="195"/>
      <c r="I460" s="195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</row>
    <row r="461">
      <c r="A461" s="47"/>
      <c r="B461" s="204"/>
      <c r="C461" s="204"/>
      <c r="D461" s="47"/>
      <c r="E461" s="47"/>
      <c r="F461" s="69"/>
      <c r="G461" s="47"/>
      <c r="H461" s="195"/>
      <c r="I461" s="19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</row>
    <row r="462">
      <c r="A462" s="47"/>
      <c r="B462" s="204"/>
      <c r="C462" s="204"/>
      <c r="D462" s="47"/>
      <c r="E462" s="47"/>
      <c r="F462" s="69"/>
      <c r="G462" s="47"/>
      <c r="H462" s="195"/>
      <c r="I462" s="195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</row>
    <row r="463">
      <c r="A463" s="47"/>
      <c r="B463" s="204"/>
      <c r="C463" s="204"/>
      <c r="D463" s="47"/>
      <c r="E463" s="47"/>
      <c r="F463" s="69"/>
      <c r="G463" s="47"/>
      <c r="H463" s="195"/>
      <c r="I463" s="195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</row>
    <row r="464">
      <c r="A464" s="47"/>
      <c r="B464" s="204"/>
      <c r="C464" s="204"/>
      <c r="D464" s="47"/>
      <c r="E464" s="47"/>
      <c r="F464" s="69"/>
      <c r="G464" s="47"/>
      <c r="H464" s="195"/>
      <c r="I464" s="195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</row>
    <row r="465">
      <c r="A465" s="47"/>
      <c r="B465" s="204"/>
      <c r="C465" s="204"/>
      <c r="D465" s="47"/>
      <c r="E465" s="47"/>
      <c r="F465" s="69"/>
      <c r="G465" s="47"/>
      <c r="H465" s="195"/>
      <c r="I465" s="195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</row>
    <row r="466">
      <c r="A466" s="47"/>
      <c r="B466" s="204"/>
      <c r="C466" s="204"/>
      <c r="D466" s="47"/>
      <c r="E466" s="47"/>
      <c r="F466" s="69"/>
      <c r="G466" s="47"/>
      <c r="H466" s="195"/>
      <c r="I466" s="195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</row>
    <row r="467">
      <c r="A467" s="47"/>
      <c r="B467" s="204"/>
      <c r="C467" s="204"/>
      <c r="D467" s="47"/>
      <c r="E467" s="47"/>
      <c r="F467" s="69"/>
      <c r="G467" s="47"/>
      <c r="H467" s="195"/>
      <c r="I467" s="195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</row>
    <row r="468">
      <c r="A468" s="47"/>
      <c r="B468" s="204"/>
      <c r="C468" s="204"/>
      <c r="D468" s="47"/>
      <c r="E468" s="47"/>
      <c r="F468" s="69"/>
      <c r="G468" s="47"/>
      <c r="H468" s="195"/>
      <c r="I468" s="195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</row>
    <row r="469">
      <c r="A469" s="47"/>
      <c r="B469" s="204"/>
      <c r="C469" s="204"/>
      <c r="D469" s="47"/>
      <c r="E469" s="47"/>
      <c r="F469" s="69"/>
      <c r="G469" s="47"/>
      <c r="H469" s="195"/>
      <c r="I469" s="195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</row>
    <row r="470">
      <c r="A470" s="47"/>
      <c r="B470" s="204"/>
      <c r="C470" s="204"/>
      <c r="D470" s="47"/>
      <c r="E470" s="47"/>
      <c r="F470" s="69"/>
      <c r="G470" s="47"/>
      <c r="H470" s="195"/>
      <c r="I470" s="195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</row>
    <row r="471">
      <c r="A471" s="47"/>
      <c r="B471" s="204"/>
      <c r="C471" s="204"/>
      <c r="D471" s="47"/>
      <c r="E471" s="47"/>
      <c r="F471" s="69"/>
      <c r="G471" s="47"/>
      <c r="H471" s="195"/>
      <c r="I471" s="195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</row>
    <row r="472">
      <c r="A472" s="47"/>
      <c r="B472" s="204"/>
      <c r="C472" s="204"/>
      <c r="D472" s="47"/>
      <c r="E472" s="47"/>
      <c r="F472" s="69"/>
      <c r="G472" s="47"/>
      <c r="H472" s="195"/>
      <c r="I472" s="195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</row>
    <row r="473">
      <c r="A473" s="47"/>
      <c r="B473" s="204"/>
      <c r="C473" s="204"/>
      <c r="D473" s="47"/>
      <c r="E473" s="47"/>
      <c r="F473" s="69"/>
      <c r="G473" s="47"/>
      <c r="H473" s="195"/>
      <c r="I473" s="195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</row>
    <row r="474">
      <c r="A474" s="47"/>
      <c r="B474" s="204"/>
      <c r="C474" s="204"/>
      <c r="D474" s="47"/>
      <c r="E474" s="47"/>
      <c r="F474" s="69"/>
      <c r="G474" s="47"/>
      <c r="H474" s="195"/>
      <c r="I474" s="195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</row>
    <row r="475">
      <c r="A475" s="47"/>
      <c r="B475" s="204"/>
      <c r="C475" s="204"/>
      <c r="D475" s="47"/>
      <c r="E475" s="47"/>
      <c r="F475" s="69"/>
      <c r="G475" s="47"/>
      <c r="H475" s="195"/>
      <c r="I475" s="195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</row>
    <row r="476">
      <c r="A476" s="47"/>
      <c r="B476" s="204"/>
      <c r="C476" s="204"/>
      <c r="D476" s="47"/>
      <c r="E476" s="47"/>
      <c r="F476" s="69"/>
      <c r="G476" s="47"/>
      <c r="H476" s="195"/>
      <c r="I476" s="195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</row>
    <row r="477">
      <c r="A477" s="47"/>
      <c r="B477" s="204"/>
      <c r="C477" s="204"/>
      <c r="D477" s="47"/>
      <c r="E477" s="47"/>
      <c r="F477" s="69"/>
      <c r="G477" s="47"/>
      <c r="H477" s="195"/>
      <c r="I477" s="195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</row>
    <row r="478">
      <c r="A478" s="47"/>
      <c r="B478" s="204"/>
      <c r="C478" s="204"/>
      <c r="D478" s="47"/>
      <c r="E478" s="47"/>
      <c r="F478" s="69"/>
      <c r="G478" s="47"/>
      <c r="H478" s="195"/>
      <c r="I478" s="195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</row>
    <row r="479">
      <c r="A479" s="47"/>
      <c r="B479" s="204"/>
      <c r="C479" s="204"/>
      <c r="D479" s="47"/>
      <c r="E479" s="47"/>
      <c r="F479" s="69"/>
      <c r="G479" s="47"/>
      <c r="H479" s="195"/>
      <c r="I479" s="195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</row>
    <row r="480">
      <c r="A480" s="47"/>
      <c r="B480" s="204"/>
      <c r="C480" s="204"/>
      <c r="D480" s="47"/>
      <c r="E480" s="47"/>
      <c r="F480" s="69"/>
      <c r="G480" s="47"/>
      <c r="H480" s="195"/>
      <c r="I480" s="195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</row>
    <row r="481">
      <c r="A481" s="47"/>
      <c r="B481" s="204"/>
      <c r="C481" s="204"/>
      <c r="D481" s="47"/>
      <c r="E481" s="47"/>
      <c r="F481" s="69"/>
      <c r="G481" s="47"/>
      <c r="H481" s="195"/>
      <c r="I481" s="195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</row>
    <row r="482">
      <c r="A482" s="47"/>
      <c r="B482" s="204"/>
      <c r="C482" s="204"/>
      <c r="D482" s="47"/>
      <c r="E482" s="47"/>
      <c r="F482" s="69"/>
      <c r="G482" s="47"/>
      <c r="H482" s="195"/>
      <c r="I482" s="195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</row>
    <row r="483">
      <c r="A483" s="47"/>
      <c r="B483" s="204"/>
      <c r="C483" s="204"/>
      <c r="D483" s="47"/>
      <c r="E483" s="47"/>
      <c r="F483" s="69"/>
      <c r="G483" s="47"/>
      <c r="H483" s="195"/>
      <c r="I483" s="195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</row>
    <row r="484">
      <c r="A484" s="47"/>
      <c r="B484" s="204"/>
      <c r="C484" s="204"/>
      <c r="D484" s="47"/>
      <c r="E484" s="47"/>
      <c r="F484" s="69"/>
      <c r="G484" s="47"/>
      <c r="H484" s="195"/>
      <c r="I484" s="195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</row>
    <row r="485">
      <c r="A485" s="47"/>
      <c r="B485" s="204"/>
      <c r="C485" s="204"/>
      <c r="D485" s="47"/>
      <c r="E485" s="47"/>
      <c r="F485" s="69"/>
      <c r="G485" s="47"/>
      <c r="H485" s="195"/>
      <c r="I485" s="195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</row>
    <row r="486">
      <c r="A486" s="47"/>
      <c r="B486" s="204"/>
      <c r="C486" s="204"/>
      <c r="D486" s="47"/>
      <c r="E486" s="47"/>
      <c r="F486" s="69"/>
      <c r="G486" s="47"/>
      <c r="H486" s="195"/>
      <c r="I486" s="195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</row>
    <row r="487">
      <c r="A487" s="47"/>
      <c r="B487" s="204"/>
      <c r="C487" s="204"/>
      <c r="D487" s="47"/>
      <c r="E487" s="47"/>
      <c r="F487" s="69"/>
      <c r="G487" s="47"/>
      <c r="H487" s="195"/>
      <c r="I487" s="195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</row>
    <row r="488">
      <c r="A488" s="47"/>
      <c r="B488" s="204"/>
      <c r="C488" s="204"/>
      <c r="D488" s="47"/>
      <c r="E488" s="47"/>
      <c r="F488" s="69"/>
      <c r="G488" s="47"/>
      <c r="H488" s="195"/>
      <c r="I488" s="195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</row>
    <row r="489">
      <c r="A489" s="47"/>
      <c r="B489" s="204"/>
      <c r="C489" s="204"/>
      <c r="D489" s="47"/>
      <c r="E489" s="47"/>
      <c r="F489" s="69"/>
      <c r="G489" s="47"/>
      <c r="H489" s="195"/>
      <c r="I489" s="195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</row>
    <row r="490">
      <c r="A490" s="47"/>
      <c r="B490" s="204"/>
      <c r="C490" s="204"/>
      <c r="D490" s="47"/>
      <c r="E490" s="47"/>
      <c r="F490" s="69"/>
      <c r="G490" s="47"/>
      <c r="H490" s="195"/>
      <c r="I490" s="195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</row>
    <row r="491">
      <c r="A491" s="47"/>
      <c r="B491" s="204"/>
      <c r="C491" s="204"/>
      <c r="D491" s="47"/>
      <c r="E491" s="47"/>
      <c r="F491" s="69"/>
      <c r="G491" s="47"/>
      <c r="H491" s="195"/>
      <c r="I491" s="195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</row>
    <row r="492">
      <c r="A492" s="47"/>
      <c r="B492" s="204"/>
      <c r="C492" s="204"/>
      <c r="D492" s="47"/>
      <c r="E492" s="47"/>
      <c r="F492" s="69"/>
      <c r="G492" s="47"/>
      <c r="H492" s="195"/>
      <c r="I492" s="195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</row>
    <row r="493">
      <c r="A493" s="47"/>
      <c r="B493" s="204"/>
      <c r="C493" s="204"/>
      <c r="D493" s="47"/>
      <c r="E493" s="47"/>
      <c r="F493" s="69"/>
      <c r="G493" s="47"/>
      <c r="H493" s="195"/>
      <c r="I493" s="195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</row>
    <row r="494">
      <c r="A494" s="47"/>
      <c r="B494" s="204"/>
      <c r="C494" s="204"/>
      <c r="D494" s="47"/>
      <c r="E494" s="47"/>
      <c r="F494" s="69"/>
      <c r="G494" s="47"/>
      <c r="H494" s="195"/>
      <c r="I494" s="195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</row>
    <row r="495">
      <c r="A495" s="47"/>
      <c r="B495" s="204"/>
      <c r="C495" s="204"/>
      <c r="D495" s="47"/>
      <c r="E495" s="47"/>
      <c r="F495" s="69"/>
      <c r="G495" s="47"/>
      <c r="H495" s="195"/>
      <c r="I495" s="195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</row>
    <row r="496">
      <c r="A496" s="47"/>
      <c r="B496" s="204"/>
      <c r="C496" s="204"/>
      <c r="D496" s="47"/>
      <c r="E496" s="47"/>
      <c r="F496" s="69"/>
      <c r="G496" s="47"/>
      <c r="H496" s="195"/>
      <c r="I496" s="195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</row>
    <row r="497">
      <c r="A497" s="47"/>
      <c r="B497" s="204"/>
      <c r="C497" s="204"/>
      <c r="D497" s="47"/>
      <c r="E497" s="47"/>
      <c r="F497" s="69"/>
      <c r="G497" s="47"/>
      <c r="H497" s="195"/>
      <c r="I497" s="195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</row>
    <row r="498">
      <c r="A498" s="47"/>
      <c r="B498" s="204"/>
      <c r="C498" s="204"/>
      <c r="D498" s="47"/>
      <c r="E498" s="47"/>
      <c r="F498" s="69"/>
      <c r="G498" s="47"/>
      <c r="H498" s="195"/>
      <c r="I498" s="195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</row>
    <row r="499">
      <c r="A499" s="47"/>
      <c r="B499" s="204"/>
      <c r="C499" s="204"/>
      <c r="D499" s="47"/>
      <c r="E499" s="47"/>
      <c r="F499" s="69"/>
      <c r="G499" s="47"/>
      <c r="H499" s="195"/>
      <c r="I499" s="19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</row>
    <row r="500">
      <c r="A500" s="47"/>
      <c r="B500" s="204"/>
      <c r="C500" s="204"/>
      <c r="D500" s="47"/>
      <c r="E500" s="47"/>
      <c r="F500" s="69"/>
      <c r="G500" s="47"/>
      <c r="H500" s="195"/>
      <c r="I500" s="195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</row>
    <row r="501">
      <c r="A501" s="47"/>
      <c r="B501" s="204"/>
      <c r="C501" s="204"/>
      <c r="D501" s="47"/>
      <c r="E501" s="47"/>
      <c r="F501" s="69"/>
      <c r="G501" s="47"/>
      <c r="H501" s="195"/>
      <c r="I501" s="195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</row>
    <row r="502">
      <c r="A502" s="47"/>
      <c r="B502" s="204"/>
      <c r="C502" s="204"/>
      <c r="D502" s="47"/>
      <c r="E502" s="47"/>
      <c r="F502" s="69"/>
      <c r="G502" s="47"/>
      <c r="H502" s="195"/>
      <c r="I502" s="195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</row>
    <row r="503">
      <c r="A503" s="47"/>
      <c r="B503" s="204"/>
      <c r="C503" s="204"/>
      <c r="D503" s="47"/>
      <c r="E503" s="47"/>
      <c r="F503" s="69"/>
      <c r="G503" s="47"/>
      <c r="H503" s="195"/>
      <c r="I503" s="195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</row>
    <row r="504">
      <c r="A504" s="47"/>
      <c r="B504" s="204"/>
      <c r="C504" s="204"/>
      <c r="D504" s="47"/>
      <c r="E504" s="47"/>
      <c r="F504" s="69"/>
      <c r="G504" s="47"/>
      <c r="H504" s="195"/>
      <c r="I504" s="195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</row>
    <row r="505">
      <c r="A505" s="47"/>
      <c r="B505" s="204"/>
      <c r="C505" s="204"/>
      <c r="D505" s="47"/>
      <c r="E505" s="47"/>
      <c r="F505" s="69"/>
      <c r="G505" s="47"/>
      <c r="H505" s="195"/>
      <c r="I505" s="195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</row>
    <row r="506">
      <c r="A506" s="47"/>
      <c r="B506" s="204"/>
      <c r="C506" s="204"/>
      <c r="D506" s="47"/>
      <c r="E506" s="47"/>
      <c r="F506" s="69"/>
      <c r="G506" s="47"/>
      <c r="H506" s="195"/>
      <c r="I506" s="195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</row>
    <row r="507">
      <c r="A507" s="47"/>
      <c r="B507" s="204"/>
      <c r="C507" s="204"/>
      <c r="D507" s="47"/>
      <c r="E507" s="47"/>
      <c r="F507" s="69"/>
      <c r="G507" s="47"/>
      <c r="H507" s="195"/>
      <c r="I507" s="19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</row>
    <row r="508">
      <c r="A508" s="47"/>
      <c r="B508" s="204"/>
      <c r="C508" s="204"/>
      <c r="D508" s="47"/>
      <c r="E508" s="47"/>
      <c r="F508" s="69"/>
      <c r="G508" s="47"/>
      <c r="H508" s="195"/>
      <c r="I508" s="19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</row>
    <row r="509">
      <c r="A509" s="47"/>
      <c r="B509" s="204"/>
      <c r="C509" s="204"/>
      <c r="D509" s="47"/>
      <c r="E509" s="47"/>
      <c r="F509" s="69"/>
      <c r="G509" s="47"/>
      <c r="H509" s="195"/>
      <c r="I509" s="195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</row>
    <row r="510">
      <c r="A510" s="47"/>
      <c r="B510" s="204"/>
      <c r="C510" s="204"/>
      <c r="D510" s="47"/>
      <c r="E510" s="47"/>
      <c r="F510" s="69"/>
      <c r="G510" s="47"/>
      <c r="H510" s="195"/>
      <c r="I510" s="195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</row>
    <row r="511">
      <c r="A511" s="47"/>
      <c r="B511" s="204"/>
      <c r="C511" s="204"/>
      <c r="D511" s="47"/>
      <c r="E511" s="47"/>
      <c r="F511" s="69"/>
      <c r="G511" s="47"/>
      <c r="H511" s="195"/>
      <c r="I511" s="195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</row>
    <row r="512">
      <c r="A512" s="47"/>
      <c r="B512" s="204"/>
      <c r="C512" s="204"/>
      <c r="D512" s="47"/>
      <c r="E512" s="47"/>
      <c r="F512" s="69"/>
      <c r="G512" s="47"/>
      <c r="H512" s="195"/>
      <c r="I512" s="195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</row>
    <row r="513">
      <c r="A513" s="47"/>
      <c r="B513" s="204"/>
      <c r="C513" s="204"/>
      <c r="D513" s="47"/>
      <c r="E513" s="47"/>
      <c r="F513" s="69"/>
      <c r="G513" s="47"/>
      <c r="H513" s="195"/>
      <c r="I513" s="19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</row>
    <row r="514">
      <c r="A514" s="47"/>
      <c r="B514" s="204"/>
      <c r="C514" s="204"/>
      <c r="D514" s="47"/>
      <c r="E514" s="47"/>
      <c r="F514" s="69"/>
      <c r="G514" s="47"/>
      <c r="H514" s="195"/>
      <c r="I514" s="195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</row>
    <row r="515">
      <c r="A515" s="47"/>
      <c r="B515" s="204"/>
      <c r="C515" s="204"/>
      <c r="D515" s="47"/>
      <c r="E515" s="47"/>
      <c r="F515" s="69"/>
      <c r="G515" s="47"/>
      <c r="H515" s="195"/>
      <c r="I515" s="195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</row>
    <row r="516">
      <c r="A516" s="47"/>
      <c r="B516" s="204"/>
      <c r="C516" s="204"/>
      <c r="D516" s="47"/>
      <c r="E516" s="47"/>
      <c r="F516" s="69"/>
      <c r="G516" s="47"/>
      <c r="H516" s="195"/>
      <c r="I516" s="195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</row>
    <row r="517">
      <c r="A517" s="47"/>
      <c r="B517" s="204"/>
      <c r="C517" s="204"/>
      <c r="D517" s="47"/>
      <c r="E517" s="47"/>
      <c r="F517" s="69"/>
      <c r="G517" s="47"/>
      <c r="H517" s="195"/>
      <c r="I517" s="195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</row>
    <row r="518">
      <c r="A518" s="47"/>
      <c r="B518" s="204"/>
      <c r="C518" s="204"/>
      <c r="D518" s="47"/>
      <c r="E518" s="47"/>
      <c r="F518" s="69"/>
      <c r="G518" s="47"/>
      <c r="H518" s="195"/>
      <c r="I518" s="195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</row>
    <row r="519">
      <c r="A519" s="47"/>
      <c r="B519" s="204"/>
      <c r="C519" s="204"/>
      <c r="D519" s="47"/>
      <c r="E519" s="47"/>
      <c r="F519" s="69"/>
      <c r="G519" s="47"/>
      <c r="H519" s="195"/>
      <c r="I519" s="195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</row>
    <row r="520">
      <c r="A520" s="47"/>
      <c r="B520" s="204"/>
      <c r="C520" s="204"/>
      <c r="D520" s="47"/>
      <c r="E520" s="47"/>
      <c r="F520" s="69"/>
      <c r="G520" s="47"/>
      <c r="H520" s="195"/>
      <c r="I520" s="195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</row>
    <row r="521">
      <c r="A521" s="47"/>
      <c r="B521" s="204"/>
      <c r="C521" s="204"/>
      <c r="D521" s="47"/>
      <c r="E521" s="47"/>
      <c r="F521" s="69"/>
      <c r="G521" s="47"/>
      <c r="H521" s="195"/>
      <c r="I521" s="195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</row>
    <row r="522">
      <c r="A522" s="47"/>
      <c r="B522" s="204"/>
      <c r="C522" s="204"/>
      <c r="D522" s="47"/>
      <c r="E522" s="47"/>
      <c r="F522" s="69"/>
      <c r="G522" s="47"/>
      <c r="H522" s="195"/>
      <c r="I522" s="195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</row>
    <row r="523">
      <c r="A523" s="47"/>
      <c r="B523" s="204"/>
      <c r="C523" s="204"/>
      <c r="D523" s="47"/>
      <c r="E523" s="47"/>
      <c r="F523" s="69"/>
      <c r="G523" s="47"/>
      <c r="H523" s="195"/>
      <c r="I523" s="195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</row>
    <row r="524">
      <c r="A524" s="47"/>
      <c r="B524" s="204"/>
      <c r="C524" s="204"/>
      <c r="D524" s="47"/>
      <c r="E524" s="47"/>
      <c r="F524" s="69"/>
      <c r="G524" s="47"/>
      <c r="H524" s="195"/>
      <c r="I524" s="195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</row>
    <row r="525">
      <c r="A525" s="47"/>
      <c r="B525" s="204"/>
      <c r="C525" s="204"/>
      <c r="D525" s="47"/>
      <c r="E525" s="47"/>
      <c r="F525" s="69"/>
      <c r="G525" s="47"/>
      <c r="H525" s="195"/>
      <c r="I525" s="195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</row>
    <row r="526">
      <c r="A526" s="47"/>
      <c r="B526" s="204"/>
      <c r="C526" s="204"/>
      <c r="D526" s="47"/>
      <c r="E526" s="47"/>
      <c r="F526" s="69"/>
      <c r="G526" s="47"/>
      <c r="H526" s="195"/>
      <c r="I526" s="19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</row>
    <row r="527">
      <c r="A527" s="47"/>
      <c r="B527" s="204"/>
      <c r="C527" s="204"/>
      <c r="D527" s="47"/>
      <c r="E527" s="47"/>
      <c r="F527" s="69"/>
      <c r="G527" s="47"/>
      <c r="H527" s="195"/>
      <c r="I527" s="195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</row>
    <row r="528">
      <c r="A528" s="47"/>
      <c r="B528" s="204"/>
      <c r="C528" s="204"/>
      <c r="D528" s="47"/>
      <c r="E528" s="47"/>
      <c r="F528" s="69"/>
      <c r="G528" s="47"/>
      <c r="H528" s="195"/>
      <c r="I528" s="195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</row>
    <row r="529">
      <c r="A529" s="47"/>
      <c r="B529" s="204"/>
      <c r="C529" s="204"/>
      <c r="D529" s="47"/>
      <c r="E529" s="47"/>
      <c r="F529" s="69"/>
      <c r="G529" s="47"/>
      <c r="H529" s="195"/>
      <c r="I529" s="195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</row>
    <row r="530">
      <c r="A530" s="47"/>
      <c r="B530" s="204"/>
      <c r="C530" s="204"/>
      <c r="D530" s="47"/>
      <c r="E530" s="47"/>
      <c r="F530" s="69"/>
      <c r="G530" s="47"/>
      <c r="H530" s="195"/>
      <c r="I530" s="195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</row>
    <row r="531">
      <c r="A531" s="47"/>
      <c r="B531" s="204"/>
      <c r="C531" s="204"/>
      <c r="D531" s="47"/>
      <c r="E531" s="47"/>
      <c r="F531" s="69"/>
      <c r="G531" s="47"/>
      <c r="H531" s="195"/>
      <c r="I531" s="195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</row>
    <row r="532">
      <c r="A532" s="47"/>
      <c r="B532" s="204"/>
      <c r="C532" s="204"/>
      <c r="D532" s="47"/>
      <c r="E532" s="47"/>
      <c r="F532" s="69"/>
      <c r="G532" s="47"/>
      <c r="H532" s="195"/>
      <c r="I532" s="195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</row>
    <row r="533">
      <c r="A533" s="47"/>
      <c r="B533" s="204"/>
      <c r="C533" s="204"/>
      <c r="D533" s="47"/>
      <c r="E533" s="47"/>
      <c r="F533" s="69"/>
      <c r="G533" s="47"/>
      <c r="H533" s="195"/>
      <c r="I533" s="195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</row>
    <row r="534">
      <c r="A534" s="47"/>
      <c r="B534" s="204"/>
      <c r="C534" s="204"/>
      <c r="D534" s="47"/>
      <c r="E534" s="47"/>
      <c r="F534" s="69"/>
      <c r="G534" s="47"/>
      <c r="H534" s="195"/>
      <c r="I534" s="19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</row>
    <row r="535">
      <c r="A535" s="47"/>
      <c r="B535" s="204"/>
      <c r="C535" s="204"/>
      <c r="D535" s="47"/>
      <c r="E535" s="47"/>
      <c r="F535" s="69"/>
      <c r="G535" s="47"/>
      <c r="H535" s="195"/>
      <c r="I535" s="195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</row>
    <row r="536">
      <c r="A536" s="47"/>
      <c r="B536" s="204"/>
      <c r="C536" s="204"/>
      <c r="D536" s="47"/>
      <c r="E536" s="47"/>
      <c r="F536" s="69"/>
      <c r="G536" s="47"/>
      <c r="H536" s="195"/>
      <c r="I536" s="195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</row>
    <row r="537">
      <c r="A537" s="47"/>
      <c r="B537" s="204"/>
      <c r="C537" s="204"/>
      <c r="D537" s="47"/>
      <c r="E537" s="47"/>
      <c r="F537" s="69"/>
      <c r="G537" s="47"/>
      <c r="H537" s="195"/>
      <c r="I537" s="195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</row>
    <row r="538">
      <c r="A538" s="47"/>
      <c r="B538" s="204"/>
      <c r="C538" s="204"/>
      <c r="D538" s="47"/>
      <c r="E538" s="47"/>
      <c r="F538" s="69"/>
      <c r="G538" s="47"/>
      <c r="H538" s="195"/>
      <c r="I538" s="195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</row>
    <row r="539">
      <c r="A539" s="47"/>
      <c r="B539" s="204"/>
      <c r="C539" s="204"/>
      <c r="D539" s="47"/>
      <c r="E539" s="47"/>
      <c r="F539" s="69"/>
      <c r="G539" s="47"/>
      <c r="H539" s="195"/>
      <c r="I539" s="195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</row>
    <row r="540">
      <c r="A540" s="47"/>
      <c r="B540" s="204"/>
      <c r="C540" s="204"/>
      <c r="D540" s="47"/>
      <c r="E540" s="47"/>
      <c r="F540" s="69"/>
      <c r="G540" s="47"/>
      <c r="H540" s="195"/>
      <c r="I540" s="195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</row>
    <row r="541">
      <c r="A541" s="47"/>
      <c r="B541" s="204"/>
      <c r="C541" s="204"/>
      <c r="D541" s="47"/>
      <c r="E541" s="47"/>
      <c r="F541" s="69"/>
      <c r="G541" s="47"/>
      <c r="H541" s="195"/>
      <c r="I541" s="195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</row>
    <row r="542">
      <c r="A542" s="47"/>
      <c r="B542" s="204"/>
      <c r="C542" s="204"/>
      <c r="D542" s="47"/>
      <c r="E542" s="47"/>
      <c r="F542" s="69"/>
      <c r="G542" s="47"/>
      <c r="H542" s="195"/>
      <c r="I542" s="195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</row>
    <row r="543">
      <c r="A543" s="47"/>
      <c r="B543" s="204"/>
      <c r="C543" s="204"/>
      <c r="D543" s="47"/>
      <c r="E543" s="47"/>
      <c r="F543" s="69"/>
      <c r="G543" s="47"/>
      <c r="H543" s="195"/>
      <c r="I543" s="195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</row>
    <row r="544">
      <c r="A544" s="47"/>
      <c r="B544" s="204"/>
      <c r="C544" s="204"/>
      <c r="D544" s="47"/>
      <c r="E544" s="47"/>
      <c r="F544" s="69"/>
      <c r="G544" s="47"/>
      <c r="H544" s="195"/>
      <c r="I544" s="195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</row>
    <row r="545">
      <c r="A545" s="47"/>
      <c r="B545" s="204"/>
      <c r="C545" s="204"/>
      <c r="D545" s="47"/>
      <c r="E545" s="47"/>
      <c r="F545" s="69"/>
      <c r="G545" s="47"/>
      <c r="H545" s="195"/>
      <c r="I545" s="195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</row>
    <row r="546">
      <c r="A546" s="47"/>
      <c r="B546" s="204"/>
      <c r="C546" s="204"/>
      <c r="D546" s="47"/>
      <c r="E546" s="47"/>
      <c r="F546" s="69"/>
      <c r="G546" s="47"/>
      <c r="H546" s="195"/>
      <c r="I546" s="195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</row>
    <row r="547">
      <c r="A547" s="47"/>
      <c r="B547" s="204"/>
      <c r="C547" s="204"/>
      <c r="D547" s="47"/>
      <c r="E547" s="47"/>
      <c r="F547" s="69"/>
      <c r="G547" s="47"/>
      <c r="H547" s="195"/>
      <c r="I547" s="195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</row>
    <row r="548">
      <c r="A548" s="47"/>
      <c r="B548" s="204"/>
      <c r="C548" s="204"/>
      <c r="D548" s="47"/>
      <c r="E548" s="47"/>
      <c r="F548" s="69"/>
      <c r="G548" s="47"/>
      <c r="H548" s="195"/>
      <c r="I548" s="195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</row>
    <row r="549">
      <c r="A549" s="47"/>
      <c r="B549" s="204"/>
      <c r="C549" s="204"/>
      <c r="D549" s="47"/>
      <c r="E549" s="47"/>
      <c r="F549" s="69"/>
      <c r="G549" s="47"/>
      <c r="H549" s="195"/>
      <c r="I549" s="195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</row>
    <row r="550">
      <c r="A550" s="47"/>
      <c r="B550" s="204"/>
      <c r="C550" s="204"/>
      <c r="D550" s="47"/>
      <c r="E550" s="47"/>
      <c r="F550" s="69"/>
      <c r="G550" s="47"/>
      <c r="H550" s="195"/>
      <c r="I550" s="195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</row>
    <row r="551">
      <c r="A551" s="47"/>
      <c r="B551" s="204"/>
      <c r="C551" s="204"/>
      <c r="D551" s="47"/>
      <c r="E551" s="47"/>
      <c r="F551" s="69"/>
      <c r="G551" s="47"/>
      <c r="H551" s="195"/>
      <c r="I551" s="195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</row>
    <row r="552">
      <c r="A552" s="47"/>
      <c r="B552" s="204"/>
      <c r="C552" s="204"/>
      <c r="D552" s="47"/>
      <c r="E552" s="47"/>
      <c r="F552" s="69"/>
      <c r="G552" s="47"/>
      <c r="H552" s="195"/>
      <c r="I552" s="195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</row>
    <row r="553">
      <c r="A553" s="47"/>
      <c r="B553" s="204"/>
      <c r="C553" s="204"/>
      <c r="D553" s="47"/>
      <c r="E553" s="47"/>
      <c r="F553" s="69"/>
      <c r="G553" s="47"/>
      <c r="H553" s="195"/>
      <c r="I553" s="195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</row>
    <row r="554">
      <c r="A554" s="47"/>
      <c r="B554" s="204"/>
      <c r="C554" s="204"/>
      <c r="D554" s="47"/>
      <c r="E554" s="47"/>
      <c r="F554" s="69"/>
      <c r="G554" s="47"/>
      <c r="H554" s="195"/>
      <c r="I554" s="195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</row>
    <row r="555">
      <c r="A555" s="47"/>
      <c r="B555" s="204"/>
      <c r="C555" s="204"/>
      <c r="D555" s="47"/>
      <c r="E555" s="47"/>
      <c r="F555" s="69"/>
      <c r="G555" s="47"/>
      <c r="H555" s="195"/>
      <c r="I555" s="195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</row>
    <row r="556">
      <c r="A556" s="47"/>
      <c r="B556" s="204"/>
      <c r="C556" s="204"/>
      <c r="D556" s="47"/>
      <c r="E556" s="47"/>
      <c r="F556" s="69"/>
      <c r="G556" s="47"/>
      <c r="H556" s="195"/>
      <c r="I556" s="195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</row>
    <row r="557">
      <c r="A557" s="47"/>
      <c r="B557" s="204"/>
      <c r="C557" s="204"/>
      <c r="D557" s="47"/>
      <c r="E557" s="47"/>
      <c r="F557" s="69"/>
      <c r="G557" s="47"/>
      <c r="H557" s="195"/>
      <c r="I557" s="195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</row>
    <row r="558">
      <c r="A558" s="47"/>
      <c r="B558" s="204"/>
      <c r="C558" s="204"/>
      <c r="D558" s="47"/>
      <c r="E558" s="47"/>
      <c r="F558" s="69"/>
      <c r="G558" s="47"/>
      <c r="H558" s="195"/>
      <c r="I558" s="195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</row>
    <row r="559">
      <c r="A559" s="47"/>
      <c r="B559" s="204"/>
      <c r="C559" s="204"/>
      <c r="D559" s="47"/>
      <c r="E559" s="47"/>
      <c r="F559" s="69"/>
      <c r="G559" s="47"/>
      <c r="H559" s="195"/>
      <c r="I559" s="195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</row>
    <row r="560">
      <c r="A560" s="47"/>
      <c r="B560" s="204"/>
      <c r="C560" s="204"/>
      <c r="D560" s="47"/>
      <c r="E560" s="47"/>
      <c r="F560" s="69"/>
      <c r="G560" s="47"/>
      <c r="H560" s="195"/>
      <c r="I560" s="195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</row>
    <row r="561">
      <c r="A561" s="47"/>
      <c r="B561" s="204"/>
      <c r="C561" s="204"/>
      <c r="D561" s="47"/>
      <c r="E561" s="47"/>
      <c r="F561" s="69"/>
      <c r="G561" s="47"/>
      <c r="H561" s="195"/>
      <c r="I561" s="195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</row>
    <row r="562">
      <c r="A562" s="47"/>
      <c r="B562" s="204"/>
      <c r="C562" s="204"/>
      <c r="D562" s="47"/>
      <c r="E562" s="47"/>
      <c r="F562" s="69"/>
      <c r="G562" s="47"/>
      <c r="H562" s="195"/>
      <c r="I562" s="19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</row>
    <row r="563">
      <c r="A563" s="47"/>
      <c r="B563" s="204"/>
      <c r="C563" s="204"/>
      <c r="D563" s="47"/>
      <c r="E563" s="47"/>
      <c r="F563" s="69"/>
      <c r="G563" s="47"/>
      <c r="H563" s="195"/>
      <c r="I563" s="195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</row>
    <row r="564">
      <c r="A564" s="47"/>
      <c r="B564" s="204"/>
      <c r="C564" s="204"/>
      <c r="D564" s="47"/>
      <c r="E564" s="47"/>
      <c r="F564" s="69"/>
      <c r="G564" s="47"/>
      <c r="H564" s="195"/>
      <c r="I564" s="195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</row>
    <row r="565">
      <c r="A565" s="47"/>
      <c r="B565" s="204"/>
      <c r="C565" s="204"/>
      <c r="D565" s="47"/>
      <c r="E565" s="47"/>
      <c r="F565" s="69"/>
      <c r="G565" s="47"/>
      <c r="H565" s="195"/>
      <c r="I565" s="195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</row>
    <row r="566">
      <c r="A566" s="47"/>
      <c r="B566" s="204"/>
      <c r="C566" s="204"/>
      <c r="D566" s="47"/>
      <c r="E566" s="47"/>
      <c r="F566" s="69"/>
      <c r="G566" s="47"/>
      <c r="H566" s="195"/>
      <c r="I566" s="195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</row>
    <row r="567">
      <c r="A567" s="47"/>
      <c r="B567" s="204"/>
      <c r="C567" s="204"/>
      <c r="D567" s="47"/>
      <c r="E567" s="47"/>
      <c r="F567" s="69"/>
      <c r="G567" s="47"/>
      <c r="H567" s="195"/>
      <c r="I567" s="195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</row>
    <row r="568">
      <c r="A568" s="47"/>
      <c r="B568" s="204"/>
      <c r="C568" s="204"/>
      <c r="D568" s="47"/>
      <c r="E568" s="47"/>
      <c r="F568" s="69"/>
      <c r="G568" s="47"/>
      <c r="H568" s="195"/>
      <c r="I568" s="19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</row>
    <row r="569">
      <c r="A569" s="47"/>
      <c r="B569" s="204"/>
      <c r="C569" s="204"/>
      <c r="D569" s="47"/>
      <c r="E569" s="47"/>
      <c r="F569" s="69"/>
      <c r="G569" s="47"/>
      <c r="H569" s="195"/>
      <c r="I569" s="195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</row>
    <row r="570">
      <c r="A570" s="47"/>
      <c r="B570" s="204"/>
      <c r="C570" s="204"/>
      <c r="D570" s="47"/>
      <c r="E570" s="47"/>
      <c r="F570" s="69"/>
      <c r="G570" s="47"/>
      <c r="H570" s="195"/>
      <c r="I570" s="195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</row>
    <row r="571">
      <c r="A571" s="47"/>
      <c r="B571" s="204"/>
      <c r="C571" s="204"/>
      <c r="D571" s="47"/>
      <c r="E571" s="47"/>
      <c r="F571" s="69"/>
      <c r="G571" s="47"/>
      <c r="H571" s="195"/>
      <c r="I571" s="195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</row>
    <row r="572">
      <c r="A572" s="47"/>
      <c r="B572" s="204"/>
      <c r="C572" s="204"/>
      <c r="D572" s="47"/>
      <c r="E572" s="47"/>
      <c r="F572" s="69"/>
      <c r="G572" s="47"/>
      <c r="H572" s="195"/>
      <c r="I572" s="195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</row>
    <row r="573">
      <c r="A573" s="47"/>
      <c r="B573" s="204"/>
      <c r="C573" s="204"/>
      <c r="D573" s="47"/>
      <c r="E573" s="47"/>
      <c r="F573" s="69"/>
      <c r="G573" s="47"/>
      <c r="H573" s="195"/>
      <c r="I573" s="195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</row>
    <row r="574">
      <c r="A574" s="47"/>
      <c r="B574" s="204"/>
      <c r="C574" s="204"/>
      <c r="D574" s="47"/>
      <c r="E574" s="47"/>
      <c r="F574" s="69"/>
      <c r="G574" s="47"/>
      <c r="H574" s="195"/>
      <c r="I574" s="195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</row>
    <row r="575">
      <c r="A575" s="47"/>
      <c r="B575" s="204"/>
      <c r="C575" s="204"/>
      <c r="D575" s="47"/>
      <c r="E575" s="47"/>
      <c r="F575" s="69"/>
      <c r="G575" s="47"/>
      <c r="H575" s="195"/>
      <c r="I575" s="195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</row>
    <row r="576">
      <c r="A576" s="47"/>
      <c r="B576" s="204"/>
      <c r="C576" s="204"/>
      <c r="D576" s="47"/>
      <c r="E576" s="47"/>
      <c r="F576" s="69"/>
      <c r="G576" s="47"/>
      <c r="H576" s="195"/>
      <c r="I576" s="195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</row>
    <row r="577">
      <c r="A577" s="47"/>
      <c r="B577" s="204"/>
      <c r="C577" s="204"/>
      <c r="D577" s="47"/>
      <c r="E577" s="47"/>
      <c r="F577" s="69"/>
      <c r="G577" s="47"/>
      <c r="H577" s="195"/>
      <c r="I577" s="195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</row>
    <row r="578">
      <c r="A578" s="47"/>
      <c r="B578" s="204"/>
      <c r="C578" s="204"/>
      <c r="D578" s="47"/>
      <c r="E578" s="47"/>
      <c r="F578" s="69"/>
      <c r="G578" s="47"/>
      <c r="H578" s="195"/>
      <c r="I578" s="195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</row>
    <row r="579">
      <c r="A579" s="47"/>
      <c r="B579" s="204"/>
      <c r="C579" s="204"/>
      <c r="D579" s="47"/>
      <c r="E579" s="47"/>
      <c r="F579" s="69"/>
      <c r="G579" s="47"/>
      <c r="H579" s="195"/>
      <c r="I579" s="195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</row>
    <row r="580">
      <c r="A580" s="47"/>
      <c r="B580" s="204"/>
      <c r="C580" s="204"/>
      <c r="D580" s="47"/>
      <c r="E580" s="47"/>
      <c r="F580" s="69"/>
      <c r="G580" s="47"/>
      <c r="H580" s="195"/>
      <c r="I580" s="195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</row>
    <row r="581">
      <c r="A581" s="47"/>
      <c r="B581" s="204"/>
      <c r="C581" s="204"/>
      <c r="D581" s="47"/>
      <c r="E581" s="47"/>
      <c r="F581" s="69"/>
      <c r="G581" s="47"/>
      <c r="H581" s="195"/>
      <c r="I581" s="195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</row>
    <row r="582">
      <c r="A582" s="47"/>
      <c r="B582" s="204"/>
      <c r="C582" s="204"/>
      <c r="D582" s="47"/>
      <c r="E582" s="47"/>
      <c r="F582" s="69"/>
      <c r="G582" s="47"/>
      <c r="H582" s="195"/>
      <c r="I582" s="195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</row>
    <row r="583">
      <c r="A583" s="47"/>
      <c r="B583" s="204"/>
      <c r="C583" s="204"/>
      <c r="D583" s="47"/>
      <c r="E583" s="47"/>
      <c r="F583" s="69"/>
      <c r="G583" s="47"/>
      <c r="H583" s="195"/>
      <c r="I583" s="195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</row>
    <row r="584">
      <c r="A584" s="47"/>
      <c r="B584" s="204"/>
      <c r="C584" s="204"/>
      <c r="D584" s="47"/>
      <c r="E584" s="47"/>
      <c r="F584" s="69"/>
      <c r="G584" s="47"/>
      <c r="H584" s="195"/>
      <c r="I584" s="195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</row>
    <row r="585">
      <c r="A585" s="47"/>
      <c r="B585" s="204"/>
      <c r="C585" s="204"/>
      <c r="D585" s="47"/>
      <c r="E585" s="47"/>
      <c r="F585" s="69"/>
      <c r="G585" s="47"/>
      <c r="H585" s="195"/>
      <c r="I585" s="195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</row>
    <row r="586">
      <c r="A586" s="47"/>
      <c r="B586" s="204"/>
      <c r="C586" s="204"/>
      <c r="D586" s="47"/>
      <c r="E586" s="47"/>
      <c r="F586" s="69"/>
      <c r="G586" s="47"/>
      <c r="H586" s="195"/>
      <c r="I586" s="195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</row>
    <row r="587">
      <c r="A587" s="47"/>
      <c r="B587" s="204"/>
      <c r="C587" s="204"/>
      <c r="D587" s="47"/>
      <c r="E587" s="47"/>
      <c r="F587" s="69"/>
      <c r="G587" s="47"/>
      <c r="H587" s="195"/>
      <c r="I587" s="195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</row>
    <row r="588">
      <c r="A588" s="47"/>
      <c r="B588" s="204"/>
      <c r="C588" s="204"/>
      <c r="D588" s="47"/>
      <c r="E588" s="47"/>
      <c r="F588" s="69"/>
      <c r="G588" s="47"/>
      <c r="H588" s="195"/>
      <c r="I588" s="195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</row>
    <row r="589">
      <c r="A589" s="47"/>
      <c r="B589" s="204"/>
      <c r="C589" s="204"/>
      <c r="D589" s="47"/>
      <c r="E589" s="47"/>
      <c r="F589" s="69"/>
      <c r="G589" s="47"/>
      <c r="H589" s="195"/>
      <c r="I589" s="195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</row>
    <row r="590">
      <c r="A590" s="47"/>
      <c r="B590" s="204"/>
      <c r="C590" s="204"/>
      <c r="D590" s="47"/>
      <c r="E590" s="47"/>
      <c r="F590" s="69"/>
      <c r="G590" s="47"/>
      <c r="H590" s="195"/>
      <c r="I590" s="195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</row>
    <row r="591">
      <c r="A591" s="47"/>
      <c r="B591" s="204"/>
      <c r="C591" s="204"/>
      <c r="D591" s="47"/>
      <c r="E591" s="47"/>
      <c r="F591" s="69"/>
      <c r="G591" s="47"/>
      <c r="H591" s="195"/>
      <c r="I591" s="195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</row>
    <row r="592">
      <c r="A592" s="47"/>
      <c r="B592" s="204"/>
      <c r="C592" s="204"/>
      <c r="D592" s="47"/>
      <c r="E592" s="47"/>
      <c r="F592" s="69"/>
      <c r="G592" s="47"/>
      <c r="H592" s="195"/>
      <c r="I592" s="195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</row>
    <row r="593">
      <c r="A593" s="47"/>
      <c r="B593" s="204"/>
      <c r="C593" s="204"/>
      <c r="D593" s="47"/>
      <c r="E593" s="47"/>
      <c r="F593" s="69"/>
      <c r="G593" s="47"/>
      <c r="H593" s="195"/>
      <c r="I593" s="195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</row>
    <row r="594">
      <c r="A594" s="47"/>
      <c r="B594" s="204"/>
      <c r="C594" s="204"/>
      <c r="D594" s="47"/>
      <c r="E594" s="47"/>
      <c r="F594" s="69"/>
      <c r="G594" s="47"/>
      <c r="H594" s="195"/>
      <c r="I594" s="195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</row>
    <row r="595">
      <c r="A595" s="47"/>
      <c r="B595" s="204"/>
      <c r="C595" s="204"/>
      <c r="D595" s="47"/>
      <c r="E595" s="47"/>
      <c r="F595" s="69"/>
      <c r="G595" s="47"/>
      <c r="H595" s="195"/>
      <c r="I595" s="195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</row>
    <row r="596">
      <c r="A596" s="47"/>
      <c r="B596" s="204"/>
      <c r="C596" s="204"/>
      <c r="D596" s="47"/>
      <c r="E596" s="47"/>
      <c r="F596" s="69"/>
      <c r="G596" s="47"/>
      <c r="H596" s="195"/>
      <c r="I596" s="195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</row>
    <row r="597">
      <c r="A597" s="47"/>
      <c r="B597" s="204"/>
      <c r="C597" s="204"/>
      <c r="D597" s="47"/>
      <c r="E597" s="47"/>
      <c r="F597" s="69"/>
      <c r="G597" s="47"/>
      <c r="H597" s="195"/>
      <c r="I597" s="195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</row>
    <row r="598">
      <c r="A598" s="47"/>
      <c r="B598" s="204"/>
      <c r="C598" s="204"/>
      <c r="D598" s="47"/>
      <c r="E598" s="47"/>
      <c r="F598" s="69"/>
      <c r="G598" s="47"/>
      <c r="H598" s="195"/>
      <c r="I598" s="195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</row>
    <row r="599">
      <c r="A599" s="47"/>
      <c r="B599" s="204"/>
      <c r="C599" s="204"/>
      <c r="D599" s="47"/>
      <c r="E599" s="47"/>
      <c r="F599" s="69"/>
      <c r="G599" s="47"/>
      <c r="H599" s="195"/>
      <c r="I599" s="195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</row>
    <row r="600">
      <c r="A600" s="47"/>
      <c r="B600" s="204"/>
      <c r="C600" s="204"/>
      <c r="D600" s="47"/>
      <c r="E600" s="47"/>
      <c r="F600" s="69"/>
      <c r="G600" s="47"/>
      <c r="H600" s="195"/>
      <c r="I600" s="195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</row>
    <row r="601">
      <c r="A601" s="47"/>
      <c r="B601" s="204"/>
      <c r="C601" s="204"/>
      <c r="D601" s="47"/>
      <c r="E601" s="47"/>
      <c r="F601" s="69"/>
      <c r="G601" s="47"/>
      <c r="H601" s="195"/>
      <c r="I601" s="195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</row>
    <row r="602">
      <c r="A602" s="47"/>
      <c r="B602" s="204"/>
      <c r="C602" s="204"/>
      <c r="D602" s="47"/>
      <c r="E602" s="47"/>
      <c r="F602" s="69"/>
      <c r="G602" s="47"/>
      <c r="H602" s="195"/>
      <c r="I602" s="195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</row>
    <row r="603">
      <c r="A603" s="47"/>
      <c r="B603" s="204"/>
      <c r="C603" s="204"/>
      <c r="D603" s="47"/>
      <c r="E603" s="47"/>
      <c r="F603" s="69"/>
      <c r="G603" s="47"/>
      <c r="H603" s="195"/>
      <c r="I603" s="195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</row>
    <row r="604">
      <c r="A604" s="47"/>
      <c r="B604" s="204"/>
      <c r="C604" s="204"/>
      <c r="D604" s="47"/>
      <c r="E604" s="47"/>
      <c r="F604" s="69"/>
      <c r="G604" s="47"/>
      <c r="H604" s="195"/>
      <c r="I604" s="195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</row>
    <row r="605">
      <c r="A605" s="47"/>
      <c r="B605" s="204"/>
      <c r="C605" s="204"/>
      <c r="D605" s="47"/>
      <c r="E605" s="47"/>
      <c r="F605" s="69"/>
      <c r="G605" s="47"/>
      <c r="H605" s="195"/>
      <c r="I605" s="195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</row>
    <row r="606">
      <c r="A606" s="47"/>
      <c r="B606" s="204"/>
      <c r="C606" s="204"/>
      <c r="D606" s="47"/>
      <c r="E606" s="47"/>
      <c r="F606" s="69"/>
      <c r="G606" s="47"/>
      <c r="H606" s="195"/>
      <c r="I606" s="195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</row>
    <row r="607">
      <c r="A607" s="47"/>
      <c r="B607" s="204"/>
      <c r="C607" s="204"/>
      <c r="D607" s="47"/>
      <c r="E607" s="47"/>
      <c r="F607" s="69"/>
      <c r="G607" s="47"/>
      <c r="H607" s="195"/>
      <c r="I607" s="195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</row>
    <row r="608">
      <c r="A608" s="47"/>
      <c r="B608" s="204"/>
      <c r="C608" s="204"/>
      <c r="D608" s="47"/>
      <c r="E608" s="47"/>
      <c r="F608" s="69"/>
      <c r="G608" s="47"/>
      <c r="H608" s="195"/>
      <c r="I608" s="195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</row>
    <row r="609">
      <c r="A609" s="47"/>
      <c r="B609" s="204"/>
      <c r="C609" s="204"/>
      <c r="D609" s="47"/>
      <c r="E609" s="47"/>
      <c r="F609" s="69"/>
      <c r="G609" s="47"/>
      <c r="H609" s="195"/>
      <c r="I609" s="195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</row>
    <row r="610">
      <c r="A610" s="47"/>
      <c r="B610" s="204"/>
      <c r="C610" s="204"/>
      <c r="D610" s="47"/>
      <c r="E610" s="47"/>
      <c r="F610" s="69"/>
      <c r="G610" s="47"/>
      <c r="H610" s="195"/>
      <c r="I610" s="195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</row>
    <row r="611">
      <c r="A611" s="47"/>
      <c r="B611" s="204"/>
      <c r="C611" s="204"/>
      <c r="D611" s="47"/>
      <c r="E611" s="47"/>
      <c r="F611" s="69"/>
      <c r="G611" s="47"/>
      <c r="H611" s="195"/>
      <c r="I611" s="195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</row>
    <row r="612">
      <c r="A612" s="47"/>
      <c r="B612" s="204"/>
      <c r="C612" s="204"/>
      <c r="D612" s="47"/>
      <c r="E612" s="47"/>
      <c r="F612" s="69"/>
      <c r="G612" s="47"/>
      <c r="H612" s="195"/>
      <c r="I612" s="195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</row>
    <row r="613">
      <c r="A613" s="47"/>
      <c r="B613" s="204"/>
      <c r="C613" s="204"/>
      <c r="D613" s="47"/>
      <c r="E613" s="47"/>
      <c r="F613" s="69"/>
      <c r="G613" s="47"/>
      <c r="H613" s="195"/>
      <c r="I613" s="195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</row>
    <row r="614">
      <c r="A614" s="47"/>
      <c r="B614" s="204"/>
      <c r="C614" s="204"/>
      <c r="D614" s="47"/>
      <c r="E614" s="47"/>
      <c r="F614" s="69"/>
      <c r="G614" s="47"/>
      <c r="H614" s="195"/>
      <c r="I614" s="195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</row>
    <row r="615">
      <c r="A615" s="47"/>
      <c r="B615" s="204"/>
      <c r="C615" s="204"/>
      <c r="D615" s="47"/>
      <c r="E615" s="47"/>
      <c r="F615" s="69"/>
      <c r="G615" s="47"/>
      <c r="H615" s="195"/>
      <c r="I615" s="195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</row>
    <row r="616">
      <c r="A616" s="47"/>
      <c r="B616" s="204"/>
      <c r="C616" s="204"/>
      <c r="D616" s="47"/>
      <c r="E616" s="47"/>
      <c r="F616" s="69"/>
      <c r="G616" s="47"/>
      <c r="H616" s="195"/>
      <c r="I616" s="195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</row>
    <row r="617">
      <c r="A617" s="47"/>
      <c r="B617" s="204"/>
      <c r="C617" s="204"/>
      <c r="D617" s="47"/>
      <c r="E617" s="47"/>
      <c r="F617" s="69"/>
      <c r="G617" s="47"/>
      <c r="H617" s="195"/>
      <c r="I617" s="195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</row>
    <row r="618">
      <c r="A618" s="47"/>
      <c r="B618" s="204"/>
      <c r="C618" s="204"/>
      <c r="D618" s="47"/>
      <c r="E618" s="47"/>
      <c r="F618" s="69"/>
      <c r="G618" s="47"/>
      <c r="H618" s="195"/>
      <c r="I618" s="195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</row>
    <row r="619">
      <c r="A619" s="47"/>
      <c r="B619" s="204"/>
      <c r="C619" s="204"/>
      <c r="D619" s="47"/>
      <c r="E619" s="47"/>
      <c r="F619" s="69"/>
      <c r="G619" s="47"/>
      <c r="H619" s="195"/>
      <c r="I619" s="195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</row>
    <row r="620">
      <c r="A620" s="47"/>
      <c r="B620" s="204"/>
      <c r="C620" s="204"/>
      <c r="D620" s="47"/>
      <c r="E620" s="47"/>
      <c r="F620" s="69"/>
      <c r="G620" s="47"/>
      <c r="H620" s="195"/>
      <c r="I620" s="195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</row>
    <row r="621">
      <c r="A621" s="47"/>
      <c r="B621" s="204"/>
      <c r="C621" s="204"/>
      <c r="D621" s="47"/>
      <c r="E621" s="47"/>
      <c r="F621" s="69"/>
      <c r="G621" s="47"/>
      <c r="H621" s="195"/>
      <c r="I621" s="195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</row>
    <row r="622">
      <c r="A622" s="47"/>
      <c r="B622" s="204"/>
      <c r="C622" s="204"/>
      <c r="D622" s="47"/>
      <c r="E622" s="47"/>
      <c r="F622" s="69"/>
      <c r="G622" s="47"/>
      <c r="H622" s="195"/>
      <c r="I622" s="195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</row>
    <row r="623">
      <c r="A623" s="47"/>
      <c r="B623" s="204"/>
      <c r="C623" s="204"/>
      <c r="D623" s="47"/>
      <c r="E623" s="47"/>
      <c r="F623" s="69"/>
      <c r="G623" s="47"/>
      <c r="H623" s="195"/>
      <c r="I623" s="195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</row>
    <row r="624">
      <c r="A624" s="47"/>
      <c r="B624" s="204"/>
      <c r="C624" s="204"/>
      <c r="D624" s="47"/>
      <c r="E624" s="47"/>
      <c r="F624" s="69"/>
      <c r="G624" s="47"/>
      <c r="H624" s="195"/>
      <c r="I624" s="195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</row>
    <row r="625">
      <c r="A625" s="47"/>
      <c r="B625" s="204"/>
      <c r="C625" s="204"/>
      <c r="D625" s="47"/>
      <c r="E625" s="47"/>
      <c r="F625" s="69"/>
      <c r="G625" s="47"/>
      <c r="H625" s="195"/>
      <c r="I625" s="195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</row>
    <row r="626">
      <c r="A626" s="47"/>
      <c r="B626" s="204"/>
      <c r="C626" s="204"/>
      <c r="D626" s="47"/>
      <c r="E626" s="47"/>
      <c r="F626" s="69"/>
      <c r="G626" s="47"/>
      <c r="H626" s="195"/>
      <c r="I626" s="195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</row>
    <row r="627">
      <c r="A627" s="47"/>
      <c r="B627" s="204"/>
      <c r="C627" s="204"/>
      <c r="D627" s="47"/>
      <c r="E627" s="47"/>
      <c r="F627" s="69"/>
      <c r="G627" s="47"/>
      <c r="H627" s="195"/>
      <c r="I627" s="195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</row>
    <row r="628">
      <c r="A628" s="47"/>
      <c r="B628" s="204"/>
      <c r="C628" s="204"/>
      <c r="D628" s="47"/>
      <c r="E628" s="47"/>
      <c r="F628" s="69"/>
      <c r="G628" s="47"/>
      <c r="H628" s="195"/>
      <c r="I628" s="195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</row>
    <row r="629">
      <c r="A629" s="47"/>
      <c r="B629" s="204"/>
      <c r="C629" s="204"/>
      <c r="D629" s="47"/>
      <c r="E629" s="47"/>
      <c r="F629" s="69"/>
      <c r="G629" s="47"/>
      <c r="H629" s="195"/>
      <c r="I629" s="195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</row>
    <row r="630">
      <c r="A630" s="47"/>
      <c r="B630" s="204"/>
      <c r="C630" s="204"/>
      <c r="D630" s="47"/>
      <c r="E630" s="47"/>
      <c r="F630" s="69"/>
      <c r="G630" s="47"/>
      <c r="H630" s="195"/>
      <c r="I630" s="195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</row>
    <row r="631">
      <c r="A631" s="47"/>
      <c r="B631" s="204"/>
      <c r="C631" s="204"/>
      <c r="D631" s="47"/>
      <c r="E631" s="47"/>
      <c r="F631" s="69"/>
      <c r="G631" s="47"/>
      <c r="H631" s="195"/>
      <c r="I631" s="195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</row>
    <row r="632">
      <c r="A632" s="47"/>
      <c r="B632" s="204"/>
      <c r="C632" s="204"/>
      <c r="D632" s="47"/>
      <c r="E632" s="47"/>
      <c r="F632" s="69"/>
      <c r="G632" s="47"/>
      <c r="H632" s="195"/>
      <c r="I632" s="195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</row>
    <row r="633">
      <c r="A633" s="47"/>
      <c r="B633" s="204"/>
      <c r="C633" s="204"/>
      <c r="D633" s="47"/>
      <c r="E633" s="47"/>
      <c r="F633" s="69"/>
      <c r="G633" s="47"/>
      <c r="H633" s="195"/>
      <c r="I633" s="195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</row>
    <row r="634">
      <c r="A634" s="47"/>
      <c r="B634" s="204"/>
      <c r="C634" s="204"/>
      <c r="D634" s="47"/>
      <c r="E634" s="47"/>
      <c r="F634" s="69"/>
      <c r="G634" s="47"/>
      <c r="H634" s="195"/>
      <c r="I634" s="195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</row>
    <row r="635">
      <c r="A635" s="47"/>
      <c r="B635" s="204"/>
      <c r="C635" s="204"/>
      <c r="D635" s="47"/>
      <c r="E635" s="47"/>
      <c r="F635" s="69"/>
      <c r="G635" s="47"/>
      <c r="H635" s="195"/>
      <c r="I635" s="195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</row>
    <row r="636">
      <c r="A636" s="47"/>
      <c r="B636" s="204"/>
      <c r="C636" s="204"/>
      <c r="D636" s="47"/>
      <c r="E636" s="47"/>
      <c r="F636" s="69"/>
      <c r="G636" s="47"/>
      <c r="H636" s="195"/>
      <c r="I636" s="195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</row>
    <row r="637">
      <c r="A637" s="47"/>
      <c r="B637" s="204"/>
      <c r="C637" s="204"/>
      <c r="D637" s="47"/>
      <c r="E637" s="47"/>
      <c r="F637" s="69"/>
      <c r="G637" s="47"/>
      <c r="H637" s="195"/>
      <c r="I637" s="195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</row>
    <row r="638">
      <c r="A638" s="47"/>
      <c r="B638" s="204"/>
      <c r="C638" s="204"/>
      <c r="D638" s="47"/>
      <c r="E638" s="47"/>
      <c r="F638" s="69"/>
      <c r="G638" s="47"/>
      <c r="H638" s="195"/>
      <c r="I638" s="195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</row>
    <row r="639">
      <c r="A639" s="47"/>
      <c r="B639" s="204"/>
      <c r="C639" s="204"/>
      <c r="D639" s="47"/>
      <c r="E639" s="47"/>
      <c r="F639" s="69"/>
      <c r="G639" s="47"/>
      <c r="H639" s="195"/>
      <c r="I639" s="195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</row>
    <row r="640">
      <c r="A640" s="47"/>
      <c r="B640" s="204"/>
      <c r="C640" s="204"/>
      <c r="D640" s="47"/>
      <c r="E640" s="47"/>
      <c r="F640" s="69"/>
      <c r="G640" s="47"/>
      <c r="H640" s="195"/>
      <c r="I640" s="195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</row>
    <row r="641">
      <c r="A641" s="47"/>
      <c r="B641" s="204"/>
      <c r="C641" s="204"/>
      <c r="D641" s="47"/>
      <c r="E641" s="47"/>
      <c r="F641" s="69"/>
      <c r="G641" s="47"/>
      <c r="H641" s="195"/>
      <c r="I641" s="195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</row>
    <row r="642">
      <c r="A642" s="47"/>
      <c r="B642" s="204"/>
      <c r="C642" s="204"/>
      <c r="D642" s="47"/>
      <c r="E642" s="47"/>
      <c r="F642" s="69"/>
      <c r="G642" s="47"/>
      <c r="H642" s="195"/>
      <c r="I642" s="195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</row>
    <row r="643">
      <c r="A643" s="47"/>
      <c r="B643" s="204"/>
      <c r="C643" s="204"/>
      <c r="D643" s="47"/>
      <c r="E643" s="47"/>
      <c r="F643" s="69"/>
      <c r="G643" s="47"/>
      <c r="H643" s="195"/>
      <c r="I643" s="195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</row>
    <row r="644">
      <c r="A644" s="47"/>
      <c r="B644" s="204"/>
      <c r="C644" s="204"/>
      <c r="D644" s="47"/>
      <c r="E644" s="47"/>
      <c r="F644" s="69"/>
      <c r="G644" s="47"/>
      <c r="H644" s="195"/>
      <c r="I644" s="195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</row>
    <row r="645">
      <c r="A645" s="47"/>
      <c r="B645" s="204"/>
      <c r="C645" s="204"/>
      <c r="D645" s="47"/>
      <c r="E645" s="47"/>
      <c r="F645" s="69"/>
      <c r="G645" s="47"/>
      <c r="H645" s="195"/>
      <c r="I645" s="195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</row>
    <row r="646">
      <c r="A646" s="47"/>
      <c r="B646" s="204"/>
      <c r="C646" s="204"/>
      <c r="D646" s="47"/>
      <c r="E646" s="47"/>
      <c r="F646" s="69"/>
      <c r="G646" s="47"/>
      <c r="H646" s="195"/>
      <c r="I646" s="195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</row>
    <row r="647">
      <c r="A647" s="47"/>
      <c r="B647" s="204"/>
      <c r="C647" s="204"/>
      <c r="D647" s="47"/>
      <c r="E647" s="47"/>
      <c r="F647" s="69"/>
      <c r="G647" s="47"/>
      <c r="H647" s="195"/>
      <c r="I647" s="195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</row>
    <row r="648">
      <c r="A648" s="47"/>
      <c r="B648" s="204"/>
      <c r="C648" s="204"/>
      <c r="D648" s="47"/>
      <c r="E648" s="47"/>
      <c r="F648" s="69"/>
      <c r="G648" s="47"/>
      <c r="H648" s="195"/>
      <c r="I648" s="195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</row>
    <row r="649">
      <c r="A649" s="47"/>
      <c r="B649" s="204"/>
      <c r="C649" s="204"/>
      <c r="D649" s="47"/>
      <c r="E649" s="47"/>
      <c r="F649" s="69"/>
      <c r="G649" s="47"/>
      <c r="H649" s="195"/>
      <c r="I649" s="195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</row>
    <row r="650">
      <c r="A650" s="47"/>
      <c r="B650" s="204"/>
      <c r="C650" s="204"/>
      <c r="D650" s="47"/>
      <c r="E650" s="47"/>
      <c r="F650" s="69"/>
      <c r="G650" s="47"/>
      <c r="H650" s="195"/>
      <c r="I650" s="195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</row>
    <row r="651">
      <c r="A651" s="47"/>
      <c r="B651" s="204"/>
      <c r="C651" s="204"/>
      <c r="D651" s="47"/>
      <c r="E651" s="47"/>
      <c r="F651" s="69"/>
      <c r="G651" s="47"/>
      <c r="H651" s="195"/>
      <c r="I651" s="195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</row>
    <row r="652">
      <c r="A652" s="47"/>
      <c r="B652" s="204"/>
      <c r="C652" s="204"/>
      <c r="D652" s="47"/>
      <c r="E652" s="47"/>
      <c r="F652" s="69"/>
      <c r="G652" s="47"/>
      <c r="H652" s="195"/>
      <c r="I652" s="195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</row>
    <row r="653">
      <c r="A653" s="47"/>
      <c r="B653" s="204"/>
      <c r="C653" s="204"/>
      <c r="D653" s="47"/>
      <c r="E653" s="47"/>
      <c r="F653" s="69"/>
      <c r="G653" s="47"/>
      <c r="H653" s="195"/>
      <c r="I653" s="195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</row>
    <row r="654">
      <c r="A654" s="47"/>
      <c r="B654" s="204"/>
      <c r="C654" s="204"/>
      <c r="D654" s="47"/>
      <c r="E654" s="47"/>
      <c r="F654" s="69"/>
      <c r="G654" s="47"/>
      <c r="H654" s="195"/>
      <c r="I654" s="195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</row>
    <row r="655">
      <c r="A655" s="47"/>
      <c r="B655" s="204"/>
      <c r="C655" s="204"/>
      <c r="D655" s="47"/>
      <c r="E655" s="47"/>
      <c r="F655" s="69"/>
      <c r="G655" s="47"/>
      <c r="H655" s="195"/>
      <c r="I655" s="195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</row>
    <row r="656">
      <c r="A656" s="47"/>
      <c r="B656" s="204"/>
      <c r="C656" s="204"/>
      <c r="D656" s="47"/>
      <c r="E656" s="47"/>
      <c r="F656" s="69"/>
      <c r="G656" s="47"/>
      <c r="H656" s="195"/>
      <c r="I656" s="195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</row>
    <row r="657">
      <c r="A657" s="47"/>
      <c r="B657" s="204"/>
      <c r="C657" s="204"/>
      <c r="D657" s="47"/>
      <c r="E657" s="47"/>
      <c r="F657" s="69"/>
      <c r="G657" s="47"/>
      <c r="H657" s="195"/>
      <c r="I657" s="195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</row>
    <row r="658">
      <c r="A658" s="47"/>
      <c r="B658" s="204"/>
      <c r="C658" s="204"/>
      <c r="D658" s="47"/>
      <c r="E658" s="47"/>
      <c r="F658" s="69"/>
      <c r="G658" s="47"/>
      <c r="H658" s="195"/>
      <c r="I658" s="195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</row>
    <row r="659">
      <c r="A659" s="47"/>
      <c r="B659" s="204"/>
      <c r="C659" s="204"/>
      <c r="D659" s="47"/>
      <c r="E659" s="47"/>
      <c r="F659" s="69"/>
      <c r="G659" s="47"/>
      <c r="H659" s="195"/>
      <c r="I659" s="195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</row>
    <row r="660">
      <c r="A660" s="47"/>
      <c r="B660" s="204"/>
      <c r="C660" s="204"/>
      <c r="D660" s="47"/>
      <c r="E660" s="47"/>
      <c r="F660" s="69"/>
      <c r="G660" s="47"/>
      <c r="H660" s="195"/>
      <c r="I660" s="195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</row>
    <row r="661">
      <c r="A661" s="47"/>
      <c r="B661" s="204"/>
      <c r="C661" s="204"/>
      <c r="D661" s="47"/>
      <c r="E661" s="47"/>
      <c r="F661" s="69"/>
      <c r="G661" s="47"/>
      <c r="H661" s="195"/>
      <c r="I661" s="195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</row>
    <row r="662">
      <c r="A662" s="47"/>
      <c r="B662" s="204"/>
      <c r="C662" s="204"/>
      <c r="D662" s="47"/>
      <c r="E662" s="47"/>
      <c r="F662" s="69"/>
      <c r="G662" s="47"/>
      <c r="H662" s="195"/>
      <c r="I662" s="195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</row>
    <row r="663">
      <c r="A663" s="47"/>
      <c r="B663" s="204"/>
      <c r="C663" s="204"/>
      <c r="D663" s="47"/>
      <c r="E663" s="47"/>
      <c r="F663" s="69"/>
      <c r="G663" s="47"/>
      <c r="H663" s="195"/>
      <c r="I663" s="195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</row>
    <row r="664">
      <c r="A664" s="47"/>
      <c r="B664" s="204"/>
      <c r="C664" s="204"/>
      <c r="D664" s="47"/>
      <c r="E664" s="47"/>
      <c r="F664" s="69"/>
      <c r="G664" s="47"/>
      <c r="H664" s="195"/>
      <c r="I664" s="195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</row>
    <row r="665">
      <c r="A665" s="47"/>
      <c r="B665" s="204"/>
      <c r="C665" s="204"/>
      <c r="D665" s="47"/>
      <c r="E665" s="47"/>
      <c r="F665" s="69"/>
      <c r="G665" s="47"/>
      <c r="H665" s="195"/>
      <c r="I665" s="195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</row>
    <row r="666">
      <c r="A666" s="47"/>
      <c r="B666" s="204"/>
      <c r="C666" s="204"/>
      <c r="D666" s="47"/>
      <c r="E666" s="47"/>
      <c r="F666" s="69"/>
      <c r="G666" s="47"/>
      <c r="H666" s="195"/>
      <c r="I666" s="195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</row>
    <row r="667">
      <c r="A667" s="47"/>
      <c r="B667" s="204"/>
      <c r="C667" s="204"/>
      <c r="D667" s="47"/>
      <c r="E667" s="47"/>
      <c r="F667" s="69"/>
      <c r="G667" s="47"/>
      <c r="H667" s="195"/>
      <c r="I667" s="195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</row>
    <row r="668">
      <c r="A668" s="47"/>
      <c r="B668" s="204"/>
      <c r="C668" s="204"/>
      <c r="D668" s="47"/>
      <c r="E668" s="47"/>
      <c r="F668" s="69"/>
      <c r="G668" s="47"/>
      <c r="H668" s="195"/>
      <c r="I668" s="195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</row>
    <row r="669">
      <c r="A669" s="47"/>
      <c r="B669" s="204"/>
      <c r="C669" s="204"/>
      <c r="D669" s="47"/>
      <c r="E669" s="47"/>
      <c r="F669" s="69"/>
      <c r="G669" s="47"/>
      <c r="H669" s="195"/>
      <c r="I669" s="195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</row>
    <row r="670">
      <c r="A670" s="47"/>
      <c r="B670" s="204"/>
      <c r="C670" s="204"/>
      <c r="D670" s="47"/>
      <c r="E670" s="47"/>
      <c r="F670" s="69"/>
      <c r="G670" s="47"/>
      <c r="H670" s="195"/>
      <c r="I670" s="195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</row>
    <row r="671">
      <c r="A671" s="47"/>
      <c r="B671" s="204"/>
      <c r="C671" s="204"/>
      <c r="D671" s="47"/>
      <c r="E671" s="47"/>
      <c r="F671" s="69"/>
      <c r="G671" s="47"/>
      <c r="H671" s="195"/>
      <c r="I671" s="195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</row>
    <row r="672">
      <c r="A672" s="47"/>
      <c r="B672" s="204"/>
      <c r="C672" s="204"/>
      <c r="D672" s="47"/>
      <c r="E672" s="47"/>
      <c r="F672" s="69"/>
      <c r="G672" s="47"/>
      <c r="H672" s="195"/>
      <c r="I672" s="195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</row>
    <row r="673">
      <c r="A673" s="47"/>
      <c r="B673" s="204"/>
      <c r="C673" s="204"/>
      <c r="D673" s="47"/>
      <c r="E673" s="47"/>
      <c r="F673" s="69"/>
      <c r="G673" s="47"/>
      <c r="H673" s="195"/>
      <c r="I673" s="195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</row>
    <row r="674">
      <c r="A674" s="47"/>
      <c r="B674" s="204"/>
      <c r="C674" s="204"/>
      <c r="D674" s="47"/>
      <c r="E674" s="47"/>
      <c r="F674" s="69"/>
      <c r="G674" s="47"/>
      <c r="H674" s="195"/>
      <c r="I674" s="195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</row>
    <row r="675">
      <c r="A675" s="47"/>
      <c r="B675" s="204"/>
      <c r="C675" s="204"/>
      <c r="D675" s="47"/>
      <c r="E675" s="47"/>
      <c r="F675" s="69"/>
      <c r="G675" s="47"/>
      <c r="H675" s="195"/>
      <c r="I675" s="195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</row>
    <row r="676">
      <c r="A676" s="47"/>
      <c r="B676" s="204"/>
      <c r="C676" s="204"/>
      <c r="D676" s="47"/>
      <c r="E676" s="47"/>
      <c r="F676" s="69"/>
      <c r="G676" s="47"/>
      <c r="H676" s="195"/>
      <c r="I676" s="195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</row>
    <row r="677">
      <c r="A677" s="47"/>
      <c r="B677" s="204"/>
      <c r="C677" s="204"/>
      <c r="D677" s="47"/>
      <c r="E677" s="47"/>
      <c r="F677" s="69"/>
      <c r="G677" s="47"/>
      <c r="H677" s="195"/>
      <c r="I677" s="195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</row>
    <row r="678">
      <c r="A678" s="47"/>
      <c r="B678" s="204"/>
      <c r="C678" s="204"/>
      <c r="D678" s="47"/>
      <c r="E678" s="47"/>
      <c r="F678" s="69"/>
      <c r="G678" s="47"/>
      <c r="H678" s="195"/>
      <c r="I678" s="195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</row>
    <row r="679">
      <c r="A679" s="47"/>
      <c r="B679" s="204"/>
      <c r="C679" s="204"/>
      <c r="D679" s="47"/>
      <c r="E679" s="47"/>
      <c r="F679" s="69"/>
      <c r="G679" s="47"/>
      <c r="H679" s="195"/>
      <c r="I679" s="195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</row>
    <row r="680">
      <c r="A680" s="47"/>
      <c r="B680" s="204"/>
      <c r="C680" s="204"/>
      <c r="D680" s="47"/>
      <c r="E680" s="47"/>
      <c r="F680" s="69"/>
      <c r="G680" s="47"/>
      <c r="H680" s="195"/>
      <c r="I680" s="195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</row>
    <row r="681">
      <c r="A681" s="47"/>
      <c r="B681" s="204"/>
      <c r="C681" s="204"/>
      <c r="D681" s="47"/>
      <c r="E681" s="47"/>
      <c r="F681" s="69"/>
      <c r="G681" s="47"/>
      <c r="H681" s="195"/>
      <c r="I681" s="195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</row>
    <row r="682">
      <c r="A682" s="47"/>
      <c r="B682" s="204"/>
      <c r="C682" s="204"/>
      <c r="D682" s="47"/>
      <c r="E682" s="47"/>
      <c r="F682" s="69"/>
      <c r="G682" s="47"/>
      <c r="H682" s="195"/>
      <c r="I682" s="195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</row>
    <row r="683">
      <c r="A683" s="47"/>
      <c r="B683" s="204"/>
      <c r="C683" s="204"/>
      <c r="D683" s="47"/>
      <c r="E683" s="47"/>
      <c r="F683" s="69"/>
      <c r="G683" s="47"/>
      <c r="H683" s="195"/>
      <c r="I683" s="195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</row>
    <row r="684">
      <c r="A684" s="47"/>
      <c r="B684" s="204"/>
      <c r="C684" s="204"/>
      <c r="D684" s="47"/>
      <c r="E684" s="47"/>
      <c r="F684" s="69"/>
      <c r="G684" s="47"/>
      <c r="H684" s="195"/>
      <c r="I684" s="195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</row>
    <row r="685">
      <c r="A685" s="47"/>
      <c r="B685" s="204"/>
      <c r="C685" s="204"/>
      <c r="D685" s="47"/>
      <c r="E685" s="47"/>
      <c r="F685" s="69"/>
      <c r="G685" s="47"/>
      <c r="H685" s="195"/>
      <c r="I685" s="195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</row>
    <row r="686">
      <c r="A686" s="47"/>
      <c r="B686" s="204"/>
      <c r="C686" s="204"/>
      <c r="D686" s="47"/>
      <c r="E686" s="47"/>
      <c r="F686" s="69"/>
      <c r="G686" s="47"/>
      <c r="H686" s="195"/>
      <c r="I686" s="195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</row>
    <row r="687">
      <c r="A687" s="47"/>
      <c r="B687" s="204"/>
      <c r="C687" s="204"/>
      <c r="D687" s="47"/>
      <c r="E687" s="47"/>
      <c r="F687" s="69"/>
      <c r="G687" s="47"/>
      <c r="H687" s="195"/>
      <c r="I687" s="195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</row>
    <row r="688">
      <c r="A688" s="47"/>
      <c r="B688" s="204"/>
      <c r="C688" s="204"/>
      <c r="D688" s="47"/>
      <c r="E688" s="47"/>
      <c r="F688" s="69"/>
      <c r="G688" s="47"/>
      <c r="H688" s="195"/>
      <c r="I688" s="195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</row>
    <row r="689">
      <c r="A689" s="47"/>
      <c r="B689" s="204"/>
      <c r="C689" s="204"/>
      <c r="D689" s="47"/>
      <c r="E689" s="47"/>
      <c r="F689" s="69"/>
      <c r="G689" s="47"/>
      <c r="H689" s="195"/>
      <c r="I689" s="195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</row>
    <row r="690">
      <c r="A690" s="47"/>
      <c r="B690" s="204"/>
      <c r="C690" s="204"/>
      <c r="D690" s="47"/>
      <c r="E690" s="47"/>
      <c r="F690" s="69"/>
      <c r="G690" s="47"/>
      <c r="H690" s="195"/>
      <c r="I690" s="195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</row>
    <row r="691">
      <c r="A691" s="47"/>
      <c r="B691" s="204"/>
      <c r="C691" s="204"/>
      <c r="D691" s="47"/>
      <c r="E691" s="47"/>
      <c r="F691" s="69"/>
      <c r="G691" s="47"/>
      <c r="H691" s="195"/>
      <c r="I691" s="195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</row>
    <row r="692">
      <c r="A692" s="47"/>
      <c r="B692" s="204"/>
      <c r="C692" s="204"/>
      <c r="D692" s="47"/>
      <c r="E692" s="47"/>
      <c r="F692" s="69"/>
      <c r="G692" s="47"/>
      <c r="H692" s="195"/>
      <c r="I692" s="195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</row>
    <row r="693">
      <c r="A693" s="47"/>
      <c r="B693" s="204"/>
      <c r="C693" s="204"/>
      <c r="D693" s="47"/>
      <c r="E693" s="47"/>
      <c r="F693" s="69"/>
      <c r="G693" s="47"/>
      <c r="H693" s="195"/>
      <c r="I693" s="195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</row>
    <row r="694">
      <c r="A694" s="47"/>
      <c r="B694" s="204"/>
      <c r="C694" s="204"/>
      <c r="D694" s="47"/>
      <c r="E694" s="47"/>
      <c r="F694" s="69"/>
      <c r="G694" s="47"/>
      <c r="H694" s="195"/>
      <c r="I694" s="195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</row>
    <row r="695">
      <c r="A695" s="47"/>
      <c r="B695" s="204"/>
      <c r="C695" s="204"/>
      <c r="D695" s="47"/>
      <c r="E695" s="47"/>
      <c r="F695" s="69"/>
      <c r="G695" s="47"/>
      <c r="H695" s="195"/>
      <c r="I695" s="195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</row>
    <row r="696">
      <c r="A696" s="47"/>
      <c r="B696" s="204"/>
      <c r="C696" s="204"/>
      <c r="D696" s="47"/>
      <c r="E696" s="47"/>
      <c r="F696" s="69"/>
      <c r="G696" s="47"/>
      <c r="H696" s="195"/>
      <c r="I696" s="195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</row>
    <row r="697">
      <c r="A697" s="47"/>
      <c r="B697" s="204"/>
      <c r="C697" s="204"/>
      <c r="D697" s="47"/>
      <c r="E697" s="47"/>
      <c r="F697" s="69"/>
      <c r="G697" s="47"/>
      <c r="H697" s="195"/>
      <c r="I697" s="195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</row>
    <row r="698">
      <c r="A698" s="47"/>
      <c r="B698" s="204"/>
      <c r="C698" s="204"/>
      <c r="D698" s="47"/>
      <c r="E698" s="47"/>
      <c r="F698" s="69"/>
      <c r="G698" s="47"/>
      <c r="H698" s="195"/>
      <c r="I698" s="195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</row>
    <row r="699">
      <c r="A699" s="47"/>
      <c r="B699" s="204"/>
      <c r="C699" s="204"/>
      <c r="D699" s="47"/>
      <c r="E699" s="47"/>
      <c r="F699" s="69"/>
      <c r="G699" s="47"/>
      <c r="H699" s="195"/>
      <c r="I699" s="195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</row>
    <row r="700">
      <c r="A700" s="47"/>
      <c r="B700" s="204"/>
      <c r="C700" s="204"/>
      <c r="D700" s="47"/>
      <c r="E700" s="47"/>
      <c r="F700" s="69"/>
      <c r="G700" s="47"/>
      <c r="H700" s="195"/>
      <c r="I700" s="195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</row>
    <row r="701">
      <c r="A701" s="47"/>
      <c r="B701" s="204"/>
      <c r="C701" s="204"/>
      <c r="D701" s="47"/>
      <c r="E701" s="47"/>
      <c r="F701" s="69"/>
      <c r="G701" s="47"/>
      <c r="H701" s="195"/>
      <c r="I701" s="195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</row>
    <row r="702">
      <c r="A702" s="47"/>
      <c r="B702" s="204"/>
      <c r="C702" s="204"/>
      <c r="D702" s="47"/>
      <c r="E702" s="47"/>
      <c r="F702" s="69"/>
      <c r="G702" s="47"/>
      <c r="H702" s="195"/>
      <c r="I702" s="195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</row>
    <row r="703">
      <c r="A703" s="47"/>
      <c r="B703" s="204"/>
      <c r="C703" s="204"/>
      <c r="D703" s="47"/>
      <c r="E703" s="47"/>
      <c r="F703" s="69"/>
      <c r="G703" s="47"/>
      <c r="H703" s="195"/>
      <c r="I703" s="195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</row>
    <row r="704">
      <c r="A704" s="47"/>
      <c r="B704" s="204"/>
      <c r="C704" s="204"/>
      <c r="D704" s="47"/>
      <c r="E704" s="47"/>
      <c r="F704" s="69"/>
      <c r="G704" s="47"/>
      <c r="H704" s="195"/>
      <c r="I704" s="195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</row>
    <row r="705">
      <c r="A705" s="47"/>
      <c r="B705" s="204"/>
      <c r="C705" s="204"/>
      <c r="D705" s="47"/>
      <c r="E705" s="47"/>
      <c r="F705" s="69"/>
      <c r="G705" s="47"/>
      <c r="H705" s="195"/>
      <c r="I705" s="195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</row>
    <row r="706">
      <c r="A706" s="47"/>
      <c r="B706" s="204"/>
      <c r="C706" s="204"/>
      <c r="D706" s="47"/>
      <c r="E706" s="47"/>
      <c r="F706" s="69"/>
      <c r="G706" s="47"/>
      <c r="H706" s="195"/>
      <c r="I706" s="195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</row>
    <row r="707">
      <c r="A707" s="47"/>
      <c r="B707" s="204"/>
      <c r="C707" s="204"/>
      <c r="D707" s="47"/>
      <c r="E707" s="47"/>
      <c r="F707" s="69"/>
      <c r="G707" s="47"/>
      <c r="H707" s="195"/>
      <c r="I707" s="195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</row>
    <row r="708">
      <c r="A708" s="47"/>
      <c r="B708" s="204"/>
      <c r="C708" s="204"/>
      <c r="D708" s="47"/>
      <c r="E708" s="47"/>
      <c r="F708" s="69"/>
      <c r="G708" s="47"/>
      <c r="H708" s="195"/>
      <c r="I708" s="195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</row>
    <row r="709">
      <c r="A709" s="47"/>
      <c r="B709" s="204"/>
      <c r="C709" s="204"/>
      <c r="D709" s="47"/>
      <c r="E709" s="47"/>
      <c r="F709" s="69"/>
      <c r="G709" s="47"/>
      <c r="H709" s="195"/>
      <c r="I709" s="195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</row>
    <row r="710">
      <c r="A710" s="47"/>
      <c r="B710" s="204"/>
      <c r="C710" s="204"/>
      <c r="D710" s="47"/>
      <c r="E710" s="47"/>
      <c r="F710" s="69"/>
      <c r="G710" s="47"/>
      <c r="H710" s="195"/>
      <c r="I710" s="195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</row>
    <row r="711">
      <c r="A711" s="47"/>
      <c r="B711" s="204"/>
      <c r="C711" s="204"/>
      <c r="D711" s="47"/>
      <c r="E711" s="47"/>
      <c r="F711" s="69"/>
      <c r="G711" s="47"/>
      <c r="H711" s="195"/>
      <c r="I711" s="195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</row>
    <row r="712">
      <c r="A712" s="47"/>
      <c r="B712" s="204"/>
      <c r="C712" s="204"/>
      <c r="D712" s="47"/>
      <c r="E712" s="47"/>
      <c r="F712" s="69"/>
      <c r="G712" s="47"/>
      <c r="H712" s="195"/>
      <c r="I712" s="195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</row>
    <row r="713">
      <c r="A713" s="47"/>
      <c r="B713" s="204"/>
      <c r="C713" s="204"/>
      <c r="D713" s="47"/>
      <c r="E713" s="47"/>
      <c r="F713" s="69"/>
      <c r="G713" s="47"/>
      <c r="H713" s="195"/>
      <c r="I713" s="195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</row>
    <row r="714">
      <c r="A714" s="47"/>
      <c r="B714" s="204"/>
      <c r="C714" s="204"/>
      <c r="D714" s="47"/>
      <c r="E714" s="47"/>
      <c r="F714" s="69"/>
      <c r="G714" s="47"/>
      <c r="H714" s="195"/>
      <c r="I714" s="195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</row>
    <row r="715">
      <c r="A715" s="47"/>
      <c r="B715" s="204"/>
      <c r="C715" s="204"/>
      <c r="D715" s="47"/>
      <c r="E715" s="47"/>
      <c r="F715" s="69"/>
      <c r="G715" s="47"/>
      <c r="H715" s="195"/>
      <c r="I715" s="195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</row>
    <row r="716">
      <c r="A716" s="47"/>
      <c r="B716" s="204"/>
      <c r="C716" s="204"/>
      <c r="D716" s="47"/>
      <c r="E716" s="47"/>
      <c r="F716" s="69"/>
      <c r="G716" s="47"/>
      <c r="H716" s="195"/>
      <c r="I716" s="195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</row>
    <row r="717">
      <c r="A717" s="47"/>
      <c r="B717" s="204"/>
      <c r="C717" s="204"/>
      <c r="D717" s="47"/>
      <c r="E717" s="47"/>
      <c r="F717" s="69"/>
      <c r="G717" s="47"/>
      <c r="H717" s="195"/>
      <c r="I717" s="195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</row>
    <row r="718">
      <c r="A718" s="47"/>
      <c r="B718" s="204"/>
      <c r="C718" s="204"/>
      <c r="D718" s="47"/>
      <c r="E718" s="47"/>
      <c r="F718" s="69"/>
      <c r="G718" s="47"/>
      <c r="H718" s="195"/>
      <c r="I718" s="195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</row>
    <row r="719">
      <c r="A719" s="47"/>
      <c r="B719" s="204"/>
      <c r="C719" s="204"/>
      <c r="D719" s="47"/>
      <c r="E719" s="47"/>
      <c r="F719" s="69"/>
      <c r="G719" s="47"/>
      <c r="H719" s="195"/>
      <c r="I719" s="19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</row>
    <row r="720">
      <c r="A720" s="47"/>
      <c r="B720" s="204"/>
      <c r="C720" s="204"/>
      <c r="D720" s="47"/>
      <c r="E720" s="47"/>
      <c r="F720" s="69"/>
      <c r="G720" s="47"/>
      <c r="H720" s="195"/>
      <c r="I720" s="195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</row>
    <row r="721">
      <c r="A721" s="47"/>
      <c r="B721" s="204"/>
      <c r="C721" s="204"/>
      <c r="D721" s="47"/>
      <c r="E721" s="47"/>
      <c r="F721" s="69"/>
      <c r="G721" s="47"/>
      <c r="H721" s="195"/>
      <c r="I721" s="195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</row>
    <row r="722">
      <c r="A722" s="47"/>
      <c r="B722" s="204"/>
      <c r="C722" s="204"/>
      <c r="D722" s="47"/>
      <c r="E722" s="47"/>
      <c r="F722" s="69"/>
      <c r="G722" s="47"/>
      <c r="H722" s="195"/>
      <c r="I722" s="195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</row>
    <row r="723">
      <c r="A723" s="47"/>
      <c r="B723" s="204"/>
      <c r="C723" s="204"/>
      <c r="D723" s="47"/>
      <c r="E723" s="47"/>
      <c r="F723" s="69"/>
      <c r="G723" s="47"/>
      <c r="H723" s="195"/>
      <c r="I723" s="195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</row>
    <row r="724">
      <c r="A724" s="47"/>
      <c r="B724" s="204"/>
      <c r="C724" s="204"/>
      <c r="D724" s="47"/>
      <c r="E724" s="47"/>
      <c r="F724" s="69"/>
      <c r="G724" s="47"/>
      <c r="H724" s="195"/>
      <c r="I724" s="195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</row>
    <row r="725">
      <c r="A725" s="47"/>
      <c r="B725" s="204"/>
      <c r="C725" s="204"/>
      <c r="D725" s="47"/>
      <c r="E725" s="47"/>
      <c r="F725" s="69"/>
      <c r="G725" s="47"/>
      <c r="H725" s="195"/>
      <c r="I725" s="195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</row>
    <row r="726">
      <c r="A726" s="47"/>
      <c r="B726" s="204"/>
      <c r="C726" s="204"/>
      <c r="D726" s="47"/>
      <c r="E726" s="47"/>
      <c r="F726" s="69"/>
      <c r="G726" s="47"/>
      <c r="H726" s="195"/>
      <c r="I726" s="195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</row>
    <row r="727">
      <c r="A727" s="47"/>
      <c r="B727" s="204"/>
      <c r="C727" s="204"/>
      <c r="D727" s="47"/>
      <c r="E727" s="47"/>
      <c r="F727" s="69"/>
      <c r="G727" s="47"/>
      <c r="H727" s="195"/>
      <c r="I727" s="195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</row>
    <row r="728">
      <c r="A728" s="47"/>
      <c r="B728" s="204"/>
      <c r="C728" s="204"/>
      <c r="D728" s="47"/>
      <c r="E728" s="47"/>
      <c r="F728" s="69"/>
      <c r="G728" s="47"/>
      <c r="H728" s="195"/>
      <c r="I728" s="195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</row>
    <row r="729">
      <c r="A729" s="47"/>
      <c r="B729" s="204"/>
      <c r="C729" s="204"/>
      <c r="D729" s="47"/>
      <c r="E729" s="47"/>
      <c r="F729" s="69"/>
      <c r="G729" s="47"/>
      <c r="H729" s="195"/>
      <c r="I729" s="195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</row>
    <row r="730">
      <c r="A730" s="47"/>
      <c r="B730" s="204"/>
      <c r="C730" s="204"/>
      <c r="D730" s="47"/>
      <c r="E730" s="47"/>
      <c r="F730" s="69"/>
      <c r="G730" s="47"/>
      <c r="H730" s="195"/>
      <c r="I730" s="195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</row>
    <row r="731">
      <c r="A731" s="47"/>
      <c r="B731" s="204"/>
      <c r="C731" s="204"/>
      <c r="D731" s="47"/>
      <c r="E731" s="47"/>
      <c r="F731" s="69"/>
      <c r="G731" s="47"/>
      <c r="H731" s="195"/>
      <c r="I731" s="195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</row>
    <row r="732">
      <c r="A732" s="47"/>
      <c r="B732" s="204"/>
      <c r="C732" s="204"/>
      <c r="D732" s="47"/>
      <c r="E732" s="47"/>
      <c r="F732" s="69"/>
      <c r="G732" s="47"/>
      <c r="H732" s="195"/>
      <c r="I732" s="195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</row>
    <row r="733">
      <c r="A733" s="47"/>
      <c r="B733" s="204"/>
      <c r="C733" s="204"/>
      <c r="D733" s="47"/>
      <c r="E733" s="47"/>
      <c r="F733" s="69"/>
      <c r="G733" s="47"/>
      <c r="H733" s="195"/>
      <c r="I733" s="195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</row>
    <row r="734">
      <c r="A734" s="47"/>
      <c r="B734" s="204"/>
      <c r="C734" s="204"/>
      <c r="D734" s="47"/>
      <c r="E734" s="47"/>
      <c r="F734" s="69"/>
      <c r="G734" s="47"/>
      <c r="H734" s="195"/>
      <c r="I734" s="195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</row>
    <row r="735">
      <c r="A735" s="47"/>
      <c r="B735" s="204"/>
      <c r="C735" s="204"/>
      <c r="D735" s="47"/>
      <c r="E735" s="47"/>
      <c r="F735" s="69"/>
      <c r="G735" s="47"/>
      <c r="H735" s="195"/>
      <c r="I735" s="195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</row>
    <row r="736">
      <c r="A736" s="47"/>
      <c r="B736" s="204"/>
      <c r="C736" s="204"/>
      <c r="D736" s="47"/>
      <c r="E736" s="47"/>
      <c r="F736" s="69"/>
      <c r="G736" s="47"/>
      <c r="H736" s="195"/>
      <c r="I736" s="195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</row>
    <row r="737">
      <c r="A737" s="47"/>
      <c r="B737" s="204"/>
      <c r="C737" s="204"/>
      <c r="D737" s="47"/>
      <c r="E737" s="47"/>
      <c r="F737" s="69"/>
      <c r="G737" s="47"/>
      <c r="H737" s="195"/>
      <c r="I737" s="195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</row>
    <row r="738">
      <c r="A738" s="47"/>
      <c r="B738" s="204"/>
      <c r="C738" s="204"/>
      <c r="D738" s="47"/>
      <c r="E738" s="47"/>
      <c r="F738" s="69"/>
      <c r="G738" s="47"/>
      <c r="H738" s="195"/>
      <c r="I738" s="195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</row>
    <row r="739">
      <c r="A739" s="47"/>
      <c r="B739" s="204"/>
      <c r="C739" s="204"/>
      <c r="D739" s="47"/>
      <c r="E739" s="47"/>
      <c r="F739" s="69"/>
      <c r="G739" s="47"/>
      <c r="H739" s="195"/>
      <c r="I739" s="195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</row>
    <row r="740">
      <c r="A740" s="47"/>
      <c r="B740" s="204"/>
      <c r="C740" s="204"/>
      <c r="D740" s="47"/>
      <c r="E740" s="47"/>
      <c r="F740" s="69"/>
      <c r="G740" s="47"/>
      <c r="H740" s="195"/>
      <c r="I740" s="195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</row>
    <row r="741">
      <c r="A741" s="47"/>
      <c r="B741" s="204"/>
      <c r="C741" s="204"/>
      <c r="D741" s="47"/>
      <c r="E741" s="47"/>
      <c r="F741" s="69"/>
      <c r="G741" s="47"/>
      <c r="H741" s="195"/>
      <c r="I741" s="195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</row>
    <row r="742">
      <c r="A742" s="47"/>
      <c r="B742" s="204"/>
      <c r="C742" s="204"/>
      <c r="D742" s="47"/>
      <c r="E742" s="47"/>
      <c r="F742" s="69"/>
      <c r="G742" s="47"/>
      <c r="H742" s="195"/>
      <c r="I742" s="195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</row>
    <row r="743">
      <c r="A743" s="47"/>
      <c r="B743" s="204"/>
      <c r="C743" s="204"/>
      <c r="D743" s="47"/>
      <c r="E743" s="47"/>
      <c r="F743" s="69"/>
      <c r="G743" s="47"/>
      <c r="H743" s="195"/>
      <c r="I743" s="195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</row>
    <row r="744">
      <c r="A744" s="47"/>
      <c r="B744" s="204"/>
      <c r="C744" s="204"/>
      <c r="D744" s="47"/>
      <c r="E744" s="47"/>
      <c r="F744" s="69"/>
      <c r="G744" s="47"/>
      <c r="H744" s="195"/>
      <c r="I744" s="195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</row>
    <row r="745">
      <c r="A745" s="47"/>
      <c r="B745" s="204"/>
      <c r="C745" s="204"/>
      <c r="D745" s="47"/>
      <c r="E745" s="47"/>
      <c r="F745" s="69"/>
      <c r="G745" s="47"/>
      <c r="H745" s="195"/>
      <c r="I745" s="195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</row>
    <row r="746">
      <c r="A746" s="47"/>
      <c r="B746" s="204"/>
      <c r="C746" s="204"/>
      <c r="D746" s="47"/>
      <c r="E746" s="47"/>
      <c r="F746" s="69"/>
      <c r="G746" s="47"/>
      <c r="H746" s="195"/>
      <c r="I746" s="195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</row>
    <row r="747">
      <c r="A747" s="47"/>
      <c r="B747" s="204"/>
      <c r="C747" s="204"/>
      <c r="D747" s="47"/>
      <c r="E747" s="47"/>
      <c r="F747" s="69"/>
      <c r="G747" s="47"/>
      <c r="H747" s="195"/>
      <c r="I747" s="195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</row>
    <row r="748">
      <c r="A748" s="47"/>
      <c r="B748" s="204"/>
      <c r="C748" s="204"/>
      <c r="D748" s="47"/>
      <c r="E748" s="47"/>
      <c r="F748" s="69"/>
      <c r="G748" s="47"/>
      <c r="H748" s="195"/>
      <c r="I748" s="195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</row>
    <row r="749">
      <c r="A749" s="47"/>
      <c r="B749" s="204"/>
      <c r="C749" s="204"/>
      <c r="D749" s="47"/>
      <c r="E749" s="47"/>
      <c r="F749" s="69"/>
      <c r="G749" s="47"/>
      <c r="H749" s="195"/>
      <c r="I749" s="195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</row>
    <row r="750">
      <c r="A750" s="47"/>
      <c r="B750" s="204"/>
      <c r="C750" s="204"/>
      <c r="D750" s="47"/>
      <c r="E750" s="47"/>
      <c r="F750" s="69"/>
      <c r="G750" s="47"/>
      <c r="H750" s="195"/>
      <c r="I750" s="195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</row>
    <row r="751">
      <c r="A751" s="47"/>
      <c r="B751" s="204"/>
      <c r="C751" s="204"/>
      <c r="D751" s="47"/>
      <c r="E751" s="47"/>
      <c r="F751" s="69"/>
      <c r="G751" s="47"/>
      <c r="H751" s="195"/>
      <c r="I751" s="195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</row>
    <row r="752">
      <c r="A752" s="47"/>
      <c r="B752" s="204"/>
      <c r="C752" s="204"/>
      <c r="D752" s="47"/>
      <c r="E752" s="47"/>
      <c r="F752" s="69"/>
      <c r="G752" s="47"/>
      <c r="H752" s="195"/>
      <c r="I752" s="195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</row>
    <row r="753">
      <c r="A753" s="47"/>
      <c r="B753" s="204"/>
      <c r="C753" s="204"/>
      <c r="D753" s="47"/>
      <c r="E753" s="47"/>
      <c r="F753" s="69"/>
      <c r="G753" s="47"/>
      <c r="H753" s="195"/>
      <c r="I753" s="195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</row>
    <row r="754">
      <c r="A754" s="47"/>
      <c r="B754" s="204"/>
      <c r="C754" s="204"/>
      <c r="D754" s="47"/>
      <c r="E754" s="47"/>
      <c r="F754" s="69"/>
      <c r="G754" s="47"/>
      <c r="H754" s="195"/>
      <c r="I754" s="195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</row>
    <row r="755">
      <c r="A755" s="47"/>
      <c r="B755" s="204"/>
      <c r="C755" s="204"/>
      <c r="D755" s="47"/>
      <c r="E755" s="47"/>
      <c r="F755" s="69"/>
      <c r="G755" s="47"/>
      <c r="H755" s="195"/>
      <c r="I755" s="195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</row>
    <row r="756">
      <c r="A756" s="47"/>
      <c r="B756" s="204"/>
      <c r="C756" s="204"/>
      <c r="D756" s="47"/>
      <c r="E756" s="47"/>
      <c r="F756" s="69"/>
      <c r="G756" s="47"/>
      <c r="H756" s="195"/>
      <c r="I756" s="195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</row>
    <row r="757">
      <c r="A757" s="47"/>
      <c r="B757" s="204"/>
      <c r="C757" s="204"/>
      <c r="D757" s="47"/>
      <c r="E757" s="47"/>
      <c r="F757" s="69"/>
      <c r="G757" s="47"/>
      <c r="H757" s="195"/>
      <c r="I757" s="195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</row>
    <row r="758">
      <c r="A758" s="47"/>
      <c r="B758" s="204"/>
      <c r="C758" s="204"/>
      <c r="D758" s="47"/>
      <c r="E758" s="47"/>
      <c r="F758" s="69"/>
      <c r="G758" s="47"/>
      <c r="H758" s="195"/>
      <c r="I758" s="195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</row>
    <row r="759">
      <c r="A759" s="47"/>
      <c r="B759" s="204"/>
      <c r="C759" s="204"/>
      <c r="D759" s="47"/>
      <c r="E759" s="47"/>
      <c r="F759" s="69"/>
      <c r="G759" s="47"/>
      <c r="H759" s="195"/>
      <c r="I759" s="195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</row>
    <row r="760">
      <c r="A760" s="47"/>
      <c r="B760" s="204"/>
      <c r="C760" s="204"/>
      <c r="D760" s="47"/>
      <c r="E760" s="47"/>
      <c r="F760" s="69"/>
      <c r="G760" s="47"/>
      <c r="H760" s="195"/>
      <c r="I760" s="195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</row>
    <row r="761">
      <c r="A761" s="47"/>
      <c r="B761" s="204"/>
      <c r="C761" s="204"/>
      <c r="D761" s="47"/>
      <c r="E761" s="47"/>
      <c r="F761" s="69"/>
      <c r="G761" s="47"/>
      <c r="H761" s="195"/>
      <c r="I761" s="195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</row>
    <row r="762">
      <c r="A762" s="47"/>
      <c r="B762" s="204"/>
      <c r="C762" s="204"/>
      <c r="D762" s="47"/>
      <c r="E762" s="47"/>
      <c r="F762" s="69"/>
      <c r="G762" s="47"/>
      <c r="H762" s="195"/>
      <c r="I762" s="195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</row>
    <row r="763">
      <c r="A763" s="47"/>
      <c r="B763" s="204"/>
      <c r="C763" s="204"/>
      <c r="D763" s="47"/>
      <c r="E763" s="47"/>
      <c r="F763" s="69"/>
      <c r="G763" s="47"/>
      <c r="H763" s="195"/>
      <c r="I763" s="195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</row>
    <row r="764">
      <c r="A764" s="47"/>
      <c r="B764" s="204"/>
      <c r="C764" s="204"/>
      <c r="D764" s="47"/>
      <c r="E764" s="47"/>
      <c r="F764" s="69"/>
      <c r="G764" s="47"/>
      <c r="H764" s="195"/>
      <c r="I764" s="195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</row>
    <row r="765">
      <c r="A765" s="47"/>
      <c r="B765" s="204"/>
      <c r="C765" s="204"/>
      <c r="D765" s="47"/>
      <c r="E765" s="47"/>
      <c r="F765" s="69"/>
      <c r="G765" s="47"/>
      <c r="H765" s="195"/>
      <c r="I765" s="195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</row>
    <row r="766">
      <c r="A766" s="47"/>
      <c r="B766" s="204"/>
      <c r="C766" s="204"/>
      <c r="D766" s="47"/>
      <c r="E766" s="47"/>
      <c r="F766" s="69"/>
      <c r="G766" s="47"/>
      <c r="H766" s="195"/>
      <c r="I766" s="195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</row>
    <row r="767">
      <c r="A767" s="47"/>
      <c r="B767" s="204"/>
      <c r="C767" s="204"/>
      <c r="D767" s="47"/>
      <c r="E767" s="47"/>
      <c r="F767" s="69"/>
      <c r="G767" s="47"/>
      <c r="H767" s="195"/>
      <c r="I767" s="195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</row>
    <row r="768">
      <c r="A768" s="47"/>
      <c r="B768" s="204"/>
      <c r="C768" s="204"/>
      <c r="D768" s="47"/>
      <c r="E768" s="47"/>
      <c r="F768" s="69"/>
      <c r="G768" s="47"/>
      <c r="H768" s="195"/>
      <c r="I768" s="195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</row>
    <row r="769">
      <c r="A769" s="47"/>
      <c r="B769" s="204"/>
      <c r="C769" s="204"/>
      <c r="D769" s="47"/>
      <c r="E769" s="47"/>
      <c r="F769" s="69"/>
      <c r="G769" s="47"/>
      <c r="H769" s="195"/>
      <c r="I769" s="195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</row>
    <row r="770">
      <c r="A770" s="47"/>
      <c r="B770" s="204"/>
      <c r="C770" s="204"/>
      <c r="D770" s="47"/>
      <c r="E770" s="47"/>
      <c r="F770" s="69"/>
      <c r="G770" s="47"/>
      <c r="H770" s="195"/>
      <c r="I770" s="195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</row>
    <row r="771">
      <c r="A771" s="47"/>
      <c r="B771" s="204"/>
      <c r="C771" s="204"/>
      <c r="D771" s="47"/>
      <c r="E771" s="47"/>
      <c r="F771" s="69"/>
      <c r="G771" s="47"/>
      <c r="H771" s="195"/>
      <c r="I771" s="195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</row>
    <row r="772">
      <c r="A772" s="47"/>
      <c r="B772" s="204"/>
      <c r="C772" s="204"/>
      <c r="D772" s="47"/>
      <c r="E772" s="47"/>
      <c r="F772" s="69"/>
      <c r="G772" s="47"/>
      <c r="H772" s="195"/>
      <c r="I772" s="195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</row>
    <row r="773">
      <c r="A773" s="47"/>
      <c r="B773" s="204"/>
      <c r="C773" s="204"/>
      <c r="D773" s="47"/>
      <c r="E773" s="47"/>
      <c r="F773" s="69"/>
      <c r="G773" s="47"/>
      <c r="H773" s="195"/>
      <c r="I773" s="195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</row>
    <row r="774">
      <c r="A774" s="47"/>
      <c r="B774" s="204"/>
      <c r="C774" s="204"/>
      <c r="D774" s="47"/>
      <c r="E774" s="47"/>
      <c r="F774" s="69"/>
      <c r="G774" s="47"/>
      <c r="H774" s="195"/>
      <c r="I774" s="195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</row>
    <row r="775">
      <c r="A775" s="47"/>
      <c r="B775" s="204"/>
      <c r="C775" s="204"/>
      <c r="D775" s="47"/>
      <c r="E775" s="47"/>
      <c r="F775" s="69"/>
      <c r="G775" s="47"/>
      <c r="H775" s="195"/>
      <c r="I775" s="195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</row>
    <row r="776">
      <c r="A776" s="47"/>
      <c r="B776" s="204"/>
      <c r="C776" s="204"/>
      <c r="D776" s="47"/>
      <c r="E776" s="47"/>
      <c r="F776" s="69"/>
      <c r="G776" s="47"/>
      <c r="H776" s="195"/>
      <c r="I776" s="195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</row>
    <row r="777">
      <c r="A777" s="47"/>
      <c r="B777" s="204"/>
      <c r="C777" s="204"/>
      <c r="D777" s="47"/>
      <c r="E777" s="47"/>
      <c r="F777" s="69"/>
      <c r="G777" s="47"/>
      <c r="H777" s="195"/>
      <c r="I777" s="195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</row>
    <row r="778">
      <c r="A778" s="47"/>
      <c r="B778" s="204"/>
      <c r="C778" s="204"/>
      <c r="D778" s="47"/>
      <c r="E778" s="47"/>
      <c r="F778" s="69"/>
      <c r="G778" s="47"/>
      <c r="H778" s="195"/>
      <c r="I778" s="195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</row>
    <row r="779">
      <c r="A779" s="47"/>
      <c r="B779" s="204"/>
      <c r="C779" s="204"/>
      <c r="D779" s="47"/>
      <c r="E779" s="47"/>
      <c r="F779" s="69"/>
      <c r="G779" s="47"/>
      <c r="H779" s="195"/>
      <c r="I779" s="195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</row>
    <row r="780">
      <c r="A780" s="47"/>
      <c r="B780" s="204"/>
      <c r="C780" s="204"/>
      <c r="D780" s="47"/>
      <c r="E780" s="47"/>
      <c r="F780" s="69"/>
      <c r="G780" s="47"/>
      <c r="H780" s="195"/>
      <c r="I780" s="195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</row>
    <row r="781">
      <c r="A781" s="47"/>
      <c r="B781" s="204"/>
      <c r="C781" s="204"/>
      <c r="D781" s="47"/>
      <c r="E781" s="47"/>
      <c r="F781" s="69"/>
      <c r="G781" s="47"/>
      <c r="H781" s="195"/>
      <c r="I781" s="195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</row>
    <row r="782">
      <c r="A782" s="47"/>
      <c r="B782" s="204"/>
      <c r="C782" s="204"/>
      <c r="D782" s="47"/>
      <c r="E782" s="47"/>
      <c r="F782" s="69"/>
      <c r="G782" s="47"/>
      <c r="H782" s="195"/>
      <c r="I782" s="195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</row>
    <row r="783">
      <c r="A783" s="47"/>
      <c r="B783" s="204"/>
      <c r="C783" s="204"/>
      <c r="D783" s="47"/>
      <c r="E783" s="47"/>
      <c r="F783" s="69"/>
      <c r="G783" s="47"/>
      <c r="H783" s="195"/>
      <c r="I783" s="195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</row>
    <row r="784">
      <c r="A784" s="47"/>
      <c r="B784" s="204"/>
      <c r="C784" s="204"/>
      <c r="D784" s="47"/>
      <c r="E784" s="47"/>
      <c r="F784" s="69"/>
      <c r="G784" s="47"/>
      <c r="H784" s="195"/>
      <c r="I784" s="195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</row>
    <row r="785">
      <c r="A785" s="47"/>
      <c r="B785" s="204"/>
      <c r="C785" s="204"/>
      <c r="D785" s="47"/>
      <c r="E785" s="47"/>
      <c r="F785" s="69"/>
      <c r="G785" s="47"/>
      <c r="H785" s="195"/>
      <c r="I785" s="195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</row>
    <row r="786">
      <c r="A786" s="47"/>
      <c r="B786" s="204"/>
      <c r="C786" s="204"/>
      <c r="D786" s="47"/>
      <c r="E786" s="47"/>
      <c r="F786" s="69"/>
      <c r="G786" s="47"/>
      <c r="H786" s="195"/>
      <c r="I786" s="195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</row>
    <row r="787">
      <c r="A787" s="47"/>
      <c r="B787" s="204"/>
      <c r="C787" s="204"/>
      <c r="D787" s="47"/>
      <c r="E787" s="47"/>
      <c r="F787" s="69"/>
      <c r="G787" s="47"/>
      <c r="H787" s="195"/>
      <c r="I787" s="195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</row>
    <row r="788">
      <c r="A788" s="47"/>
      <c r="B788" s="204"/>
      <c r="C788" s="204"/>
      <c r="D788" s="47"/>
      <c r="E788" s="47"/>
      <c r="F788" s="69"/>
      <c r="G788" s="47"/>
      <c r="H788" s="195"/>
      <c r="I788" s="195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</row>
    <row r="789">
      <c r="A789" s="47"/>
      <c r="B789" s="204"/>
      <c r="C789" s="204"/>
      <c r="D789" s="47"/>
      <c r="E789" s="47"/>
      <c r="F789" s="69"/>
      <c r="G789" s="47"/>
      <c r="H789" s="195"/>
      <c r="I789" s="195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</row>
    <row r="790">
      <c r="A790" s="47"/>
      <c r="B790" s="204"/>
      <c r="C790" s="204"/>
      <c r="D790" s="47"/>
      <c r="E790" s="47"/>
      <c r="F790" s="69"/>
      <c r="G790" s="47"/>
      <c r="H790" s="195"/>
      <c r="I790" s="195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</row>
    <row r="791">
      <c r="A791" s="47"/>
      <c r="B791" s="204"/>
      <c r="C791" s="204"/>
      <c r="D791" s="47"/>
      <c r="E791" s="47"/>
      <c r="F791" s="69"/>
      <c r="G791" s="47"/>
      <c r="H791" s="195"/>
      <c r="I791" s="195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</row>
    <row r="792">
      <c r="A792" s="47"/>
      <c r="B792" s="204"/>
      <c r="C792" s="204"/>
      <c r="D792" s="47"/>
      <c r="E792" s="47"/>
      <c r="F792" s="69"/>
      <c r="G792" s="47"/>
      <c r="H792" s="195"/>
      <c r="I792" s="195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</row>
    <row r="793">
      <c r="A793" s="47"/>
      <c r="B793" s="204"/>
      <c r="C793" s="204"/>
      <c r="D793" s="47"/>
      <c r="E793" s="47"/>
      <c r="F793" s="69"/>
      <c r="G793" s="47"/>
      <c r="H793" s="195"/>
      <c r="I793" s="195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</row>
    <row r="794">
      <c r="A794" s="47"/>
      <c r="B794" s="204"/>
      <c r="C794" s="204"/>
      <c r="D794" s="47"/>
      <c r="E794" s="47"/>
      <c r="F794" s="69"/>
      <c r="G794" s="47"/>
      <c r="H794" s="195"/>
      <c r="I794" s="195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</row>
    <row r="795">
      <c r="A795" s="47"/>
      <c r="B795" s="204"/>
      <c r="C795" s="204"/>
      <c r="D795" s="47"/>
      <c r="E795" s="47"/>
      <c r="F795" s="69"/>
      <c r="G795" s="47"/>
      <c r="H795" s="195"/>
      <c r="I795" s="195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</row>
    <row r="796">
      <c r="A796" s="47"/>
      <c r="B796" s="204"/>
      <c r="C796" s="204"/>
      <c r="D796" s="47"/>
      <c r="E796" s="47"/>
      <c r="F796" s="69"/>
      <c r="G796" s="47"/>
      <c r="H796" s="195"/>
      <c r="I796" s="195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</row>
    <row r="797">
      <c r="A797" s="47"/>
      <c r="B797" s="204"/>
      <c r="C797" s="204"/>
      <c r="D797" s="47"/>
      <c r="E797" s="47"/>
      <c r="F797" s="69"/>
      <c r="G797" s="47"/>
      <c r="H797" s="195"/>
      <c r="I797" s="195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</row>
    <row r="798">
      <c r="A798" s="47"/>
      <c r="B798" s="204"/>
      <c r="C798" s="204"/>
      <c r="D798" s="47"/>
      <c r="E798" s="47"/>
      <c r="F798" s="69"/>
      <c r="G798" s="47"/>
      <c r="H798" s="195"/>
      <c r="I798" s="195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</row>
    <row r="799">
      <c r="A799" s="47"/>
      <c r="B799" s="204"/>
      <c r="C799" s="204"/>
      <c r="D799" s="47"/>
      <c r="E799" s="47"/>
      <c r="F799" s="69"/>
      <c r="G799" s="47"/>
      <c r="H799" s="195"/>
      <c r="I799" s="195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</row>
    <row r="800">
      <c r="A800" s="47"/>
      <c r="B800" s="204"/>
      <c r="C800" s="204"/>
      <c r="D800" s="47"/>
      <c r="E800" s="47"/>
      <c r="F800" s="69"/>
      <c r="G800" s="47"/>
      <c r="H800" s="195"/>
      <c r="I800" s="195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</row>
    <row r="801">
      <c r="A801" s="47"/>
      <c r="B801" s="204"/>
      <c r="C801" s="204"/>
      <c r="D801" s="47"/>
      <c r="E801" s="47"/>
      <c r="F801" s="69"/>
      <c r="G801" s="47"/>
      <c r="H801" s="195"/>
      <c r="I801" s="195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</row>
    <row r="802">
      <c r="A802" s="47"/>
      <c r="B802" s="204"/>
      <c r="C802" s="204"/>
      <c r="D802" s="47"/>
      <c r="E802" s="47"/>
      <c r="F802" s="69"/>
      <c r="G802" s="47"/>
      <c r="H802" s="195"/>
      <c r="I802" s="195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</row>
    <row r="803">
      <c r="A803" s="47"/>
      <c r="B803" s="204"/>
      <c r="C803" s="204"/>
      <c r="D803" s="47"/>
      <c r="E803" s="47"/>
      <c r="F803" s="69"/>
      <c r="G803" s="47"/>
      <c r="H803" s="195"/>
      <c r="I803" s="195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</row>
    <row r="804">
      <c r="A804" s="47"/>
      <c r="B804" s="204"/>
      <c r="C804" s="204"/>
      <c r="D804" s="47"/>
      <c r="E804" s="47"/>
      <c r="F804" s="69"/>
      <c r="G804" s="47"/>
      <c r="H804" s="195"/>
      <c r="I804" s="195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</row>
    <row r="805">
      <c r="A805" s="47"/>
      <c r="B805" s="204"/>
      <c r="C805" s="204"/>
      <c r="D805" s="47"/>
      <c r="E805" s="47"/>
      <c r="F805" s="69"/>
      <c r="G805" s="47"/>
      <c r="H805" s="195"/>
      <c r="I805" s="195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</row>
    <row r="806">
      <c r="A806" s="47"/>
      <c r="B806" s="204"/>
      <c r="C806" s="204"/>
      <c r="D806" s="47"/>
      <c r="E806" s="47"/>
      <c r="F806" s="69"/>
      <c r="G806" s="47"/>
      <c r="H806" s="195"/>
      <c r="I806" s="195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</row>
    <row r="807">
      <c r="A807" s="47"/>
      <c r="B807" s="204"/>
      <c r="C807" s="204"/>
      <c r="D807" s="47"/>
      <c r="E807" s="47"/>
      <c r="F807" s="69"/>
      <c r="G807" s="47"/>
      <c r="H807" s="195"/>
      <c r="I807" s="195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</row>
    <row r="808">
      <c r="A808" s="47"/>
      <c r="B808" s="204"/>
      <c r="C808" s="204"/>
      <c r="D808" s="47"/>
      <c r="E808" s="47"/>
      <c r="F808" s="69"/>
      <c r="G808" s="47"/>
      <c r="H808" s="195"/>
      <c r="I808" s="195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</row>
    <row r="809">
      <c r="A809" s="47"/>
      <c r="B809" s="204"/>
      <c r="C809" s="204"/>
      <c r="D809" s="47"/>
      <c r="E809" s="47"/>
      <c r="F809" s="69"/>
      <c r="G809" s="47"/>
      <c r="H809" s="195"/>
      <c r="I809" s="195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</row>
    <row r="810">
      <c r="A810" s="47"/>
      <c r="B810" s="204"/>
      <c r="C810" s="204"/>
      <c r="D810" s="47"/>
      <c r="E810" s="47"/>
      <c r="F810" s="69"/>
      <c r="G810" s="47"/>
      <c r="H810" s="195"/>
      <c r="I810" s="195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</row>
    <row r="811">
      <c r="A811" s="47"/>
      <c r="B811" s="204"/>
      <c r="C811" s="204"/>
      <c r="D811" s="47"/>
      <c r="E811" s="47"/>
      <c r="F811" s="69"/>
      <c r="G811" s="47"/>
      <c r="H811" s="195"/>
      <c r="I811" s="195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</row>
    <row r="812">
      <c r="A812" s="47"/>
      <c r="B812" s="204"/>
      <c r="C812" s="204"/>
      <c r="D812" s="47"/>
      <c r="E812" s="47"/>
      <c r="F812" s="69"/>
      <c r="G812" s="47"/>
      <c r="H812" s="195"/>
      <c r="I812" s="195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</row>
    <row r="813">
      <c r="A813" s="47"/>
      <c r="B813" s="204"/>
      <c r="C813" s="204"/>
      <c r="D813" s="47"/>
      <c r="E813" s="47"/>
      <c r="F813" s="69"/>
      <c r="G813" s="47"/>
      <c r="H813" s="195"/>
      <c r="I813" s="195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</row>
    <row r="814">
      <c r="A814" s="47"/>
      <c r="B814" s="204"/>
      <c r="C814" s="204"/>
      <c r="D814" s="47"/>
      <c r="E814" s="47"/>
      <c r="F814" s="69"/>
      <c r="G814" s="47"/>
      <c r="H814" s="195"/>
      <c r="I814" s="195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</row>
    <row r="815">
      <c r="A815" s="47"/>
      <c r="B815" s="204"/>
      <c r="C815" s="204"/>
      <c r="D815" s="47"/>
      <c r="E815" s="47"/>
      <c r="F815" s="69"/>
      <c r="G815" s="47"/>
      <c r="H815" s="195"/>
      <c r="I815" s="195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</row>
    <row r="816">
      <c r="A816" s="47"/>
      <c r="B816" s="204"/>
      <c r="C816" s="204"/>
      <c r="D816" s="47"/>
      <c r="E816" s="47"/>
      <c r="F816" s="69"/>
      <c r="G816" s="47"/>
      <c r="H816" s="195"/>
      <c r="I816" s="195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</row>
    <row r="817">
      <c r="A817" s="47"/>
      <c r="B817" s="204"/>
      <c r="C817" s="204"/>
      <c r="D817" s="47"/>
      <c r="E817" s="47"/>
      <c r="F817" s="69"/>
      <c r="G817" s="47"/>
      <c r="H817" s="195"/>
      <c r="I817" s="195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</row>
    <row r="818">
      <c r="A818" s="47"/>
      <c r="B818" s="204"/>
      <c r="C818" s="204"/>
      <c r="D818" s="47"/>
      <c r="E818" s="47"/>
      <c r="F818" s="69"/>
      <c r="G818" s="47"/>
      <c r="H818" s="195"/>
      <c r="I818" s="195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</row>
    <row r="819">
      <c r="A819" s="47"/>
      <c r="B819" s="204"/>
      <c r="C819" s="204"/>
      <c r="D819" s="47"/>
      <c r="E819" s="47"/>
      <c r="F819" s="69"/>
      <c r="G819" s="47"/>
      <c r="H819" s="195"/>
      <c r="I819" s="195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</row>
    <row r="820">
      <c r="A820" s="47"/>
      <c r="B820" s="204"/>
      <c r="C820" s="204"/>
      <c r="D820" s="47"/>
      <c r="E820" s="47"/>
      <c r="F820" s="69"/>
      <c r="G820" s="47"/>
      <c r="H820" s="195"/>
      <c r="I820" s="195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</row>
    <row r="821">
      <c r="A821" s="47"/>
      <c r="B821" s="204"/>
      <c r="C821" s="204"/>
      <c r="D821" s="47"/>
      <c r="E821" s="47"/>
      <c r="F821" s="69"/>
      <c r="G821" s="47"/>
      <c r="H821" s="195"/>
      <c r="I821" s="195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</row>
    <row r="822">
      <c r="A822" s="47"/>
      <c r="B822" s="204"/>
      <c r="C822" s="204"/>
      <c r="D822" s="47"/>
      <c r="E822" s="47"/>
      <c r="F822" s="69"/>
      <c r="G822" s="47"/>
      <c r="H822" s="195"/>
      <c r="I822" s="195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</row>
    <row r="823">
      <c r="A823" s="47"/>
      <c r="B823" s="204"/>
      <c r="C823" s="204"/>
      <c r="D823" s="47"/>
      <c r="E823" s="47"/>
      <c r="F823" s="69"/>
      <c r="G823" s="47"/>
      <c r="H823" s="195"/>
      <c r="I823" s="195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</row>
    <row r="824">
      <c r="A824" s="47"/>
      <c r="B824" s="204"/>
      <c r="C824" s="204"/>
      <c r="D824" s="47"/>
      <c r="E824" s="47"/>
      <c r="F824" s="69"/>
      <c r="G824" s="47"/>
      <c r="H824" s="195"/>
      <c r="I824" s="195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</row>
    <row r="825">
      <c r="A825" s="47"/>
      <c r="B825" s="204"/>
      <c r="C825" s="204"/>
      <c r="D825" s="47"/>
      <c r="E825" s="47"/>
      <c r="F825" s="69"/>
      <c r="G825" s="47"/>
      <c r="H825" s="195"/>
      <c r="I825" s="195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</row>
    <row r="826">
      <c r="A826" s="47"/>
      <c r="B826" s="204"/>
      <c r="C826" s="204"/>
      <c r="D826" s="47"/>
      <c r="E826" s="47"/>
      <c r="F826" s="69"/>
      <c r="G826" s="47"/>
      <c r="H826" s="195"/>
      <c r="I826" s="195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</row>
    <row r="827">
      <c r="A827" s="47"/>
      <c r="B827" s="204"/>
      <c r="C827" s="204"/>
      <c r="D827" s="47"/>
      <c r="E827" s="47"/>
      <c r="F827" s="69"/>
      <c r="G827" s="47"/>
      <c r="H827" s="195"/>
      <c r="I827" s="195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</row>
    <row r="828">
      <c r="A828" s="47"/>
      <c r="B828" s="204"/>
      <c r="C828" s="204"/>
      <c r="D828" s="47"/>
      <c r="E828" s="47"/>
      <c r="F828" s="69"/>
      <c r="G828" s="47"/>
      <c r="H828" s="195"/>
      <c r="I828" s="195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</row>
    <row r="829">
      <c r="A829" s="47"/>
      <c r="B829" s="204"/>
      <c r="C829" s="204"/>
      <c r="D829" s="47"/>
      <c r="E829" s="47"/>
      <c r="F829" s="69"/>
      <c r="G829" s="47"/>
      <c r="H829" s="195"/>
      <c r="I829" s="195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</row>
    <row r="830">
      <c r="A830" s="47"/>
      <c r="B830" s="204"/>
      <c r="C830" s="204"/>
      <c r="D830" s="47"/>
      <c r="E830" s="47"/>
      <c r="F830" s="69"/>
      <c r="G830" s="47"/>
      <c r="H830" s="195"/>
      <c r="I830" s="195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</row>
    <row r="831">
      <c r="A831" s="47"/>
      <c r="B831" s="204"/>
      <c r="C831" s="204"/>
      <c r="D831" s="47"/>
      <c r="E831" s="47"/>
      <c r="F831" s="69"/>
      <c r="G831" s="47"/>
      <c r="H831" s="195"/>
      <c r="I831" s="195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</row>
    <row r="832">
      <c r="A832" s="47"/>
      <c r="B832" s="204"/>
      <c r="C832" s="204"/>
      <c r="D832" s="47"/>
      <c r="E832" s="47"/>
      <c r="F832" s="69"/>
      <c r="G832" s="47"/>
      <c r="H832" s="195"/>
      <c r="I832" s="195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</row>
    <row r="833">
      <c r="A833" s="47"/>
      <c r="B833" s="204"/>
      <c r="C833" s="204"/>
      <c r="D833" s="47"/>
      <c r="E833" s="47"/>
      <c r="F833" s="69"/>
      <c r="G833" s="47"/>
      <c r="H833" s="195"/>
      <c r="I833" s="195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</row>
    <row r="834">
      <c r="A834" s="47"/>
      <c r="B834" s="204"/>
      <c r="C834" s="204"/>
      <c r="D834" s="47"/>
      <c r="E834" s="47"/>
      <c r="F834" s="69"/>
      <c r="G834" s="47"/>
      <c r="H834" s="195"/>
      <c r="I834" s="195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</row>
    <row r="835">
      <c r="A835" s="47"/>
      <c r="B835" s="204"/>
      <c r="C835" s="204"/>
      <c r="D835" s="47"/>
      <c r="E835" s="47"/>
      <c r="F835" s="69"/>
      <c r="G835" s="47"/>
      <c r="H835" s="195"/>
      <c r="I835" s="195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</row>
    <row r="836">
      <c r="A836" s="47"/>
      <c r="B836" s="204"/>
      <c r="C836" s="204"/>
      <c r="D836" s="47"/>
      <c r="E836" s="47"/>
      <c r="F836" s="69"/>
      <c r="G836" s="47"/>
      <c r="H836" s="195"/>
      <c r="I836" s="195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</row>
    <row r="837">
      <c r="A837" s="47"/>
      <c r="B837" s="204"/>
      <c r="C837" s="204"/>
      <c r="D837" s="47"/>
      <c r="E837" s="47"/>
      <c r="F837" s="69"/>
      <c r="G837" s="47"/>
      <c r="H837" s="195"/>
      <c r="I837" s="195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</row>
    <row r="838">
      <c r="A838" s="47"/>
      <c r="B838" s="204"/>
      <c r="C838" s="204"/>
      <c r="D838" s="47"/>
      <c r="E838" s="47"/>
      <c r="F838" s="69"/>
      <c r="G838" s="47"/>
      <c r="H838" s="195"/>
      <c r="I838" s="195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</row>
    <row r="839">
      <c r="A839" s="47"/>
      <c r="B839" s="204"/>
      <c r="C839" s="204"/>
      <c r="D839" s="47"/>
      <c r="E839" s="47"/>
      <c r="F839" s="69"/>
      <c r="G839" s="47"/>
      <c r="H839" s="195"/>
      <c r="I839" s="195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</row>
    <row r="840">
      <c r="A840" s="47"/>
      <c r="B840" s="204"/>
      <c r="C840" s="204"/>
      <c r="D840" s="47"/>
      <c r="E840" s="47"/>
      <c r="F840" s="69"/>
      <c r="G840" s="47"/>
      <c r="H840" s="195"/>
      <c r="I840" s="195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</row>
    <row r="841">
      <c r="A841" s="47"/>
      <c r="B841" s="204"/>
      <c r="C841" s="204"/>
      <c r="D841" s="47"/>
      <c r="E841" s="47"/>
      <c r="F841" s="69"/>
      <c r="G841" s="47"/>
      <c r="H841" s="195"/>
      <c r="I841" s="195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</row>
    <row r="842">
      <c r="A842" s="47"/>
      <c r="B842" s="204"/>
      <c r="C842" s="204"/>
      <c r="D842" s="47"/>
      <c r="E842" s="47"/>
      <c r="F842" s="69"/>
      <c r="G842" s="47"/>
      <c r="H842" s="195"/>
      <c r="I842" s="195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</row>
    <row r="843">
      <c r="A843" s="47"/>
      <c r="B843" s="204"/>
      <c r="C843" s="204"/>
      <c r="D843" s="47"/>
      <c r="E843" s="47"/>
      <c r="F843" s="69"/>
      <c r="G843" s="47"/>
      <c r="H843" s="195"/>
      <c r="I843" s="195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</row>
    <row r="844">
      <c r="A844" s="47"/>
      <c r="B844" s="204"/>
      <c r="C844" s="204"/>
      <c r="D844" s="47"/>
      <c r="E844" s="47"/>
      <c r="F844" s="69"/>
      <c r="G844" s="47"/>
      <c r="H844" s="195"/>
      <c r="I844" s="195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</row>
    <row r="845">
      <c r="A845" s="47"/>
      <c r="B845" s="204"/>
      <c r="C845" s="204"/>
      <c r="D845" s="47"/>
      <c r="E845" s="47"/>
      <c r="F845" s="69"/>
      <c r="G845" s="47"/>
      <c r="H845" s="195"/>
      <c r="I845" s="195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</row>
    <row r="846">
      <c r="A846" s="47"/>
      <c r="B846" s="204"/>
      <c r="C846" s="204"/>
      <c r="D846" s="47"/>
      <c r="E846" s="47"/>
      <c r="F846" s="69"/>
      <c r="G846" s="47"/>
      <c r="H846" s="195"/>
      <c r="I846" s="195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</row>
    <row r="847">
      <c r="A847" s="47"/>
      <c r="B847" s="204"/>
      <c r="C847" s="204"/>
      <c r="D847" s="47"/>
      <c r="E847" s="47"/>
      <c r="F847" s="69"/>
      <c r="G847" s="47"/>
      <c r="H847" s="195"/>
      <c r="I847" s="195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</row>
    <row r="848">
      <c r="A848" s="47"/>
      <c r="B848" s="204"/>
      <c r="C848" s="204"/>
      <c r="D848" s="47"/>
      <c r="E848" s="47"/>
      <c r="F848" s="69"/>
      <c r="G848" s="47"/>
      <c r="H848" s="195"/>
      <c r="I848" s="195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</row>
    <row r="849">
      <c r="A849" s="47"/>
      <c r="B849" s="204"/>
      <c r="C849" s="204"/>
      <c r="D849" s="47"/>
      <c r="E849" s="47"/>
      <c r="F849" s="69"/>
      <c r="G849" s="47"/>
      <c r="H849" s="195"/>
      <c r="I849" s="195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</row>
    <row r="850">
      <c r="A850" s="47"/>
      <c r="B850" s="204"/>
      <c r="C850" s="204"/>
      <c r="D850" s="47"/>
      <c r="E850" s="47"/>
      <c r="F850" s="69"/>
      <c r="G850" s="47"/>
      <c r="H850" s="195"/>
      <c r="I850" s="195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</row>
    <row r="851">
      <c r="A851" s="47"/>
      <c r="B851" s="204"/>
      <c r="C851" s="204"/>
      <c r="D851" s="47"/>
      <c r="E851" s="47"/>
      <c r="F851" s="69"/>
      <c r="G851" s="47"/>
      <c r="H851" s="195"/>
      <c r="I851" s="195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</row>
    <row r="852">
      <c r="A852" s="47"/>
      <c r="B852" s="204"/>
      <c r="C852" s="204"/>
      <c r="D852" s="47"/>
      <c r="E852" s="47"/>
      <c r="F852" s="69"/>
      <c r="G852" s="47"/>
      <c r="H852" s="195"/>
      <c r="I852" s="195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</row>
    <row r="853">
      <c r="A853" s="47"/>
      <c r="B853" s="204"/>
      <c r="C853" s="204"/>
      <c r="D853" s="47"/>
      <c r="E853" s="47"/>
      <c r="F853" s="69"/>
      <c r="G853" s="47"/>
      <c r="H853" s="195"/>
      <c r="I853" s="195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</row>
    <row r="854">
      <c r="A854" s="47"/>
      <c r="B854" s="204"/>
      <c r="C854" s="204"/>
      <c r="D854" s="47"/>
      <c r="E854" s="47"/>
      <c r="F854" s="69"/>
      <c r="G854" s="47"/>
      <c r="H854" s="195"/>
      <c r="I854" s="195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</row>
    <row r="855">
      <c r="A855" s="47"/>
      <c r="B855" s="204"/>
      <c r="C855" s="204"/>
      <c r="D855" s="47"/>
      <c r="E855" s="47"/>
      <c r="F855" s="69"/>
      <c r="G855" s="47"/>
      <c r="H855" s="195"/>
      <c r="I855" s="195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</row>
    <row r="856">
      <c r="A856" s="47"/>
      <c r="B856" s="204"/>
      <c r="C856" s="204"/>
      <c r="D856" s="47"/>
      <c r="E856" s="47"/>
      <c r="F856" s="69"/>
      <c r="G856" s="47"/>
      <c r="H856" s="195"/>
      <c r="I856" s="195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</row>
    <row r="857">
      <c r="A857" s="47"/>
      <c r="B857" s="204"/>
      <c r="C857" s="204"/>
      <c r="D857" s="47"/>
      <c r="E857" s="47"/>
      <c r="F857" s="69"/>
      <c r="G857" s="47"/>
      <c r="H857" s="195"/>
      <c r="I857" s="195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</row>
    <row r="858">
      <c r="A858" s="47"/>
      <c r="B858" s="204"/>
      <c r="C858" s="204"/>
      <c r="D858" s="47"/>
      <c r="E858" s="47"/>
      <c r="F858" s="69"/>
      <c r="G858" s="47"/>
      <c r="H858" s="195"/>
      <c r="I858" s="195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</row>
    <row r="859">
      <c r="A859" s="47"/>
      <c r="B859" s="204"/>
      <c r="C859" s="204"/>
      <c r="D859" s="47"/>
      <c r="E859" s="47"/>
      <c r="F859" s="69"/>
      <c r="G859" s="47"/>
      <c r="H859" s="195"/>
      <c r="I859" s="195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</row>
    <row r="860">
      <c r="A860" s="47"/>
      <c r="B860" s="204"/>
      <c r="C860" s="204"/>
      <c r="D860" s="47"/>
      <c r="E860" s="47"/>
      <c r="F860" s="69"/>
      <c r="G860" s="47"/>
      <c r="H860" s="195"/>
      <c r="I860" s="195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</row>
    <row r="861">
      <c r="A861" s="47"/>
      <c r="B861" s="204"/>
      <c r="C861" s="204"/>
      <c r="D861" s="47"/>
      <c r="E861" s="47"/>
      <c r="F861" s="69"/>
      <c r="G861" s="47"/>
      <c r="H861" s="195"/>
      <c r="I861" s="195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</row>
    <row r="862">
      <c r="A862" s="47"/>
      <c r="B862" s="204"/>
      <c r="C862" s="204"/>
      <c r="D862" s="47"/>
      <c r="E862" s="47"/>
      <c r="F862" s="69"/>
      <c r="G862" s="47"/>
      <c r="H862" s="195"/>
      <c r="I862" s="195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</row>
    <row r="863">
      <c r="A863" s="47"/>
      <c r="B863" s="204"/>
      <c r="C863" s="204"/>
      <c r="D863" s="47"/>
      <c r="E863" s="47"/>
      <c r="F863" s="69"/>
      <c r="G863" s="47"/>
      <c r="H863" s="195"/>
      <c r="I863" s="195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</row>
    <row r="864">
      <c r="A864" s="47"/>
      <c r="B864" s="204"/>
      <c r="C864" s="204"/>
      <c r="D864" s="47"/>
      <c r="E864" s="47"/>
      <c r="F864" s="69"/>
      <c r="G864" s="47"/>
      <c r="H864" s="195"/>
      <c r="I864" s="195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</row>
    <row r="865">
      <c r="A865" s="47"/>
      <c r="B865" s="204"/>
      <c r="C865" s="204"/>
      <c r="D865" s="47"/>
      <c r="E865" s="47"/>
      <c r="F865" s="69"/>
      <c r="G865" s="47"/>
      <c r="H865" s="195"/>
      <c r="I865" s="195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</row>
    <row r="866">
      <c r="A866" s="47"/>
      <c r="B866" s="204"/>
      <c r="C866" s="204"/>
      <c r="D866" s="47"/>
      <c r="E866" s="47"/>
      <c r="F866" s="69"/>
      <c r="G866" s="47"/>
      <c r="H866" s="195"/>
      <c r="I866" s="195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</row>
    <row r="867">
      <c r="A867" s="47"/>
      <c r="B867" s="204"/>
      <c r="C867" s="204"/>
      <c r="D867" s="47"/>
      <c r="E867" s="47"/>
      <c r="F867" s="69"/>
      <c r="G867" s="47"/>
      <c r="H867" s="195"/>
      <c r="I867" s="195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</row>
    <row r="868">
      <c r="A868" s="47"/>
      <c r="B868" s="204"/>
      <c r="C868" s="204"/>
      <c r="D868" s="47"/>
      <c r="E868" s="47"/>
      <c r="F868" s="69"/>
      <c r="G868" s="47"/>
      <c r="H868" s="195"/>
      <c r="I868" s="195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</row>
    <row r="869">
      <c r="A869" s="47"/>
      <c r="B869" s="204"/>
      <c r="C869" s="204"/>
      <c r="D869" s="47"/>
      <c r="E869" s="47"/>
      <c r="F869" s="69"/>
      <c r="G869" s="47"/>
      <c r="H869" s="195"/>
      <c r="I869" s="195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</row>
    <row r="870">
      <c r="A870" s="47"/>
      <c r="B870" s="204"/>
      <c r="C870" s="204"/>
      <c r="D870" s="47"/>
      <c r="E870" s="47"/>
      <c r="F870" s="69"/>
      <c r="G870" s="47"/>
      <c r="H870" s="195"/>
      <c r="I870" s="195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</row>
    <row r="871">
      <c r="A871" s="47"/>
      <c r="B871" s="204"/>
      <c r="C871" s="204"/>
      <c r="D871" s="47"/>
      <c r="E871" s="47"/>
      <c r="F871" s="69"/>
      <c r="G871" s="47"/>
      <c r="H871" s="195"/>
      <c r="I871" s="195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</row>
    <row r="872">
      <c r="A872" s="47"/>
      <c r="B872" s="204"/>
      <c r="C872" s="204"/>
      <c r="D872" s="47"/>
      <c r="E872" s="47"/>
      <c r="F872" s="69"/>
      <c r="G872" s="47"/>
      <c r="H872" s="195"/>
      <c r="I872" s="195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</row>
    <row r="873">
      <c r="A873" s="47"/>
      <c r="B873" s="204"/>
      <c r="C873" s="204"/>
      <c r="D873" s="47"/>
      <c r="E873" s="47"/>
      <c r="F873" s="69"/>
      <c r="G873" s="47"/>
      <c r="H873" s="195"/>
      <c r="I873" s="195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</row>
    <row r="874">
      <c r="A874" s="47"/>
      <c r="B874" s="204"/>
      <c r="C874" s="204"/>
      <c r="D874" s="47"/>
      <c r="E874" s="47"/>
      <c r="F874" s="69"/>
      <c r="G874" s="47"/>
      <c r="H874" s="195"/>
      <c r="I874" s="195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</row>
    <row r="875">
      <c r="A875" s="47"/>
      <c r="B875" s="204"/>
      <c r="C875" s="204"/>
      <c r="D875" s="47"/>
      <c r="E875" s="47"/>
      <c r="F875" s="69"/>
      <c r="G875" s="47"/>
      <c r="H875" s="195"/>
      <c r="I875" s="195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</row>
    <row r="876">
      <c r="A876" s="47"/>
      <c r="B876" s="204"/>
      <c r="C876" s="204"/>
      <c r="D876" s="47"/>
      <c r="E876" s="47"/>
      <c r="F876" s="69"/>
      <c r="G876" s="47"/>
      <c r="H876" s="195"/>
      <c r="I876" s="195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</row>
    <row r="877">
      <c r="A877" s="47"/>
      <c r="B877" s="204"/>
      <c r="C877" s="204"/>
      <c r="D877" s="47"/>
      <c r="E877" s="47"/>
      <c r="F877" s="69"/>
      <c r="G877" s="47"/>
      <c r="H877" s="195"/>
      <c r="I877" s="195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</row>
    <row r="878">
      <c r="A878" s="47"/>
      <c r="B878" s="204"/>
      <c r="C878" s="204"/>
      <c r="D878" s="47"/>
      <c r="E878" s="47"/>
      <c r="F878" s="69"/>
      <c r="G878" s="47"/>
      <c r="H878" s="195"/>
      <c r="I878" s="195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</row>
    <row r="879">
      <c r="A879" s="47"/>
      <c r="B879" s="204"/>
      <c r="C879" s="204"/>
      <c r="D879" s="47"/>
      <c r="E879" s="47"/>
      <c r="F879" s="69"/>
      <c r="G879" s="47"/>
      <c r="H879" s="195"/>
      <c r="I879" s="195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</row>
    <row r="880">
      <c r="A880" s="47"/>
      <c r="B880" s="204"/>
      <c r="C880" s="204"/>
      <c r="D880" s="47"/>
      <c r="E880" s="47"/>
      <c r="F880" s="69"/>
      <c r="G880" s="47"/>
      <c r="H880" s="195"/>
      <c r="I880" s="195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</row>
    <row r="881">
      <c r="A881" s="47"/>
      <c r="B881" s="204"/>
      <c r="C881" s="204"/>
      <c r="D881" s="47"/>
      <c r="E881" s="47"/>
      <c r="F881" s="69"/>
      <c r="G881" s="47"/>
      <c r="H881" s="195"/>
      <c r="I881" s="195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</row>
    <row r="882">
      <c r="A882" s="47"/>
      <c r="B882" s="204"/>
      <c r="C882" s="204"/>
      <c r="D882" s="47"/>
      <c r="E882" s="47"/>
      <c r="F882" s="69"/>
      <c r="G882" s="47"/>
      <c r="H882" s="195"/>
      <c r="I882" s="195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</row>
    <row r="883">
      <c r="A883" s="47"/>
      <c r="B883" s="204"/>
      <c r="C883" s="204"/>
      <c r="D883" s="47"/>
      <c r="E883" s="47"/>
      <c r="F883" s="69"/>
      <c r="G883" s="47"/>
      <c r="H883" s="195"/>
      <c r="I883" s="195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</row>
    <row r="884">
      <c r="A884" s="47"/>
      <c r="B884" s="204"/>
      <c r="C884" s="204"/>
      <c r="D884" s="47"/>
      <c r="E884" s="47"/>
      <c r="F884" s="69"/>
      <c r="G884" s="47"/>
      <c r="H884" s="195"/>
      <c r="I884" s="195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</row>
    <row r="885">
      <c r="A885" s="47"/>
      <c r="B885" s="204"/>
      <c r="C885" s="204"/>
      <c r="D885" s="47"/>
      <c r="E885" s="47"/>
      <c r="F885" s="69"/>
      <c r="G885" s="47"/>
      <c r="H885" s="195"/>
      <c r="I885" s="195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</row>
    <row r="886">
      <c r="A886" s="47"/>
      <c r="B886" s="204"/>
      <c r="C886" s="204"/>
      <c r="D886" s="47"/>
      <c r="E886" s="47"/>
      <c r="F886" s="69"/>
      <c r="G886" s="47"/>
      <c r="H886" s="195"/>
      <c r="I886" s="195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</row>
    <row r="887">
      <c r="A887" s="47"/>
      <c r="B887" s="204"/>
      <c r="C887" s="204"/>
      <c r="D887" s="47"/>
      <c r="E887" s="47"/>
      <c r="F887" s="69"/>
      <c r="G887" s="47"/>
      <c r="H887" s="195"/>
      <c r="I887" s="195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</row>
    <row r="888">
      <c r="A888" s="47"/>
      <c r="B888" s="204"/>
      <c r="C888" s="204"/>
      <c r="D888" s="47"/>
      <c r="E888" s="47"/>
      <c r="F888" s="69"/>
      <c r="G888" s="47"/>
      <c r="H888" s="195"/>
      <c r="I888" s="195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</row>
    <row r="889">
      <c r="A889" s="47"/>
      <c r="B889" s="204"/>
      <c r="C889" s="204"/>
      <c r="D889" s="47"/>
      <c r="E889" s="47"/>
      <c r="F889" s="69"/>
      <c r="G889" s="47"/>
      <c r="H889" s="195"/>
      <c r="I889" s="195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</row>
    <row r="890">
      <c r="A890" s="47"/>
      <c r="B890" s="204"/>
      <c r="C890" s="204"/>
      <c r="D890" s="47"/>
      <c r="E890" s="47"/>
      <c r="F890" s="69"/>
      <c r="G890" s="47"/>
      <c r="H890" s="195"/>
      <c r="I890" s="195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</row>
    <row r="891">
      <c r="A891" s="47"/>
      <c r="B891" s="204"/>
      <c r="C891" s="204"/>
      <c r="D891" s="47"/>
      <c r="E891" s="47"/>
      <c r="F891" s="69"/>
      <c r="G891" s="47"/>
      <c r="H891" s="195"/>
      <c r="I891" s="195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</row>
    <row r="892">
      <c r="A892" s="47"/>
      <c r="B892" s="204"/>
      <c r="C892" s="204"/>
      <c r="D892" s="47"/>
      <c r="E892" s="47"/>
      <c r="F892" s="69"/>
      <c r="G892" s="47"/>
      <c r="H892" s="195"/>
      <c r="I892" s="195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</row>
    <row r="893">
      <c r="A893" s="47"/>
      <c r="B893" s="204"/>
      <c r="C893" s="204"/>
      <c r="D893" s="47"/>
      <c r="E893" s="47"/>
      <c r="F893" s="69"/>
      <c r="G893" s="47"/>
      <c r="H893" s="195"/>
      <c r="I893" s="195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</row>
    <row r="894">
      <c r="A894" s="47"/>
      <c r="B894" s="204"/>
      <c r="C894" s="204"/>
      <c r="D894" s="47"/>
      <c r="E894" s="47"/>
      <c r="F894" s="69"/>
      <c r="G894" s="47"/>
      <c r="H894" s="195"/>
      <c r="I894" s="195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</row>
    <row r="895">
      <c r="A895" s="47"/>
      <c r="B895" s="204"/>
      <c r="C895" s="204"/>
      <c r="D895" s="47"/>
      <c r="E895" s="47"/>
      <c r="F895" s="69"/>
      <c r="G895" s="47"/>
      <c r="H895" s="195"/>
      <c r="I895" s="195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</row>
    <row r="896">
      <c r="A896" s="47"/>
      <c r="B896" s="204"/>
      <c r="C896" s="204"/>
      <c r="D896" s="47"/>
      <c r="E896" s="47"/>
      <c r="F896" s="69"/>
      <c r="G896" s="47"/>
      <c r="H896" s="195"/>
      <c r="I896" s="195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</row>
    <row r="897">
      <c r="A897" s="47"/>
      <c r="B897" s="204"/>
      <c r="C897" s="204"/>
      <c r="D897" s="47"/>
      <c r="E897" s="47"/>
      <c r="F897" s="69"/>
      <c r="G897" s="47"/>
      <c r="H897" s="195"/>
      <c r="I897" s="195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</row>
    <row r="898">
      <c r="A898" s="47"/>
      <c r="B898" s="204"/>
      <c r="C898" s="204"/>
      <c r="D898" s="47"/>
      <c r="E898" s="47"/>
      <c r="F898" s="69"/>
      <c r="G898" s="47"/>
      <c r="H898" s="195"/>
      <c r="I898" s="195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</row>
    <row r="899">
      <c r="A899" s="47"/>
      <c r="B899" s="204"/>
      <c r="C899" s="204"/>
      <c r="D899" s="47"/>
      <c r="E899" s="47"/>
      <c r="F899" s="69"/>
      <c r="G899" s="47"/>
      <c r="H899" s="195"/>
      <c r="I899" s="195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</row>
    <row r="900">
      <c r="A900" s="47"/>
      <c r="B900" s="204"/>
      <c r="C900" s="204"/>
      <c r="D900" s="47"/>
      <c r="E900" s="47"/>
      <c r="F900" s="69"/>
      <c r="G900" s="47"/>
      <c r="H900" s="195"/>
      <c r="I900" s="195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</row>
    <row r="901">
      <c r="A901" s="47"/>
      <c r="B901" s="204"/>
      <c r="C901" s="204"/>
      <c r="D901" s="47"/>
      <c r="E901" s="47"/>
      <c r="F901" s="69"/>
      <c r="G901" s="47"/>
      <c r="H901" s="195"/>
      <c r="I901" s="195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</row>
    <row r="902">
      <c r="A902" s="47"/>
      <c r="B902" s="204"/>
      <c r="C902" s="204"/>
      <c r="D902" s="47"/>
      <c r="E902" s="47"/>
      <c r="F902" s="69"/>
      <c r="G902" s="47"/>
      <c r="H902" s="195"/>
      <c r="I902" s="195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</row>
    <row r="903">
      <c r="A903" s="47"/>
      <c r="B903" s="204"/>
      <c r="C903" s="204"/>
      <c r="D903" s="47"/>
      <c r="E903" s="47"/>
      <c r="F903" s="69"/>
      <c r="G903" s="47"/>
      <c r="H903" s="195"/>
      <c r="I903" s="195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</row>
    <row r="904">
      <c r="A904" s="47"/>
      <c r="B904" s="204"/>
      <c r="C904" s="204"/>
      <c r="D904" s="47"/>
      <c r="E904" s="47"/>
      <c r="F904" s="69"/>
      <c r="G904" s="47"/>
      <c r="H904" s="195"/>
      <c r="I904" s="195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</row>
    <row r="905">
      <c r="A905" s="47"/>
      <c r="B905" s="204"/>
      <c r="C905" s="204"/>
      <c r="D905" s="47"/>
      <c r="E905" s="47"/>
      <c r="F905" s="69"/>
      <c r="G905" s="47"/>
      <c r="H905" s="195"/>
      <c r="I905" s="195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</row>
    <row r="906">
      <c r="A906" s="47"/>
      <c r="B906" s="204"/>
      <c r="C906" s="204"/>
      <c r="D906" s="47"/>
      <c r="E906" s="47"/>
      <c r="F906" s="69"/>
      <c r="G906" s="47"/>
      <c r="H906" s="195"/>
      <c r="I906" s="195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</row>
    <row r="907">
      <c r="A907" s="47"/>
      <c r="B907" s="204"/>
      <c r="C907" s="204"/>
      <c r="D907" s="47"/>
      <c r="E907" s="47"/>
      <c r="F907" s="69"/>
      <c r="G907" s="47"/>
      <c r="H907" s="195"/>
      <c r="I907" s="195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</row>
    <row r="908">
      <c r="A908" s="47"/>
      <c r="B908" s="204"/>
      <c r="C908" s="204"/>
      <c r="D908" s="47"/>
      <c r="E908" s="47"/>
      <c r="F908" s="69"/>
      <c r="G908" s="47"/>
      <c r="H908" s="195"/>
      <c r="I908" s="195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</row>
    <row r="909">
      <c r="A909" s="47"/>
      <c r="B909" s="204"/>
      <c r="C909" s="204"/>
      <c r="D909" s="47"/>
      <c r="E909" s="47"/>
      <c r="F909" s="69"/>
      <c r="G909" s="47"/>
      <c r="H909" s="195"/>
      <c r="I909" s="195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</row>
    <row r="910">
      <c r="A910" s="47"/>
      <c r="B910" s="204"/>
      <c r="C910" s="204"/>
      <c r="D910" s="47"/>
      <c r="E910" s="47"/>
      <c r="F910" s="69"/>
      <c r="G910" s="47"/>
      <c r="H910" s="195"/>
      <c r="I910" s="195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</row>
    <row r="911">
      <c r="A911" s="47"/>
      <c r="B911" s="204"/>
      <c r="C911" s="204"/>
      <c r="D911" s="47"/>
      <c r="E911" s="47"/>
      <c r="F911" s="69"/>
      <c r="G911" s="47"/>
      <c r="H911" s="195"/>
      <c r="I911" s="195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</row>
    <row r="912">
      <c r="A912" s="47"/>
      <c r="B912" s="204"/>
      <c r="C912" s="204"/>
      <c r="D912" s="47"/>
      <c r="E912" s="47"/>
      <c r="F912" s="69"/>
      <c r="G912" s="47"/>
      <c r="H912" s="195"/>
      <c r="I912" s="195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</row>
    <row r="913">
      <c r="A913" s="47"/>
      <c r="B913" s="204"/>
      <c r="C913" s="204"/>
      <c r="D913" s="47"/>
      <c r="E913" s="47"/>
      <c r="F913" s="69"/>
      <c r="G913" s="47"/>
      <c r="H913" s="195"/>
      <c r="I913" s="195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</row>
    <row r="914">
      <c r="A914" s="47"/>
      <c r="B914" s="204"/>
      <c r="C914" s="204"/>
      <c r="D914" s="47"/>
      <c r="E914" s="47"/>
      <c r="F914" s="69"/>
      <c r="G914" s="47"/>
      <c r="H914" s="195"/>
      <c r="I914" s="195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</row>
    <row r="915">
      <c r="A915" s="47"/>
      <c r="B915" s="204"/>
      <c r="C915" s="204"/>
      <c r="D915" s="47"/>
      <c r="E915" s="47"/>
      <c r="F915" s="69"/>
      <c r="G915" s="47"/>
      <c r="H915" s="195"/>
      <c r="I915" s="195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</row>
    <row r="916">
      <c r="A916" s="47"/>
      <c r="B916" s="204"/>
      <c r="C916" s="204"/>
      <c r="D916" s="47"/>
      <c r="E916" s="47"/>
      <c r="F916" s="69"/>
      <c r="G916" s="47"/>
      <c r="H916" s="195"/>
      <c r="I916" s="195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</row>
    <row r="917">
      <c r="A917" s="47"/>
      <c r="B917" s="204"/>
      <c r="C917" s="204"/>
      <c r="D917" s="47"/>
      <c r="E917" s="47"/>
      <c r="F917" s="69"/>
      <c r="G917" s="47"/>
      <c r="H917" s="195"/>
      <c r="I917" s="195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</row>
    <row r="918">
      <c r="A918" s="47"/>
      <c r="B918" s="204"/>
      <c r="C918" s="204"/>
      <c r="D918" s="47"/>
      <c r="E918" s="47"/>
      <c r="F918" s="69"/>
      <c r="G918" s="47"/>
      <c r="H918" s="195"/>
      <c r="I918" s="195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</row>
    <row r="919">
      <c r="A919" s="47"/>
      <c r="B919" s="204"/>
      <c r="C919" s="204"/>
      <c r="D919" s="47"/>
      <c r="E919" s="47"/>
      <c r="F919" s="69"/>
      <c r="G919" s="47"/>
      <c r="H919" s="195"/>
      <c r="I919" s="195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</row>
    <row r="920">
      <c r="A920" s="47"/>
      <c r="B920" s="204"/>
      <c r="C920" s="204"/>
      <c r="D920" s="47"/>
      <c r="E920" s="47"/>
      <c r="F920" s="69"/>
      <c r="G920" s="47"/>
      <c r="H920" s="195"/>
      <c r="I920" s="195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</row>
    <row r="921">
      <c r="A921" s="47"/>
      <c r="B921" s="204"/>
      <c r="C921" s="204"/>
      <c r="D921" s="47"/>
      <c r="E921" s="47"/>
      <c r="F921" s="69"/>
      <c r="G921" s="47"/>
      <c r="H921" s="195"/>
      <c r="I921" s="195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</row>
    <row r="922">
      <c r="A922" s="47"/>
      <c r="B922" s="204"/>
      <c r="C922" s="204"/>
      <c r="D922" s="47"/>
      <c r="E922" s="47"/>
      <c r="F922" s="69"/>
      <c r="G922" s="47"/>
      <c r="H922" s="195"/>
      <c r="I922" s="195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</row>
    <row r="923">
      <c r="A923" s="47"/>
      <c r="B923" s="204"/>
      <c r="C923" s="204"/>
      <c r="D923" s="47"/>
      <c r="E923" s="47"/>
      <c r="F923" s="69"/>
      <c r="G923" s="47"/>
      <c r="H923" s="195"/>
      <c r="I923" s="195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</row>
    <row r="924">
      <c r="A924" s="47"/>
      <c r="B924" s="204"/>
      <c r="C924" s="204"/>
      <c r="D924" s="47"/>
      <c r="E924" s="47"/>
      <c r="F924" s="69"/>
      <c r="G924" s="47"/>
      <c r="H924" s="195"/>
      <c r="I924" s="195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</row>
    <row r="925">
      <c r="A925" s="47"/>
      <c r="B925" s="204"/>
      <c r="C925" s="204"/>
      <c r="D925" s="47"/>
      <c r="E925" s="47"/>
      <c r="F925" s="69"/>
      <c r="G925" s="47"/>
      <c r="H925" s="195"/>
      <c r="I925" s="195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</row>
    <row r="926">
      <c r="A926" s="47"/>
      <c r="B926" s="204"/>
      <c r="C926" s="204"/>
      <c r="D926" s="47"/>
      <c r="E926" s="47"/>
      <c r="F926" s="69"/>
      <c r="G926" s="47"/>
      <c r="H926" s="195"/>
      <c r="I926" s="195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</row>
    <row r="927">
      <c r="A927" s="47"/>
      <c r="B927" s="204"/>
      <c r="C927" s="204"/>
      <c r="D927" s="47"/>
      <c r="E927" s="47"/>
      <c r="F927" s="69"/>
      <c r="G927" s="47"/>
      <c r="H927" s="195"/>
      <c r="I927" s="195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</row>
    <row r="928">
      <c r="A928" s="47"/>
      <c r="B928" s="204"/>
      <c r="C928" s="204"/>
      <c r="D928" s="47"/>
      <c r="E928" s="47"/>
      <c r="F928" s="69"/>
      <c r="G928" s="47"/>
      <c r="H928" s="195"/>
      <c r="I928" s="195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</row>
    <row r="929">
      <c r="A929" s="47"/>
      <c r="B929" s="204"/>
      <c r="C929" s="204"/>
      <c r="D929" s="47"/>
      <c r="E929" s="47"/>
      <c r="F929" s="69"/>
      <c r="G929" s="47"/>
      <c r="H929" s="195"/>
      <c r="I929" s="195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</row>
    <row r="930">
      <c r="A930" s="47"/>
      <c r="B930" s="204"/>
      <c r="C930" s="204"/>
      <c r="D930" s="47"/>
      <c r="E930" s="47"/>
      <c r="F930" s="69"/>
      <c r="G930" s="47"/>
      <c r="H930" s="195"/>
      <c r="I930" s="195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</row>
    <row r="931">
      <c r="A931" s="47"/>
      <c r="B931" s="204"/>
      <c r="C931" s="204"/>
      <c r="D931" s="47"/>
      <c r="E931" s="47"/>
      <c r="F931" s="69"/>
      <c r="G931" s="47"/>
      <c r="H931" s="195"/>
      <c r="I931" s="195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</row>
    <row r="932">
      <c r="A932" s="47"/>
      <c r="B932" s="204"/>
      <c r="C932" s="204"/>
      <c r="D932" s="47"/>
      <c r="E932" s="47"/>
      <c r="F932" s="69"/>
      <c r="G932" s="47"/>
      <c r="H932" s="195"/>
      <c r="I932" s="195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</row>
    <row r="933">
      <c r="A933" s="47"/>
      <c r="B933" s="204"/>
      <c r="C933" s="204"/>
      <c r="D933" s="47"/>
      <c r="E933" s="47"/>
      <c r="F933" s="69"/>
      <c r="G933" s="47"/>
      <c r="H933" s="195"/>
      <c r="I933" s="195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</row>
    <row r="934">
      <c r="A934" s="47"/>
      <c r="B934" s="204"/>
      <c r="C934" s="204"/>
      <c r="D934" s="47"/>
      <c r="E934" s="47"/>
      <c r="F934" s="69"/>
      <c r="G934" s="47"/>
      <c r="H934" s="195"/>
      <c r="I934" s="195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</row>
    <row r="935">
      <c r="A935" s="47"/>
      <c r="B935" s="204"/>
      <c r="C935" s="204"/>
      <c r="D935" s="47"/>
      <c r="E935" s="47"/>
      <c r="F935" s="69"/>
      <c r="G935" s="47"/>
      <c r="H935" s="195"/>
      <c r="I935" s="195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</row>
    <row r="936">
      <c r="A936" s="47"/>
      <c r="B936" s="204"/>
      <c r="C936" s="204"/>
      <c r="D936" s="47"/>
      <c r="E936" s="47"/>
      <c r="F936" s="69"/>
      <c r="G936" s="47"/>
      <c r="H936" s="195"/>
      <c r="I936" s="195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</row>
    <row r="937">
      <c r="A937" s="47"/>
      <c r="B937" s="204"/>
      <c r="C937" s="204"/>
      <c r="D937" s="47"/>
      <c r="E937" s="47"/>
      <c r="F937" s="69"/>
      <c r="G937" s="47"/>
      <c r="H937" s="195"/>
      <c r="I937" s="195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</row>
    <row r="938">
      <c r="A938" s="47"/>
      <c r="B938" s="204"/>
      <c r="C938" s="204"/>
      <c r="D938" s="47"/>
      <c r="E938" s="47"/>
      <c r="F938" s="69"/>
      <c r="G938" s="47"/>
      <c r="H938" s="195"/>
      <c r="I938" s="195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</row>
    <row r="939">
      <c r="A939" s="47"/>
      <c r="B939" s="204"/>
      <c r="C939" s="204"/>
      <c r="D939" s="47"/>
      <c r="E939" s="47"/>
      <c r="F939" s="69"/>
      <c r="G939" s="47"/>
      <c r="H939" s="195"/>
      <c r="I939" s="195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</row>
    <row r="940">
      <c r="A940" s="47"/>
      <c r="B940" s="204"/>
      <c r="C940" s="204"/>
      <c r="D940" s="47"/>
      <c r="E940" s="47"/>
      <c r="F940" s="69"/>
      <c r="G940" s="47"/>
      <c r="H940" s="195"/>
      <c r="I940" s="195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</row>
    <row r="941">
      <c r="A941" s="47"/>
      <c r="B941" s="204"/>
      <c r="C941" s="204"/>
      <c r="D941" s="47"/>
      <c r="E941" s="47"/>
      <c r="F941" s="69"/>
      <c r="G941" s="47"/>
      <c r="H941" s="195"/>
      <c r="I941" s="195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</row>
    <row r="942">
      <c r="A942" s="47"/>
      <c r="B942" s="204"/>
      <c r="C942" s="204"/>
      <c r="D942" s="47"/>
      <c r="E942" s="47"/>
      <c r="F942" s="69"/>
      <c r="G942" s="47"/>
      <c r="H942" s="195"/>
      <c r="I942" s="195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</row>
    <row r="943">
      <c r="A943" s="47"/>
      <c r="B943" s="204"/>
      <c r="C943" s="204"/>
      <c r="D943" s="47"/>
      <c r="E943" s="47"/>
      <c r="F943" s="69"/>
      <c r="G943" s="47"/>
      <c r="H943" s="195"/>
      <c r="I943" s="195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</row>
    <row r="944">
      <c r="A944" s="47"/>
      <c r="B944" s="204"/>
      <c r="C944" s="204"/>
      <c r="D944" s="47"/>
      <c r="E944" s="47"/>
      <c r="F944" s="69"/>
      <c r="G944" s="47"/>
      <c r="H944" s="195"/>
      <c r="I944" s="195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</row>
    <row r="945">
      <c r="A945" s="47"/>
      <c r="B945" s="204"/>
      <c r="C945" s="204"/>
      <c r="D945" s="47"/>
      <c r="E945" s="47"/>
      <c r="F945" s="69"/>
      <c r="G945" s="47"/>
      <c r="H945" s="195"/>
      <c r="I945" s="195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</row>
    <row r="946">
      <c r="A946" s="47"/>
      <c r="B946" s="204"/>
      <c r="C946" s="204"/>
      <c r="D946" s="47"/>
      <c r="E946" s="47"/>
      <c r="F946" s="69"/>
      <c r="G946" s="47"/>
      <c r="H946" s="195"/>
      <c r="I946" s="195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</row>
  </sheetData>
  <mergeCells count="20">
    <mergeCell ref="A1:I1"/>
    <mergeCell ref="A18:G18"/>
    <mergeCell ref="I18:O18"/>
    <mergeCell ref="A35:G35"/>
    <mergeCell ref="A52:G52"/>
    <mergeCell ref="A69:G69"/>
    <mergeCell ref="A86:G86"/>
    <mergeCell ref="A173:G173"/>
    <mergeCell ref="A190:G190"/>
    <mergeCell ref="I190:O190"/>
    <mergeCell ref="A207:G207"/>
    <mergeCell ref="I207:O207"/>
    <mergeCell ref="A224:H224"/>
    <mergeCell ref="A103:G103"/>
    <mergeCell ref="Q105:W105"/>
    <mergeCell ref="A121:G121"/>
    <mergeCell ref="I121:O121"/>
    <mergeCell ref="Q121:W121"/>
    <mergeCell ref="A139:G139"/>
    <mergeCell ref="A156:G156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6.38"/>
    <col customWidth="1" min="3" max="3" width="18.38"/>
    <col customWidth="1" min="4" max="4" width="13.0"/>
    <col customWidth="1" min="5" max="5" width="14.38"/>
    <col customWidth="1" min="6" max="6" width="17.88"/>
    <col customWidth="1" min="7" max="7" width="13.75"/>
    <col customWidth="1" min="8" max="8" width="14.75"/>
    <col customWidth="1" min="9" max="9" width="16.13"/>
  </cols>
  <sheetData>
    <row r="1">
      <c r="A1" s="189" t="s">
        <v>1211</v>
      </c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</row>
    <row r="2">
      <c r="A2" s="190"/>
      <c r="B2" s="191" t="s">
        <v>1134</v>
      </c>
      <c r="C2" s="191" t="s">
        <v>1135</v>
      </c>
      <c r="D2" s="72" t="s">
        <v>1136</v>
      </c>
      <c r="E2" s="72" t="s">
        <v>1137</v>
      </c>
      <c r="F2" s="192" t="s">
        <v>1138</v>
      </c>
      <c r="G2" s="72" t="s">
        <v>1139</v>
      </c>
      <c r="H2" s="193" t="s">
        <v>1140</v>
      </c>
      <c r="I2" s="193" t="s">
        <v>1141</v>
      </c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</row>
    <row r="3">
      <c r="A3" s="72" t="s">
        <v>1142</v>
      </c>
      <c r="B3" s="194" t="s">
        <v>1143</v>
      </c>
      <c r="C3" s="194" t="s">
        <v>1144</v>
      </c>
      <c r="D3" s="43">
        <v>2.5</v>
      </c>
      <c r="E3" s="43">
        <v>1.25</v>
      </c>
      <c r="F3" s="70">
        <v>16.0</v>
      </c>
      <c r="G3" s="43">
        <v>25.6</v>
      </c>
      <c r="H3" s="195">
        <v>6103515.625</v>
      </c>
      <c r="I3" s="195">
        <v>3051757.8125</v>
      </c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>
      <c r="A4" s="72" t="s">
        <v>1145</v>
      </c>
      <c r="B4" s="194" t="s">
        <v>1146</v>
      </c>
      <c r="C4" s="194" t="s">
        <v>1147</v>
      </c>
      <c r="D4" s="43">
        <v>1.25</v>
      </c>
      <c r="E4" s="196">
        <v>6.103516E-5</v>
      </c>
      <c r="F4" s="70">
        <v>16.0</v>
      </c>
      <c r="G4" s="43">
        <v>25.6</v>
      </c>
      <c r="H4" s="195">
        <v>3051757.8125</v>
      </c>
      <c r="I4" s="195">
        <v>149.01162109375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>
      <c r="A5" s="72" t="s">
        <v>1148</v>
      </c>
      <c r="B5" s="194" t="s">
        <v>1149</v>
      </c>
      <c r="C5" s="194" t="s">
        <v>1150</v>
      </c>
      <c r="D5" s="43">
        <v>9.375</v>
      </c>
      <c r="E5" s="47">
        <v>4.6875</v>
      </c>
      <c r="F5" s="70">
        <v>16.0</v>
      </c>
      <c r="G5" s="43">
        <v>25.6</v>
      </c>
      <c r="H5" s="195">
        <v>2.288818359375E7</v>
      </c>
      <c r="I5" s="195">
        <v>1.1444091796875E7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>
      <c r="A6" s="72" t="s">
        <v>1151</v>
      </c>
      <c r="B6" s="194" t="s">
        <v>1152</v>
      </c>
      <c r="C6" s="197" t="s">
        <v>1153</v>
      </c>
      <c r="D6" s="43">
        <v>0.25</v>
      </c>
      <c r="E6" s="43">
        <v>0.002097152</v>
      </c>
      <c r="F6" s="70">
        <v>16.0</v>
      </c>
      <c r="G6" s="43">
        <v>25.6</v>
      </c>
      <c r="H6" s="195">
        <v>610351.5625</v>
      </c>
      <c r="I6" s="195">
        <v>5120.0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>
      <c r="A7" s="72" t="s">
        <v>1154</v>
      </c>
      <c r="B7" s="194" t="s">
        <v>1155</v>
      </c>
      <c r="C7" s="194" t="s">
        <v>1156</v>
      </c>
      <c r="D7" s="43">
        <v>8.388608</v>
      </c>
      <c r="E7" s="43">
        <v>0.0</v>
      </c>
      <c r="F7" s="70">
        <v>16.0</v>
      </c>
      <c r="G7" s="43">
        <v>25.6</v>
      </c>
      <c r="H7" s="195">
        <v>2.048E7</v>
      </c>
      <c r="I7" s="195">
        <v>0.0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>
      <c r="A8" s="72" t="s">
        <v>37</v>
      </c>
      <c r="B8" s="199" t="s">
        <v>1157</v>
      </c>
      <c r="C8" s="199" t="s">
        <v>1158</v>
      </c>
      <c r="D8" s="43">
        <v>1.152</v>
      </c>
      <c r="E8" s="43">
        <v>1.152</v>
      </c>
      <c r="F8" s="70">
        <v>16.0</v>
      </c>
      <c r="G8" s="43">
        <v>25.6</v>
      </c>
      <c r="H8" s="195">
        <v>2812499.9999999995</v>
      </c>
      <c r="I8" s="195">
        <v>2812499.9999999995</v>
      </c>
      <c r="J8" s="72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>
      <c r="A9" s="193" t="s">
        <v>1159</v>
      </c>
      <c r="B9" s="200" t="s">
        <v>1160</v>
      </c>
      <c r="C9" s="200" t="s">
        <v>1161</v>
      </c>
      <c r="D9" s="201">
        <v>0.671121408</v>
      </c>
      <c r="E9" s="201">
        <v>6.144E-5</v>
      </c>
      <c r="F9" s="70">
        <v>16.0</v>
      </c>
      <c r="G9" s="43">
        <v>25.6</v>
      </c>
      <c r="H9" s="195">
        <v>1638480.0</v>
      </c>
      <c r="I9" s="195">
        <v>149.99999999999997</v>
      </c>
      <c r="J9" s="202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</row>
    <row r="10">
      <c r="A10" s="72" t="s">
        <v>1162</v>
      </c>
      <c r="B10" s="203" t="s">
        <v>1163</v>
      </c>
      <c r="C10" s="197" t="s">
        <v>1164</v>
      </c>
      <c r="D10" s="43">
        <v>0.0528716400000237</v>
      </c>
      <c r="E10" s="43">
        <v>6.90303875E-4</v>
      </c>
      <c r="F10" s="70">
        <v>16.0</v>
      </c>
      <c r="G10" s="43">
        <v>25.6</v>
      </c>
      <c r="H10" s="195">
        <v>129081.15234380786</v>
      </c>
      <c r="I10" s="195">
        <v>1685.3121948242188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72" t="s">
        <v>1165</v>
      </c>
      <c r="B11" s="197" t="s">
        <v>1166</v>
      </c>
      <c r="C11" s="194" t="s">
        <v>1167</v>
      </c>
      <c r="D11" s="43">
        <v>0.30408704000000003</v>
      </c>
      <c r="E11" s="196">
        <v>2.3200000000000002E-6</v>
      </c>
      <c r="F11" s="70">
        <v>16.0</v>
      </c>
      <c r="G11" s="43">
        <v>25.6</v>
      </c>
      <c r="H11" s="195">
        <v>742400.0</v>
      </c>
      <c r="I11" s="195">
        <v>5.6640625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>
      <c r="A12" s="72" t="s">
        <v>1168</v>
      </c>
      <c r="B12" s="203" t="s">
        <v>1169</v>
      </c>
      <c r="C12" s="194" t="s">
        <v>1170</v>
      </c>
      <c r="D12" s="43">
        <v>3.750006152</v>
      </c>
      <c r="E12" s="196">
        <v>2.048E-6</v>
      </c>
      <c r="F12" s="70">
        <v>16.0</v>
      </c>
      <c r="G12" s="43">
        <v>25.6</v>
      </c>
      <c r="H12" s="195">
        <v>9155288.457031248</v>
      </c>
      <c r="I12" s="195">
        <v>5.0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72" t="s">
        <v>1171</v>
      </c>
      <c r="B13" s="194" t="s">
        <v>1172</v>
      </c>
      <c r="C13" s="203" t="s">
        <v>1173</v>
      </c>
      <c r="D13" s="43">
        <v>8.388608</v>
      </c>
      <c r="E13" s="43">
        <v>8.38864</v>
      </c>
      <c r="F13" s="70">
        <v>1.0</v>
      </c>
      <c r="G13" s="43">
        <v>25.6</v>
      </c>
      <c r="H13" s="195">
        <v>3.2768E8</v>
      </c>
      <c r="I13" s="195">
        <v>3.2768125E8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>
      <c r="A14" s="72" t="s">
        <v>1174</v>
      </c>
      <c r="B14" s="194" t="s">
        <v>1175</v>
      </c>
      <c r="C14" s="203" t="s">
        <v>1176</v>
      </c>
      <c r="D14" s="196">
        <v>0.39999999999999997</v>
      </c>
      <c r="E14" s="196">
        <v>0.008</v>
      </c>
      <c r="F14" s="70">
        <v>1.0</v>
      </c>
      <c r="G14" s="43">
        <v>25.6</v>
      </c>
      <c r="H14" s="195">
        <v>1.5624999999999998E7</v>
      </c>
      <c r="I14" s="195">
        <v>312500.0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72" t="s">
        <v>1177</v>
      </c>
      <c r="B15" s="194" t="s">
        <v>1178</v>
      </c>
      <c r="C15" s="194" t="s">
        <v>1178</v>
      </c>
      <c r="D15" s="43">
        <v>0.001</v>
      </c>
      <c r="E15" s="43">
        <v>0.001</v>
      </c>
      <c r="F15" s="70">
        <v>16.0</v>
      </c>
      <c r="G15" s="43">
        <v>25.6</v>
      </c>
      <c r="H15" s="195">
        <v>2441.40625</v>
      </c>
      <c r="I15" s="195">
        <v>2441.40625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7">
      <c r="A17" s="206" t="s">
        <v>1212</v>
      </c>
      <c r="J17" s="234"/>
      <c r="K17" s="234"/>
      <c r="L17" s="234"/>
      <c r="M17" s="234"/>
      <c r="N17" s="234"/>
    </row>
    <row r="18">
      <c r="A18" s="6" t="s">
        <v>1181</v>
      </c>
      <c r="B18" s="6" t="s">
        <v>1186</v>
      </c>
      <c r="C18" s="73" t="s">
        <v>1140</v>
      </c>
      <c r="D18" s="73" t="s">
        <v>1183</v>
      </c>
      <c r="E18" s="6" t="s">
        <v>1184</v>
      </c>
      <c r="F18" s="50" t="s">
        <v>1213</v>
      </c>
      <c r="G18" s="6" t="s">
        <v>1214</v>
      </c>
      <c r="H18" s="126"/>
      <c r="L18" s="210"/>
      <c r="M18" s="210"/>
    </row>
    <row r="19">
      <c r="A19" s="198" t="s">
        <v>1142</v>
      </c>
      <c r="B19" s="235">
        <v>61802.496</v>
      </c>
      <c r="C19" s="236">
        <f t="shared" ref="C19:D19" si="1">H3</f>
        <v>6103515.625</v>
      </c>
      <c r="D19" s="236">
        <f t="shared" si="1"/>
        <v>3051757.813</v>
      </c>
      <c r="E19" s="235">
        <f t="shared" ref="E19:E25" si="3">B19+C19+D19</f>
        <v>9217075.934</v>
      </c>
      <c r="F19" s="235">
        <v>1.220749999787791E8</v>
      </c>
      <c r="G19" s="237">
        <f t="shared" ref="G19:G25" si="4">F19/E19</f>
        <v>13.244439</v>
      </c>
      <c r="H19" s="198"/>
      <c r="I19" s="237"/>
      <c r="J19" s="238"/>
      <c r="K19" s="236"/>
      <c r="L19" s="236"/>
      <c r="M19" s="236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</row>
    <row r="20">
      <c r="A20" s="3" t="s">
        <v>1145</v>
      </c>
      <c r="B20" s="18">
        <v>331811.83999999997</v>
      </c>
      <c r="C20" s="210">
        <f t="shared" ref="C20:D20" si="2">H4</f>
        <v>3051757.813</v>
      </c>
      <c r="D20" s="210">
        <f t="shared" si="2"/>
        <v>149.0116211</v>
      </c>
      <c r="E20" s="18">
        <f t="shared" si="3"/>
        <v>3383718.664</v>
      </c>
      <c r="F20" s="18">
        <v>7.0984E7</v>
      </c>
      <c r="G20" s="10">
        <f t="shared" si="4"/>
        <v>20.9781034</v>
      </c>
      <c r="H20" s="72"/>
      <c r="J20" s="72"/>
      <c r="K20" s="210"/>
      <c r="L20" s="210"/>
      <c r="M20" s="210"/>
    </row>
    <row r="21">
      <c r="A21" s="3" t="s">
        <v>1148</v>
      </c>
      <c r="B21" s="18">
        <v>3.180969163008E9</v>
      </c>
      <c r="C21" s="210">
        <f t="shared" ref="C21:D21" si="5">H5</f>
        <v>22888183.59</v>
      </c>
      <c r="D21" s="210">
        <f t="shared" si="5"/>
        <v>11444091.8</v>
      </c>
      <c r="E21" s="18">
        <f t="shared" si="3"/>
        <v>3215301438</v>
      </c>
      <c r="F21" s="18">
        <v>3.1980722999999996E10</v>
      </c>
      <c r="G21" s="10">
        <f t="shared" si="4"/>
        <v>9.946415169</v>
      </c>
      <c r="H21" s="72"/>
      <c r="J21" s="72"/>
      <c r="K21" s="210"/>
      <c r="L21" s="210"/>
      <c r="M21" s="210"/>
    </row>
    <row r="22">
      <c r="A22" s="227" t="s">
        <v>1159</v>
      </c>
      <c r="B22" s="18">
        <v>3268548.4800000004</v>
      </c>
      <c r="C22" s="210">
        <f t="shared" ref="C22:D22" si="6">H9</f>
        <v>1638480</v>
      </c>
      <c r="D22" s="210">
        <f t="shared" si="6"/>
        <v>150</v>
      </c>
      <c r="E22" s="18">
        <f t="shared" si="3"/>
        <v>4907178.48</v>
      </c>
      <c r="F22" s="18">
        <v>1.82556E8</v>
      </c>
      <c r="G22" s="10">
        <f t="shared" si="4"/>
        <v>37.20182601</v>
      </c>
      <c r="H22" s="193"/>
      <c r="J22" s="193"/>
      <c r="K22" s="210"/>
      <c r="L22" s="210"/>
      <c r="M22" s="210"/>
    </row>
    <row r="23">
      <c r="A23" s="3" t="s">
        <v>1171</v>
      </c>
      <c r="B23" s="18">
        <v>5.623334912E9</v>
      </c>
      <c r="C23" s="210">
        <f t="shared" ref="C23:D23" si="7">H13</f>
        <v>327680000</v>
      </c>
      <c r="D23" s="210">
        <f t="shared" si="7"/>
        <v>327681250</v>
      </c>
      <c r="E23" s="18">
        <f t="shared" si="3"/>
        <v>6278696162</v>
      </c>
      <c r="F23" s="18">
        <v>7.737020907709145E10</v>
      </c>
      <c r="G23" s="10">
        <f t="shared" si="4"/>
        <v>12.32265539</v>
      </c>
      <c r="H23" s="72"/>
      <c r="J23" s="72"/>
      <c r="K23" s="210"/>
      <c r="L23" s="210"/>
      <c r="M23" s="210"/>
    </row>
    <row r="24">
      <c r="A24" s="3" t="s">
        <v>1174</v>
      </c>
      <c r="B24" s="50">
        <v>7.4268079968E7</v>
      </c>
      <c r="C24" s="210">
        <f t="shared" ref="C24:D24" si="8">H14</f>
        <v>15625000</v>
      </c>
      <c r="D24" s="210">
        <f t="shared" si="8"/>
        <v>312500</v>
      </c>
      <c r="E24" s="18">
        <f t="shared" si="3"/>
        <v>90205579.97</v>
      </c>
      <c r="F24" s="18">
        <v>2.173939209651061E9</v>
      </c>
      <c r="G24" s="10">
        <f t="shared" si="4"/>
        <v>24.09983075</v>
      </c>
      <c r="H24" s="198"/>
      <c r="J24" s="198"/>
      <c r="K24" s="210"/>
      <c r="L24" s="210"/>
      <c r="M24" s="210"/>
    </row>
    <row r="25">
      <c r="A25" s="3" t="s">
        <v>1177</v>
      </c>
      <c r="B25" s="50">
        <v>137898.0</v>
      </c>
      <c r="C25" s="210">
        <f t="shared" ref="C25:D25" si="9">H15</f>
        <v>2441.40625</v>
      </c>
      <c r="D25" s="210">
        <f t="shared" si="9"/>
        <v>2441.40625</v>
      </c>
      <c r="E25" s="18">
        <f t="shared" si="3"/>
        <v>142780.8125</v>
      </c>
      <c r="F25" s="18">
        <v>1.37277E7</v>
      </c>
      <c r="G25" s="10">
        <f t="shared" si="4"/>
        <v>96.14527162</v>
      </c>
      <c r="H25" s="72"/>
      <c r="I25" s="10">
        <f>1.2*F25</f>
        <v>16473240</v>
      </c>
      <c r="J25" s="72"/>
      <c r="K25" s="210"/>
      <c r="L25" s="210"/>
      <c r="M25" s="210"/>
    </row>
    <row r="26">
      <c r="A26" s="6" t="s">
        <v>1189</v>
      </c>
      <c r="C26" s="210"/>
      <c r="D26" s="210"/>
      <c r="E26" s="18"/>
      <c r="F26" s="18"/>
      <c r="G26" s="216">
        <f>GEOMEAN(G19:G25)</f>
        <v>22.5177641</v>
      </c>
      <c r="H26" s="72"/>
      <c r="M26" s="210"/>
    </row>
    <row r="27">
      <c r="B27" s="18"/>
      <c r="C27" s="210"/>
      <c r="D27" s="210"/>
      <c r="E27" s="18"/>
      <c r="F27" s="209"/>
      <c r="M27" s="210"/>
    </row>
    <row r="28">
      <c r="M28" s="210"/>
    </row>
    <row r="29">
      <c r="A29" s="206" t="s">
        <v>1215</v>
      </c>
      <c r="M29" s="210"/>
    </row>
    <row r="30">
      <c r="A30" s="6" t="s">
        <v>1181</v>
      </c>
      <c r="B30" s="6" t="s">
        <v>1186</v>
      </c>
      <c r="C30" s="73" t="s">
        <v>1140</v>
      </c>
      <c r="D30" s="73" t="s">
        <v>1183</v>
      </c>
      <c r="E30" s="6" t="s">
        <v>1184</v>
      </c>
      <c r="F30" s="50" t="s">
        <v>1213</v>
      </c>
      <c r="G30" s="6" t="s">
        <v>1214</v>
      </c>
      <c r="H30" s="126"/>
    </row>
    <row r="31">
      <c r="A31" s="198" t="s">
        <v>1142</v>
      </c>
      <c r="B31" s="239">
        <v>309012.0</v>
      </c>
      <c r="C31" s="236">
        <f t="shared" ref="C31:D31" si="10">H3</f>
        <v>6103515.625</v>
      </c>
      <c r="D31" s="236">
        <f t="shared" si="10"/>
        <v>3051757.813</v>
      </c>
      <c r="E31" s="235">
        <f t="shared" ref="E31:E37" si="12">B31+C31+D31</f>
        <v>9464285.438</v>
      </c>
      <c r="F31" s="235">
        <v>1.220749999787791E8</v>
      </c>
      <c r="G31" s="237">
        <f t="shared" ref="G31:G37" si="13">F31/E31</f>
        <v>12.89849094</v>
      </c>
      <c r="H31" s="198"/>
      <c r="I31" s="237"/>
    </row>
    <row r="32">
      <c r="A32" s="3" t="s">
        <v>1145</v>
      </c>
      <c r="B32" s="50">
        <v>2654495.0</v>
      </c>
      <c r="C32" s="236">
        <f t="shared" ref="C32:D32" si="11">H4</f>
        <v>3051757.813</v>
      </c>
      <c r="D32" s="236">
        <f t="shared" si="11"/>
        <v>149.0116211</v>
      </c>
      <c r="E32" s="18">
        <f t="shared" si="12"/>
        <v>5706401.824</v>
      </c>
      <c r="F32" s="18">
        <v>7.0984E7</v>
      </c>
      <c r="G32" s="10">
        <f t="shared" si="13"/>
        <v>12.43936235</v>
      </c>
      <c r="H32" s="72"/>
    </row>
    <row r="33">
      <c r="A33" s="3" t="s">
        <v>1148</v>
      </c>
      <c r="B33" s="50">
        <v>3.189287856E9</v>
      </c>
      <c r="C33" s="236">
        <f t="shared" ref="C33:D33" si="14">H5</f>
        <v>22888183.59</v>
      </c>
      <c r="D33" s="236">
        <f t="shared" si="14"/>
        <v>11444091.8</v>
      </c>
      <c r="E33" s="18">
        <f t="shared" si="12"/>
        <v>3223620131</v>
      </c>
      <c r="F33" s="18">
        <v>3.1980722999999996E10</v>
      </c>
      <c r="G33" s="10">
        <f t="shared" si="13"/>
        <v>9.920748009</v>
      </c>
      <c r="H33" s="72"/>
    </row>
    <row r="34">
      <c r="A34" s="227" t="s">
        <v>1159</v>
      </c>
      <c r="B34" s="50">
        <v>3674127.0</v>
      </c>
      <c r="C34" s="236">
        <f t="shared" ref="C34:D34" si="15">H9</f>
        <v>1638480</v>
      </c>
      <c r="D34" s="236">
        <f t="shared" si="15"/>
        <v>150</v>
      </c>
      <c r="E34" s="18">
        <f t="shared" si="12"/>
        <v>5312757</v>
      </c>
      <c r="F34" s="18">
        <v>1.82556E8</v>
      </c>
      <c r="G34" s="10">
        <f t="shared" si="13"/>
        <v>34.36182005</v>
      </c>
      <c r="H34" s="193"/>
    </row>
    <row r="35">
      <c r="A35" s="3" t="s">
        <v>1171</v>
      </c>
      <c r="B35" s="50">
        <v>4.4407996416E10</v>
      </c>
      <c r="C35" s="236">
        <f t="shared" ref="C35:D35" si="16">H13</f>
        <v>327680000</v>
      </c>
      <c r="D35" s="236">
        <f t="shared" si="16"/>
        <v>327681250</v>
      </c>
      <c r="E35" s="18">
        <f t="shared" si="12"/>
        <v>45063357666</v>
      </c>
      <c r="F35" s="18">
        <v>7.737020907709145E10</v>
      </c>
      <c r="G35" s="10">
        <f t="shared" si="13"/>
        <v>1.716920644</v>
      </c>
      <c r="H35" s="72"/>
    </row>
    <row r="36">
      <c r="A36" s="3" t="s">
        <v>1174</v>
      </c>
      <c r="B36" s="50">
        <v>5.60726491E8</v>
      </c>
      <c r="C36" s="236">
        <f t="shared" ref="C36:D36" si="17">H14</f>
        <v>15625000</v>
      </c>
      <c r="D36" s="236">
        <f t="shared" si="17"/>
        <v>312500</v>
      </c>
      <c r="E36" s="18">
        <f t="shared" si="12"/>
        <v>576663991</v>
      </c>
      <c r="F36" s="18">
        <v>2.173939209651061E9</v>
      </c>
      <c r="G36" s="10">
        <f t="shared" si="13"/>
        <v>3.769854271</v>
      </c>
      <c r="H36" s="198"/>
    </row>
    <row r="37">
      <c r="A37" s="3" t="s">
        <v>1177</v>
      </c>
      <c r="B37" s="50">
        <v>1103182.0</v>
      </c>
      <c r="C37" s="236">
        <f t="shared" ref="C37:D37" si="18">H15</f>
        <v>2441.40625</v>
      </c>
      <c r="D37" s="236">
        <f t="shared" si="18"/>
        <v>2441.40625</v>
      </c>
      <c r="E37" s="18">
        <f t="shared" si="12"/>
        <v>1108064.813</v>
      </c>
      <c r="F37" s="18">
        <v>1.37277E7</v>
      </c>
      <c r="G37" s="10">
        <f t="shared" si="13"/>
        <v>12.38889625</v>
      </c>
      <c r="H37" s="72"/>
    </row>
    <row r="38">
      <c r="A38" s="6" t="s">
        <v>1189</v>
      </c>
      <c r="C38" s="210"/>
      <c r="D38" s="210"/>
      <c r="E38" s="18"/>
      <c r="F38" s="18"/>
      <c r="G38" s="216">
        <f>GEOMEAN(G31:G37)</f>
        <v>8.889276777</v>
      </c>
      <c r="H38" s="72"/>
    </row>
    <row r="39">
      <c r="A39" s="3"/>
    </row>
    <row r="40">
      <c r="A40" s="206" t="s">
        <v>1216</v>
      </c>
    </row>
    <row r="41">
      <c r="A41" s="6" t="s">
        <v>1181</v>
      </c>
      <c r="B41" s="6" t="s">
        <v>1186</v>
      </c>
      <c r="C41" s="73" t="s">
        <v>1140</v>
      </c>
      <c r="D41" s="73" t="s">
        <v>1183</v>
      </c>
      <c r="E41" s="6" t="s">
        <v>1184</v>
      </c>
      <c r="F41" s="50" t="s">
        <v>1213</v>
      </c>
      <c r="G41" s="6" t="s">
        <v>1214</v>
      </c>
      <c r="H41" s="126"/>
    </row>
    <row r="42">
      <c r="A42" s="198" t="s">
        <v>1142</v>
      </c>
      <c r="B42" s="239">
        <v>123605.0</v>
      </c>
      <c r="C42" s="236">
        <f t="shared" ref="C42:D42" si="19">H3</f>
        <v>6103515.625</v>
      </c>
      <c r="D42" s="236">
        <f t="shared" si="19"/>
        <v>3051757.813</v>
      </c>
      <c r="E42" s="235">
        <f t="shared" ref="E42:E48" si="21">B42+C42+D42</f>
        <v>9278878.438</v>
      </c>
      <c r="F42" s="235">
        <v>1.220749999787791E8</v>
      </c>
      <c r="G42" s="237">
        <f t="shared" ref="G42:G48" si="22">F42/E42</f>
        <v>13.15622365</v>
      </c>
      <c r="H42" s="198"/>
      <c r="I42" s="237"/>
    </row>
    <row r="43">
      <c r="A43" s="3" t="s">
        <v>1145</v>
      </c>
      <c r="B43" s="50">
        <v>663624.0</v>
      </c>
      <c r="C43" s="210">
        <f t="shared" ref="C43:D43" si="20">H4</f>
        <v>3051757.813</v>
      </c>
      <c r="D43" s="210">
        <f t="shared" si="20"/>
        <v>149.0116211</v>
      </c>
      <c r="E43" s="18">
        <f t="shared" si="21"/>
        <v>3715530.824</v>
      </c>
      <c r="F43" s="18">
        <v>7.0984E7</v>
      </c>
      <c r="G43" s="10">
        <f t="shared" si="22"/>
        <v>19.10467262</v>
      </c>
      <c r="H43" s="72"/>
    </row>
    <row r="44">
      <c r="A44" s="3" t="s">
        <v>1148</v>
      </c>
      <c r="B44" s="50">
        <v>3.182009E9</v>
      </c>
      <c r="C44" s="210">
        <f t="shared" ref="C44:D44" si="23">H5</f>
        <v>22888183.59</v>
      </c>
      <c r="D44" s="210">
        <f t="shared" si="23"/>
        <v>11444091.8</v>
      </c>
      <c r="E44" s="18">
        <f t="shared" si="21"/>
        <v>3216341275</v>
      </c>
      <c r="F44" s="18">
        <v>3.1980722999999996E10</v>
      </c>
      <c r="G44" s="10">
        <f t="shared" si="22"/>
        <v>9.943199512</v>
      </c>
      <c r="H44" s="72"/>
    </row>
    <row r="45">
      <c r="A45" s="227" t="s">
        <v>1159</v>
      </c>
      <c r="B45" s="50">
        <v>3326488.0</v>
      </c>
      <c r="C45" s="210">
        <f t="shared" ref="C45:D45" si="24">H9</f>
        <v>1638480</v>
      </c>
      <c r="D45" s="210">
        <f t="shared" si="24"/>
        <v>150</v>
      </c>
      <c r="E45" s="18">
        <f t="shared" si="21"/>
        <v>4965118</v>
      </c>
      <c r="F45" s="18">
        <v>1.82556E8</v>
      </c>
      <c r="G45" s="10">
        <f t="shared" si="22"/>
        <v>36.76770623</v>
      </c>
      <c r="H45" s="193"/>
    </row>
    <row r="46">
      <c r="A46" s="3" t="s">
        <v>1171</v>
      </c>
      <c r="B46" s="50">
        <v>1.1163930624E10</v>
      </c>
      <c r="C46" s="73">
        <f t="shared" ref="C46:D46" si="25">H13</f>
        <v>327680000</v>
      </c>
      <c r="D46" s="210">
        <f t="shared" si="25"/>
        <v>327681250</v>
      </c>
      <c r="E46" s="18">
        <f t="shared" si="21"/>
        <v>11819291874</v>
      </c>
      <c r="F46" s="18">
        <v>7.737020907709145E10</v>
      </c>
      <c r="G46" s="10">
        <f t="shared" si="22"/>
        <v>6.546095139</v>
      </c>
      <c r="H46" s="72"/>
    </row>
    <row r="47">
      <c r="A47" s="3" t="s">
        <v>1174</v>
      </c>
      <c r="B47" s="50">
        <v>1.49527064E8</v>
      </c>
      <c r="C47" s="210">
        <f t="shared" ref="C47:D47" si="26">H14</f>
        <v>15625000</v>
      </c>
      <c r="D47" s="210">
        <f t="shared" si="26"/>
        <v>312500</v>
      </c>
      <c r="E47" s="18">
        <f t="shared" si="21"/>
        <v>165464564</v>
      </c>
      <c r="F47" s="18">
        <v>2.173939209651061E9</v>
      </c>
      <c r="G47" s="10">
        <f t="shared" si="22"/>
        <v>13.13839747</v>
      </c>
      <c r="H47" s="198"/>
    </row>
    <row r="48">
      <c r="A48" s="3" t="s">
        <v>1177</v>
      </c>
      <c r="B48" s="50">
        <v>275796.0</v>
      </c>
      <c r="C48" s="210">
        <f t="shared" ref="C48:D48" si="27">H15</f>
        <v>2441.40625</v>
      </c>
      <c r="D48" s="210">
        <f t="shared" si="27"/>
        <v>2441.40625</v>
      </c>
      <c r="E48" s="18">
        <f t="shared" si="21"/>
        <v>280678.8125</v>
      </c>
      <c r="F48" s="18">
        <v>1.37277E7</v>
      </c>
      <c r="G48" s="10">
        <f t="shared" si="22"/>
        <v>48.9089286</v>
      </c>
      <c r="H48" s="72"/>
    </row>
    <row r="49">
      <c r="A49" s="6" t="s">
        <v>1189</v>
      </c>
      <c r="C49" s="210"/>
      <c r="D49" s="210"/>
      <c r="E49" s="18"/>
      <c r="F49" s="18"/>
      <c r="G49" s="216">
        <f>GEOMEAN(G42:G48)</f>
        <v>16.85541638</v>
      </c>
      <c r="H49" s="72"/>
    </row>
  </sheetData>
  <mergeCells count="4">
    <mergeCell ref="A1:I1"/>
    <mergeCell ref="A17:I17"/>
    <mergeCell ref="A29:I29"/>
    <mergeCell ref="A40:I4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7.5"/>
    <col customWidth="1" min="4" max="4" width="15.88"/>
    <col customWidth="1" min="5" max="5" width="16.0"/>
    <col customWidth="1" min="6" max="6" width="20.88"/>
    <col customWidth="1" min="7" max="8" width="15.5"/>
    <col customWidth="1" min="9" max="9" width="18.25"/>
    <col customWidth="1" min="11" max="11" width="16.5"/>
  </cols>
  <sheetData>
    <row r="1">
      <c r="A1" s="6" t="s">
        <v>1217</v>
      </c>
    </row>
    <row r="2">
      <c r="A2" s="6" t="s">
        <v>1218</v>
      </c>
    </row>
    <row r="3">
      <c r="A3" s="72"/>
      <c r="B3" s="191" t="s">
        <v>1219</v>
      </c>
      <c r="C3" s="193" t="s">
        <v>1140</v>
      </c>
      <c r="D3" s="193" t="s">
        <v>1183</v>
      </c>
      <c r="E3" s="72" t="s">
        <v>1184</v>
      </c>
      <c r="F3" s="6" t="s">
        <v>1220</v>
      </c>
      <c r="G3" s="6" t="s">
        <v>1221</v>
      </c>
      <c r="H3" s="6" t="s">
        <v>1222</v>
      </c>
      <c r="I3" s="3" t="s">
        <v>1223</v>
      </c>
      <c r="J3" s="6" t="s">
        <v>1224</v>
      </c>
      <c r="K3" s="6" t="s">
        <v>1225</v>
      </c>
      <c r="L3" s="6" t="s">
        <v>1226</v>
      </c>
      <c r="M3" s="72" t="s">
        <v>1227</v>
      </c>
      <c r="N3" s="191"/>
    </row>
    <row r="4">
      <c r="A4" s="72" t="s">
        <v>1142</v>
      </c>
      <c r="B4" s="18">
        <v>2943.36</v>
      </c>
      <c r="C4" s="210">
        <v>3051757.8125</v>
      </c>
      <c r="D4" s="210">
        <v>1525878.90625</v>
      </c>
      <c r="E4" s="18">
        <v>4591446.31875</v>
      </c>
      <c r="F4" s="50">
        <v>6.2335E7</v>
      </c>
      <c r="G4" s="18">
        <f t="shared" ref="G4:G9" si="1">F4/B4</f>
        <v>21178.17732</v>
      </c>
      <c r="H4" s="18">
        <v>649322.9166666666</v>
      </c>
      <c r="I4" s="2">
        <f t="shared" ref="I4:I9" si="2">H4/B4</f>
        <v>220.6060138</v>
      </c>
      <c r="J4" s="6">
        <v>250.0</v>
      </c>
      <c r="K4" s="10">
        <f t="shared" ref="K4:K10" si="3">H4*J4/10^9</f>
        <v>0.1623307292</v>
      </c>
      <c r="L4" s="6">
        <v>1.413343884E-4</v>
      </c>
      <c r="M4" s="72">
        <f t="shared" ref="M4:M10" si="4">K4/L4</f>
        <v>1148.557906</v>
      </c>
      <c r="N4" s="69"/>
    </row>
    <row r="5">
      <c r="A5" s="72" t="s">
        <v>1145</v>
      </c>
      <c r="B5" s="18">
        <v>343424.0</v>
      </c>
      <c r="C5" s="210">
        <v>3051757.8125</v>
      </c>
      <c r="D5" s="210">
        <v>149.01162109375</v>
      </c>
      <c r="E5" s="18">
        <v>8557954.824121093</v>
      </c>
      <c r="F5" s="50">
        <v>7.0541E7</v>
      </c>
      <c r="G5" s="18">
        <f t="shared" si="1"/>
        <v>205.4049804</v>
      </c>
      <c r="H5" s="18">
        <v>137775.390625</v>
      </c>
      <c r="I5" s="2">
        <f t="shared" si="2"/>
        <v>0.4011816024</v>
      </c>
      <c r="J5" s="6">
        <v>250.0</v>
      </c>
      <c r="K5" s="10">
        <f t="shared" si="3"/>
        <v>0.03444384766</v>
      </c>
      <c r="L5" s="6">
        <v>0.01684440077</v>
      </c>
      <c r="M5" s="72">
        <f t="shared" si="4"/>
        <v>2.044824754</v>
      </c>
      <c r="N5" s="69"/>
    </row>
    <row r="6">
      <c r="A6" s="72" t="s">
        <v>1148</v>
      </c>
      <c r="B6" s="18">
        <v>1799739.648</v>
      </c>
      <c r="C6" s="210">
        <v>2.288818359375E7</v>
      </c>
      <c r="D6" s="210">
        <v>1.1444091796875E7</v>
      </c>
      <c r="E6" s="18">
        <v>3.235053722558625E9</v>
      </c>
      <c r="F6" s="50">
        <v>3.0732124E10</v>
      </c>
      <c r="G6" s="18">
        <f t="shared" si="1"/>
        <v>17075.87208</v>
      </c>
      <c r="H6" s="18">
        <v>6.1464248E7</v>
      </c>
      <c r="I6" s="2">
        <f t="shared" si="2"/>
        <v>34.15174415</v>
      </c>
      <c r="J6" s="6">
        <v>250.0</v>
      </c>
      <c r="K6" s="10">
        <f t="shared" si="3"/>
        <v>15.366062</v>
      </c>
      <c r="L6" s="6">
        <v>0.09121588447</v>
      </c>
      <c r="M6" s="72">
        <f t="shared" si="4"/>
        <v>168.4581813</v>
      </c>
      <c r="N6" s="69"/>
    </row>
    <row r="7">
      <c r="A7" s="72" t="s">
        <v>1151</v>
      </c>
      <c r="B7" s="50">
        <v>3.8314967E7</v>
      </c>
      <c r="C7" s="210">
        <v>610351.5625</v>
      </c>
      <c r="D7" s="210">
        <v>5120.0</v>
      </c>
      <c r="E7" s="18">
        <v>1.2002703016425E9</v>
      </c>
      <c r="F7" s="50">
        <f>16552668000/14</f>
        <v>1182333429</v>
      </c>
      <c r="G7" s="18">
        <f t="shared" si="1"/>
        <v>30.85826561</v>
      </c>
      <c r="H7" s="18">
        <f>27587780000/14</f>
        <v>1970555714</v>
      </c>
      <c r="I7" s="2">
        <f t="shared" si="2"/>
        <v>51.43044269</v>
      </c>
      <c r="J7" s="6">
        <v>250.0</v>
      </c>
      <c r="K7" s="10">
        <f t="shared" si="3"/>
        <v>492.6389286</v>
      </c>
      <c r="L7" s="6">
        <v>1.878957254</v>
      </c>
      <c r="M7" s="72">
        <f t="shared" si="4"/>
        <v>262.1874061</v>
      </c>
      <c r="N7" s="69"/>
    </row>
    <row r="8">
      <c r="A8" s="72" t="s">
        <v>1154</v>
      </c>
      <c r="B8" s="18">
        <v>2.048E7</v>
      </c>
      <c r="C8" s="210">
        <v>2.048E7</v>
      </c>
      <c r="D8" s="210">
        <v>0.0</v>
      </c>
      <c r="E8" s="18">
        <v>4.096E7</v>
      </c>
      <c r="F8" s="50">
        <v>1.60314E8</v>
      </c>
      <c r="G8" s="18">
        <f t="shared" si="1"/>
        <v>7.827832031</v>
      </c>
      <c r="H8" s="18">
        <v>5725500.0</v>
      </c>
      <c r="I8" s="2">
        <f t="shared" si="2"/>
        <v>0.2795654297</v>
      </c>
      <c r="J8" s="6">
        <v>250.0</v>
      </c>
      <c r="K8" s="10">
        <f t="shared" si="3"/>
        <v>1.431375</v>
      </c>
      <c r="L8" s="6">
        <v>0.9834070016</v>
      </c>
      <c r="M8" s="72">
        <f t="shared" si="4"/>
        <v>1.45552655</v>
      </c>
      <c r="N8" s="69"/>
    </row>
    <row r="9">
      <c r="A9" s="193" t="s">
        <v>1159</v>
      </c>
      <c r="B9" s="18">
        <v>3303747.84</v>
      </c>
      <c r="C9" s="210">
        <v>1638480.0</v>
      </c>
      <c r="D9" s="210">
        <v>149.99999999999997</v>
      </c>
      <c r="E9" s="18">
        <v>7423113.84</v>
      </c>
      <c r="F9" s="70">
        <v>1.7625E8</v>
      </c>
      <c r="G9" s="18">
        <f t="shared" si="1"/>
        <v>53.34850253</v>
      </c>
      <c r="H9" s="18">
        <v>652777.7777777778</v>
      </c>
      <c r="I9" s="2">
        <f t="shared" si="2"/>
        <v>0.1975870464</v>
      </c>
      <c r="J9" s="6">
        <v>250.0</v>
      </c>
      <c r="K9" s="10">
        <f t="shared" si="3"/>
        <v>0.1631944444</v>
      </c>
      <c r="L9" s="6">
        <v>0.05296817348</v>
      </c>
      <c r="M9" s="72">
        <f t="shared" si="4"/>
        <v>3.080990597</v>
      </c>
      <c r="N9" s="69"/>
    </row>
    <row r="10">
      <c r="A10" s="193" t="s">
        <v>37</v>
      </c>
      <c r="B10" s="18">
        <v>13918.464</v>
      </c>
      <c r="C10" s="210"/>
      <c r="D10" s="210"/>
      <c r="E10" s="18"/>
      <c r="F10" s="70"/>
      <c r="G10" s="18"/>
      <c r="H10" s="18">
        <f>B10*I10</f>
        <v>125956.9051</v>
      </c>
      <c r="I10" s="2">
        <v>9.04962682036046</v>
      </c>
      <c r="J10" s="6">
        <v>250.0</v>
      </c>
      <c r="K10" s="10">
        <f t="shared" si="3"/>
        <v>0.03148922628</v>
      </c>
      <c r="L10" s="6">
        <v>7.042435805E-4</v>
      </c>
      <c r="M10" s="72">
        <f t="shared" si="4"/>
        <v>44.71354394</v>
      </c>
      <c r="N10" s="69"/>
    </row>
    <row r="11">
      <c r="A11" s="72" t="s">
        <v>1189</v>
      </c>
      <c r="I11" s="215">
        <f>GEOMEAN(I4:I10)</f>
        <v>4.996176019</v>
      </c>
      <c r="M11" s="240">
        <f>GEOMEAN(M4:M10)</f>
        <v>29.78577686</v>
      </c>
      <c r="N11" s="69"/>
    </row>
    <row r="12">
      <c r="M12" s="72"/>
      <c r="N12" s="212"/>
    </row>
    <row r="13">
      <c r="M13" s="72"/>
      <c r="N13" s="69"/>
    </row>
    <row r="14">
      <c r="A14" s="6" t="s">
        <v>1228</v>
      </c>
    </row>
    <row r="15">
      <c r="B15" s="11" t="s">
        <v>1229</v>
      </c>
      <c r="C15" s="6" t="s">
        <v>199</v>
      </c>
      <c r="D15" s="6" t="s">
        <v>1230</v>
      </c>
      <c r="H15" s="6" t="s">
        <v>1231</v>
      </c>
      <c r="K15" s="6" t="s">
        <v>1232</v>
      </c>
      <c r="M15" s="72"/>
      <c r="N15" s="69"/>
    </row>
    <row r="16">
      <c r="A16" s="6" t="s">
        <v>1233</v>
      </c>
      <c r="B16" s="11">
        <v>3.1</v>
      </c>
      <c r="C16" s="18">
        <v>6.4345806451612905E7</v>
      </c>
      <c r="D16" s="18">
        <f t="shared" ref="D16:D27" si="5">C16/H16</f>
        <v>5849618.768</v>
      </c>
      <c r="E16" s="18"/>
      <c r="G16" s="3" t="s">
        <v>1233</v>
      </c>
      <c r="H16" s="6">
        <v>11.0</v>
      </c>
      <c r="J16" s="3" t="s">
        <v>1233</v>
      </c>
      <c r="M16" s="72"/>
      <c r="N16" s="70"/>
    </row>
    <row r="17">
      <c r="A17" s="6" t="s">
        <v>1234</v>
      </c>
      <c r="B17" s="11">
        <v>3.2</v>
      </c>
      <c r="C17" s="18">
        <v>6.2335E7</v>
      </c>
      <c r="D17" s="18">
        <f t="shared" si="5"/>
        <v>6561578.947</v>
      </c>
      <c r="E17" s="18"/>
      <c r="G17" s="3" t="s">
        <v>1234</v>
      </c>
      <c r="H17" s="6">
        <v>9.5</v>
      </c>
      <c r="J17" s="3" t="s">
        <v>1234</v>
      </c>
      <c r="M17" s="72"/>
      <c r="N17" s="69"/>
    </row>
    <row r="18">
      <c r="A18" s="6" t="s">
        <v>1235</v>
      </c>
      <c r="B18" s="11">
        <v>1.6</v>
      </c>
      <c r="C18" s="18">
        <v>1.2467E8</v>
      </c>
      <c r="D18" s="18">
        <f t="shared" si="5"/>
        <v>9590000</v>
      </c>
      <c r="E18" s="18"/>
      <c r="G18" s="3" t="s">
        <v>1235</v>
      </c>
      <c r="H18" s="6">
        <v>13.0</v>
      </c>
      <c r="J18" s="3" t="s">
        <v>1235</v>
      </c>
    </row>
    <row r="19">
      <c r="A19" s="6" t="s">
        <v>1236</v>
      </c>
      <c r="B19" s="11">
        <v>3.3</v>
      </c>
      <c r="C19" s="18">
        <v>6.044606060606062E7</v>
      </c>
      <c r="D19" s="18">
        <f t="shared" si="5"/>
        <v>3181371.611</v>
      </c>
      <c r="E19" s="18"/>
      <c r="G19" s="3" t="s">
        <v>1236</v>
      </c>
      <c r="H19" s="6">
        <v>19.0</v>
      </c>
      <c r="J19" s="3" t="s">
        <v>1236</v>
      </c>
    </row>
    <row r="20">
      <c r="A20" s="6" t="s">
        <v>1237</v>
      </c>
      <c r="B20" s="11">
        <v>3.7</v>
      </c>
      <c r="C20" s="18">
        <v>5.391135135135135E7</v>
      </c>
      <c r="D20" s="18">
        <f t="shared" si="5"/>
        <v>4147027.027</v>
      </c>
      <c r="E20" s="18"/>
      <c r="G20" s="3" t="s">
        <v>1237</v>
      </c>
      <c r="H20" s="6">
        <v>13.0</v>
      </c>
      <c r="J20" s="3" t="s">
        <v>1237</v>
      </c>
    </row>
    <row r="21">
      <c r="A21" s="6" t="s">
        <v>1238</v>
      </c>
      <c r="B21" s="11">
        <v>1.2</v>
      </c>
      <c r="C21" s="18">
        <v>1.662266666666667E8</v>
      </c>
      <c r="D21" s="18">
        <f t="shared" si="5"/>
        <v>7227246.377</v>
      </c>
      <c r="E21" s="18"/>
      <c r="G21" s="3" t="s">
        <v>1238</v>
      </c>
      <c r="H21" s="6">
        <v>23.0</v>
      </c>
      <c r="J21" s="3" t="s">
        <v>1238</v>
      </c>
    </row>
    <row r="22">
      <c r="A22" s="6" t="s">
        <v>1239</v>
      </c>
      <c r="B22" s="11">
        <v>2.4</v>
      </c>
      <c r="C22" s="18">
        <v>8.311333333333334E7</v>
      </c>
      <c r="D22" s="18">
        <f t="shared" si="5"/>
        <v>6393333.333</v>
      </c>
      <c r="E22" s="18"/>
      <c r="G22" s="3" t="s">
        <v>1239</v>
      </c>
      <c r="H22" s="6">
        <v>13.0</v>
      </c>
      <c r="J22" s="3" t="s">
        <v>1239</v>
      </c>
    </row>
    <row r="23">
      <c r="A23" s="6" t="s">
        <v>1240</v>
      </c>
      <c r="B23" s="11">
        <v>2.2</v>
      </c>
      <c r="C23" s="18">
        <v>9.06690909090909E7</v>
      </c>
      <c r="D23" s="18">
        <f t="shared" si="5"/>
        <v>8242644.628</v>
      </c>
      <c r="E23" s="18"/>
      <c r="G23" s="3" t="s">
        <v>1240</v>
      </c>
      <c r="H23" s="6">
        <v>11.0</v>
      </c>
      <c r="J23" s="3" t="s">
        <v>1240</v>
      </c>
    </row>
    <row r="24">
      <c r="A24" s="6" t="s">
        <v>1241</v>
      </c>
      <c r="B24" s="11">
        <v>3.1</v>
      </c>
      <c r="C24" s="18">
        <v>6.4345806451612905E7</v>
      </c>
      <c r="D24" s="18">
        <f t="shared" si="5"/>
        <v>3574767.025</v>
      </c>
      <c r="E24" s="18"/>
      <c r="G24" s="3" t="s">
        <v>1241</v>
      </c>
      <c r="H24" s="6">
        <v>18.0</v>
      </c>
      <c r="J24" s="3" t="s">
        <v>1241</v>
      </c>
    </row>
    <row r="25">
      <c r="A25" s="6" t="s">
        <v>1242</v>
      </c>
      <c r="B25" s="11">
        <v>2.7</v>
      </c>
      <c r="C25" s="18">
        <v>7.387851851851852E7</v>
      </c>
      <c r="D25" s="18">
        <f t="shared" si="5"/>
        <v>3212109.501</v>
      </c>
      <c r="E25" s="18"/>
      <c r="G25" s="3" t="s">
        <v>1242</v>
      </c>
      <c r="H25" s="6">
        <v>23.0</v>
      </c>
      <c r="J25" s="3" t="s">
        <v>1242</v>
      </c>
    </row>
    <row r="26">
      <c r="A26" s="6" t="s">
        <v>1243</v>
      </c>
      <c r="B26" s="11">
        <v>1.3</v>
      </c>
      <c r="C26" s="18">
        <v>1.5344E8</v>
      </c>
      <c r="D26" s="18">
        <f t="shared" si="5"/>
        <v>9590000</v>
      </c>
      <c r="E26" s="18"/>
      <c r="G26" s="3" t="s">
        <v>1243</v>
      </c>
      <c r="H26" s="6">
        <v>16.0</v>
      </c>
      <c r="J26" s="3" t="s">
        <v>1243</v>
      </c>
    </row>
    <row r="27">
      <c r="A27" s="6" t="s">
        <v>1244</v>
      </c>
      <c r="B27" s="11">
        <v>2.3</v>
      </c>
      <c r="C27" s="18">
        <v>8.672695652173914E7</v>
      </c>
      <c r="D27" s="18">
        <f t="shared" si="5"/>
        <v>4818164.251</v>
      </c>
      <c r="E27" s="18"/>
      <c r="G27" s="3" t="s">
        <v>1244</v>
      </c>
      <c r="H27" s="6">
        <v>18.0</v>
      </c>
      <c r="J27" s="3" t="s">
        <v>1244</v>
      </c>
    </row>
    <row r="30">
      <c r="A30" s="241" t="s">
        <v>1245</v>
      </c>
      <c r="J30" s="241" t="s">
        <v>1246</v>
      </c>
    </row>
    <row r="31">
      <c r="B31" s="6" t="s">
        <v>117</v>
      </c>
      <c r="C31" s="6" t="s">
        <v>118</v>
      </c>
      <c r="D31" s="6" t="s">
        <v>1247</v>
      </c>
      <c r="E31" s="6" t="s">
        <v>125</v>
      </c>
      <c r="F31" s="6" t="s">
        <v>126</v>
      </c>
      <c r="G31" s="6" t="s">
        <v>1248</v>
      </c>
      <c r="H31" s="6" t="s">
        <v>1249</v>
      </c>
      <c r="K31" s="6" t="s">
        <v>117</v>
      </c>
      <c r="L31" s="6" t="s">
        <v>118</v>
      </c>
      <c r="M31" s="6" t="s">
        <v>1247</v>
      </c>
      <c r="N31" s="6" t="s">
        <v>125</v>
      </c>
      <c r="O31" s="6" t="s">
        <v>126</v>
      </c>
      <c r="P31" s="6" t="s">
        <v>1248</v>
      </c>
      <c r="Q31" s="6" t="s">
        <v>1249</v>
      </c>
    </row>
    <row r="32">
      <c r="A32" s="6" t="s">
        <v>1233</v>
      </c>
      <c r="B32" s="6">
        <v>32.0</v>
      </c>
      <c r="C32" s="6">
        <v>32.0</v>
      </c>
      <c r="D32" s="6">
        <v>130.0</v>
      </c>
      <c r="E32" s="10">
        <v>27.72</v>
      </c>
      <c r="F32" s="10">
        <v>28.98</v>
      </c>
      <c r="G32" s="6">
        <v>2.52</v>
      </c>
      <c r="H32" s="18">
        <f t="shared" ref="H32:H47" si="6">B32*E32+C32*F32+D32*G32</f>
        <v>2142</v>
      </c>
      <c r="J32" s="6" t="s">
        <v>1233</v>
      </c>
      <c r="K32" s="6">
        <v>33.0</v>
      </c>
      <c r="L32" s="6">
        <v>32.0</v>
      </c>
      <c r="M32" s="6">
        <v>130.0</v>
      </c>
      <c r="N32" s="10">
        <v>27.72</v>
      </c>
      <c r="O32" s="10">
        <v>28.98</v>
      </c>
      <c r="P32" s="6">
        <v>2.52</v>
      </c>
      <c r="Q32" s="18">
        <f t="shared" ref="Q32:Q40" si="7">K32*N32+L32*O32+M32*P32</f>
        <v>2169.72</v>
      </c>
    </row>
    <row r="33">
      <c r="A33" s="6" t="s">
        <v>1234</v>
      </c>
      <c r="B33" s="6">
        <v>64.0</v>
      </c>
      <c r="C33" s="6">
        <v>32.0</v>
      </c>
      <c r="D33" s="6">
        <v>97.0</v>
      </c>
      <c r="E33" s="10">
        <v>27.72</v>
      </c>
      <c r="F33" s="10">
        <v>28.98</v>
      </c>
      <c r="G33" s="6">
        <v>2.52</v>
      </c>
      <c r="H33" s="18">
        <f t="shared" si="6"/>
        <v>2945.88</v>
      </c>
      <c r="J33" s="6" t="s">
        <v>1234</v>
      </c>
      <c r="K33" s="6">
        <v>54.0</v>
      </c>
      <c r="L33" s="6">
        <v>32.0</v>
      </c>
      <c r="M33" s="6">
        <v>97.0</v>
      </c>
      <c r="N33" s="10">
        <v>27.72</v>
      </c>
      <c r="O33" s="10">
        <v>28.98</v>
      </c>
      <c r="P33" s="6">
        <v>2.52</v>
      </c>
      <c r="Q33" s="18">
        <f t="shared" si="7"/>
        <v>2668.68</v>
      </c>
    </row>
    <row r="34">
      <c r="A34" s="6" t="s">
        <v>1235</v>
      </c>
      <c r="B34" s="6">
        <v>114.0</v>
      </c>
      <c r="C34" s="6">
        <v>90.0</v>
      </c>
      <c r="D34" s="6">
        <v>218.0</v>
      </c>
      <c r="E34" s="10">
        <v>27.72</v>
      </c>
      <c r="F34" s="10">
        <v>28.98</v>
      </c>
      <c r="G34" s="6">
        <v>2.52</v>
      </c>
      <c r="H34" s="18">
        <f t="shared" si="6"/>
        <v>6317.64</v>
      </c>
      <c r="J34" s="6" t="s">
        <v>1235</v>
      </c>
      <c r="K34" s="6">
        <v>114.0</v>
      </c>
      <c r="L34" s="6">
        <v>90.0</v>
      </c>
      <c r="M34" s="6">
        <v>218.0</v>
      </c>
      <c r="N34" s="10">
        <v>27.72</v>
      </c>
      <c r="O34" s="10">
        <v>28.98</v>
      </c>
      <c r="P34" s="6">
        <v>2.52</v>
      </c>
      <c r="Q34" s="18">
        <f t="shared" si="7"/>
        <v>6317.64</v>
      </c>
    </row>
    <row r="35">
      <c r="A35" s="6" t="s">
        <v>1236</v>
      </c>
      <c r="B35" s="6">
        <v>64.0</v>
      </c>
      <c r="C35" s="6">
        <v>1.0</v>
      </c>
      <c r="D35" s="6">
        <v>98.0</v>
      </c>
      <c r="E35" s="10">
        <v>27.72</v>
      </c>
      <c r="F35" s="10">
        <v>28.98</v>
      </c>
      <c r="G35" s="6">
        <v>2.52</v>
      </c>
      <c r="H35" s="18">
        <f t="shared" si="6"/>
        <v>2050.02</v>
      </c>
      <c r="J35" s="6" t="s">
        <v>1240</v>
      </c>
      <c r="K35" s="6">
        <v>129.0</v>
      </c>
      <c r="L35" s="6">
        <v>33.0</v>
      </c>
      <c r="M35" s="6">
        <v>131.0</v>
      </c>
      <c r="N35" s="10">
        <v>27.72</v>
      </c>
      <c r="O35" s="10">
        <v>28.98</v>
      </c>
      <c r="P35" s="6">
        <v>2.52</v>
      </c>
      <c r="Q35" s="18">
        <f t="shared" si="7"/>
        <v>4862.34</v>
      </c>
    </row>
    <row r="36">
      <c r="A36" s="6" t="s">
        <v>1250</v>
      </c>
      <c r="B36" s="6">
        <v>64.0</v>
      </c>
      <c r="C36" s="6">
        <v>1.0</v>
      </c>
      <c r="D36" s="6">
        <v>66.0</v>
      </c>
      <c r="E36" s="10">
        <v>27.72</v>
      </c>
      <c r="F36" s="10">
        <v>28.98</v>
      </c>
      <c r="G36" s="6">
        <v>2.52</v>
      </c>
      <c r="H36" s="18">
        <f t="shared" si="6"/>
        <v>1969.38</v>
      </c>
      <c r="J36" s="6" t="s">
        <v>1251</v>
      </c>
      <c r="K36" s="6">
        <v>64.0</v>
      </c>
      <c r="L36" s="6">
        <v>32.0</v>
      </c>
      <c r="M36" s="6">
        <v>97.0</v>
      </c>
      <c r="N36" s="10">
        <v>27.72</v>
      </c>
      <c r="O36" s="10">
        <v>28.98</v>
      </c>
      <c r="P36" s="6">
        <v>2.52</v>
      </c>
      <c r="Q36" s="18">
        <f t="shared" si="7"/>
        <v>2945.88</v>
      </c>
    </row>
    <row r="37">
      <c r="A37" s="6" t="s">
        <v>1252</v>
      </c>
      <c r="B37" s="6">
        <v>64.0</v>
      </c>
      <c r="C37" s="6">
        <v>1.0</v>
      </c>
      <c r="D37" s="6">
        <v>98.0</v>
      </c>
      <c r="E37" s="10">
        <v>27.72</v>
      </c>
      <c r="F37" s="10">
        <v>28.98</v>
      </c>
      <c r="G37" s="6">
        <v>2.52</v>
      </c>
      <c r="H37" s="18">
        <f t="shared" si="6"/>
        <v>2050.02</v>
      </c>
      <c r="J37" s="6" t="s">
        <v>1253</v>
      </c>
      <c r="K37" s="6">
        <v>64.0</v>
      </c>
      <c r="L37" s="6">
        <v>32.0</v>
      </c>
      <c r="M37" s="6">
        <v>64.0</v>
      </c>
      <c r="N37" s="10">
        <v>27.72</v>
      </c>
      <c r="O37" s="10">
        <v>28.98</v>
      </c>
      <c r="P37" s="6">
        <v>2.52</v>
      </c>
      <c r="Q37" s="18">
        <f t="shared" si="7"/>
        <v>2862.72</v>
      </c>
    </row>
    <row r="38">
      <c r="A38" s="6" t="s">
        <v>1238</v>
      </c>
      <c r="B38" s="6">
        <v>65.0</v>
      </c>
      <c r="C38" s="6">
        <v>32.0</v>
      </c>
      <c r="D38" s="6">
        <v>64.0</v>
      </c>
      <c r="E38" s="10">
        <v>27.72</v>
      </c>
      <c r="F38" s="10">
        <v>28.98</v>
      </c>
      <c r="G38" s="6">
        <v>2.52</v>
      </c>
      <c r="H38" s="18">
        <f t="shared" si="6"/>
        <v>2890.44</v>
      </c>
      <c r="J38" s="6" t="s">
        <v>1254</v>
      </c>
      <c r="K38" s="6">
        <v>64.0</v>
      </c>
      <c r="L38" s="6">
        <v>32.0</v>
      </c>
      <c r="M38" s="6">
        <v>64.0</v>
      </c>
      <c r="N38" s="10">
        <v>27.72</v>
      </c>
      <c r="O38" s="10">
        <v>28.98</v>
      </c>
      <c r="P38" s="6">
        <v>2.52</v>
      </c>
      <c r="Q38" s="18">
        <f t="shared" si="7"/>
        <v>2862.72</v>
      </c>
    </row>
    <row r="39">
      <c r="A39" s="6" t="s">
        <v>1239</v>
      </c>
      <c r="B39" s="6">
        <v>129.0</v>
      </c>
      <c r="C39" s="6">
        <v>33.0</v>
      </c>
      <c r="D39" s="6">
        <v>131.0</v>
      </c>
      <c r="E39" s="10">
        <v>27.72</v>
      </c>
      <c r="F39" s="10">
        <v>28.98</v>
      </c>
      <c r="G39" s="6">
        <v>2.52</v>
      </c>
      <c r="H39" s="18">
        <f t="shared" si="6"/>
        <v>4862.34</v>
      </c>
      <c r="J39" s="6" t="s">
        <v>1244</v>
      </c>
      <c r="K39" s="6">
        <v>3398.0</v>
      </c>
      <c r="L39" s="6">
        <v>1847.0</v>
      </c>
      <c r="M39" s="6">
        <v>4404.0</v>
      </c>
      <c r="N39" s="10">
        <v>27.72</v>
      </c>
      <c r="O39" s="10">
        <v>28.98</v>
      </c>
      <c r="P39" s="6">
        <v>2.52</v>
      </c>
      <c r="Q39" s="18">
        <f t="shared" si="7"/>
        <v>158816.7</v>
      </c>
    </row>
    <row r="40">
      <c r="A40" s="6" t="s">
        <v>1240</v>
      </c>
      <c r="B40" s="6">
        <v>129.0</v>
      </c>
      <c r="C40" s="6">
        <v>33.0</v>
      </c>
      <c r="D40" s="6">
        <v>131.0</v>
      </c>
      <c r="E40" s="10">
        <v>27.72</v>
      </c>
      <c r="F40" s="10">
        <v>28.98</v>
      </c>
      <c r="G40" s="6">
        <v>2.52</v>
      </c>
      <c r="H40" s="18">
        <f t="shared" si="6"/>
        <v>4862.34</v>
      </c>
      <c r="J40" s="6" t="s">
        <v>1243</v>
      </c>
      <c r="N40" s="10">
        <v>27.72</v>
      </c>
      <c r="O40" s="10">
        <v>28.98</v>
      </c>
      <c r="P40" s="6">
        <v>2.52</v>
      </c>
      <c r="Q40" s="18">
        <f t="shared" si="7"/>
        <v>0</v>
      </c>
    </row>
    <row r="41">
      <c r="A41" s="6" t="s">
        <v>1255</v>
      </c>
      <c r="B41" s="6">
        <v>33.0</v>
      </c>
      <c r="C41" s="6">
        <v>32.0</v>
      </c>
      <c r="D41" s="6">
        <v>33.0</v>
      </c>
      <c r="E41" s="10">
        <v>27.72</v>
      </c>
      <c r="F41" s="10">
        <v>28.98</v>
      </c>
      <c r="G41" s="6">
        <v>2.52</v>
      </c>
      <c r="H41" s="18">
        <f t="shared" si="6"/>
        <v>1925.28</v>
      </c>
    </row>
    <row r="42">
      <c r="A42" s="6" t="s">
        <v>1251</v>
      </c>
      <c r="B42" s="6">
        <v>64.0</v>
      </c>
      <c r="C42" s="6">
        <v>32.0</v>
      </c>
      <c r="D42" s="6">
        <v>97.0</v>
      </c>
      <c r="E42" s="10">
        <v>27.72</v>
      </c>
      <c r="F42" s="10">
        <v>28.98</v>
      </c>
      <c r="G42" s="6">
        <v>2.52</v>
      </c>
      <c r="H42" s="18">
        <f t="shared" si="6"/>
        <v>2945.88</v>
      </c>
    </row>
    <row r="43">
      <c r="A43" s="6" t="s">
        <v>1256</v>
      </c>
      <c r="B43" s="6">
        <v>64.0</v>
      </c>
      <c r="C43" s="6">
        <v>32.0</v>
      </c>
      <c r="D43" s="6">
        <v>64.0</v>
      </c>
      <c r="E43" s="10">
        <v>27.72</v>
      </c>
      <c r="F43" s="10">
        <v>28.98</v>
      </c>
      <c r="G43" s="6">
        <v>2.52</v>
      </c>
      <c r="H43" s="18">
        <f t="shared" si="6"/>
        <v>2862.72</v>
      </c>
      <c r="J43" s="241" t="s">
        <v>1257</v>
      </c>
    </row>
    <row r="44">
      <c r="A44" s="6" t="s">
        <v>1258</v>
      </c>
      <c r="B44" s="6">
        <v>64.0</v>
      </c>
      <c r="C44" s="6">
        <v>32.0</v>
      </c>
      <c r="D44" s="6">
        <v>64.0</v>
      </c>
      <c r="E44" s="10">
        <v>27.72</v>
      </c>
      <c r="F44" s="10">
        <v>28.98</v>
      </c>
      <c r="G44" s="6">
        <v>2.52</v>
      </c>
      <c r="H44" s="18">
        <f t="shared" si="6"/>
        <v>2862.72</v>
      </c>
      <c r="K44" s="6" t="s">
        <v>117</v>
      </c>
      <c r="L44" s="6" t="s">
        <v>118</v>
      </c>
      <c r="M44" s="6" t="s">
        <v>1247</v>
      </c>
      <c r="N44" s="6" t="s">
        <v>125</v>
      </c>
      <c r="O44" s="6" t="s">
        <v>126</v>
      </c>
      <c r="P44" s="6" t="s">
        <v>1248</v>
      </c>
      <c r="Q44" s="6" t="s">
        <v>1249</v>
      </c>
    </row>
    <row r="45">
      <c r="A45" s="6" t="s">
        <v>1259</v>
      </c>
      <c r="B45" s="6">
        <v>64.0</v>
      </c>
      <c r="C45" s="6">
        <v>32.0</v>
      </c>
      <c r="D45" s="6">
        <v>64.0</v>
      </c>
      <c r="E45" s="10">
        <v>27.72</v>
      </c>
      <c r="F45" s="10">
        <v>28.98</v>
      </c>
      <c r="G45" s="6">
        <v>2.52</v>
      </c>
      <c r="H45" s="18">
        <f t="shared" si="6"/>
        <v>2862.72</v>
      </c>
      <c r="J45" s="6" t="s">
        <v>1233</v>
      </c>
      <c r="K45" s="6">
        <v>129.0</v>
      </c>
      <c r="L45" s="6">
        <v>33.0</v>
      </c>
      <c r="M45" s="6">
        <v>288.0</v>
      </c>
      <c r="N45" s="10">
        <v>27.72</v>
      </c>
      <c r="O45" s="10">
        <v>28.98</v>
      </c>
      <c r="P45" s="6">
        <v>2.52</v>
      </c>
      <c r="Q45" s="18">
        <f t="shared" ref="Q45:Q53" si="8">K45*N45+L45*O45+M45*P45</f>
        <v>5257.98</v>
      </c>
    </row>
    <row r="46">
      <c r="A46" s="6" t="s">
        <v>1243</v>
      </c>
      <c r="B46" s="6">
        <v>3168.0</v>
      </c>
      <c r="C46" s="6">
        <v>1712.0</v>
      </c>
      <c r="D46" s="6">
        <v>5281.0</v>
      </c>
      <c r="E46" s="10">
        <v>27.72</v>
      </c>
      <c r="F46" s="10">
        <v>28.98</v>
      </c>
      <c r="G46" s="6">
        <v>2.52</v>
      </c>
      <c r="H46" s="18">
        <f t="shared" si="6"/>
        <v>150738.84</v>
      </c>
      <c r="J46" s="6" t="s">
        <v>1234</v>
      </c>
      <c r="K46" s="6">
        <v>128.0</v>
      </c>
      <c r="L46" s="6">
        <v>65.0</v>
      </c>
      <c r="M46" s="6">
        <v>129.0</v>
      </c>
      <c r="N46" s="10">
        <v>27.72</v>
      </c>
      <c r="O46" s="10">
        <v>28.98</v>
      </c>
      <c r="P46" s="6">
        <v>2.52</v>
      </c>
      <c r="Q46" s="18">
        <f t="shared" si="8"/>
        <v>5756.94</v>
      </c>
    </row>
    <row r="47">
      <c r="A47" s="6" t="s">
        <v>1244</v>
      </c>
      <c r="B47" s="6">
        <v>2079.0</v>
      </c>
      <c r="C47" s="6">
        <v>1119.0</v>
      </c>
      <c r="D47" s="6">
        <v>5119.0</v>
      </c>
      <c r="E47" s="10">
        <v>27.72</v>
      </c>
      <c r="F47" s="10">
        <v>28.98</v>
      </c>
      <c r="G47" s="6">
        <v>2.52</v>
      </c>
      <c r="H47" s="18">
        <f t="shared" si="6"/>
        <v>102958.38</v>
      </c>
      <c r="J47" s="6" t="s">
        <v>1235</v>
      </c>
      <c r="K47" s="6">
        <v>211.0</v>
      </c>
      <c r="L47" s="6">
        <v>146.0</v>
      </c>
      <c r="M47" s="6">
        <v>276.0</v>
      </c>
      <c r="N47" s="10">
        <v>27.72</v>
      </c>
      <c r="O47" s="10">
        <v>28.98</v>
      </c>
      <c r="P47" s="6">
        <v>2.52</v>
      </c>
      <c r="Q47" s="18">
        <f t="shared" si="8"/>
        <v>10775.52</v>
      </c>
    </row>
    <row r="48">
      <c r="J48" s="6" t="s">
        <v>1240</v>
      </c>
      <c r="K48" s="6">
        <v>192.0</v>
      </c>
      <c r="L48" s="6">
        <v>33.0</v>
      </c>
      <c r="M48" s="6">
        <v>131.0</v>
      </c>
      <c r="N48" s="10">
        <v>27.72</v>
      </c>
      <c r="O48" s="10">
        <v>28.98</v>
      </c>
      <c r="P48" s="6">
        <v>2.52</v>
      </c>
      <c r="Q48" s="18">
        <f t="shared" si="8"/>
        <v>6608.7</v>
      </c>
    </row>
    <row r="49">
      <c r="A49" s="242" t="s">
        <v>134</v>
      </c>
      <c r="J49" s="6" t="s">
        <v>1251</v>
      </c>
      <c r="K49" s="6">
        <v>128.0</v>
      </c>
      <c r="L49" s="6">
        <v>65.0</v>
      </c>
      <c r="M49" s="6">
        <v>129.0</v>
      </c>
      <c r="N49" s="10">
        <v>27.72</v>
      </c>
      <c r="O49" s="10">
        <v>28.98</v>
      </c>
      <c r="P49" s="6">
        <v>2.52</v>
      </c>
      <c r="Q49" s="18">
        <f t="shared" si="8"/>
        <v>5756.94</v>
      </c>
    </row>
    <row r="50">
      <c r="B50" s="6" t="s">
        <v>1260</v>
      </c>
      <c r="C50" s="6" t="s">
        <v>1261</v>
      </c>
      <c r="D50" s="6" t="s">
        <v>1262</v>
      </c>
      <c r="E50" s="6" t="s">
        <v>1263</v>
      </c>
      <c r="F50" s="6" t="s">
        <v>1264</v>
      </c>
      <c r="G50" s="3" t="s">
        <v>1265</v>
      </c>
      <c r="J50" s="6" t="s">
        <v>1253</v>
      </c>
      <c r="K50" s="6">
        <v>64.0</v>
      </c>
      <c r="L50" s="6">
        <v>32.0</v>
      </c>
      <c r="M50" s="6">
        <v>64.0</v>
      </c>
      <c r="N50" s="10">
        <v>27.72</v>
      </c>
      <c r="O50" s="10">
        <v>28.98</v>
      </c>
      <c r="P50" s="6">
        <v>2.52</v>
      </c>
      <c r="Q50" s="18">
        <f t="shared" si="8"/>
        <v>2862.72</v>
      </c>
    </row>
    <row r="51">
      <c r="A51" s="6" t="s">
        <v>1233</v>
      </c>
      <c r="B51" s="6">
        <v>32.0</v>
      </c>
      <c r="C51" s="10">
        <f>10*B51-2</f>
        <v>318</v>
      </c>
      <c r="D51" s="6">
        <v>53.14</v>
      </c>
      <c r="E51" s="18">
        <f t="shared" ref="E51:E66" si="9">C51*D51</f>
        <v>16898.52</v>
      </c>
      <c r="F51" s="18">
        <f t="shared" ref="F51:F66" si="10">H32</f>
        <v>2142</v>
      </c>
      <c r="G51" s="10">
        <f t="shared" ref="G51:G66" si="11">E51/F51</f>
        <v>7.889131653</v>
      </c>
      <c r="J51" s="6" t="s">
        <v>1254</v>
      </c>
      <c r="K51" s="6">
        <v>64.0</v>
      </c>
      <c r="L51" s="6">
        <v>32.0</v>
      </c>
      <c r="M51" s="6">
        <v>128.0</v>
      </c>
      <c r="N51" s="10">
        <v>27.72</v>
      </c>
      <c r="O51" s="10">
        <v>28.98</v>
      </c>
      <c r="P51" s="6">
        <v>2.52</v>
      </c>
      <c r="Q51" s="18">
        <f t="shared" si="8"/>
        <v>3024</v>
      </c>
    </row>
    <row r="52">
      <c r="A52" s="6" t="s">
        <v>1234</v>
      </c>
      <c r="B52" s="6">
        <v>32.0</v>
      </c>
      <c r="C52" s="10">
        <f>8*B52+1</f>
        <v>257</v>
      </c>
      <c r="D52" s="6">
        <v>53.14</v>
      </c>
      <c r="E52" s="18">
        <f t="shared" si="9"/>
        <v>13656.98</v>
      </c>
      <c r="F52" s="18">
        <f t="shared" si="10"/>
        <v>2945.88</v>
      </c>
      <c r="G52" s="10">
        <f t="shared" si="11"/>
        <v>4.635959374</v>
      </c>
      <c r="J52" s="6" t="s">
        <v>1244</v>
      </c>
      <c r="K52" s="6">
        <v>5244.0</v>
      </c>
      <c r="L52" s="6">
        <v>2796.0</v>
      </c>
      <c r="M52" s="6">
        <v>5298.0</v>
      </c>
      <c r="N52" s="10">
        <v>27.72</v>
      </c>
      <c r="O52" s="10">
        <v>28.98</v>
      </c>
      <c r="P52" s="6">
        <v>2.52</v>
      </c>
      <c r="Q52" s="18">
        <f t="shared" si="8"/>
        <v>239742.72</v>
      </c>
    </row>
    <row r="53">
      <c r="A53" s="6" t="s">
        <v>1235</v>
      </c>
      <c r="B53" s="6">
        <v>32.0</v>
      </c>
      <c r="C53" s="10">
        <f>8*B53</f>
        <v>256</v>
      </c>
      <c r="D53" s="6">
        <v>53.14</v>
      </c>
      <c r="E53" s="18">
        <f t="shared" si="9"/>
        <v>13603.84</v>
      </c>
      <c r="F53" s="18">
        <f t="shared" si="10"/>
        <v>6317.64</v>
      </c>
      <c r="G53" s="10">
        <f t="shared" si="11"/>
        <v>2.153310413</v>
      </c>
      <c r="J53" s="6" t="s">
        <v>1243</v>
      </c>
      <c r="N53" s="10">
        <v>27.72</v>
      </c>
      <c r="O53" s="10">
        <v>28.98</v>
      </c>
      <c r="P53" s="6">
        <v>2.52</v>
      </c>
      <c r="Q53" s="18">
        <f t="shared" si="8"/>
        <v>0</v>
      </c>
    </row>
    <row r="54">
      <c r="A54" s="6" t="s">
        <v>1236</v>
      </c>
      <c r="B54" s="6">
        <v>32.0</v>
      </c>
      <c r="C54" s="10">
        <f>4*B54+3</f>
        <v>131</v>
      </c>
      <c r="D54" s="6">
        <v>53.14</v>
      </c>
      <c r="E54" s="18">
        <f t="shared" si="9"/>
        <v>6961.34</v>
      </c>
      <c r="F54" s="18">
        <f t="shared" si="10"/>
        <v>2050.02</v>
      </c>
      <c r="G54" s="10">
        <f t="shared" si="11"/>
        <v>3.395742481</v>
      </c>
    </row>
    <row r="55">
      <c r="A55" s="6" t="s">
        <v>1250</v>
      </c>
      <c r="B55" s="6">
        <v>32.0</v>
      </c>
      <c r="C55" s="10">
        <f t="shared" ref="C55:C56" si="12">3*B55+2</f>
        <v>98</v>
      </c>
      <c r="D55" s="6">
        <v>53.14</v>
      </c>
      <c r="E55" s="18">
        <f t="shared" si="9"/>
        <v>5207.72</v>
      </c>
      <c r="F55" s="18">
        <f t="shared" si="10"/>
        <v>1969.38</v>
      </c>
      <c r="G55" s="10">
        <f t="shared" si="11"/>
        <v>2.644344921</v>
      </c>
      <c r="J55" s="241" t="s">
        <v>1266</v>
      </c>
    </row>
    <row r="56">
      <c r="A56" s="6" t="s">
        <v>1252</v>
      </c>
      <c r="B56" s="6">
        <v>32.0</v>
      </c>
      <c r="C56" s="10">
        <f t="shared" si="12"/>
        <v>98</v>
      </c>
      <c r="D56" s="6">
        <v>53.14</v>
      </c>
      <c r="E56" s="18">
        <f t="shared" si="9"/>
        <v>5207.72</v>
      </c>
      <c r="F56" s="18">
        <f t="shared" si="10"/>
        <v>2050.02</v>
      </c>
      <c r="G56" s="10">
        <f t="shared" si="11"/>
        <v>2.540326436</v>
      </c>
      <c r="K56" s="6" t="s">
        <v>117</v>
      </c>
      <c r="L56" s="6" t="s">
        <v>118</v>
      </c>
      <c r="M56" s="6" t="s">
        <v>1247</v>
      </c>
      <c r="N56" s="6" t="s">
        <v>125</v>
      </c>
      <c r="O56" s="6" t="s">
        <v>126</v>
      </c>
      <c r="P56" s="6" t="s">
        <v>1248</v>
      </c>
      <c r="Q56" s="6" t="s">
        <v>1249</v>
      </c>
    </row>
    <row r="57">
      <c r="A57" s="6" t="s">
        <v>1238</v>
      </c>
      <c r="B57" s="6">
        <v>32.0</v>
      </c>
      <c r="C57" s="10">
        <f>7*B57</f>
        <v>224</v>
      </c>
      <c r="D57" s="6">
        <v>53.14</v>
      </c>
      <c r="E57" s="18">
        <f t="shared" si="9"/>
        <v>11903.36</v>
      </c>
      <c r="F57" s="18">
        <f t="shared" si="10"/>
        <v>2890.44</v>
      </c>
      <c r="G57" s="10">
        <f t="shared" si="11"/>
        <v>4.118182699</v>
      </c>
      <c r="J57" s="6" t="s">
        <v>1233</v>
      </c>
      <c r="K57" s="6">
        <v>194.0</v>
      </c>
      <c r="L57" s="6">
        <v>162.0</v>
      </c>
      <c r="M57" s="6">
        <v>736.0</v>
      </c>
      <c r="N57" s="10">
        <v>27.72</v>
      </c>
      <c r="O57" s="10">
        <v>28.98</v>
      </c>
      <c r="P57" s="6">
        <v>2.52</v>
      </c>
      <c r="Q57" s="18">
        <f t="shared" ref="Q57:Q65" si="13">K57*N57+L57*O57+M57*P57</f>
        <v>11927.16</v>
      </c>
    </row>
    <row r="58">
      <c r="A58" s="6" t="s">
        <v>1239</v>
      </c>
      <c r="B58" s="6">
        <v>32.0</v>
      </c>
      <c r="C58" s="10">
        <f t="shared" ref="C58:C59" si="14">10*B58+2</f>
        <v>322</v>
      </c>
      <c r="D58" s="6">
        <v>53.14</v>
      </c>
      <c r="E58" s="18">
        <f t="shared" si="9"/>
        <v>17111.08</v>
      </c>
      <c r="F58" s="18">
        <f t="shared" si="10"/>
        <v>4862.34</v>
      </c>
      <c r="G58" s="10">
        <f t="shared" si="11"/>
        <v>3.519103971</v>
      </c>
      <c r="J58" s="6" t="s">
        <v>1234</v>
      </c>
      <c r="K58" s="6">
        <v>160.0</v>
      </c>
      <c r="L58" s="6">
        <v>97.0</v>
      </c>
      <c r="M58" s="6">
        <v>289.0</v>
      </c>
      <c r="N58" s="10">
        <v>27.72</v>
      </c>
      <c r="O58" s="10">
        <v>28.98</v>
      </c>
      <c r="P58" s="6">
        <v>2.52</v>
      </c>
      <c r="Q58" s="18">
        <f t="shared" si="13"/>
        <v>7974.54</v>
      </c>
    </row>
    <row r="59">
      <c r="A59" s="6" t="s">
        <v>1240</v>
      </c>
      <c r="B59" s="6">
        <v>32.0</v>
      </c>
      <c r="C59" s="10">
        <f t="shared" si="14"/>
        <v>322</v>
      </c>
      <c r="D59" s="6">
        <v>53.14</v>
      </c>
      <c r="E59" s="18">
        <f t="shared" si="9"/>
        <v>17111.08</v>
      </c>
      <c r="F59" s="18">
        <f t="shared" si="10"/>
        <v>4862.34</v>
      </c>
      <c r="G59" s="10">
        <f t="shared" si="11"/>
        <v>3.519103971</v>
      </c>
      <c r="J59" s="6" t="s">
        <v>1235</v>
      </c>
      <c r="K59" s="6">
        <v>300.0</v>
      </c>
      <c r="L59" s="6">
        <v>203.0</v>
      </c>
      <c r="M59" s="6">
        <v>641.0</v>
      </c>
      <c r="N59" s="10">
        <v>27.72</v>
      </c>
      <c r="O59" s="10">
        <v>28.98</v>
      </c>
      <c r="P59" s="6">
        <v>2.52</v>
      </c>
      <c r="Q59" s="18">
        <f t="shared" si="13"/>
        <v>15814.26</v>
      </c>
    </row>
    <row r="60">
      <c r="A60" s="6" t="s">
        <v>1241</v>
      </c>
      <c r="B60" s="6">
        <v>32.0</v>
      </c>
      <c r="C60" s="10">
        <f>3*B60+(mod((B60-1),2))</f>
        <v>97</v>
      </c>
      <c r="D60" s="6">
        <v>53.14</v>
      </c>
      <c r="E60" s="18">
        <f t="shared" si="9"/>
        <v>5154.58</v>
      </c>
      <c r="F60" s="18">
        <f t="shared" si="10"/>
        <v>1925.28</v>
      </c>
      <c r="G60" s="10">
        <f t="shared" si="11"/>
        <v>2.677314469</v>
      </c>
      <c r="J60" s="6" t="s">
        <v>1240</v>
      </c>
      <c r="K60" s="6">
        <v>291.0</v>
      </c>
      <c r="L60" s="6">
        <v>163.0</v>
      </c>
      <c r="M60" s="6">
        <v>654.0</v>
      </c>
      <c r="N60" s="10">
        <v>27.72</v>
      </c>
      <c r="O60" s="10">
        <v>28.98</v>
      </c>
      <c r="P60" s="6">
        <v>2.52</v>
      </c>
      <c r="Q60" s="18">
        <f t="shared" si="13"/>
        <v>14438.34</v>
      </c>
    </row>
    <row r="61">
      <c r="A61" s="6" t="s">
        <v>1251</v>
      </c>
      <c r="B61" s="6">
        <v>32.0</v>
      </c>
      <c r="C61" s="10">
        <f>8*B61+1</f>
        <v>257</v>
      </c>
      <c r="D61" s="6">
        <v>53.14</v>
      </c>
      <c r="E61" s="18">
        <f t="shared" si="9"/>
        <v>13656.98</v>
      </c>
      <c r="F61" s="18">
        <f t="shared" si="10"/>
        <v>2945.88</v>
      </c>
      <c r="G61" s="10">
        <f t="shared" si="11"/>
        <v>4.635959374</v>
      </c>
      <c r="J61" s="6" t="s">
        <v>1251</v>
      </c>
      <c r="K61" s="6">
        <v>160.0</v>
      </c>
      <c r="L61" s="6">
        <v>97.0</v>
      </c>
      <c r="M61" s="6">
        <v>321.0</v>
      </c>
      <c r="N61" s="10">
        <v>27.72</v>
      </c>
      <c r="O61" s="10">
        <v>28.98</v>
      </c>
      <c r="P61" s="6">
        <v>2.52</v>
      </c>
      <c r="Q61" s="18">
        <f t="shared" si="13"/>
        <v>8055.18</v>
      </c>
    </row>
    <row r="62">
      <c r="A62" s="6" t="s">
        <v>1256</v>
      </c>
      <c r="B62" s="6">
        <v>32.0</v>
      </c>
      <c r="C62" s="10">
        <f t="shared" ref="C62:C63" si="15">5*(B62/2)+2</f>
        <v>82</v>
      </c>
      <c r="D62" s="6">
        <v>53.14</v>
      </c>
      <c r="E62" s="18">
        <f t="shared" si="9"/>
        <v>4357.48</v>
      </c>
      <c r="F62" s="18">
        <f t="shared" si="10"/>
        <v>2862.72</v>
      </c>
      <c r="G62" s="10">
        <f t="shared" si="11"/>
        <v>1.52214677</v>
      </c>
      <c r="J62" s="6" t="s">
        <v>1253</v>
      </c>
      <c r="K62" s="6">
        <v>64.0</v>
      </c>
      <c r="L62" s="6">
        <v>32.0</v>
      </c>
      <c r="M62" s="6">
        <v>128.0</v>
      </c>
      <c r="N62" s="10">
        <v>27.72</v>
      </c>
      <c r="O62" s="10">
        <v>28.98</v>
      </c>
      <c r="P62" s="6">
        <v>2.52</v>
      </c>
      <c r="Q62" s="18">
        <f t="shared" si="13"/>
        <v>3024</v>
      </c>
    </row>
    <row r="63">
      <c r="A63" s="6" t="s">
        <v>1258</v>
      </c>
      <c r="B63" s="6">
        <v>32.0</v>
      </c>
      <c r="C63" s="10">
        <f t="shared" si="15"/>
        <v>82</v>
      </c>
      <c r="D63" s="6">
        <v>53.14</v>
      </c>
      <c r="E63" s="18">
        <f t="shared" si="9"/>
        <v>4357.48</v>
      </c>
      <c r="F63" s="18">
        <f t="shared" si="10"/>
        <v>2862.72</v>
      </c>
      <c r="G63" s="10">
        <f t="shared" si="11"/>
        <v>1.52214677</v>
      </c>
      <c r="J63" s="6" t="s">
        <v>1254</v>
      </c>
      <c r="K63" s="6">
        <v>96.0</v>
      </c>
      <c r="L63" s="6">
        <v>64.0</v>
      </c>
      <c r="M63" s="6">
        <v>384.0</v>
      </c>
      <c r="N63" s="10">
        <v>27.72</v>
      </c>
      <c r="O63" s="10">
        <v>28.98</v>
      </c>
      <c r="P63" s="6">
        <v>2.52</v>
      </c>
      <c r="Q63" s="18">
        <f t="shared" si="13"/>
        <v>5483.52</v>
      </c>
    </row>
    <row r="64">
      <c r="A64" s="6" t="s">
        <v>1259</v>
      </c>
      <c r="B64" s="6">
        <v>32.0</v>
      </c>
      <c r="C64" s="10">
        <f>6*(B64/2)+1</f>
        <v>97</v>
      </c>
      <c r="D64" s="6">
        <v>53.14</v>
      </c>
      <c r="E64" s="18">
        <f t="shared" si="9"/>
        <v>5154.58</v>
      </c>
      <c r="F64" s="18">
        <f t="shared" si="10"/>
        <v>2862.72</v>
      </c>
      <c r="G64" s="10">
        <f t="shared" si="11"/>
        <v>1.800588252</v>
      </c>
      <c r="J64" s="6" t="s">
        <v>1244</v>
      </c>
      <c r="K64" s="6">
        <v>7793.0</v>
      </c>
      <c r="L64" s="243">
        <v>4498.0</v>
      </c>
      <c r="M64" s="243">
        <v>16368.0</v>
      </c>
      <c r="N64" s="10">
        <v>27.72</v>
      </c>
      <c r="O64" s="10">
        <v>28.98</v>
      </c>
      <c r="P64" s="6">
        <v>2.52</v>
      </c>
      <c r="Q64" s="18">
        <f t="shared" si="13"/>
        <v>387621.36</v>
      </c>
    </row>
    <row r="65">
      <c r="A65" s="6" t="s">
        <v>1243</v>
      </c>
      <c r="B65" s="6">
        <v>32.0</v>
      </c>
      <c r="C65" s="10">
        <f>8*B65*B65+12*B65</f>
        <v>8576</v>
      </c>
      <c r="D65" s="6">
        <v>53.14</v>
      </c>
      <c r="E65" s="18">
        <f t="shared" si="9"/>
        <v>455728.64</v>
      </c>
      <c r="F65" s="18">
        <f t="shared" si="10"/>
        <v>150738.84</v>
      </c>
      <c r="G65" s="10">
        <f t="shared" si="11"/>
        <v>3.02329937</v>
      </c>
      <c r="J65" s="6" t="s">
        <v>1243</v>
      </c>
      <c r="N65" s="10">
        <v>27.72</v>
      </c>
      <c r="O65" s="10">
        <v>28.98</v>
      </c>
      <c r="P65" s="6">
        <v>2.52</v>
      </c>
      <c r="Q65" s="18">
        <f t="shared" si="13"/>
        <v>0</v>
      </c>
    </row>
    <row r="66">
      <c r="A66" s="6" t="s">
        <v>1244</v>
      </c>
      <c r="B66" s="6">
        <v>32.0</v>
      </c>
      <c r="C66" s="10">
        <f>11*B66*B66-5*B66-1</f>
        <v>11103</v>
      </c>
      <c r="D66" s="6">
        <v>53.14</v>
      </c>
      <c r="E66" s="18">
        <f t="shared" si="9"/>
        <v>590013.42</v>
      </c>
      <c r="F66" s="18">
        <f t="shared" si="10"/>
        <v>102958.38</v>
      </c>
      <c r="G66" s="10">
        <f t="shared" si="11"/>
        <v>5.730601239</v>
      </c>
    </row>
    <row r="67">
      <c r="J67" s="241" t="s">
        <v>1267</v>
      </c>
    </row>
    <row r="68">
      <c r="A68" s="244" t="s">
        <v>1268</v>
      </c>
      <c r="K68" s="6" t="s">
        <v>117</v>
      </c>
      <c r="L68" s="6" t="s">
        <v>118</v>
      </c>
      <c r="M68" s="6" t="s">
        <v>1247</v>
      </c>
      <c r="N68" s="6" t="s">
        <v>125</v>
      </c>
      <c r="O68" s="6" t="s">
        <v>126</v>
      </c>
      <c r="P68" s="6" t="s">
        <v>1248</v>
      </c>
      <c r="Q68" s="6" t="s">
        <v>1249</v>
      </c>
    </row>
    <row r="69">
      <c r="B69" s="6" t="s">
        <v>1231</v>
      </c>
      <c r="C69" s="6" t="s">
        <v>1269</v>
      </c>
      <c r="D69" s="6" t="s">
        <v>1270</v>
      </c>
      <c r="E69" s="6" t="s">
        <v>1265</v>
      </c>
      <c r="F69" s="6" t="s">
        <v>1271</v>
      </c>
      <c r="G69" s="3" t="s">
        <v>1272</v>
      </c>
      <c r="J69" s="6" t="s">
        <v>1233</v>
      </c>
      <c r="K69" s="6">
        <v>322.0</v>
      </c>
      <c r="L69" s="6">
        <v>162.0</v>
      </c>
      <c r="M69" s="6">
        <v>416.0</v>
      </c>
      <c r="N69" s="10">
        <v>27.72</v>
      </c>
      <c r="O69" s="10">
        <v>28.98</v>
      </c>
      <c r="P69" s="6">
        <v>2.52</v>
      </c>
      <c r="Q69" s="18">
        <f t="shared" ref="Q69:Q77" si="16">K69*N69+L69*O69+M69*P69</f>
        <v>14668.92</v>
      </c>
    </row>
    <row r="70">
      <c r="A70" s="6" t="s">
        <v>1233</v>
      </c>
      <c r="B70" s="6">
        <v>11.0</v>
      </c>
      <c r="C70" s="6">
        <v>47.0</v>
      </c>
      <c r="D70" s="10">
        <f t="shared" ref="D70:D85" si="17">C70/B70</f>
        <v>4.272727273</v>
      </c>
      <c r="E70" s="10">
        <f t="shared" ref="E70:E85" si="18">G51</f>
        <v>7.889131653</v>
      </c>
      <c r="F70" s="10">
        <f t="shared" ref="F70:F85" si="19">E70*C70</f>
        <v>370.7891877</v>
      </c>
      <c r="G70" s="10">
        <f t="shared" ref="G70:G85" si="20">F70/B70</f>
        <v>33.70810797</v>
      </c>
      <c r="J70" s="6" t="s">
        <v>1234</v>
      </c>
      <c r="K70" s="6">
        <v>352.0</v>
      </c>
      <c r="L70" s="6">
        <v>193.0</v>
      </c>
      <c r="M70" s="6">
        <v>417.0</v>
      </c>
      <c r="N70" s="10">
        <v>27.72</v>
      </c>
      <c r="O70" s="10">
        <v>28.98</v>
      </c>
      <c r="P70" s="6">
        <v>2.52</v>
      </c>
      <c r="Q70" s="18">
        <f t="shared" si="16"/>
        <v>16401.42</v>
      </c>
    </row>
    <row r="71">
      <c r="A71" s="6" t="s">
        <v>1234</v>
      </c>
      <c r="B71" s="6">
        <v>9.5</v>
      </c>
      <c r="C71" s="6">
        <v>47.0</v>
      </c>
      <c r="D71" s="10">
        <f t="shared" si="17"/>
        <v>4.947368421</v>
      </c>
      <c r="E71" s="10">
        <f t="shared" si="18"/>
        <v>4.635959374</v>
      </c>
      <c r="F71" s="10">
        <f t="shared" si="19"/>
        <v>217.8900906</v>
      </c>
      <c r="G71" s="10">
        <f t="shared" si="20"/>
        <v>22.93579901</v>
      </c>
      <c r="J71" s="6" t="s">
        <v>1235</v>
      </c>
      <c r="K71" s="6">
        <v>562.0</v>
      </c>
      <c r="L71" s="6">
        <v>326.0</v>
      </c>
      <c r="M71" s="6">
        <v>693.0</v>
      </c>
      <c r="N71" s="10">
        <v>27.72</v>
      </c>
      <c r="O71" s="10">
        <v>28.98</v>
      </c>
      <c r="P71" s="6">
        <v>2.52</v>
      </c>
      <c r="Q71" s="18">
        <f t="shared" si="16"/>
        <v>26772.48</v>
      </c>
    </row>
    <row r="72">
      <c r="A72" s="6" t="s">
        <v>1235</v>
      </c>
      <c r="B72" s="6">
        <v>14.0</v>
      </c>
      <c r="C72" s="6">
        <v>55.0</v>
      </c>
      <c r="D72" s="10">
        <f t="shared" si="17"/>
        <v>3.928571429</v>
      </c>
      <c r="E72" s="10">
        <f t="shared" si="18"/>
        <v>2.153310413</v>
      </c>
      <c r="F72" s="10">
        <f t="shared" si="19"/>
        <v>118.4320727</v>
      </c>
      <c r="G72" s="10">
        <f t="shared" si="20"/>
        <v>8.459433767</v>
      </c>
      <c r="J72" s="6" t="s">
        <v>1240</v>
      </c>
      <c r="K72" s="6">
        <v>608.0</v>
      </c>
      <c r="L72" s="6">
        <v>353.0</v>
      </c>
      <c r="M72" s="6">
        <v>673.0</v>
      </c>
      <c r="N72" s="10">
        <v>27.72</v>
      </c>
      <c r="O72" s="10">
        <v>28.98</v>
      </c>
      <c r="P72" s="6">
        <v>2.52</v>
      </c>
      <c r="Q72" s="18">
        <f t="shared" si="16"/>
        <v>28779.66</v>
      </c>
    </row>
    <row r="73">
      <c r="A73" s="6" t="s">
        <v>1236</v>
      </c>
      <c r="B73" s="6">
        <v>19.0</v>
      </c>
      <c r="C73" s="6">
        <v>80.0</v>
      </c>
      <c r="D73" s="10">
        <f t="shared" si="17"/>
        <v>4.210526316</v>
      </c>
      <c r="E73" s="10">
        <f t="shared" si="18"/>
        <v>3.395742481</v>
      </c>
      <c r="F73" s="10">
        <f t="shared" si="19"/>
        <v>271.6593984</v>
      </c>
      <c r="G73" s="10">
        <f t="shared" si="20"/>
        <v>14.29786308</v>
      </c>
      <c r="J73" s="6" t="s">
        <v>1251</v>
      </c>
      <c r="K73" s="6">
        <v>384.0</v>
      </c>
      <c r="L73" s="6">
        <v>225.0</v>
      </c>
      <c r="M73" s="6">
        <v>449.0</v>
      </c>
      <c r="N73" s="10">
        <v>27.72</v>
      </c>
      <c r="O73" s="10">
        <v>28.98</v>
      </c>
      <c r="P73" s="6">
        <v>2.52</v>
      </c>
      <c r="Q73" s="18">
        <f t="shared" si="16"/>
        <v>18296.46</v>
      </c>
    </row>
    <row r="74">
      <c r="A74" s="6" t="s">
        <v>1250</v>
      </c>
      <c r="B74" s="6">
        <v>13.0</v>
      </c>
      <c r="C74" s="6">
        <v>101.0</v>
      </c>
      <c r="D74" s="10">
        <f t="shared" si="17"/>
        <v>7.769230769</v>
      </c>
      <c r="E74" s="10">
        <f t="shared" si="18"/>
        <v>2.644344921</v>
      </c>
      <c r="F74" s="10">
        <f t="shared" si="19"/>
        <v>267.078837</v>
      </c>
      <c r="G74" s="10">
        <f t="shared" si="20"/>
        <v>20.54452592</v>
      </c>
      <c r="J74" s="6" t="s">
        <v>1253</v>
      </c>
      <c r="K74" s="6">
        <v>64.0</v>
      </c>
      <c r="L74" s="6">
        <v>32.0</v>
      </c>
      <c r="M74" s="6">
        <v>96.0</v>
      </c>
      <c r="N74" s="10">
        <v>27.72</v>
      </c>
      <c r="O74" s="10">
        <v>28.98</v>
      </c>
      <c r="P74" s="6">
        <v>2.52</v>
      </c>
      <c r="Q74" s="18">
        <f t="shared" si="16"/>
        <v>2943.36</v>
      </c>
    </row>
    <row r="75">
      <c r="A75" s="6" t="s">
        <v>1252</v>
      </c>
      <c r="B75" s="6">
        <v>10.0</v>
      </c>
      <c r="C75" s="6">
        <v>87.0</v>
      </c>
      <c r="D75" s="10">
        <f t="shared" si="17"/>
        <v>8.7</v>
      </c>
      <c r="E75" s="10">
        <f t="shared" si="18"/>
        <v>2.540326436</v>
      </c>
      <c r="F75" s="10">
        <f t="shared" si="19"/>
        <v>221.0083999</v>
      </c>
      <c r="G75" s="10">
        <f t="shared" si="20"/>
        <v>22.10083999</v>
      </c>
      <c r="J75" s="6" t="s">
        <v>1254</v>
      </c>
      <c r="K75" s="6">
        <v>128.0</v>
      </c>
      <c r="L75" s="6">
        <v>64.0</v>
      </c>
      <c r="M75" s="6">
        <v>192.0</v>
      </c>
      <c r="N75" s="10">
        <v>27.72</v>
      </c>
      <c r="O75" s="10">
        <v>28.98</v>
      </c>
      <c r="P75" s="6">
        <v>2.52</v>
      </c>
      <c r="Q75" s="18">
        <f t="shared" si="16"/>
        <v>5886.72</v>
      </c>
    </row>
    <row r="76">
      <c r="A76" s="6" t="s">
        <v>1238</v>
      </c>
      <c r="B76" s="6">
        <v>25.0</v>
      </c>
      <c r="C76" s="6">
        <v>76.0</v>
      </c>
      <c r="D76" s="10">
        <f t="shared" si="17"/>
        <v>3.04</v>
      </c>
      <c r="E76" s="10">
        <f t="shared" si="18"/>
        <v>4.118182699</v>
      </c>
      <c r="F76" s="10">
        <f t="shared" si="19"/>
        <v>312.9818851</v>
      </c>
      <c r="G76" s="10">
        <f t="shared" si="20"/>
        <v>12.5192754</v>
      </c>
      <c r="J76" s="6" t="s">
        <v>1244</v>
      </c>
      <c r="K76" s="6">
        <v>15618.0</v>
      </c>
      <c r="L76" s="243">
        <v>8828.0</v>
      </c>
      <c r="M76" s="243">
        <v>17511.0</v>
      </c>
      <c r="N76" s="10">
        <v>27.72</v>
      </c>
      <c r="O76" s="10">
        <v>28.98</v>
      </c>
      <c r="P76" s="6">
        <v>2.52</v>
      </c>
      <c r="Q76" s="18">
        <f t="shared" si="16"/>
        <v>732894.12</v>
      </c>
    </row>
    <row r="77">
      <c r="A77" s="6" t="s">
        <v>1239</v>
      </c>
      <c r="B77" s="6">
        <v>13.0</v>
      </c>
      <c r="C77" s="6">
        <v>77.0</v>
      </c>
      <c r="D77" s="10">
        <f t="shared" si="17"/>
        <v>5.923076923</v>
      </c>
      <c r="E77" s="10">
        <f t="shared" si="18"/>
        <v>3.519103971</v>
      </c>
      <c r="F77" s="10">
        <f t="shared" si="19"/>
        <v>270.9710057</v>
      </c>
      <c r="G77" s="10">
        <f t="shared" si="20"/>
        <v>20.84392352</v>
      </c>
      <c r="J77" s="6" t="s">
        <v>1243</v>
      </c>
      <c r="N77" s="10">
        <v>27.72</v>
      </c>
      <c r="O77" s="10">
        <v>28.98</v>
      </c>
      <c r="P77" s="6">
        <v>2.52</v>
      </c>
      <c r="Q77" s="18">
        <f t="shared" si="16"/>
        <v>0</v>
      </c>
    </row>
    <row r="78">
      <c r="A78" s="6" t="s">
        <v>1240</v>
      </c>
      <c r="B78" s="6">
        <v>11.0</v>
      </c>
      <c r="C78" s="6">
        <v>15.0</v>
      </c>
      <c r="D78" s="10">
        <f t="shared" si="17"/>
        <v>1.363636364</v>
      </c>
      <c r="E78" s="10">
        <f t="shared" si="18"/>
        <v>3.519103971</v>
      </c>
      <c r="F78" s="10">
        <f t="shared" si="19"/>
        <v>52.78655956</v>
      </c>
      <c r="G78" s="10">
        <f t="shared" si="20"/>
        <v>4.798778142</v>
      </c>
    </row>
    <row r="79">
      <c r="A79" s="6" t="s">
        <v>1241</v>
      </c>
      <c r="B79" s="6">
        <v>19.0</v>
      </c>
      <c r="C79" s="6">
        <v>102.0</v>
      </c>
      <c r="D79" s="10">
        <f t="shared" si="17"/>
        <v>5.368421053</v>
      </c>
      <c r="E79" s="10">
        <f t="shared" si="18"/>
        <v>2.677314469</v>
      </c>
      <c r="F79" s="10">
        <f t="shared" si="19"/>
        <v>273.0860758</v>
      </c>
      <c r="G79" s="10">
        <f t="shared" si="20"/>
        <v>14.37295136</v>
      </c>
    </row>
    <row r="80">
      <c r="A80" s="6" t="s">
        <v>1251</v>
      </c>
      <c r="B80" s="6">
        <v>27.0</v>
      </c>
      <c r="C80" s="6">
        <v>69.0</v>
      </c>
      <c r="D80" s="10">
        <f t="shared" si="17"/>
        <v>2.555555556</v>
      </c>
      <c r="E80" s="10">
        <f t="shared" si="18"/>
        <v>4.635959374</v>
      </c>
      <c r="F80" s="10">
        <f t="shared" si="19"/>
        <v>319.8811968</v>
      </c>
      <c r="G80" s="10">
        <f t="shared" si="20"/>
        <v>11.84745173</v>
      </c>
    </row>
    <row r="81">
      <c r="A81" s="6" t="s">
        <v>1256</v>
      </c>
      <c r="B81" s="6">
        <v>3.5</v>
      </c>
      <c r="C81" s="6">
        <v>104.0</v>
      </c>
      <c r="D81" s="10">
        <f t="shared" si="17"/>
        <v>29.71428571</v>
      </c>
      <c r="E81" s="10">
        <f t="shared" si="18"/>
        <v>1.52214677</v>
      </c>
      <c r="F81" s="10">
        <f t="shared" si="19"/>
        <v>158.303264</v>
      </c>
      <c r="G81" s="10">
        <f t="shared" si="20"/>
        <v>45.22950401</v>
      </c>
    </row>
    <row r="82">
      <c r="A82" s="6" t="s">
        <v>1258</v>
      </c>
      <c r="B82" s="6">
        <v>22.0</v>
      </c>
      <c r="C82" s="6">
        <v>104.0</v>
      </c>
      <c r="D82" s="10">
        <f t="shared" si="17"/>
        <v>4.727272727</v>
      </c>
      <c r="E82" s="10">
        <f t="shared" si="18"/>
        <v>1.52214677</v>
      </c>
      <c r="F82" s="10">
        <f t="shared" si="19"/>
        <v>158.303264</v>
      </c>
      <c r="G82" s="10">
        <f t="shared" si="20"/>
        <v>7.19560291</v>
      </c>
    </row>
    <row r="83">
      <c r="A83" s="6" t="s">
        <v>1259</v>
      </c>
      <c r="B83" s="6">
        <v>12.0</v>
      </c>
      <c r="C83" s="6">
        <v>100.0</v>
      </c>
      <c r="D83" s="10">
        <f t="shared" si="17"/>
        <v>8.333333333</v>
      </c>
      <c r="E83" s="10">
        <f t="shared" si="18"/>
        <v>1.800588252</v>
      </c>
      <c r="F83" s="10">
        <f t="shared" si="19"/>
        <v>180.0588252</v>
      </c>
      <c r="G83" s="10">
        <f t="shared" si="20"/>
        <v>15.0049021</v>
      </c>
    </row>
    <row r="84">
      <c r="A84" s="6" t="s">
        <v>1243</v>
      </c>
      <c r="B84" s="6">
        <v>14.0</v>
      </c>
      <c r="C84" s="6">
        <v>0.8</v>
      </c>
      <c r="D84" s="10">
        <f t="shared" si="17"/>
        <v>0.05714285714</v>
      </c>
      <c r="E84" s="10">
        <f t="shared" si="18"/>
        <v>3.02329937</v>
      </c>
      <c r="F84" s="10">
        <f t="shared" si="19"/>
        <v>2.418639496</v>
      </c>
      <c r="G84" s="10">
        <f t="shared" si="20"/>
        <v>0.172759964</v>
      </c>
    </row>
    <row r="85">
      <c r="A85" s="6" t="s">
        <v>1244</v>
      </c>
      <c r="B85" s="6">
        <v>16.0</v>
      </c>
      <c r="C85" s="6">
        <v>1.5</v>
      </c>
      <c r="D85" s="10">
        <f t="shared" si="17"/>
        <v>0.09375</v>
      </c>
      <c r="E85" s="10">
        <f t="shared" si="18"/>
        <v>5.730601239</v>
      </c>
      <c r="F85" s="10">
        <f t="shared" si="19"/>
        <v>8.595901859</v>
      </c>
      <c r="G85" s="10">
        <f t="shared" si="20"/>
        <v>0.5372438662</v>
      </c>
    </row>
    <row r="86">
      <c r="A86" s="3" t="s">
        <v>1189</v>
      </c>
      <c r="F86" s="215"/>
      <c r="G86" s="10">
        <f>GEOMEAN(G70:G85)</f>
        <v>9.458508552</v>
      </c>
    </row>
    <row r="89">
      <c r="A89" s="6" t="s">
        <v>1273</v>
      </c>
      <c r="B89" s="6" t="s">
        <v>1274</v>
      </c>
      <c r="C89" s="6" t="s">
        <v>1275</v>
      </c>
      <c r="D89" s="6" t="s">
        <v>1276</v>
      </c>
      <c r="F89" s="6" t="s">
        <v>1277</v>
      </c>
      <c r="G89" s="6" t="s">
        <v>1278</v>
      </c>
    </row>
    <row r="90">
      <c r="A90" s="245">
        <v>815.0</v>
      </c>
      <c r="B90" s="10">
        <f>1.1284*39.4</f>
        <v>44.45896</v>
      </c>
      <c r="C90" s="10">
        <f>A90/B90</f>
        <v>18.33151293</v>
      </c>
      <c r="D90" s="10">
        <f>C90/16</f>
        <v>1.145719558</v>
      </c>
      <c r="F90" s="6">
        <v>250.0</v>
      </c>
    </row>
    <row r="92">
      <c r="B92" s="3" t="s">
        <v>1272</v>
      </c>
      <c r="C92" s="6" t="s">
        <v>1279</v>
      </c>
      <c r="D92" s="3" t="s">
        <v>1280</v>
      </c>
      <c r="G92" s="6" t="s">
        <v>1277</v>
      </c>
      <c r="H92" s="6" t="s">
        <v>1278</v>
      </c>
      <c r="I92" s="6" t="s">
        <v>1281</v>
      </c>
      <c r="J92" s="6" t="s">
        <v>1282</v>
      </c>
      <c r="K92" s="3" t="s">
        <v>1283</v>
      </c>
    </row>
    <row r="93">
      <c r="A93" s="6" t="s">
        <v>1233</v>
      </c>
      <c r="B93" s="10">
        <f t="shared" ref="B93:B108" si="21">G70</f>
        <v>33.70810797</v>
      </c>
      <c r="C93" s="10">
        <f>D90</f>
        <v>1.145719558</v>
      </c>
      <c r="D93" s="10">
        <f t="shared" ref="D93:D108" si="22">B93*C93</f>
        <v>38.62003856</v>
      </c>
      <c r="F93" s="6" t="s">
        <v>1233</v>
      </c>
      <c r="G93" s="6">
        <v>250.0</v>
      </c>
      <c r="H93" s="6">
        <v>52.49525427</v>
      </c>
      <c r="I93" s="10">
        <f t="shared" ref="I93:I108" si="23">G93/H93</f>
        <v>4.762335253</v>
      </c>
      <c r="J93" s="6">
        <v>8.0</v>
      </c>
      <c r="K93" s="10">
        <f t="shared" ref="K93:K108" si="24">G70*I93</f>
        <v>160.5293109</v>
      </c>
    </row>
    <row r="94">
      <c r="A94" s="6" t="s">
        <v>1234</v>
      </c>
      <c r="B94" s="10">
        <f t="shared" si="21"/>
        <v>22.93579901</v>
      </c>
      <c r="C94" s="10">
        <f>D90</f>
        <v>1.145719558</v>
      </c>
      <c r="D94" s="10">
        <f t="shared" si="22"/>
        <v>26.2779935</v>
      </c>
      <c r="F94" s="6" t="s">
        <v>1234</v>
      </c>
      <c r="G94" s="6">
        <v>250.0</v>
      </c>
      <c r="H94" s="6">
        <v>50.47849463</v>
      </c>
      <c r="I94" s="10">
        <f t="shared" si="23"/>
        <v>4.952604111</v>
      </c>
      <c r="J94" s="6">
        <v>8.0</v>
      </c>
      <c r="K94" s="10">
        <f t="shared" si="24"/>
        <v>113.5919324</v>
      </c>
    </row>
    <row r="95">
      <c r="A95" s="6" t="s">
        <v>1235</v>
      </c>
      <c r="B95" s="10">
        <f t="shared" si="21"/>
        <v>8.459433767</v>
      </c>
      <c r="C95" s="10">
        <f>D90</f>
        <v>1.145719558</v>
      </c>
      <c r="D95" s="10">
        <f t="shared" si="22"/>
        <v>9.692138716</v>
      </c>
      <c r="F95" s="6" t="s">
        <v>1235</v>
      </c>
      <c r="G95" s="6">
        <v>250.0</v>
      </c>
      <c r="H95" s="6">
        <v>50.59650515</v>
      </c>
      <c r="I95" s="10">
        <f t="shared" si="23"/>
        <v>4.941052732</v>
      </c>
      <c r="J95" s="6">
        <v>8.0</v>
      </c>
      <c r="K95" s="10">
        <f t="shared" si="24"/>
        <v>41.79850832</v>
      </c>
    </row>
    <row r="96">
      <c r="A96" s="6" t="s">
        <v>1236</v>
      </c>
      <c r="B96" s="10">
        <f t="shared" si="21"/>
        <v>14.29786308</v>
      </c>
      <c r="C96" s="10">
        <f>D90</f>
        <v>1.145719558</v>
      </c>
      <c r="D96" s="10">
        <f t="shared" si="22"/>
        <v>16.38134136</v>
      </c>
      <c r="F96" s="6" t="s">
        <v>1236</v>
      </c>
      <c r="G96" s="6">
        <v>250.0</v>
      </c>
      <c r="H96" s="6">
        <v>51.59021929</v>
      </c>
      <c r="I96" s="10">
        <f t="shared" si="23"/>
        <v>4.84587977</v>
      </c>
      <c r="J96" s="6">
        <v>8.0</v>
      </c>
      <c r="K96" s="10">
        <f t="shared" si="24"/>
        <v>69.28572544</v>
      </c>
    </row>
    <row r="97">
      <c r="A97" s="6" t="s">
        <v>1250</v>
      </c>
      <c r="B97" s="10">
        <f t="shared" si="21"/>
        <v>20.54452592</v>
      </c>
      <c r="C97" s="10">
        <f>D90</f>
        <v>1.145719558</v>
      </c>
      <c r="D97" s="10">
        <f t="shared" si="22"/>
        <v>23.53826516</v>
      </c>
      <c r="F97" s="6" t="s">
        <v>1250</v>
      </c>
      <c r="G97" s="6">
        <v>250.0</v>
      </c>
      <c r="H97" s="6">
        <v>50.52226566</v>
      </c>
      <c r="I97" s="10">
        <f t="shared" si="23"/>
        <v>4.948313318</v>
      </c>
      <c r="J97" s="6">
        <v>8.0</v>
      </c>
      <c r="K97" s="10">
        <f t="shared" si="24"/>
        <v>101.6607512</v>
      </c>
    </row>
    <row r="98">
      <c r="A98" s="6" t="s">
        <v>1252</v>
      </c>
      <c r="B98" s="10">
        <f t="shared" si="21"/>
        <v>22.10083999</v>
      </c>
      <c r="C98" s="10">
        <f>D90</f>
        <v>1.145719558</v>
      </c>
      <c r="D98" s="10">
        <f t="shared" si="22"/>
        <v>25.32136463</v>
      </c>
      <c r="F98" s="6" t="s">
        <v>1252</v>
      </c>
      <c r="G98" s="6">
        <v>250.0</v>
      </c>
      <c r="H98" s="6">
        <v>51.59021929</v>
      </c>
      <c r="I98" s="10">
        <f t="shared" si="23"/>
        <v>4.84587977</v>
      </c>
      <c r="J98" s="6">
        <v>8.0</v>
      </c>
      <c r="K98" s="10">
        <f t="shared" si="24"/>
        <v>107.0980134</v>
      </c>
    </row>
    <row r="99">
      <c r="A99" s="6" t="s">
        <v>1238</v>
      </c>
      <c r="B99" s="10">
        <f t="shared" si="21"/>
        <v>12.5192754</v>
      </c>
      <c r="C99" s="10">
        <f>D90</f>
        <v>1.145719558</v>
      </c>
      <c r="D99" s="10">
        <f t="shared" si="22"/>
        <v>14.34357868</v>
      </c>
      <c r="F99" s="6" t="s">
        <v>1238</v>
      </c>
      <c r="G99" s="6">
        <v>250.0</v>
      </c>
      <c r="H99" s="6">
        <v>49.67253088</v>
      </c>
      <c r="I99" s="10">
        <f t="shared" si="23"/>
        <v>5.032962798</v>
      </c>
      <c r="J99" s="6">
        <v>8.0</v>
      </c>
      <c r="K99" s="10">
        <f t="shared" si="24"/>
        <v>63.00904737</v>
      </c>
    </row>
    <row r="100">
      <c r="A100" s="6" t="s">
        <v>1239</v>
      </c>
      <c r="B100" s="10">
        <f t="shared" si="21"/>
        <v>20.84392352</v>
      </c>
      <c r="C100" s="10">
        <f>D90</f>
        <v>1.145719558</v>
      </c>
      <c r="D100" s="10">
        <f t="shared" si="22"/>
        <v>23.88129084</v>
      </c>
      <c r="F100" s="6" t="s">
        <v>1239</v>
      </c>
      <c r="G100" s="6">
        <v>250.0</v>
      </c>
      <c r="H100" s="6">
        <v>50.03120766</v>
      </c>
      <c r="I100" s="10">
        <f t="shared" si="23"/>
        <v>4.996881181</v>
      </c>
      <c r="J100" s="6">
        <v>8.0</v>
      </c>
      <c r="K100" s="10">
        <f t="shared" si="24"/>
        <v>104.1546092</v>
      </c>
    </row>
    <row r="101">
      <c r="A101" s="6" t="s">
        <v>1240</v>
      </c>
      <c r="B101" s="10">
        <f t="shared" si="21"/>
        <v>4.798778142</v>
      </c>
      <c r="C101" s="10">
        <f>D90</f>
        <v>1.145719558</v>
      </c>
      <c r="D101" s="10">
        <f t="shared" si="22"/>
        <v>5.498053971</v>
      </c>
      <c r="F101" s="6" t="s">
        <v>1240</v>
      </c>
      <c r="G101" s="6">
        <v>250.0</v>
      </c>
      <c r="H101" s="6">
        <v>50.03120766</v>
      </c>
      <c r="I101" s="10">
        <f t="shared" si="23"/>
        <v>4.996881181</v>
      </c>
      <c r="J101" s="6">
        <v>8.0</v>
      </c>
      <c r="K101" s="10">
        <f t="shared" si="24"/>
        <v>23.97892419</v>
      </c>
    </row>
    <row r="102">
      <c r="A102" s="6" t="s">
        <v>1241</v>
      </c>
      <c r="B102" s="10">
        <f t="shared" si="21"/>
        <v>14.37295136</v>
      </c>
      <c r="C102" s="10">
        <f>D90</f>
        <v>1.145719558</v>
      </c>
      <c r="D102" s="10">
        <f t="shared" si="22"/>
        <v>16.46737148</v>
      </c>
      <c r="F102" s="6" t="s">
        <v>1241</v>
      </c>
      <c r="G102" s="6">
        <v>250.0</v>
      </c>
      <c r="H102" s="6">
        <v>49.2987748</v>
      </c>
      <c r="I102" s="10">
        <f t="shared" si="23"/>
        <v>5.071119942</v>
      </c>
      <c r="J102" s="6">
        <v>8.0</v>
      </c>
      <c r="K102" s="10">
        <f t="shared" si="24"/>
        <v>72.88696025</v>
      </c>
    </row>
    <row r="103">
      <c r="A103" s="6" t="s">
        <v>1251</v>
      </c>
      <c r="B103" s="10">
        <f t="shared" si="21"/>
        <v>11.84745173</v>
      </c>
      <c r="C103" s="10">
        <f>D90</f>
        <v>1.145719558</v>
      </c>
      <c r="D103" s="10">
        <f t="shared" si="22"/>
        <v>13.57385716</v>
      </c>
      <c r="F103" s="6" t="s">
        <v>1251</v>
      </c>
      <c r="G103" s="6">
        <v>250.0</v>
      </c>
      <c r="H103" s="6">
        <v>50.47849463</v>
      </c>
      <c r="I103" s="10">
        <f t="shared" si="23"/>
        <v>4.952604111</v>
      </c>
      <c r="J103" s="6">
        <v>8.0</v>
      </c>
      <c r="K103" s="10">
        <f t="shared" si="24"/>
        <v>58.67573815</v>
      </c>
    </row>
    <row r="104">
      <c r="A104" s="6" t="s">
        <v>1256</v>
      </c>
      <c r="B104" s="10">
        <f t="shared" si="21"/>
        <v>45.22950401</v>
      </c>
      <c r="C104" s="10">
        <f>D90</f>
        <v>1.145719558</v>
      </c>
      <c r="D104" s="10">
        <f t="shared" si="22"/>
        <v>51.82032734</v>
      </c>
      <c r="F104" s="6" t="s">
        <v>1256</v>
      </c>
      <c r="G104" s="6">
        <v>250.0</v>
      </c>
      <c r="H104" s="6">
        <v>49.68855264</v>
      </c>
      <c r="I104" s="10">
        <f t="shared" si="23"/>
        <v>5.031339951</v>
      </c>
      <c r="J104" s="6">
        <v>8.0</v>
      </c>
      <c r="K104" s="10">
        <f t="shared" si="24"/>
        <v>227.5650105</v>
      </c>
    </row>
    <row r="105">
      <c r="A105" s="6" t="s">
        <v>1258</v>
      </c>
      <c r="B105" s="10">
        <f t="shared" si="21"/>
        <v>7.19560291</v>
      </c>
      <c r="C105" s="10">
        <f>D90</f>
        <v>1.145719558</v>
      </c>
      <c r="D105" s="10">
        <f t="shared" si="22"/>
        <v>8.244142986</v>
      </c>
      <c r="F105" s="6" t="s">
        <v>1258</v>
      </c>
      <c r="G105" s="6">
        <v>250.0</v>
      </c>
      <c r="H105" s="6">
        <v>49.68855264</v>
      </c>
      <c r="I105" s="10">
        <f t="shared" si="23"/>
        <v>5.031339951</v>
      </c>
      <c r="J105" s="6">
        <v>8.0</v>
      </c>
      <c r="K105" s="10">
        <f t="shared" si="24"/>
        <v>36.20352439</v>
      </c>
    </row>
    <row r="106">
      <c r="A106" s="6" t="s">
        <v>1259</v>
      </c>
      <c r="B106" s="10">
        <f t="shared" si="21"/>
        <v>15.0049021</v>
      </c>
      <c r="C106" s="10">
        <f>D90</f>
        <v>1.145719558</v>
      </c>
      <c r="D106" s="10">
        <f t="shared" si="22"/>
        <v>17.1914098</v>
      </c>
      <c r="F106" s="6" t="s">
        <v>1259</v>
      </c>
      <c r="G106" s="6">
        <v>250.0</v>
      </c>
      <c r="H106" s="6">
        <v>49.68855264</v>
      </c>
      <c r="I106" s="10">
        <f t="shared" si="23"/>
        <v>5.031339951</v>
      </c>
      <c r="J106" s="6">
        <v>8.0</v>
      </c>
      <c r="K106" s="10">
        <f t="shared" si="24"/>
        <v>75.49476338</v>
      </c>
    </row>
    <row r="107">
      <c r="A107" s="6" t="s">
        <v>1243</v>
      </c>
      <c r="B107" s="10">
        <f t="shared" si="21"/>
        <v>0.172759964</v>
      </c>
      <c r="C107" s="10">
        <f>D90</f>
        <v>1.145719558</v>
      </c>
      <c r="D107" s="10">
        <f t="shared" si="22"/>
        <v>0.1979344696</v>
      </c>
      <c r="F107" s="6" t="s">
        <v>1243</v>
      </c>
      <c r="G107" s="6">
        <v>250.0</v>
      </c>
      <c r="H107" s="6">
        <v>50.69175577</v>
      </c>
      <c r="I107" s="10">
        <f t="shared" si="23"/>
        <v>4.931768415</v>
      </c>
      <c r="J107" s="6">
        <v>8.0</v>
      </c>
      <c r="K107" s="10">
        <f t="shared" si="24"/>
        <v>0.8520121338</v>
      </c>
    </row>
    <row r="108">
      <c r="A108" s="6" t="s">
        <v>1244</v>
      </c>
      <c r="B108" s="10">
        <f t="shared" si="21"/>
        <v>0.5372438662</v>
      </c>
      <c r="C108" s="10">
        <f>D90</f>
        <v>1.145719558</v>
      </c>
      <c r="D108" s="10">
        <f t="shared" si="22"/>
        <v>0.6155308049</v>
      </c>
      <c r="F108" s="6" t="s">
        <v>1244</v>
      </c>
      <c r="G108" s="6">
        <v>250.0</v>
      </c>
      <c r="H108" s="6">
        <v>50.86649807</v>
      </c>
      <c r="I108" s="10">
        <f t="shared" si="23"/>
        <v>4.914826251</v>
      </c>
      <c r="J108" s="6">
        <v>8.0</v>
      </c>
      <c r="K108" s="10">
        <f t="shared" si="24"/>
        <v>2.640460256</v>
      </c>
    </row>
    <row r="109">
      <c r="A109" s="3" t="s">
        <v>1189</v>
      </c>
      <c r="D109" s="215">
        <f>GEOMEAN(D93:D108)</f>
        <v>10.83679824</v>
      </c>
      <c r="K109" s="215">
        <f>GEOMEAN(K93:K108)</f>
        <v>46.86487356</v>
      </c>
    </row>
  </sheetData>
  <mergeCells count="9">
    <mergeCell ref="J67:Q67"/>
    <mergeCell ref="A68:F68"/>
    <mergeCell ref="A2:AC2"/>
    <mergeCell ref="A14:AC14"/>
    <mergeCell ref="A30:H30"/>
    <mergeCell ref="J30:Q30"/>
    <mergeCell ref="J43:Q43"/>
    <mergeCell ref="A49:E49"/>
    <mergeCell ref="J55:Q55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0"/>
  </cols>
  <sheetData>
    <row r="1">
      <c r="A1" s="52" t="s">
        <v>1284</v>
      </c>
    </row>
    <row r="2">
      <c r="A2" s="246" t="s">
        <v>10</v>
      </c>
    </row>
    <row r="3">
      <c r="B3" s="6" t="s">
        <v>11</v>
      </c>
      <c r="C3" s="6" t="s">
        <v>12</v>
      </c>
      <c r="D3" s="6" t="s">
        <v>1285</v>
      </c>
      <c r="E3" s="6" t="s">
        <v>1286</v>
      </c>
      <c r="F3" s="6" t="s">
        <v>1287</v>
      </c>
      <c r="G3" s="6" t="s">
        <v>1288</v>
      </c>
      <c r="H3" s="247" t="s">
        <v>1289</v>
      </c>
      <c r="I3" s="6" t="s">
        <v>1290</v>
      </c>
      <c r="J3" s="6" t="s">
        <v>1291</v>
      </c>
      <c r="K3" s="248" t="s">
        <v>1292</v>
      </c>
      <c r="L3" s="6" t="s">
        <v>1293</v>
      </c>
      <c r="M3" s="6" t="s">
        <v>1294</v>
      </c>
      <c r="N3" s="6" t="s">
        <v>1295</v>
      </c>
      <c r="O3" s="6" t="s">
        <v>1296</v>
      </c>
    </row>
    <row r="4">
      <c r="A4" s="6" t="s">
        <v>17</v>
      </c>
      <c r="B4" s="249">
        <v>64.0</v>
      </c>
      <c r="C4" s="249">
        <v>32.0</v>
      </c>
      <c r="D4" s="249">
        <v>96.0</v>
      </c>
      <c r="E4" s="10">
        <v>27.72</v>
      </c>
      <c r="F4" s="10">
        <v>28.98</v>
      </c>
      <c r="G4" s="6">
        <v>2.52</v>
      </c>
      <c r="H4" s="224">
        <f t="shared" ref="H4:H11" si="1">(G4*D4)/(B4*E4+C4*F4+D4*G4)</f>
        <v>0.08219178082</v>
      </c>
      <c r="I4" s="10">
        <f t="shared" ref="I4:I11" si="2">3.95*10^-6</f>
        <v>0.00000395</v>
      </c>
      <c r="J4" s="6">
        <v>131072.0</v>
      </c>
      <c r="K4" s="10">
        <f t="shared" ref="K4:K11" si="3">I4*J4</f>
        <v>0.5177344</v>
      </c>
      <c r="L4" s="6">
        <v>48.0</v>
      </c>
      <c r="M4" s="6">
        <v>32.0</v>
      </c>
      <c r="N4" s="10">
        <f t="shared" ref="N4:N11" si="4">0.56*10^-3</f>
        <v>0.00056</v>
      </c>
      <c r="O4" s="10">
        <f t="shared" ref="O4:O11" si="5">L4+N4*M4+H4*K4*M4</f>
        <v>49.37963239</v>
      </c>
    </row>
    <row r="5">
      <c r="A5" s="6" t="s">
        <v>21</v>
      </c>
      <c r="B5" s="249">
        <v>15618.0</v>
      </c>
      <c r="C5" s="249">
        <v>8828.0</v>
      </c>
      <c r="D5" s="249">
        <v>17511.0</v>
      </c>
      <c r="E5" s="10">
        <v>27.72</v>
      </c>
      <c r="F5" s="10">
        <v>28.98</v>
      </c>
      <c r="G5" s="6">
        <v>2.52</v>
      </c>
      <c r="H5" s="224">
        <f t="shared" si="1"/>
        <v>0.06021022518</v>
      </c>
      <c r="I5" s="10">
        <f t="shared" si="2"/>
        <v>0.00000395</v>
      </c>
      <c r="J5" s="6">
        <v>131072.0</v>
      </c>
      <c r="K5" s="10">
        <f t="shared" si="3"/>
        <v>0.5177344</v>
      </c>
      <c r="L5" s="6">
        <v>48.0</v>
      </c>
      <c r="M5" s="6">
        <v>32.0</v>
      </c>
      <c r="N5" s="10">
        <f t="shared" si="4"/>
        <v>0.00056</v>
      </c>
      <c r="O5" s="10">
        <f t="shared" si="5"/>
        <v>49.01545295</v>
      </c>
    </row>
    <row r="6">
      <c r="A6" s="6" t="s">
        <v>25</v>
      </c>
      <c r="B6" s="250">
        <f t="shared" ref="B6:C6" si="6">B5/1.5</f>
        <v>10412</v>
      </c>
      <c r="C6" s="250">
        <f t="shared" si="6"/>
        <v>5885.333333</v>
      </c>
      <c r="D6" s="250">
        <v>12528.790794979082</v>
      </c>
      <c r="E6" s="10">
        <v>27.72</v>
      </c>
      <c r="F6" s="10">
        <v>28.98</v>
      </c>
      <c r="G6" s="6">
        <v>2.52</v>
      </c>
      <c r="H6" s="224">
        <f t="shared" si="1"/>
        <v>0.06433528879</v>
      </c>
      <c r="I6" s="10">
        <f t="shared" si="2"/>
        <v>0.00000395</v>
      </c>
      <c r="J6" s="6">
        <v>131072.0</v>
      </c>
      <c r="K6" s="10">
        <f t="shared" si="3"/>
        <v>0.5177344</v>
      </c>
      <c r="L6" s="6">
        <v>48.0</v>
      </c>
      <c r="M6" s="6">
        <v>32.0</v>
      </c>
      <c r="N6" s="10">
        <f t="shared" si="4"/>
        <v>0.00056</v>
      </c>
      <c r="O6" s="10">
        <f t="shared" si="5"/>
        <v>49.08379495</v>
      </c>
    </row>
    <row r="7">
      <c r="A7" s="6" t="s">
        <v>29</v>
      </c>
      <c r="B7" s="249">
        <v>322.0</v>
      </c>
      <c r="C7" s="249">
        <v>162.0</v>
      </c>
      <c r="D7" s="249">
        <v>416.0</v>
      </c>
      <c r="E7" s="10">
        <v>27.72</v>
      </c>
      <c r="F7" s="10">
        <v>28.98</v>
      </c>
      <c r="G7" s="6">
        <v>2.52</v>
      </c>
      <c r="H7" s="224">
        <f t="shared" si="1"/>
        <v>0.07146538395</v>
      </c>
      <c r="I7" s="10">
        <f t="shared" si="2"/>
        <v>0.00000395</v>
      </c>
      <c r="J7" s="6">
        <v>131072.0</v>
      </c>
      <c r="K7" s="10">
        <f t="shared" si="3"/>
        <v>0.5177344</v>
      </c>
      <c r="L7" s="6">
        <v>48.0</v>
      </c>
      <c r="M7" s="6">
        <v>1.0</v>
      </c>
      <c r="N7" s="10">
        <f t="shared" si="4"/>
        <v>0.00056</v>
      </c>
      <c r="O7" s="10">
        <f t="shared" si="5"/>
        <v>48.03756009</v>
      </c>
    </row>
    <row r="8">
      <c r="A8" s="6" t="s">
        <v>33</v>
      </c>
      <c r="B8" s="249">
        <v>128.0</v>
      </c>
      <c r="C8" s="249">
        <v>64.0</v>
      </c>
      <c r="D8" s="249">
        <v>192.0</v>
      </c>
      <c r="E8" s="10">
        <v>27.72</v>
      </c>
      <c r="F8" s="10">
        <v>28.98</v>
      </c>
      <c r="G8" s="6">
        <v>2.52</v>
      </c>
      <c r="H8" s="224">
        <f t="shared" si="1"/>
        <v>0.08219178082</v>
      </c>
      <c r="I8" s="10">
        <f t="shared" si="2"/>
        <v>0.00000395</v>
      </c>
      <c r="J8" s="6">
        <v>131072.0</v>
      </c>
      <c r="K8" s="10">
        <f t="shared" si="3"/>
        <v>0.5177344</v>
      </c>
      <c r="L8" s="6">
        <v>48.0</v>
      </c>
      <c r="M8" s="6">
        <v>32.0</v>
      </c>
      <c r="N8" s="10">
        <f t="shared" si="4"/>
        <v>0.00056</v>
      </c>
      <c r="O8" s="10">
        <f t="shared" si="5"/>
        <v>49.37963239</v>
      </c>
    </row>
    <row r="9">
      <c r="A9" s="6" t="s">
        <v>37</v>
      </c>
      <c r="B9" s="249">
        <v>562.0</v>
      </c>
      <c r="C9" s="249">
        <v>326.0</v>
      </c>
      <c r="D9" s="249">
        <v>693.0</v>
      </c>
      <c r="E9" s="10">
        <v>27.72</v>
      </c>
      <c r="F9" s="10">
        <v>28.98</v>
      </c>
      <c r="G9" s="6">
        <v>2.52</v>
      </c>
      <c r="H9" s="224">
        <f t="shared" si="1"/>
        <v>0.06522966867</v>
      </c>
      <c r="I9" s="10">
        <f t="shared" si="2"/>
        <v>0.00000395</v>
      </c>
      <c r="J9" s="6">
        <v>131072.0</v>
      </c>
      <c r="K9" s="10">
        <f t="shared" si="3"/>
        <v>0.5177344</v>
      </c>
      <c r="L9" s="6">
        <v>48.0</v>
      </c>
      <c r="M9" s="6">
        <v>32.0</v>
      </c>
      <c r="N9" s="10">
        <f t="shared" si="4"/>
        <v>0.00056</v>
      </c>
      <c r="O9" s="10">
        <f t="shared" si="5"/>
        <v>49.09861259</v>
      </c>
    </row>
    <row r="10">
      <c r="A10" s="6" t="s">
        <v>41</v>
      </c>
      <c r="B10" s="249">
        <v>608.0</v>
      </c>
      <c r="C10" s="249">
        <v>353.0</v>
      </c>
      <c r="D10" s="249">
        <v>673.0</v>
      </c>
      <c r="E10" s="10">
        <v>27.72</v>
      </c>
      <c r="F10" s="10">
        <v>28.98</v>
      </c>
      <c r="G10" s="6">
        <v>2.52</v>
      </c>
      <c r="H10" s="224">
        <f t="shared" si="1"/>
        <v>0.05892911869</v>
      </c>
      <c r="I10" s="10">
        <f t="shared" si="2"/>
        <v>0.00000395</v>
      </c>
      <c r="J10" s="6">
        <v>131072.0</v>
      </c>
      <c r="K10" s="10">
        <f t="shared" si="3"/>
        <v>0.5177344</v>
      </c>
      <c r="L10" s="6">
        <v>48.0</v>
      </c>
      <c r="M10" s="6">
        <v>1.0</v>
      </c>
      <c r="N10" s="10">
        <f t="shared" si="4"/>
        <v>0.00056</v>
      </c>
      <c r="O10" s="10">
        <f t="shared" si="5"/>
        <v>48.03106963</v>
      </c>
    </row>
    <row r="11">
      <c r="A11" s="6" t="s">
        <v>45</v>
      </c>
      <c r="B11" s="249">
        <v>64.0</v>
      </c>
      <c r="C11" s="249">
        <v>32.0</v>
      </c>
      <c r="D11" s="249">
        <v>96.0</v>
      </c>
      <c r="E11" s="10">
        <v>27.72</v>
      </c>
      <c r="F11" s="10">
        <v>28.98</v>
      </c>
      <c r="G11" s="6">
        <v>2.52</v>
      </c>
      <c r="H11" s="224">
        <f t="shared" si="1"/>
        <v>0.08219178082</v>
      </c>
      <c r="I11" s="10">
        <f t="shared" si="2"/>
        <v>0.00000395</v>
      </c>
      <c r="J11" s="6">
        <v>131072.0</v>
      </c>
      <c r="K11" s="10">
        <f t="shared" si="3"/>
        <v>0.5177344</v>
      </c>
      <c r="L11" s="6">
        <v>48.0</v>
      </c>
      <c r="M11" s="6">
        <v>1.0</v>
      </c>
      <c r="N11" s="10">
        <f t="shared" si="4"/>
        <v>0.00056</v>
      </c>
      <c r="O11" s="10">
        <f t="shared" si="5"/>
        <v>48.04311351</v>
      </c>
    </row>
    <row r="13">
      <c r="A13" s="246" t="s">
        <v>48</v>
      </c>
    </row>
    <row r="14">
      <c r="B14" s="6" t="s">
        <v>11</v>
      </c>
      <c r="C14" s="6" t="s">
        <v>12</v>
      </c>
      <c r="D14" s="6" t="s">
        <v>1285</v>
      </c>
      <c r="E14" s="6" t="s">
        <v>1286</v>
      </c>
      <c r="F14" s="6" t="s">
        <v>1287</v>
      </c>
      <c r="G14" s="6" t="s">
        <v>1288</v>
      </c>
      <c r="H14" s="247" t="s">
        <v>1289</v>
      </c>
      <c r="I14" s="6" t="s">
        <v>1290</v>
      </c>
      <c r="J14" s="6" t="s">
        <v>1291</v>
      </c>
      <c r="K14" s="247" t="s">
        <v>1292</v>
      </c>
      <c r="L14" s="6" t="s">
        <v>1297</v>
      </c>
      <c r="M14" s="6" t="s">
        <v>1294</v>
      </c>
      <c r="N14" s="6" t="s">
        <v>1295</v>
      </c>
      <c r="O14" s="6" t="s">
        <v>1296</v>
      </c>
    </row>
    <row r="15">
      <c r="A15" s="6" t="s">
        <v>17</v>
      </c>
      <c r="B15" s="249">
        <v>160.0</v>
      </c>
      <c r="C15" s="249">
        <v>97.0</v>
      </c>
      <c r="D15" s="249">
        <v>289.0</v>
      </c>
      <c r="E15" s="10">
        <v>27.72</v>
      </c>
      <c r="F15" s="10">
        <v>28.98</v>
      </c>
      <c r="G15" s="6">
        <v>2.52</v>
      </c>
      <c r="H15" s="224">
        <f t="shared" ref="H15:H22" si="7">(G15*D15)/(B15*E15+C15*F15+D15*G15)</f>
        <v>0.09132564386</v>
      </c>
      <c r="I15" s="10">
        <f t="shared" ref="I15:I22" si="8">6.23*10^-6</f>
        <v>0.00000623</v>
      </c>
      <c r="J15" s="6">
        <v>131072.0</v>
      </c>
      <c r="K15" s="10">
        <f t="shared" ref="K15:K22" si="9">I15*J15</f>
        <v>0.81657856</v>
      </c>
      <c r="L15" s="6">
        <v>48.0</v>
      </c>
      <c r="M15" s="6">
        <v>32.0</v>
      </c>
      <c r="N15" s="10">
        <f t="shared" ref="N15:N22" si="10">0.56*10^-3</f>
        <v>0.00056</v>
      </c>
      <c r="O15" s="10">
        <f t="shared" ref="O15:O22" si="11">L15+N15*M15+H15*K15*M15</f>
        <v>50.40430601</v>
      </c>
    </row>
    <row r="16">
      <c r="A16" s="6" t="s">
        <v>21</v>
      </c>
      <c r="B16" s="249">
        <v>7793.0</v>
      </c>
      <c r="C16" s="249">
        <v>4498.0</v>
      </c>
      <c r="D16" s="249">
        <v>16368.0</v>
      </c>
      <c r="E16" s="10">
        <v>27.72</v>
      </c>
      <c r="F16" s="10">
        <v>28.98</v>
      </c>
      <c r="G16" s="6">
        <v>2.52</v>
      </c>
      <c r="H16" s="224">
        <f t="shared" si="7"/>
        <v>0.1064114733</v>
      </c>
      <c r="I16" s="10">
        <f t="shared" si="8"/>
        <v>0.00000623</v>
      </c>
      <c r="J16" s="6">
        <v>131072.0</v>
      </c>
      <c r="K16" s="10">
        <f t="shared" si="9"/>
        <v>0.81657856</v>
      </c>
      <c r="L16" s="6">
        <v>48.0</v>
      </c>
      <c r="M16" s="6">
        <v>1.0</v>
      </c>
      <c r="N16" s="10">
        <f t="shared" si="10"/>
        <v>0.00056</v>
      </c>
      <c r="O16" s="10">
        <f t="shared" si="11"/>
        <v>48.08745333</v>
      </c>
    </row>
    <row r="17">
      <c r="A17" s="6" t="s">
        <v>25</v>
      </c>
      <c r="B17" s="250">
        <v>11689.500000000002</v>
      </c>
      <c r="C17" s="250">
        <v>6731.345707656614</v>
      </c>
      <c r="D17" s="250">
        <v>22876.912280701752</v>
      </c>
      <c r="E17" s="10">
        <v>27.72</v>
      </c>
      <c r="F17" s="10">
        <v>28.98</v>
      </c>
      <c r="G17" s="6">
        <v>2.52</v>
      </c>
      <c r="H17" s="224">
        <f t="shared" si="7"/>
        <v>0.09995509929</v>
      </c>
      <c r="I17" s="10">
        <f t="shared" si="8"/>
        <v>0.00000623</v>
      </c>
      <c r="J17" s="6">
        <v>131072.0</v>
      </c>
      <c r="K17" s="10">
        <f t="shared" si="9"/>
        <v>0.81657856</v>
      </c>
      <c r="L17" s="6">
        <v>48.0</v>
      </c>
      <c r="M17" s="6">
        <v>32.0</v>
      </c>
      <c r="N17" s="10">
        <f t="shared" si="10"/>
        <v>0.00056</v>
      </c>
      <c r="O17" s="10">
        <f t="shared" si="11"/>
        <v>50.62979811</v>
      </c>
    </row>
    <row r="18">
      <c r="A18" s="6" t="s">
        <v>29</v>
      </c>
      <c r="B18" s="249">
        <v>194.0</v>
      </c>
      <c r="C18" s="249">
        <v>162.0</v>
      </c>
      <c r="D18" s="249">
        <v>736.0</v>
      </c>
      <c r="E18" s="10">
        <v>27.72</v>
      </c>
      <c r="F18" s="10">
        <v>28.98</v>
      </c>
      <c r="G18" s="6">
        <v>2.52</v>
      </c>
      <c r="H18" s="224">
        <f t="shared" si="7"/>
        <v>0.1555039087</v>
      </c>
      <c r="I18" s="10">
        <f t="shared" si="8"/>
        <v>0.00000623</v>
      </c>
      <c r="J18" s="6">
        <v>131072.0</v>
      </c>
      <c r="K18" s="10">
        <f t="shared" si="9"/>
        <v>0.81657856</v>
      </c>
      <c r="L18" s="6">
        <v>48.0</v>
      </c>
      <c r="M18" s="6">
        <v>1.0</v>
      </c>
      <c r="N18" s="10">
        <f t="shared" si="10"/>
        <v>0.00056</v>
      </c>
      <c r="O18" s="10">
        <f t="shared" si="11"/>
        <v>48.12754116</v>
      </c>
    </row>
    <row r="19">
      <c r="A19" s="6" t="s">
        <v>33</v>
      </c>
      <c r="B19" s="249">
        <v>96.0</v>
      </c>
      <c r="C19" s="249">
        <v>64.0</v>
      </c>
      <c r="D19" s="249">
        <v>384.0</v>
      </c>
      <c r="E19" s="10">
        <v>27.72</v>
      </c>
      <c r="F19" s="10">
        <v>28.98</v>
      </c>
      <c r="G19" s="6">
        <v>2.52</v>
      </c>
      <c r="H19" s="224">
        <f t="shared" si="7"/>
        <v>0.1764705882</v>
      </c>
      <c r="I19" s="10">
        <f t="shared" si="8"/>
        <v>0.00000623</v>
      </c>
      <c r="J19" s="6">
        <v>131072.0</v>
      </c>
      <c r="K19" s="10">
        <f t="shared" si="9"/>
        <v>0.81657856</v>
      </c>
      <c r="L19" s="6">
        <v>48.0</v>
      </c>
      <c r="M19" s="6">
        <v>32.0</v>
      </c>
      <c r="N19" s="10">
        <f t="shared" si="10"/>
        <v>0.00056</v>
      </c>
      <c r="O19" s="10">
        <f t="shared" si="11"/>
        <v>52.62918716</v>
      </c>
    </row>
    <row r="20">
      <c r="A20" s="6" t="s">
        <v>37</v>
      </c>
      <c r="B20" s="249">
        <v>300.0</v>
      </c>
      <c r="C20" s="249">
        <v>203.0</v>
      </c>
      <c r="D20" s="249">
        <v>641.0</v>
      </c>
      <c r="E20" s="10">
        <v>27.72</v>
      </c>
      <c r="F20" s="10">
        <v>28.98</v>
      </c>
      <c r="G20" s="6">
        <v>2.52</v>
      </c>
      <c r="H20" s="224">
        <f t="shared" si="7"/>
        <v>0.1021432555</v>
      </c>
      <c r="I20" s="10">
        <f t="shared" si="8"/>
        <v>0.00000623</v>
      </c>
      <c r="J20" s="6">
        <v>131072.0</v>
      </c>
      <c r="K20" s="10">
        <f t="shared" si="9"/>
        <v>0.81657856</v>
      </c>
      <c r="L20" s="6">
        <v>48.0</v>
      </c>
      <c r="M20" s="6">
        <v>1.0</v>
      </c>
      <c r="N20" s="10">
        <f t="shared" si="10"/>
        <v>0.00056</v>
      </c>
      <c r="O20" s="10">
        <f t="shared" si="11"/>
        <v>48.08396799</v>
      </c>
    </row>
    <row r="21">
      <c r="A21" s="6" t="s">
        <v>41</v>
      </c>
      <c r="B21" s="249">
        <v>291.0</v>
      </c>
      <c r="C21" s="249">
        <v>163.0</v>
      </c>
      <c r="D21" s="249">
        <v>654.0</v>
      </c>
      <c r="E21" s="10">
        <v>27.72</v>
      </c>
      <c r="F21" s="10">
        <v>28.98</v>
      </c>
      <c r="G21" s="6">
        <v>2.52</v>
      </c>
      <c r="H21" s="224">
        <f t="shared" si="7"/>
        <v>0.114146086</v>
      </c>
      <c r="I21" s="10">
        <f t="shared" si="8"/>
        <v>0.00000623</v>
      </c>
      <c r="J21" s="6">
        <v>131072.0</v>
      </c>
      <c r="K21" s="10">
        <f t="shared" si="9"/>
        <v>0.81657856</v>
      </c>
      <c r="L21" s="6">
        <v>48.0</v>
      </c>
      <c r="M21" s="6">
        <v>1.0</v>
      </c>
      <c r="N21" s="10">
        <f t="shared" si="10"/>
        <v>0.00056</v>
      </c>
      <c r="O21" s="10">
        <f t="shared" si="11"/>
        <v>48.09376925</v>
      </c>
    </row>
    <row r="22">
      <c r="A22" s="6" t="s">
        <v>45</v>
      </c>
      <c r="B22" s="249">
        <v>64.0</v>
      </c>
      <c r="C22" s="249">
        <v>32.0</v>
      </c>
      <c r="D22" s="249">
        <v>128.0</v>
      </c>
      <c r="E22" s="10">
        <v>27.72</v>
      </c>
      <c r="F22" s="10">
        <v>28.98</v>
      </c>
      <c r="G22" s="6">
        <v>2.52</v>
      </c>
      <c r="H22" s="224">
        <f t="shared" si="7"/>
        <v>0.1066666667</v>
      </c>
      <c r="I22" s="10">
        <f t="shared" si="8"/>
        <v>0.00000623</v>
      </c>
      <c r="J22" s="6">
        <v>131072.0</v>
      </c>
      <c r="K22" s="10">
        <f t="shared" si="9"/>
        <v>0.81657856</v>
      </c>
      <c r="L22" s="6">
        <v>48.0</v>
      </c>
      <c r="M22" s="6">
        <v>1.0</v>
      </c>
      <c r="N22" s="10">
        <f t="shared" si="10"/>
        <v>0.00056</v>
      </c>
      <c r="O22" s="10">
        <f t="shared" si="11"/>
        <v>48.08766171</v>
      </c>
    </row>
    <row r="24">
      <c r="A24" s="246" t="s">
        <v>67</v>
      </c>
    </row>
    <row r="25">
      <c r="B25" s="6" t="s">
        <v>11</v>
      </c>
      <c r="C25" s="6" t="s">
        <v>12</v>
      </c>
      <c r="D25" s="6" t="s">
        <v>1285</v>
      </c>
      <c r="E25" s="6" t="s">
        <v>1286</v>
      </c>
      <c r="F25" s="6" t="s">
        <v>1287</v>
      </c>
      <c r="G25" s="6" t="s">
        <v>1288</v>
      </c>
      <c r="H25" s="247" t="s">
        <v>1289</v>
      </c>
      <c r="I25" s="6" t="s">
        <v>1290</v>
      </c>
      <c r="J25" s="6" t="s">
        <v>1291</v>
      </c>
      <c r="K25" s="247" t="s">
        <v>1292</v>
      </c>
      <c r="L25" s="6" t="s">
        <v>1297</v>
      </c>
      <c r="M25" s="6" t="s">
        <v>1294</v>
      </c>
      <c r="N25" s="6" t="s">
        <v>1295</v>
      </c>
      <c r="O25" s="6" t="s">
        <v>1296</v>
      </c>
    </row>
    <row r="26">
      <c r="A26" s="6" t="s">
        <v>17</v>
      </c>
      <c r="B26" s="249">
        <v>128.0</v>
      </c>
      <c r="C26" s="249">
        <v>65.0</v>
      </c>
      <c r="D26" s="249">
        <v>129.0</v>
      </c>
      <c r="E26" s="10">
        <v>27.72</v>
      </c>
      <c r="F26" s="10">
        <v>28.98</v>
      </c>
      <c r="G26" s="6">
        <v>2.52</v>
      </c>
      <c r="H26" s="224">
        <f t="shared" ref="H26:H33" si="12">(G26*D26)/(B26*E26+C26*F26+D26*G26)</f>
        <v>0.05646749836</v>
      </c>
      <c r="I26" s="10">
        <f t="shared" ref="I26:I33" si="13">7.06*10^-6</f>
        <v>0.00000706</v>
      </c>
      <c r="J26" s="6">
        <v>131072.0</v>
      </c>
      <c r="K26" s="10">
        <f t="shared" ref="K26:K33" si="14">I26*J26</f>
        <v>0.92536832</v>
      </c>
      <c r="L26" s="6">
        <v>48.0</v>
      </c>
      <c r="M26" s="6">
        <v>32.0</v>
      </c>
      <c r="N26" s="10">
        <f t="shared" ref="N26:N33" si="15">0.56*10^-3</f>
        <v>0.00056</v>
      </c>
      <c r="O26" s="10">
        <f t="shared" ref="O26:O33" si="16">L26+N26*M26+H26*K26*M26</f>
        <v>49.69002349</v>
      </c>
    </row>
    <row r="27">
      <c r="A27" s="6" t="s">
        <v>21</v>
      </c>
      <c r="B27" s="249">
        <v>5244.0</v>
      </c>
      <c r="C27" s="249">
        <v>2796.0</v>
      </c>
      <c r="D27" s="249">
        <v>5298.0</v>
      </c>
      <c r="E27" s="10">
        <v>27.72</v>
      </c>
      <c r="F27" s="10">
        <v>28.98</v>
      </c>
      <c r="G27" s="6">
        <v>2.52</v>
      </c>
      <c r="H27" s="224">
        <f t="shared" si="12"/>
        <v>0.05568869828</v>
      </c>
      <c r="I27" s="10">
        <f t="shared" si="13"/>
        <v>0.00000706</v>
      </c>
      <c r="J27" s="6">
        <v>131072.0</v>
      </c>
      <c r="K27" s="10">
        <f t="shared" si="14"/>
        <v>0.92536832</v>
      </c>
      <c r="L27" s="6">
        <v>48.0</v>
      </c>
      <c r="M27" s="6">
        <v>1.0</v>
      </c>
      <c r="N27" s="10">
        <f t="shared" si="15"/>
        <v>0.00056</v>
      </c>
      <c r="O27" s="10">
        <f t="shared" si="16"/>
        <v>48.05209256</v>
      </c>
    </row>
    <row r="28">
      <c r="A28" s="6" t="s">
        <v>25</v>
      </c>
      <c r="B28" s="250">
        <v>7866.000000000001</v>
      </c>
      <c r="C28" s="250">
        <v>4184.269141531323</v>
      </c>
      <c r="D28" s="250">
        <v>7404.807017543858</v>
      </c>
      <c r="E28" s="10">
        <v>27.72</v>
      </c>
      <c r="F28" s="10">
        <v>28.98</v>
      </c>
      <c r="G28" s="6">
        <v>2.52</v>
      </c>
      <c r="H28" s="224">
        <f t="shared" si="12"/>
        <v>0.05212820921</v>
      </c>
      <c r="I28" s="10">
        <f t="shared" si="13"/>
        <v>0.00000706</v>
      </c>
      <c r="J28" s="6">
        <v>131072.0</v>
      </c>
      <c r="K28" s="10">
        <f t="shared" si="14"/>
        <v>0.92536832</v>
      </c>
      <c r="L28" s="6">
        <v>48.0</v>
      </c>
      <c r="M28" s="6">
        <v>32.0</v>
      </c>
      <c r="N28" s="10">
        <f t="shared" si="15"/>
        <v>0.00056</v>
      </c>
      <c r="O28" s="10">
        <f t="shared" si="16"/>
        <v>49.56152939</v>
      </c>
    </row>
    <row r="29">
      <c r="A29" s="6" t="s">
        <v>29</v>
      </c>
      <c r="B29" s="249">
        <v>129.0</v>
      </c>
      <c r="C29" s="249">
        <v>33.0</v>
      </c>
      <c r="D29" s="249">
        <v>288.0</v>
      </c>
      <c r="E29" s="10">
        <v>27.72</v>
      </c>
      <c r="F29" s="10">
        <v>28.98</v>
      </c>
      <c r="G29" s="6">
        <v>2.52</v>
      </c>
      <c r="H29" s="224">
        <f t="shared" si="12"/>
        <v>0.1380301941</v>
      </c>
      <c r="I29" s="10">
        <f t="shared" si="13"/>
        <v>0.00000706</v>
      </c>
      <c r="J29" s="6">
        <v>131072.0</v>
      </c>
      <c r="K29" s="10">
        <f t="shared" si="14"/>
        <v>0.92536832</v>
      </c>
      <c r="L29" s="6">
        <v>48.0</v>
      </c>
      <c r="M29" s="6">
        <v>1.0</v>
      </c>
      <c r="N29" s="10">
        <f t="shared" si="15"/>
        <v>0.00056</v>
      </c>
      <c r="O29" s="10">
        <f t="shared" si="16"/>
        <v>48.12828877</v>
      </c>
    </row>
    <row r="30">
      <c r="A30" s="6" t="s">
        <v>33</v>
      </c>
      <c r="B30" s="249">
        <v>64.0</v>
      </c>
      <c r="C30" s="249">
        <v>32.0</v>
      </c>
      <c r="D30" s="249">
        <v>128.0</v>
      </c>
      <c r="E30" s="10">
        <v>27.72</v>
      </c>
      <c r="F30" s="10">
        <v>28.98</v>
      </c>
      <c r="G30" s="6">
        <v>2.52</v>
      </c>
      <c r="H30" s="224">
        <f t="shared" si="12"/>
        <v>0.1066666667</v>
      </c>
      <c r="I30" s="10">
        <f t="shared" si="13"/>
        <v>0.00000706</v>
      </c>
      <c r="J30" s="6">
        <v>131072.0</v>
      </c>
      <c r="K30" s="10">
        <f t="shared" si="14"/>
        <v>0.92536832</v>
      </c>
      <c r="L30" s="6">
        <v>48.0</v>
      </c>
      <c r="M30" s="6">
        <v>32.0</v>
      </c>
      <c r="N30" s="10">
        <f t="shared" si="15"/>
        <v>0.00056</v>
      </c>
      <c r="O30" s="10">
        <f t="shared" si="16"/>
        <v>51.17651053</v>
      </c>
    </row>
    <row r="31">
      <c r="A31" s="6" t="s">
        <v>37</v>
      </c>
      <c r="B31" s="249">
        <v>211.0</v>
      </c>
      <c r="C31" s="249">
        <v>146.0</v>
      </c>
      <c r="D31" s="249">
        <v>276.0</v>
      </c>
      <c r="E31" s="10">
        <v>27.72</v>
      </c>
      <c r="F31" s="10">
        <v>28.98</v>
      </c>
      <c r="G31" s="6">
        <v>2.52</v>
      </c>
      <c r="H31" s="224">
        <f t="shared" si="12"/>
        <v>0.06454630496</v>
      </c>
      <c r="I31" s="10">
        <f t="shared" si="13"/>
        <v>0.00000706</v>
      </c>
      <c r="J31" s="6">
        <v>131072.0</v>
      </c>
      <c r="K31" s="10">
        <f t="shared" si="14"/>
        <v>0.92536832</v>
      </c>
      <c r="L31" s="6">
        <v>48.0</v>
      </c>
      <c r="M31" s="6">
        <v>1.0</v>
      </c>
      <c r="N31" s="10">
        <f t="shared" si="15"/>
        <v>0.00056</v>
      </c>
      <c r="O31" s="10">
        <f t="shared" si="16"/>
        <v>48.06028911</v>
      </c>
    </row>
    <row r="32">
      <c r="A32" s="6" t="s">
        <v>41</v>
      </c>
      <c r="B32" s="249">
        <v>192.0</v>
      </c>
      <c r="C32" s="249">
        <v>33.0</v>
      </c>
      <c r="D32" s="249">
        <v>131.0</v>
      </c>
      <c r="E32" s="10">
        <v>27.72</v>
      </c>
      <c r="F32" s="10">
        <v>28.98</v>
      </c>
      <c r="G32" s="6">
        <v>2.52</v>
      </c>
      <c r="H32" s="224">
        <f t="shared" si="12"/>
        <v>0.04995233556</v>
      </c>
      <c r="I32" s="10">
        <f t="shared" si="13"/>
        <v>0.00000706</v>
      </c>
      <c r="J32" s="6">
        <v>131072.0</v>
      </c>
      <c r="K32" s="10">
        <f t="shared" si="14"/>
        <v>0.92536832</v>
      </c>
      <c r="L32" s="6">
        <v>48.0</v>
      </c>
      <c r="M32" s="6">
        <v>1.0</v>
      </c>
      <c r="N32" s="10">
        <f t="shared" si="15"/>
        <v>0.00056</v>
      </c>
      <c r="O32" s="10">
        <f t="shared" si="16"/>
        <v>48.04678431</v>
      </c>
    </row>
    <row r="33">
      <c r="A33" s="6" t="s">
        <v>45</v>
      </c>
      <c r="B33" s="249">
        <v>64.0</v>
      </c>
      <c r="C33" s="249">
        <v>32.0</v>
      </c>
      <c r="D33" s="249">
        <v>64.0</v>
      </c>
      <c r="E33" s="10">
        <v>27.72</v>
      </c>
      <c r="F33" s="10">
        <v>28.98</v>
      </c>
      <c r="G33" s="6">
        <v>2.52</v>
      </c>
      <c r="H33" s="224">
        <f t="shared" si="12"/>
        <v>0.05633802817</v>
      </c>
      <c r="I33" s="10">
        <f t="shared" si="13"/>
        <v>0.00000706</v>
      </c>
      <c r="J33" s="6">
        <v>131072.0</v>
      </c>
      <c r="K33" s="10">
        <f t="shared" si="14"/>
        <v>0.92536832</v>
      </c>
      <c r="L33" s="6">
        <v>48.0</v>
      </c>
      <c r="M33" s="6">
        <v>1.0</v>
      </c>
      <c r="N33" s="10">
        <f t="shared" si="15"/>
        <v>0.00056</v>
      </c>
      <c r="O33" s="10">
        <f t="shared" si="16"/>
        <v>48.05269343</v>
      </c>
    </row>
    <row r="35">
      <c r="A35" s="246" t="s">
        <v>82</v>
      </c>
    </row>
    <row r="36">
      <c r="B36" s="6" t="s">
        <v>11</v>
      </c>
      <c r="C36" s="6" t="s">
        <v>12</v>
      </c>
      <c r="D36" s="6" t="s">
        <v>1285</v>
      </c>
      <c r="E36" s="6" t="s">
        <v>1286</v>
      </c>
      <c r="F36" s="6" t="s">
        <v>1287</v>
      </c>
      <c r="G36" s="6" t="s">
        <v>1288</v>
      </c>
      <c r="H36" s="247" t="s">
        <v>1289</v>
      </c>
      <c r="I36" s="6" t="s">
        <v>1290</v>
      </c>
      <c r="J36" s="6" t="s">
        <v>1291</v>
      </c>
      <c r="K36" s="247" t="s">
        <v>1292</v>
      </c>
      <c r="L36" s="6" t="s">
        <v>1297</v>
      </c>
      <c r="M36" s="6" t="s">
        <v>1294</v>
      </c>
      <c r="N36" s="6" t="s">
        <v>1295</v>
      </c>
      <c r="O36" s="6" t="s">
        <v>1296</v>
      </c>
    </row>
    <row r="37">
      <c r="A37" s="6" t="s">
        <v>17</v>
      </c>
      <c r="B37" s="249">
        <v>64.0</v>
      </c>
      <c r="C37" s="249">
        <v>32.0</v>
      </c>
      <c r="D37" s="249">
        <v>97.0</v>
      </c>
      <c r="E37" s="10">
        <v>27.72</v>
      </c>
      <c r="F37" s="10">
        <v>28.98</v>
      </c>
      <c r="G37" s="6">
        <v>2.52</v>
      </c>
      <c r="H37" s="224">
        <f t="shared" ref="H37:H44" si="17">(G37*D37)/(B37*E37+C37*F37+D37*G37)</f>
        <v>0.08297690334</v>
      </c>
      <c r="I37" s="10">
        <f t="shared" ref="I37:I44" si="18">6.13*10^-6</f>
        <v>0.00000613</v>
      </c>
      <c r="J37" s="6">
        <v>131072.0</v>
      </c>
      <c r="K37" s="10">
        <f t="shared" ref="K37:K44" si="19">I37*J37</f>
        <v>0.80347136</v>
      </c>
      <c r="L37" s="6">
        <v>48.0</v>
      </c>
      <c r="M37" s="6">
        <v>1.0</v>
      </c>
      <c r="N37" s="10">
        <f t="shared" ref="N37:N44" si="20">0.56*10^-3</f>
        <v>0.00056</v>
      </c>
      <c r="O37" s="10">
        <f t="shared" ref="O37:O44" si="21">L37+N37*M37+H37*K37*M37</f>
        <v>48.06722957</v>
      </c>
    </row>
    <row r="38">
      <c r="A38" s="6" t="s">
        <v>21</v>
      </c>
      <c r="B38" s="249">
        <v>3398.0</v>
      </c>
      <c r="C38" s="249">
        <v>1847.0</v>
      </c>
      <c r="D38" s="249">
        <v>4404.0</v>
      </c>
      <c r="E38" s="10">
        <v>27.72</v>
      </c>
      <c r="F38" s="10">
        <v>28.98</v>
      </c>
      <c r="G38" s="6">
        <v>2.52</v>
      </c>
      <c r="H38" s="224">
        <f t="shared" si="17"/>
        <v>0.06987980483</v>
      </c>
      <c r="I38" s="10">
        <f t="shared" si="18"/>
        <v>0.00000613</v>
      </c>
      <c r="J38" s="6">
        <v>131072.0</v>
      </c>
      <c r="K38" s="10">
        <f t="shared" si="19"/>
        <v>0.80347136</v>
      </c>
      <c r="L38" s="6">
        <v>48.0</v>
      </c>
      <c r="M38" s="6">
        <v>32.0</v>
      </c>
      <c r="N38" s="10">
        <f t="shared" si="20"/>
        <v>0.00056</v>
      </c>
      <c r="O38" s="10">
        <f t="shared" si="21"/>
        <v>49.8146055</v>
      </c>
    </row>
    <row r="39">
      <c r="A39" s="6" t="s">
        <v>25</v>
      </c>
      <c r="B39" s="250">
        <v>5097.000000000001</v>
      </c>
      <c r="C39" s="250">
        <v>2764.0719257540604</v>
      </c>
      <c r="D39" s="250">
        <v>6155.298245614034</v>
      </c>
      <c r="E39" s="10">
        <v>27.72</v>
      </c>
      <c r="F39" s="10">
        <v>28.98</v>
      </c>
      <c r="G39" s="6">
        <v>2.52</v>
      </c>
      <c r="H39" s="224">
        <f t="shared" si="17"/>
        <v>0.06547553995</v>
      </c>
      <c r="I39" s="10">
        <f t="shared" si="18"/>
        <v>0.00000613</v>
      </c>
      <c r="J39" s="6">
        <v>131072.0</v>
      </c>
      <c r="K39" s="10">
        <f t="shared" si="19"/>
        <v>0.80347136</v>
      </c>
      <c r="L39" s="6">
        <v>48.0</v>
      </c>
      <c r="M39" s="6">
        <v>1.0</v>
      </c>
      <c r="N39" s="10">
        <f t="shared" si="20"/>
        <v>0.00056</v>
      </c>
      <c r="O39" s="10">
        <f t="shared" si="21"/>
        <v>48.05316772</v>
      </c>
    </row>
    <row r="40">
      <c r="A40" s="6" t="s">
        <v>29</v>
      </c>
      <c r="B40" s="249">
        <v>33.0</v>
      </c>
      <c r="C40" s="249">
        <v>32.0</v>
      </c>
      <c r="D40" s="249">
        <v>130.0</v>
      </c>
      <c r="E40" s="10">
        <v>27.72</v>
      </c>
      <c r="F40" s="10">
        <v>28.98</v>
      </c>
      <c r="G40" s="6">
        <v>2.52</v>
      </c>
      <c r="H40" s="224">
        <f t="shared" si="17"/>
        <v>0.1509872242</v>
      </c>
      <c r="I40" s="10">
        <f t="shared" si="18"/>
        <v>0.00000613</v>
      </c>
      <c r="J40" s="6">
        <v>131072.0</v>
      </c>
      <c r="K40" s="10">
        <f t="shared" si="19"/>
        <v>0.80347136</v>
      </c>
      <c r="L40" s="6">
        <v>48.0</v>
      </c>
      <c r="M40" s="6">
        <v>1.0</v>
      </c>
      <c r="N40" s="10">
        <f t="shared" si="20"/>
        <v>0.00056</v>
      </c>
      <c r="O40" s="10">
        <f t="shared" si="21"/>
        <v>48.12187391</v>
      </c>
    </row>
    <row r="41">
      <c r="A41" s="6" t="s">
        <v>33</v>
      </c>
      <c r="B41" s="249">
        <v>64.0</v>
      </c>
      <c r="C41" s="249">
        <v>32.0</v>
      </c>
      <c r="D41" s="249">
        <v>64.0</v>
      </c>
      <c r="E41" s="10">
        <v>27.72</v>
      </c>
      <c r="F41" s="10">
        <v>28.98</v>
      </c>
      <c r="G41" s="6">
        <v>2.52</v>
      </c>
      <c r="H41" s="224">
        <f t="shared" si="17"/>
        <v>0.05633802817</v>
      </c>
      <c r="I41" s="10">
        <f t="shared" si="18"/>
        <v>0.00000613</v>
      </c>
      <c r="J41" s="6">
        <v>131072.0</v>
      </c>
      <c r="K41" s="10">
        <f t="shared" si="19"/>
        <v>0.80347136</v>
      </c>
      <c r="L41" s="6">
        <v>48.0</v>
      </c>
      <c r="M41" s="6">
        <v>1.0</v>
      </c>
      <c r="N41" s="10">
        <f t="shared" si="20"/>
        <v>0.00056</v>
      </c>
      <c r="O41" s="10">
        <f t="shared" si="21"/>
        <v>48.04582599</v>
      </c>
    </row>
    <row r="42">
      <c r="A42" s="6" t="s">
        <v>37</v>
      </c>
      <c r="B42" s="249">
        <v>114.0</v>
      </c>
      <c r="C42" s="249">
        <v>90.0</v>
      </c>
      <c r="D42" s="249">
        <v>218.0</v>
      </c>
      <c r="E42" s="10">
        <v>27.72</v>
      </c>
      <c r="F42" s="10">
        <v>28.98</v>
      </c>
      <c r="G42" s="6">
        <v>2.52</v>
      </c>
      <c r="H42" s="224">
        <f t="shared" si="17"/>
        <v>0.08695652174</v>
      </c>
      <c r="I42" s="10">
        <f t="shared" si="18"/>
        <v>0.00000613</v>
      </c>
      <c r="J42" s="6">
        <v>131072.0</v>
      </c>
      <c r="K42" s="10">
        <f t="shared" si="19"/>
        <v>0.80347136</v>
      </c>
      <c r="L42" s="6">
        <v>48.0</v>
      </c>
      <c r="M42" s="6">
        <v>32.0</v>
      </c>
      <c r="N42" s="10">
        <f t="shared" si="20"/>
        <v>0.00056</v>
      </c>
      <c r="O42" s="10">
        <f t="shared" si="21"/>
        <v>50.25366639</v>
      </c>
    </row>
    <row r="43">
      <c r="A43" s="6" t="s">
        <v>41</v>
      </c>
      <c r="B43" s="249">
        <v>129.0</v>
      </c>
      <c r="C43" s="249">
        <v>33.0</v>
      </c>
      <c r="D43" s="249">
        <v>131.0</v>
      </c>
      <c r="E43" s="10">
        <v>27.72</v>
      </c>
      <c r="F43" s="10">
        <v>28.98</v>
      </c>
      <c r="G43" s="6">
        <v>2.52</v>
      </c>
      <c r="H43" s="224">
        <f t="shared" si="17"/>
        <v>0.06789323659</v>
      </c>
      <c r="I43" s="10">
        <f t="shared" si="18"/>
        <v>0.00000613</v>
      </c>
      <c r="J43" s="6">
        <v>131072.0</v>
      </c>
      <c r="K43" s="10">
        <f t="shared" si="19"/>
        <v>0.80347136</v>
      </c>
      <c r="L43" s="6">
        <v>48.0</v>
      </c>
      <c r="M43" s="6">
        <v>1.0</v>
      </c>
      <c r="N43" s="10">
        <f t="shared" si="20"/>
        <v>0.00056</v>
      </c>
      <c r="O43" s="10">
        <f t="shared" si="21"/>
        <v>48.05511027</v>
      </c>
    </row>
    <row r="44">
      <c r="A44" s="6" t="s">
        <v>45</v>
      </c>
      <c r="B44" s="249">
        <v>64.0</v>
      </c>
      <c r="C44" s="249">
        <v>32.0</v>
      </c>
      <c r="D44" s="249">
        <v>64.0</v>
      </c>
      <c r="E44" s="10">
        <v>27.72</v>
      </c>
      <c r="F44" s="10">
        <v>28.98</v>
      </c>
      <c r="G44" s="6">
        <v>2.52</v>
      </c>
      <c r="H44" s="224">
        <f t="shared" si="17"/>
        <v>0.05633802817</v>
      </c>
      <c r="I44" s="10">
        <f t="shared" si="18"/>
        <v>0.00000613</v>
      </c>
      <c r="J44" s="6">
        <v>131072.0</v>
      </c>
      <c r="K44" s="10">
        <f t="shared" si="19"/>
        <v>0.80347136</v>
      </c>
      <c r="L44" s="6">
        <v>48.0</v>
      </c>
      <c r="M44" s="6">
        <v>1.0</v>
      </c>
      <c r="N44" s="10">
        <f t="shared" si="20"/>
        <v>0.00056</v>
      </c>
      <c r="O44" s="10">
        <f t="shared" si="21"/>
        <v>48.04582599</v>
      </c>
    </row>
    <row r="46">
      <c r="A46" s="246" t="s">
        <v>1209</v>
      </c>
    </row>
    <row r="47">
      <c r="B47" s="6" t="s">
        <v>11</v>
      </c>
      <c r="C47" s="6" t="s">
        <v>12</v>
      </c>
      <c r="D47" s="6" t="s">
        <v>1285</v>
      </c>
      <c r="E47" s="6" t="s">
        <v>1286</v>
      </c>
      <c r="F47" s="6" t="s">
        <v>1287</v>
      </c>
      <c r="G47" s="6" t="s">
        <v>1288</v>
      </c>
      <c r="H47" s="247" t="s">
        <v>1289</v>
      </c>
      <c r="I47" s="6" t="s">
        <v>1290</v>
      </c>
      <c r="J47" s="6" t="s">
        <v>1291</v>
      </c>
      <c r="K47" s="247" t="s">
        <v>1292</v>
      </c>
      <c r="L47" s="6" t="s">
        <v>1297</v>
      </c>
      <c r="M47" s="6" t="s">
        <v>1294</v>
      </c>
      <c r="N47" s="6" t="s">
        <v>1295</v>
      </c>
      <c r="O47" s="6" t="s">
        <v>1296</v>
      </c>
    </row>
    <row r="48">
      <c r="A48" s="6" t="s">
        <v>17</v>
      </c>
      <c r="B48" s="249">
        <v>64.0</v>
      </c>
      <c r="C48" s="249">
        <v>32.0</v>
      </c>
      <c r="D48" s="249">
        <v>97.0</v>
      </c>
      <c r="E48" s="10">
        <v>27.72</v>
      </c>
      <c r="F48" s="10">
        <v>28.98</v>
      </c>
      <c r="G48" s="6">
        <v>2.52</v>
      </c>
      <c r="H48" s="224">
        <f t="shared" ref="H48:H55" si="22">(G48*D48)/(B48*E48+C48*F48+D48*G48)</f>
        <v>0.08297690334</v>
      </c>
      <c r="I48" s="10">
        <f t="shared" ref="I48:I55" si="23">7.07*10^-6</f>
        <v>0.00000707</v>
      </c>
      <c r="J48" s="6">
        <v>131072.0</v>
      </c>
      <c r="K48" s="10">
        <f t="shared" ref="K48:K55" si="24">I48*J48</f>
        <v>0.92667904</v>
      </c>
      <c r="L48" s="6">
        <v>48.0</v>
      </c>
      <c r="M48" s="6">
        <v>1.0</v>
      </c>
      <c r="N48" s="10">
        <f t="shared" ref="N48:N55" si="25">0.56*10^-3</f>
        <v>0.00056</v>
      </c>
      <c r="O48" s="10">
        <f t="shared" ref="O48:O55" si="26">L48+N48*M48+H48*K48*M48</f>
        <v>48.07745296</v>
      </c>
    </row>
    <row r="49">
      <c r="A49" s="6" t="s">
        <v>21</v>
      </c>
      <c r="B49" s="249">
        <v>1940.0</v>
      </c>
      <c r="C49" s="249">
        <v>1095.0</v>
      </c>
      <c r="D49" s="249">
        <v>3606.0</v>
      </c>
      <c r="E49" s="10">
        <v>27.72</v>
      </c>
      <c r="F49" s="10">
        <v>28.98</v>
      </c>
      <c r="G49" s="6">
        <v>2.52</v>
      </c>
      <c r="H49" s="224">
        <f t="shared" si="22"/>
        <v>0.09606137699</v>
      </c>
      <c r="I49" s="10">
        <f t="shared" si="23"/>
        <v>0.00000707</v>
      </c>
      <c r="J49" s="6">
        <v>131072.0</v>
      </c>
      <c r="K49" s="10">
        <f t="shared" si="24"/>
        <v>0.92667904</v>
      </c>
      <c r="L49" s="6">
        <v>48.0</v>
      </c>
      <c r="M49" s="6">
        <v>1.0</v>
      </c>
      <c r="N49" s="10">
        <f t="shared" si="25"/>
        <v>0.00056</v>
      </c>
      <c r="O49" s="10">
        <f t="shared" si="26"/>
        <v>48.08957806</v>
      </c>
    </row>
    <row r="50">
      <c r="A50" s="6" t="s">
        <v>25</v>
      </c>
      <c r="B50" s="250">
        <v>2910.0000000000005</v>
      </c>
      <c r="C50" s="250">
        <v>1638.6890951276105</v>
      </c>
      <c r="D50" s="250">
        <v>5039.9649122807</v>
      </c>
      <c r="E50" s="10">
        <v>27.72</v>
      </c>
      <c r="F50" s="10">
        <v>28.98</v>
      </c>
      <c r="G50" s="6">
        <v>2.52</v>
      </c>
      <c r="H50" s="224">
        <f t="shared" si="22"/>
        <v>0.0901686175</v>
      </c>
      <c r="I50" s="10">
        <f t="shared" si="23"/>
        <v>0.00000707</v>
      </c>
      <c r="J50" s="6">
        <v>131072.0</v>
      </c>
      <c r="K50" s="10">
        <f t="shared" si="24"/>
        <v>0.92667904</v>
      </c>
      <c r="L50" s="6">
        <v>48.0</v>
      </c>
      <c r="M50" s="6">
        <v>1.0</v>
      </c>
      <c r="N50" s="10">
        <f t="shared" si="25"/>
        <v>0.00056</v>
      </c>
      <c r="O50" s="10">
        <f t="shared" si="26"/>
        <v>48.08411737</v>
      </c>
    </row>
    <row r="51">
      <c r="A51" s="6" t="s">
        <v>29</v>
      </c>
      <c r="B51" s="249">
        <v>33.0</v>
      </c>
      <c r="C51" s="249">
        <v>32.0</v>
      </c>
      <c r="D51" s="249">
        <v>130.0</v>
      </c>
      <c r="E51" s="10">
        <v>27.72</v>
      </c>
      <c r="F51" s="10">
        <v>28.98</v>
      </c>
      <c r="G51" s="6">
        <v>2.52</v>
      </c>
      <c r="H51" s="224">
        <f t="shared" si="22"/>
        <v>0.1509872242</v>
      </c>
      <c r="I51" s="10">
        <f t="shared" si="23"/>
        <v>0.00000707</v>
      </c>
      <c r="J51" s="6">
        <v>131072.0</v>
      </c>
      <c r="K51" s="10">
        <f t="shared" si="24"/>
        <v>0.92667904</v>
      </c>
      <c r="L51" s="6">
        <v>48.0</v>
      </c>
      <c r="M51" s="6">
        <v>1.0</v>
      </c>
      <c r="N51" s="10">
        <f t="shared" si="25"/>
        <v>0.00056</v>
      </c>
      <c r="O51" s="10">
        <f t="shared" si="26"/>
        <v>48.1404767</v>
      </c>
    </row>
    <row r="52">
      <c r="A52" s="6" t="s">
        <v>33</v>
      </c>
      <c r="B52" s="249">
        <v>64.0</v>
      </c>
      <c r="C52" s="249">
        <v>32.0</v>
      </c>
      <c r="D52" s="249">
        <v>64.0</v>
      </c>
      <c r="E52" s="10">
        <v>27.72</v>
      </c>
      <c r="F52" s="10">
        <v>28.98</v>
      </c>
      <c r="G52" s="6">
        <v>2.52</v>
      </c>
      <c r="H52" s="224">
        <f t="shared" si="22"/>
        <v>0.05633802817</v>
      </c>
      <c r="I52" s="10">
        <f t="shared" si="23"/>
        <v>0.00000707</v>
      </c>
      <c r="J52" s="6">
        <v>131072.0</v>
      </c>
      <c r="K52" s="10">
        <f t="shared" si="24"/>
        <v>0.92667904</v>
      </c>
      <c r="L52" s="6">
        <v>48.0</v>
      </c>
      <c r="M52" s="6">
        <v>1.0</v>
      </c>
      <c r="N52" s="10">
        <f t="shared" si="25"/>
        <v>0.00056</v>
      </c>
      <c r="O52" s="10">
        <f t="shared" si="26"/>
        <v>48.05276727</v>
      </c>
    </row>
    <row r="53">
      <c r="A53" s="6" t="s">
        <v>37</v>
      </c>
      <c r="B53" s="249">
        <v>114.0</v>
      </c>
      <c r="C53" s="249">
        <v>90.0</v>
      </c>
      <c r="D53" s="249">
        <v>218.0</v>
      </c>
      <c r="E53" s="10">
        <v>27.72</v>
      </c>
      <c r="F53" s="10">
        <v>28.98</v>
      </c>
      <c r="G53" s="6">
        <v>2.52</v>
      </c>
      <c r="H53" s="224">
        <f t="shared" si="22"/>
        <v>0.08695652174</v>
      </c>
      <c r="I53" s="10">
        <f t="shared" si="23"/>
        <v>0.00000707</v>
      </c>
      <c r="J53" s="6">
        <v>131072.0</v>
      </c>
      <c r="K53" s="10">
        <f t="shared" si="24"/>
        <v>0.92667904</v>
      </c>
      <c r="L53" s="6">
        <v>48.0</v>
      </c>
      <c r="M53" s="6">
        <v>1.0</v>
      </c>
      <c r="N53" s="10">
        <f t="shared" si="25"/>
        <v>0.00056</v>
      </c>
      <c r="O53" s="10">
        <f t="shared" si="26"/>
        <v>48.08114079</v>
      </c>
    </row>
    <row r="54">
      <c r="A54" s="6" t="s">
        <v>41</v>
      </c>
      <c r="B54" s="249">
        <v>129.0</v>
      </c>
      <c r="C54" s="249">
        <v>33.0</v>
      </c>
      <c r="D54" s="249">
        <v>131.0</v>
      </c>
      <c r="E54" s="10">
        <v>27.72</v>
      </c>
      <c r="F54" s="10">
        <v>28.98</v>
      </c>
      <c r="G54" s="6">
        <v>2.52</v>
      </c>
      <c r="H54" s="224">
        <f t="shared" si="22"/>
        <v>0.06789323659</v>
      </c>
      <c r="I54" s="10">
        <f t="shared" si="23"/>
        <v>0.00000707</v>
      </c>
      <c r="J54" s="6">
        <v>131072.0</v>
      </c>
      <c r="K54" s="10">
        <f t="shared" si="24"/>
        <v>0.92667904</v>
      </c>
      <c r="L54" s="6">
        <v>48.0</v>
      </c>
      <c r="M54" s="6">
        <v>1.0</v>
      </c>
      <c r="N54" s="10">
        <f t="shared" si="25"/>
        <v>0.00056</v>
      </c>
      <c r="O54" s="10">
        <f t="shared" si="26"/>
        <v>48.06347524</v>
      </c>
    </row>
    <row r="55">
      <c r="A55" s="6" t="s">
        <v>45</v>
      </c>
      <c r="B55" s="249">
        <v>64.0</v>
      </c>
      <c r="C55" s="249">
        <v>32.0</v>
      </c>
      <c r="D55" s="249">
        <v>64.0</v>
      </c>
      <c r="E55" s="10">
        <v>27.72</v>
      </c>
      <c r="F55" s="10">
        <v>28.98</v>
      </c>
      <c r="G55" s="6">
        <v>2.52</v>
      </c>
      <c r="H55" s="224">
        <f t="shared" si="22"/>
        <v>0.05633802817</v>
      </c>
      <c r="I55" s="10">
        <f t="shared" si="23"/>
        <v>0.00000707</v>
      </c>
      <c r="J55" s="6">
        <v>131072.0</v>
      </c>
      <c r="K55" s="10">
        <f t="shared" si="24"/>
        <v>0.92667904</v>
      </c>
      <c r="L55" s="6">
        <v>48.0</v>
      </c>
      <c r="M55" s="6">
        <v>1.0</v>
      </c>
      <c r="N55" s="10">
        <f t="shared" si="25"/>
        <v>0.00056</v>
      </c>
      <c r="O55" s="10">
        <f t="shared" si="26"/>
        <v>48.05276727</v>
      </c>
    </row>
  </sheetData>
  <mergeCells count="6">
    <mergeCell ref="A1:N1"/>
    <mergeCell ref="A2:O2"/>
    <mergeCell ref="A13:O13"/>
    <mergeCell ref="A24:O24"/>
    <mergeCell ref="A35:O35"/>
    <mergeCell ref="A46:O46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11" max="11" width="8.5"/>
    <col customWidth="1" min="12" max="12" width="16.0"/>
  </cols>
  <sheetData>
    <row r="1">
      <c r="A1" s="170"/>
      <c r="B1" s="170"/>
      <c r="C1" s="170"/>
      <c r="D1" s="170"/>
      <c r="E1" s="17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>
      <c r="A2" s="30" t="s">
        <v>1298</v>
      </c>
      <c r="B2" s="30" t="s">
        <v>10</v>
      </c>
      <c r="C2" s="30" t="s">
        <v>48</v>
      </c>
      <c r="D2" s="30" t="s">
        <v>1299</v>
      </c>
      <c r="E2" s="30" t="s">
        <v>1300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>
      <c r="A3" s="114" t="s">
        <v>1301</v>
      </c>
      <c r="B3" s="251">
        <v>4.17</v>
      </c>
      <c r="C3" s="252">
        <v>6.35</v>
      </c>
      <c r="D3" s="252">
        <v>16.79</v>
      </c>
      <c r="E3" s="252">
        <v>16.43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114" t="s">
        <v>1302</v>
      </c>
      <c r="B4" s="253">
        <v>0.2664</v>
      </c>
      <c r="C4" s="254">
        <v>0.2664</v>
      </c>
      <c r="D4" s="254">
        <v>0.2664</v>
      </c>
      <c r="E4" s="254">
        <v>0.2664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114" t="s">
        <v>1303</v>
      </c>
      <c r="B5" s="253">
        <v>0.0666</v>
      </c>
      <c r="C5" s="254">
        <v>0.0666</v>
      </c>
      <c r="D5" s="254">
        <v>0.0666</v>
      </c>
      <c r="E5" s="254">
        <v>0.0666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114" t="s">
        <v>1304</v>
      </c>
      <c r="B6" s="253" t="s">
        <v>1305</v>
      </c>
      <c r="C6" s="254" t="s">
        <v>1305</v>
      </c>
      <c r="D6" s="254" t="s">
        <v>1305</v>
      </c>
      <c r="E6" s="254" t="s">
        <v>1305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114" t="s">
        <v>1306</v>
      </c>
      <c r="B7" s="253" t="s">
        <v>1307</v>
      </c>
      <c r="C7" s="254" t="s">
        <v>1308</v>
      </c>
      <c r="D7" s="254" t="s">
        <v>1309</v>
      </c>
      <c r="E7" s="254" t="s">
        <v>1310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170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17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114" t="s">
        <v>1311</v>
      </c>
      <c r="B10" s="175">
        <v>39.4819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114" t="s">
        <v>1312</v>
      </c>
      <c r="B11" s="175">
        <v>18.7089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114" t="s">
        <v>1313</v>
      </c>
      <c r="B12" s="175">
        <v>0.918375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175" t="s">
        <v>1314</v>
      </c>
      <c r="B13" s="31">
        <f t="shared" ref="B13:B14" si="1">B11/B10</f>
        <v>0.4738601739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114" t="s">
        <v>1315</v>
      </c>
      <c r="B14" s="31">
        <f t="shared" si="1"/>
        <v>0.04908760002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114" t="s">
        <v>1316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170"/>
      <c r="B16" s="31"/>
      <c r="C16" s="31"/>
      <c r="D16" s="255" t="s">
        <v>1317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114" t="s">
        <v>1318</v>
      </c>
      <c r="B17" s="170"/>
      <c r="C17" s="170"/>
      <c r="D17" s="114" t="s">
        <v>1319</v>
      </c>
      <c r="E17" s="114" t="s">
        <v>1320</v>
      </c>
      <c r="F17" s="114" t="s">
        <v>1321</v>
      </c>
      <c r="G17" s="114" t="s">
        <v>1322</v>
      </c>
      <c r="H17" s="114" t="s">
        <v>1323</v>
      </c>
      <c r="I17" s="114" t="s">
        <v>1324</v>
      </c>
      <c r="J17" s="114" t="s">
        <v>1325</v>
      </c>
      <c r="K17" s="30" t="s">
        <v>1326</v>
      </c>
      <c r="L17" s="114" t="s">
        <v>1327</v>
      </c>
      <c r="M17" s="114" t="s">
        <v>1328</v>
      </c>
      <c r="N17" s="114" t="s">
        <v>1329</v>
      </c>
      <c r="O17" s="114" t="s">
        <v>1330</v>
      </c>
      <c r="P17" s="114" t="s">
        <v>1331</v>
      </c>
      <c r="Q17" s="114" t="s">
        <v>1332</v>
      </c>
      <c r="R17" s="114" t="s">
        <v>1333</v>
      </c>
      <c r="S17" s="114" t="s">
        <v>1334</v>
      </c>
      <c r="T17" s="114" t="s">
        <v>1335</v>
      </c>
      <c r="U17" s="170"/>
      <c r="V17" s="170"/>
      <c r="W17" s="170"/>
      <c r="X17" s="170"/>
      <c r="Y17" s="170"/>
      <c r="Z17" s="170"/>
      <c r="AA17" s="170"/>
    </row>
    <row r="18">
      <c r="A18" s="114" t="s">
        <v>1336</v>
      </c>
      <c r="B18" s="31"/>
      <c r="C18" s="31"/>
      <c r="D18" s="175" t="s">
        <v>1337</v>
      </c>
      <c r="E18" s="175">
        <v>8.0</v>
      </c>
      <c r="F18" s="175">
        <v>1.0</v>
      </c>
      <c r="G18" s="175">
        <v>4096.0</v>
      </c>
      <c r="H18" s="175">
        <v>4.0</v>
      </c>
      <c r="I18" s="175">
        <v>16384.0</v>
      </c>
      <c r="J18" s="31">
        <f t="shared" ref="J18:J20" si="2">F18*1024*1024*1024/G18/H18</f>
        <v>65536</v>
      </c>
      <c r="K18" s="175">
        <v>512.0</v>
      </c>
      <c r="L18" s="31">
        <f t="shared" ref="L18:L20" si="3">J18/K18</f>
        <v>128</v>
      </c>
      <c r="M18" s="175">
        <v>2.0</v>
      </c>
      <c r="N18" s="31">
        <f t="shared" ref="N18:N20" si="4">K18*M18</f>
        <v>1024</v>
      </c>
      <c r="O18" s="175">
        <f>508/4</f>
        <v>127</v>
      </c>
      <c r="P18" s="175">
        <f>776/4</f>
        <v>194</v>
      </c>
      <c r="Q18" s="175">
        <f>788/4</f>
        <v>197</v>
      </c>
      <c r="R18" s="31">
        <f>924/4</f>
        <v>231</v>
      </c>
      <c r="S18" s="31">
        <f>1052/4</f>
        <v>263</v>
      </c>
      <c r="T18" s="175">
        <v>8.0</v>
      </c>
      <c r="U18" s="31"/>
      <c r="V18" s="31"/>
      <c r="W18" s="31"/>
      <c r="X18" s="31"/>
      <c r="Y18" s="31"/>
      <c r="Z18" s="31"/>
      <c r="AA18" s="31"/>
    </row>
    <row r="19">
      <c r="A19" s="194" t="s">
        <v>1338</v>
      </c>
      <c r="B19" s="31"/>
      <c r="C19" s="31"/>
      <c r="D19" s="175" t="s">
        <v>1337</v>
      </c>
      <c r="E19" s="175">
        <v>8.0</v>
      </c>
      <c r="F19" s="175">
        <v>1.0</v>
      </c>
      <c r="G19" s="175">
        <v>4096.0</v>
      </c>
      <c r="H19" s="175">
        <v>4.0</v>
      </c>
      <c r="I19" s="175">
        <v>16384.0</v>
      </c>
      <c r="J19" s="31">
        <f t="shared" si="2"/>
        <v>65536</v>
      </c>
      <c r="K19" s="175">
        <v>1024.0</v>
      </c>
      <c r="L19" s="31">
        <f t="shared" si="3"/>
        <v>64</v>
      </c>
      <c r="M19" s="175">
        <v>2.0</v>
      </c>
      <c r="N19" s="31">
        <f t="shared" si="4"/>
        <v>2048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114" t="s">
        <v>1339</v>
      </c>
      <c r="B20" s="31"/>
      <c r="C20" s="31"/>
      <c r="D20" s="175" t="s">
        <v>1337</v>
      </c>
      <c r="E20" s="175">
        <v>8.0</v>
      </c>
      <c r="F20" s="175">
        <v>1.0</v>
      </c>
      <c r="G20" s="175">
        <v>4096.0</v>
      </c>
      <c r="H20" s="175">
        <v>4.0</v>
      </c>
      <c r="I20" s="175">
        <v>16384.0</v>
      </c>
      <c r="J20" s="31">
        <f t="shared" si="2"/>
        <v>65536</v>
      </c>
      <c r="K20" s="175">
        <v>2048.0</v>
      </c>
      <c r="L20" s="31">
        <f t="shared" si="3"/>
        <v>32</v>
      </c>
      <c r="M20" s="175">
        <v>2.0</v>
      </c>
      <c r="N20" s="31">
        <f t="shared" si="4"/>
        <v>4096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114" t="s">
        <v>1340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114" t="s">
        <v>1341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17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170"/>
      <c r="B24" s="31"/>
      <c r="C24" s="31"/>
      <c r="D24" s="256" t="s">
        <v>1342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170"/>
      <c r="B25" s="31"/>
      <c r="C25" s="31"/>
      <c r="D25" s="31"/>
      <c r="E25" s="175" t="s">
        <v>1343</v>
      </c>
      <c r="F25" s="175" t="s">
        <v>1344</v>
      </c>
      <c r="G25" s="175" t="s">
        <v>1345</v>
      </c>
      <c r="H25" s="175" t="s">
        <v>1346</v>
      </c>
      <c r="I25" s="175" t="s">
        <v>1347</v>
      </c>
      <c r="J25" s="175" t="s">
        <v>1348</v>
      </c>
      <c r="K25" s="175" t="s">
        <v>1349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170"/>
      <c r="B26" s="31"/>
      <c r="C26" s="257" t="s">
        <v>1271</v>
      </c>
      <c r="D26" s="175" t="s">
        <v>10</v>
      </c>
      <c r="E26" s="258">
        <f>((1*2)*O18+N19*64)/(N19*64)-1</f>
        <v>0.001937866211</v>
      </c>
      <c r="F26" s="258">
        <f>((2*2)*O18+N19*64)/(N19*64)-1</f>
        <v>0.003875732422</v>
      </c>
      <c r="G26" s="258">
        <f>((4*2)*O18+N19*64)/(N19*64)-1</f>
        <v>0.007751464844</v>
      </c>
      <c r="H26" s="258">
        <f>((8*2)*O18+N19*64)/(N19*64)-1</f>
        <v>0.01550292969</v>
      </c>
      <c r="I26" s="258">
        <f>((16*2)*O18+N19*64)/(N19*64)-1</f>
        <v>0.03100585938</v>
      </c>
      <c r="J26" s="258">
        <f>((32*2)*O18+N19*64)/(N19*64)-1</f>
        <v>0.06201171875</v>
      </c>
      <c r="K26" s="258">
        <f>((64*2)*O18+N19*64)/(N19*64)-1</f>
        <v>0.1240234375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170"/>
      <c r="B27" s="31"/>
      <c r="D27" s="175" t="s">
        <v>48</v>
      </c>
      <c r="E27" s="258">
        <f>((1*2)*P18+N19*64)/(N19*64)-1</f>
        <v>0.002960205078</v>
      </c>
      <c r="F27" s="258">
        <f>((2*2)*P18+N19*64)/(N19*64)-1</f>
        <v>0.005920410156</v>
      </c>
      <c r="G27" s="258">
        <f>((4*2)*P18+N19*64)/(N19*64)-1</f>
        <v>0.01184082031</v>
      </c>
      <c r="H27" s="258">
        <f>((8*2)*P18+N19*64)/(N19*64)-1</f>
        <v>0.02368164063</v>
      </c>
      <c r="I27" s="258">
        <f>((16*2)*P18+N19*64)/(N19*64)-1</f>
        <v>0.04736328125</v>
      </c>
      <c r="J27" s="258">
        <f>((32*2)*P18+N19*64)/(N19*64)-1</f>
        <v>0.0947265625</v>
      </c>
      <c r="K27" s="258">
        <f>((64*2)*P18+N19*64)/(N19*64)-1</f>
        <v>0.189453125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170"/>
      <c r="B28" s="31"/>
      <c r="D28" s="175" t="s">
        <v>67</v>
      </c>
      <c r="E28" s="258">
        <f>((1*2)*Q18+N19*64)/(N19*64)-1</f>
        <v>0.003005981445</v>
      </c>
      <c r="F28" s="258">
        <f>((2*2)*Q18+N19*64)/(N19*64)-1</f>
        <v>0.006011962891</v>
      </c>
      <c r="G28" s="258">
        <f>((4*2)*Q18+N19*64)/(N19*64)-1</f>
        <v>0.01202392578</v>
      </c>
      <c r="H28" s="258">
        <f>((8*2)*Q18+N19*64)/(N19*64)-1</f>
        <v>0.02404785156</v>
      </c>
      <c r="I28" s="258">
        <f>((16*2)*Q18+N19*64)/(N19*64)-1</f>
        <v>0.04809570313</v>
      </c>
      <c r="J28" s="258">
        <f>((32*2)*Q18+N19*64)/(N19*64)-1</f>
        <v>0.09619140625</v>
      </c>
      <c r="K28" s="258">
        <f>((64*2)*Q18+N19*64)/(N19*64)-1</f>
        <v>0.1923828125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170"/>
      <c r="B29" s="31"/>
      <c r="D29" s="175" t="s">
        <v>1299</v>
      </c>
      <c r="E29" s="258">
        <f>((1*2)*R18+N19*64)/(N19*64)-1</f>
        <v>0.003524780273</v>
      </c>
      <c r="F29" s="258">
        <f>((2*2)*R18+N19*64)/(N19*64)-1</f>
        <v>0.007049560547</v>
      </c>
      <c r="G29" s="258">
        <f>((4*2)*R18+N19*64)/(N19*64)-1</f>
        <v>0.01409912109</v>
      </c>
      <c r="H29" s="258">
        <f>((8*2)*R18+N19*64)/(N19*64)-1</f>
        <v>0.02819824219</v>
      </c>
      <c r="I29" s="258">
        <f>((16*2)*R18+N19*64)/(N19*64)-1</f>
        <v>0.05639648438</v>
      </c>
      <c r="J29" s="258">
        <f>((32*2)*R18+N19*64)/(N19*64)-1</f>
        <v>0.1127929688</v>
      </c>
      <c r="K29" s="258">
        <f>((64*2)*R18+N19*64)/(N19*64)-1</f>
        <v>0.2255859375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170"/>
      <c r="B30" s="31"/>
      <c r="D30" s="175" t="s">
        <v>1300</v>
      </c>
      <c r="E30" s="258">
        <f>((1*2)*S18+N19*64)/(N19*64)-1</f>
        <v>0.004013061523</v>
      </c>
      <c r="F30" s="258">
        <f>((2*2)*S18+N19*64)/(N19*64)-1</f>
        <v>0.008026123047</v>
      </c>
      <c r="G30" s="258">
        <f>((4*2)*S18+N19*64)/(N19*64)-1</f>
        <v>0.01605224609</v>
      </c>
      <c r="H30" s="258">
        <f>((8*2)*S18+N19*64)/(N19*64)-1</f>
        <v>0.03210449219</v>
      </c>
      <c r="I30" s="258">
        <f>((16*2)*S18+N19*64)/(N19*64)-1</f>
        <v>0.06420898438</v>
      </c>
      <c r="J30" s="258">
        <f>((32*2)*S18+N19*64)/(N19*64)-1</f>
        <v>0.1284179688</v>
      </c>
      <c r="K30" s="258">
        <f>((64*2)*S18+N19*64)/(N19*64)-1</f>
        <v>0.2568359375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170"/>
      <c r="B31" s="31"/>
      <c r="C31" s="31"/>
      <c r="D31" s="175" t="s">
        <v>134</v>
      </c>
      <c r="E31" s="258">
        <f>((1*2)*T18+N19*64)/(N19*64)-1</f>
        <v>0.0001220703125</v>
      </c>
      <c r="F31" s="258">
        <f>((2*2)*T18+N19*64)/(N19*64)-1</f>
        <v>0.000244140625</v>
      </c>
      <c r="G31" s="258">
        <f>((4*2)*T18+N19*64)/(N19*64)-1</f>
        <v>0.00048828125</v>
      </c>
      <c r="H31" s="258">
        <f>((8*2)*T18+N19*64)/(N19*64)-1</f>
        <v>0.0009765625</v>
      </c>
      <c r="I31" s="258">
        <f>((16*2)*T18+N19*64)/(N19*64)-1</f>
        <v>0.001953125</v>
      </c>
      <c r="J31" s="258">
        <f>((32*2)*T18+N19*64)/(N19*64)-1</f>
        <v>0.00390625</v>
      </c>
      <c r="K31" s="258">
        <f>((64*2)*T18+N19*64)/(N19*64)-1</f>
        <v>0.0078125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17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C33" s="259" t="s">
        <v>1350</v>
      </c>
      <c r="D33" s="259"/>
      <c r="E33" s="259"/>
      <c r="F33" s="259"/>
      <c r="G33" s="259"/>
      <c r="H33" s="259"/>
      <c r="I33" s="259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C34" s="260" t="s">
        <v>1351</v>
      </c>
      <c r="D34" s="76" t="s">
        <v>134</v>
      </c>
      <c r="E34" s="76" t="s">
        <v>10</v>
      </c>
      <c r="F34" s="76" t="s">
        <v>48</v>
      </c>
      <c r="G34" s="76" t="s">
        <v>67</v>
      </c>
      <c r="H34" s="76" t="s">
        <v>82</v>
      </c>
      <c r="I34" s="76" t="s">
        <v>1209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C35" s="260">
        <v>39.4</v>
      </c>
      <c r="D35" s="130">
        <f>(1+0.78%)*C35</f>
        <v>39.70732</v>
      </c>
      <c r="E35" s="130">
        <f>(1+12.4%)*C35</f>
        <v>44.2856</v>
      </c>
      <c r="F35" s="130">
        <f>(1+18.95%)*C35</f>
        <v>46.8663</v>
      </c>
      <c r="G35" s="130">
        <f>(1+19.24%)*C35</f>
        <v>46.98056</v>
      </c>
      <c r="H35" s="130">
        <f>(1+22.56%)*C35</f>
        <v>48.28864</v>
      </c>
      <c r="I35" s="130">
        <f>(1+25.68%)*C35</f>
        <v>49.51792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76"/>
      <c r="B36" s="76"/>
      <c r="C36" s="76"/>
      <c r="D36" s="76"/>
      <c r="E36" s="76"/>
      <c r="F36" s="76"/>
      <c r="G36" s="76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76"/>
      <c r="B37" s="91"/>
      <c r="C37" s="261" t="s">
        <v>1352</v>
      </c>
      <c r="D37" s="33"/>
      <c r="E37" s="33"/>
      <c r="F37" s="33"/>
      <c r="G37" s="33"/>
      <c r="H37" s="34"/>
      <c r="I37" s="262" t="s">
        <v>1350</v>
      </c>
      <c r="J37" s="33"/>
      <c r="K37" s="33"/>
      <c r="L37" s="33"/>
      <c r="M37" s="33"/>
      <c r="N37" s="34"/>
      <c r="O37" s="263" t="s">
        <v>1353</v>
      </c>
      <c r="P37" s="33"/>
      <c r="Q37" s="33"/>
      <c r="R37" s="33"/>
      <c r="S37" s="33"/>
      <c r="T37" s="34"/>
      <c r="U37" s="31"/>
      <c r="V37" s="31"/>
      <c r="W37" s="31"/>
      <c r="X37" s="31"/>
      <c r="Y37" s="31"/>
      <c r="Z37" s="31"/>
      <c r="AA37" s="31"/>
    </row>
    <row r="38">
      <c r="A38" s="76"/>
      <c r="B38" s="76"/>
      <c r="C38" s="76" t="s">
        <v>134</v>
      </c>
      <c r="D38" s="76" t="s">
        <v>10</v>
      </c>
      <c r="E38" s="76" t="s">
        <v>48</v>
      </c>
      <c r="F38" s="76" t="s">
        <v>67</v>
      </c>
      <c r="G38" s="76" t="s">
        <v>82</v>
      </c>
      <c r="H38" s="76" t="s">
        <v>1209</v>
      </c>
      <c r="I38" s="76" t="s">
        <v>134</v>
      </c>
      <c r="J38" s="76" t="s">
        <v>10</v>
      </c>
      <c r="K38" s="76" t="s">
        <v>48</v>
      </c>
      <c r="L38" s="76" t="s">
        <v>67</v>
      </c>
      <c r="M38" s="76" t="s">
        <v>82</v>
      </c>
      <c r="N38" s="76" t="s">
        <v>1209</v>
      </c>
      <c r="O38" s="76" t="s">
        <v>134</v>
      </c>
      <c r="P38" s="76" t="s">
        <v>10</v>
      </c>
      <c r="Q38" s="76" t="s">
        <v>48</v>
      </c>
      <c r="R38" s="76" t="s">
        <v>67</v>
      </c>
      <c r="S38" s="76" t="s">
        <v>82</v>
      </c>
      <c r="T38" s="76" t="s">
        <v>1209</v>
      </c>
      <c r="U38" s="31"/>
      <c r="V38" s="31"/>
      <c r="W38" s="31"/>
      <c r="X38" s="31"/>
      <c r="Y38" s="31"/>
      <c r="Z38" s="31"/>
      <c r="AA38" s="31"/>
    </row>
    <row r="39">
      <c r="A39" s="264" t="s">
        <v>1354</v>
      </c>
      <c r="B39" s="76" t="s">
        <v>1355</v>
      </c>
      <c r="C39" s="265">
        <v>13657.0</v>
      </c>
      <c r="D39" s="265">
        <v>16401.0</v>
      </c>
      <c r="E39" s="265">
        <v>7975.0</v>
      </c>
      <c r="F39" s="265">
        <v>5757.0</v>
      </c>
      <c r="G39" s="265">
        <v>2669.0</v>
      </c>
      <c r="H39" s="265">
        <v>2946.0</v>
      </c>
      <c r="I39" s="130">
        <v>39.70732</v>
      </c>
      <c r="J39" s="130">
        <v>44.2856</v>
      </c>
      <c r="K39" s="130">
        <v>46.866299999999995</v>
      </c>
      <c r="L39" s="130">
        <v>46.98056</v>
      </c>
      <c r="M39" s="130">
        <v>48.28864</v>
      </c>
      <c r="N39" s="130">
        <v>49.51792</v>
      </c>
      <c r="O39" s="31">
        <f t="shared" ref="O39:T39" si="5">(32*131072*10^9/C39)/(I39*8)/10^9</f>
        <v>0.9668164527</v>
      </c>
      <c r="P39" s="31">
        <f t="shared" si="5"/>
        <v>0.7218335371</v>
      </c>
      <c r="Q39" s="31">
        <f t="shared" si="5"/>
        <v>1.402744446</v>
      </c>
      <c r="R39" s="31">
        <f t="shared" si="5"/>
        <v>1.938453997</v>
      </c>
      <c r="S39" s="31">
        <f t="shared" si="5"/>
        <v>4.067957151</v>
      </c>
      <c r="T39" s="31">
        <f t="shared" si="5"/>
        <v>3.593972761</v>
      </c>
      <c r="U39" s="31"/>
      <c r="V39" s="31"/>
      <c r="W39" s="31"/>
      <c r="X39" s="31"/>
      <c r="Y39" s="31"/>
      <c r="Z39" s="31"/>
      <c r="AA39" s="31"/>
    </row>
    <row r="40">
      <c r="B40" s="76" t="s">
        <v>1233</v>
      </c>
      <c r="C40" s="265">
        <v>16899.0</v>
      </c>
      <c r="D40" s="265">
        <v>14669.0</v>
      </c>
      <c r="E40" s="265">
        <v>11927.0</v>
      </c>
      <c r="F40" s="265">
        <v>5258.0</v>
      </c>
      <c r="G40" s="265">
        <v>2170.0</v>
      </c>
      <c r="H40" s="265">
        <v>2142.0</v>
      </c>
      <c r="I40" s="130">
        <v>39.70732</v>
      </c>
      <c r="J40" s="130">
        <v>44.2856</v>
      </c>
      <c r="K40" s="130">
        <v>46.866299999999995</v>
      </c>
      <c r="L40" s="130">
        <v>46.98056</v>
      </c>
      <c r="M40" s="130">
        <v>48.28864</v>
      </c>
      <c r="N40" s="130">
        <v>49.51792</v>
      </c>
      <c r="O40" s="31">
        <f t="shared" ref="O40:T40" si="6">(32*131072*10^9/C40)/(I40*8)/10^9</f>
        <v>0.7813369013</v>
      </c>
      <c r="P40" s="31">
        <f t="shared" si="6"/>
        <v>0.8070619566</v>
      </c>
      <c r="Q40" s="31">
        <f t="shared" si="6"/>
        <v>0.9379464201</v>
      </c>
      <c r="R40" s="31">
        <f t="shared" si="6"/>
        <v>2.122419107</v>
      </c>
      <c r="S40" s="31">
        <f t="shared" si="6"/>
        <v>5.003399832</v>
      </c>
      <c r="T40" s="31">
        <f t="shared" si="6"/>
        <v>4.94297094</v>
      </c>
      <c r="U40" s="31"/>
      <c r="V40" s="31"/>
      <c r="W40" s="31"/>
      <c r="X40" s="31"/>
      <c r="Y40" s="31"/>
      <c r="Z40" s="31"/>
      <c r="AA40" s="31"/>
    </row>
    <row r="41">
      <c r="B41" s="76" t="s">
        <v>1242</v>
      </c>
      <c r="C41" s="265">
        <v>13657.0</v>
      </c>
      <c r="D41" s="265">
        <v>18296.0</v>
      </c>
      <c r="E41" s="265">
        <v>8055.0</v>
      </c>
      <c r="F41" s="265">
        <v>5757.0</v>
      </c>
      <c r="G41" s="265">
        <v>2946.0</v>
      </c>
      <c r="H41" s="265">
        <v>2946.0</v>
      </c>
      <c r="I41" s="130">
        <v>39.70732</v>
      </c>
      <c r="J41" s="130">
        <v>44.2856</v>
      </c>
      <c r="K41" s="130">
        <v>46.866299999999995</v>
      </c>
      <c r="L41" s="130">
        <v>46.98056</v>
      </c>
      <c r="M41" s="130">
        <v>48.28864</v>
      </c>
      <c r="N41" s="130">
        <v>49.51792</v>
      </c>
      <c r="O41" s="31">
        <f t="shared" ref="O41:T41" si="7">(32*131072*10^9/C41)/(I41*8)/10^9</f>
        <v>0.9668164527</v>
      </c>
      <c r="P41" s="31">
        <f t="shared" si="7"/>
        <v>0.647069952</v>
      </c>
      <c r="Q41" s="31">
        <f t="shared" si="7"/>
        <v>1.388812781</v>
      </c>
      <c r="R41" s="31">
        <f t="shared" si="7"/>
        <v>1.938453997</v>
      </c>
      <c r="S41" s="31">
        <f t="shared" si="7"/>
        <v>3.685464235</v>
      </c>
      <c r="T41" s="31">
        <f t="shared" si="7"/>
        <v>3.593972761</v>
      </c>
      <c r="U41" s="31"/>
      <c r="V41" s="31"/>
      <c r="W41" s="31"/>
      <c r="X41" s="31"/>
      <c r="Y41" s="31"/>
      <c r="Z41" s="31"/>
      <c r="AA41" s="31"/>
    </row>
    <row r="42">
      <c r="B42" s="76" t="s">
        <v>1356</v>
      </c>
      <c r="C42" s="265">
        <v>590013.0</v>
      </c>
      <c r="D42" s="265">
        <v>732894.0</v>
      </c>
      <c r="E42" s="265">
        <v>387621.0</v>
      </c>
      <c r="F42" s="265">
        <v>239743.0</v>
      </c>
      <c r="G42" s="265">
        <v>158817.0</v>
      </c>
      <c r="H42" s="265">
        <v>102958.0</v>
      </c>
      <c r="I42" s="130">
        <v>39.70732</v>
      </c>
      <c r="J42" s="130">
        <v>44.2856</v>
      </c>
      <c r="K42" s="130">
        <v>46.866299999999995</v>
      </c>
      <c r="L42" s="130">
        <v>46.98056</v>
      </c>
      <c r="M42" s="130">
        <v>48.28864</v>
      </c>
      <c r="N42" s="130">
        <v>49.51792</v>
      </c>
      <c r="O42" s="31">
        <f t="shared" ref="O42:T42" si="8">(32*131072*10^9/C42)/(I42*8)/10^9</f>
        <v>0.02237884978</v>
      </c>
      <c r="P42" s="31">
        <f t="shared" si="8"/>
        <v>0.01615348446</v>
      </c>
      <c r="Q42" s="31">
        <f t="shared" si="8"/>
        <v>0.0288603738</v>
      </c>
      <c r="R42" s="31">
        <f t="shared" si="8"/>
        <v>0.04654851096</v>
      </c>
      <c r="S42" s="31">
        <f t="shared" si="8"/>
        <v>0.06836407712</v>
      </c>
      <c r="T42" s="31">
        <f t="shared" si="8"/>
        <v>0.1028365329</v>
      </c>
      <c r="U42" s="31"/>
      <c r="V42" s="31"/>
      <c r="W42" s="31"/>
      <c r="X42" s="31"/>
      <c r="Y42" s="31"/>
      <c r="Z42" s="31"/>
      <c r="AA42" s="31"/>
    </row>
    <row r="43">
      <c r="B43" s="76" t="s">
        <v>1243</v>
      </c>
      <c r="C43" s="265">
        <f>8*32*32*53.14+12*32*53.14</f>
        <v>455728.64</v>
      </c>
      <c r="D43" s="265">
        <v>1091672.0</v>
      </c>
      <c r="E43" s="265">
        <v>590620.0</v>
      </c>
      <c r="F43" s="265">
        <v>369357.0</v>
      </c>
      <c r="G43" s="265">
        <v>244371.0</v>
      </c>
      <c r="H43" s="265">
        <v>150739.0</v>
      </c>
      <c r="I43" s="130">
        <v>39.70732</v>
      </c>
      <c r="J43" s="130">
        <v>44.2856</v>
      </c>
      <c r="K43" s="130">
        <v>46.866299999999995</v>
      </c>
      <c r="L43" s="130">
        <v>46.98056</v>
      </c>
      <c r="M43" s="130">
        <v>48.28864</v>
      </c>
      <c r="N43" s="130">
        <v>49.51792</v>
      </c>
      <c r="O43" s="31">
        <f t="shared" ref="O43:T43" si="9">(32*131072*10^9/C43)/(I43*8)/10^9</f>
        <v>0.02897297017</v>
      </c>
      <c r="P43" s="31">
        <f t="shared" si="9"/>
        <v>0.01084464184</v>
      </c>
      <c r="Q43" s="31">
        <f t="shared" si="9"/>
        <v>0.01894092132</v>
      </c>
      <c r="R43" s="31">
        <f t="shared" si="9"/>
        <v>0.03021380308</v>
      </c>
      <c r="S43" s="31">
        <f t="shared" si="9"/>
        <v>0.04442989404</v>
      </c>
      <c r="T43" s="31">
        <f t="shared" si="9"/>
        <v>0.07023957804</v>
      </c>
      <c r="U43" s="31"/>
      <c r="V43" s="31"/>
      <c r="W43" s="31"/>
      <c r="X43" s="31"/>
      <c r="Y43" s="31"/>
      <c r="Z43" s="31"/>
      <c r="AA43" s="31"/>
    </row>
    <row r="44">
      <c r="A44" s="264" t="s">
        <v>1357</v>
      </c>
      <c r="B44" s="76" t="s">
        <v>1253</v>
      </c>
      <c r="C44" s="265">
        <v>4357.0</v>
      </c>
      <c r="D44" s="265">
        <v>2943.0</v>
      </c>
      <c r="E44" s="265">
        <v>3024.0</v>
      </c>
      <c r="F44" s="265">
        <v>2863.0</v>
      </c>
      <c r="G44" s="265">
        <v>2863.0</v>
      </c>
      <c r="H44" s="265">
        <v>2863.0</v>
      </c>
      <c r="I44" s="130">
        <v>39.70732</v>
      </c>
      <c r="J44" s="130">
        <v>44.2856</v>
      </c>
      <c r="K44" s="130">
        <v>46.866299999999995</v>
      </c>
      <c r="L44" s="130">
        <v>46.98056</v>
      </c>
      <c r="M44" s="130">
        <v>48.28864</v>
      </c>
      <c r="N44" s="130">
        <v>49.51792</v>
      </c>
      <c r="O44" s="31">
        <f t="shared" ref="O44:T44" si="10">(32*131072*10^9/C44)/(I44*8)/10^9</f>
        <v>3.03048251</v>
      </c>
      <c r="P44" s="31">
        <f t="shared" si="10"/>
        <v>4.022695155</v>
      </c>
      <c r="Q44" s="31">
        <f t="shared" si="10"/>
        <v>3.699367379</v>
      </c>
      <c r="R44" s="31">
        <f t="shared" si="10"/>
        <v>3.897897193</v>
      </c>
      <c r="S44" s="31">
        <f t="shared" si="10"/>
        <v>3.792307941</v>
      </c>
      <c r="T44" s="31">
        <f t="shared" si="10"/>
        <v>3.698164078</v>
      </c>
      <c r="U44" s="31"/>
      <c r="V44" s="31"/>
      <c r="W44" s="31"/>
      <c r="X44" s="31"/>
      <c r="Y44" s="31"/>
      <c r="Z44" s="31"/>
      <c r="AA44" s="31"/>
    </row>
    <row r="45">
      <c r="B45" s="76" t="s">
        <v>1254</v>
      </c>
      <c r="C45" s="265">
        <v>5155.0</v>
      </c>
      <c r="D45" s="265">
        <v>5887.0</v>
      </c>
      <c r="E45" s="265">
        <v>5484.0</v>
      </c>
      <c r="F45" s="265">
        <v>3024.0</v>
      </c>
      <c r="G45" s="265">
        <v>2863.0</v>
      </c>
      <c r="H45" s="265">
        <v>2863.0</v>
      </c>
      <c r="I45" s="130">
        <v>39.70732</v>
      </c>
      <c r="J45" s="130">
        <v>44.2856</v>
      </c>
      <c r="K45" s="130">
        <v>46.866299999999995</v>
      </c>
      <c r="L45" s="130">
        <v>46.98056</v>
      </c>
      <c r="M45" s="130">
        <v>48.28864</v>
      </c>
      <c r="N45" s="130">
        <v>49.51792</v>
      </c>
      <c r="O45" s="31">
        <f t="shared" ref="O45:T45" si="11">(32*131072*10^9/C45)/(I45*8)/10^9</f>
        <v>2.56136029</v>
      </c>
      <c r="P45" s="31">
        <f t="shared" si="11"/>
        <v>2.011005918</v>
      </c>
      <c r="Q45" s="31">
        <f t="shared" si="11"/>
        <v>2.03991374</v>
      </c>
      <c r="R45" s="31">
        <f t="shared" si="11"/>
        <v>3.690370259</v>
      </c>
      <c r="S45" s="31">
        <f t="shared" si="11"/>
        <v>3.792307941</v>
      </c>
      <c r="T45" s="31">
        <f t="shared" si="11"/>
        <v>3.698164078</v>
      </c>
      <c r="U45" s="31"/>
      <c r="V45" s="31"/>
      <c r="W45" s="31"/>
      <c r="X45" s="31"/>
      <c r="Y45" s="31"/>
      <c r="Z45" s="31"/>
      <c r="AA45" s="31"/>
    </row>
    <row r="46">
      <c r="A46" s="264" t="s">
        <v>1358</v>
      </c>
      <c r="B46" s="76" t="s">
        <v>1240</v>
      </c>
      <c r="C46" s="265">
        <v>17111.0</v>
      </c>
      <c r="D46" s="265">
        <v>28780.0</v>
      </c>
      <c r="E46" s="265">
        <v>14438.0</v>
      </c>
      <c r="F46" s="265">
        <v>6609.0</v>
      </c>
      <c r="G46" s="265">
        <v>4862.0</v>
      </c>
      <c r="H46" s="265">
        <v>4862.0</v>
      </c>
      <c r="I46" s="130">
        <v>39.70732</v>
      </c>
      <c r="J46" s="130">
        <v>44.2856</v>
      </c>
      <c r="K46" s="130">
        <v>46.866299999999995</v>
      </c>
      <c r="L46" s="130">
        <v>46.98056</v>
      </c>
      <c r="M46" s="130">
        <v>48.28864</v>
      </c>
      <c r="N46" s="130">
        <v>49.51792</v>
      </c>
      <c r="O46" s="31">
        <f t="shared" ref="O46:T46" si="12">(32*131072*10^9/C46)/(I46*8)/10^9</f>
        <v>0.7716563786</v>
      </c>
      <c r="P46" s="31">
        <f t="shared" si="12"/>
        <v>0.4113548243</v>
      </c>
      <c r="Q46" s="31">
        <f t="shared" si="12"/>
        <v>0.7748224791</v>
      </c>
      <c r="R46" s="31">
        <f t="shared" si="12"/>
        <v>1.688557976</v>
      </c>
      <c r="S46" s="31">
        <f t="shared" si="12"/>
        <v>2.233109345</v>
      </c>
      <c r="T46" s="31">
        <f t="shared" si="12"/>
        <v>2.177672512</v>
      </c>
      <c r="U46" s="31"/>
      <c r="V46" s="31"/>
      <c r="W46" s="31"/>
      <c r="X46" s="31"/>
      <c r="Y46" s="31"/>
      <c r="Z46" s="31"/>
      <c r="AA46" s="31"/>
    </row>
    <row r="47">
      <c r="A47" s="264" t="s">
        <v>1359</v>
      </c>
      <c r="B47" s="76" t="s">
        <v>1235</v>
      </c>
      <c r="C47" s="265">
        <v>13604.0</v>
      </c>
      <c r="D47" s="265">
        <v>26772.0</v>
      </c>
      <c r="E47" s="265">
        <v>15814.0</v>
      </c>
      <c r="F47" s="265">
        <v>10776.0</v>
      </c>
      <c r="G47" s="265">
        <v>6318.0</v>
      </c>
      <c r="H47" s="265">
        <v>6318.0</v>
      </c>
      <c r="I47" s="130">
        <v>39.70732</v>
      </c>
      <c r="J47" s="130">
        <v>44.2856</v>
      </c>
      <c r="K47" s="130">
        <v>46.866299999999995</v>
      </c>
      <c r="L47" s="130">
        <v>46.98056</v>
      </c>
      <c r="M47" s="130">
        <v>48.28864</v>
      </c>
      <c r="N47" s="130">
        <v>49.51792</v>
      </c>
      <c r="O47" s="31">
        <f t="shared" ref="O47:T47" si="13">(32*131072*10^9/C47)/(I47*8)/10^9</f>
        <v>0.9705830855</v>
      </c>
      <c r="P47" s="31">
        <f t="shared" si="13"/>
        <v>0.4422079726</v>
      </c>
      <c r="Q47" s="31">
        <f t="shared" si="13"/>
        <v>0.7074040061</v>
      </c>
      <c r="R47" s="31">
        <f t="shared" si="13"/>
        <v>1.035605017</v>
      </c>
      <c r="S47" s="31">
        <f t="shared" si="13"/>
        <v>1.718483323</v>
      </c>
      <c r="T47" s="31">
        <f t="shared" si="13"/>
        <v>1.675822057</v>
      </c>
      <c r="U47" s="31"/>
      <c r="V47" s="31"/>
      <c r="W47" s="31"/>
      <c r="X47" s="31"/>
      <c r="Y47" s="31"/>
      <c r="Z47" s="31"/>
      <c r="AA47" s="31"/>
    </row>
    <row r="48">
      <c r="A48" s="17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170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170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170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17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170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170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170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17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170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170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17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17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170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170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170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170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170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170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170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170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170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170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170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170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17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170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170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170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170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170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170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170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170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170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170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170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170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170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170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170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170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170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170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170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170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170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170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170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170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170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170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170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170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170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170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170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170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170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170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170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170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170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170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170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170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170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170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170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170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170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170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170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170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170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170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170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170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17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17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17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170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170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170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170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17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17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170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170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17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17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17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17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17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170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170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170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170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170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17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17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17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17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17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17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17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17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17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170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170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170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17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17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17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17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17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17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17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17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17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170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170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170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170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17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17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17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17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17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17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17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17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17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170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17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17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17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17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17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17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17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17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17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17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17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17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17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17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17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17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17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17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17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17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17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17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17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17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17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17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17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17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17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17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17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17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17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17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17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17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17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17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17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17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17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17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17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17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17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17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17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17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17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17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17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17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17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17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17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17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17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17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17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17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17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17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17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17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17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17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17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17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17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17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17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17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17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17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17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17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17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17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17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17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17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17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17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17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17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17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17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17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17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17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17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17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17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17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17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17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17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17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17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17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17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17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17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17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17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17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17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17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17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17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17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17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17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17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17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17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17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17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17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17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17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17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17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17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17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17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17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17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17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17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17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17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17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17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17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17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17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17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17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17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17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17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17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17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17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17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17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17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17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17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17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17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17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17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17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17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17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17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17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17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17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17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17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17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17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17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17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17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17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17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17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17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17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17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17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17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17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17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17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17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17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17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17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17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17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17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17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17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17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17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17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17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17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17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17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17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17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17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17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17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17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17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17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17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17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17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17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17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17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17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17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17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17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17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17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17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17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17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17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17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17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17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17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17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17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17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17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17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17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17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17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17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17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17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17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17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17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17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17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17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17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17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17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17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17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17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17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17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17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17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17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17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17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17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17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17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17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17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17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17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17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17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17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17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17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17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17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17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17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17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17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17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17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17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17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17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17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17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17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17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17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17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17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17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17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17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17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17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17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17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17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17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17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17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17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17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17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17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17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17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17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17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17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17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17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17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17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17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17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17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17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17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17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17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17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17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17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17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17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17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17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17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17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17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17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17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17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17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17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17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17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17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17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17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17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17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17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17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17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17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17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17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17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17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17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17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17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17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17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17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17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17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17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17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17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17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17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17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17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17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17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17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17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17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17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17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17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17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17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17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17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17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17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17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17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17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17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17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17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17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17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17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17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17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17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17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17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17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17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17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17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17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17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17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17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17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17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17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17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17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17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17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17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17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17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17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17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17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17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17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17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17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17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17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17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17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17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17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17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17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17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17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17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17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17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17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17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17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17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17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17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17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17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17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17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17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17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17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17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17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17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17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17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17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17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17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17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17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17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17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17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17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17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17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17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17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17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17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17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17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17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17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17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17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17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17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17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17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17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17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17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17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17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17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17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17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17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17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17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17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17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17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17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17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17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17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17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17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17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17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17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17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17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17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17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17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17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17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17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17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17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17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17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17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17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17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17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17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17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17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17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17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17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17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17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17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17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17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17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17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17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17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17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17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17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17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17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17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17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17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17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17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17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17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17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17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17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17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17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17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17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17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17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17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17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17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17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17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17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17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17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17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17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17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17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17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17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17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17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17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17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17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17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17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17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17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17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17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17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17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17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17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17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17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17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17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17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17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17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17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17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17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17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17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17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17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17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17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17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17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17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17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17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17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17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17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17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17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17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17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17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17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17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17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17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17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17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17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17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17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17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17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17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17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17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17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17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17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17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17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17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17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17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17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17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17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17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17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17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17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17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17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17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17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17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17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17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17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17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17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17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17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17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17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17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17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17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17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17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17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17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17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17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17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17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17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17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17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17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17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17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17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17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17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17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17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17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17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17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17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17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17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17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17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17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17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17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17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17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17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17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17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17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17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17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17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17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17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17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17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17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17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17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17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17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17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17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17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17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17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17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17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17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17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17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17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17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17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17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17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17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17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17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17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17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17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17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17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17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17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17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17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17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17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17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17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17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17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17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17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17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17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17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17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17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17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17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17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17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17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17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17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17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17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17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17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17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17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17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17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17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17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17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17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17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17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17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17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17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17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17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17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17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17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17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17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17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17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17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17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17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17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17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17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17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17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17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17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17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17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17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17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17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17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17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17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17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17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17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17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17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17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17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17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17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17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17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17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17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17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17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17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17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17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17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17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17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</sheetData>
  <mergeCells count="8">
    <mergeCell ref="D16:N16"/>
    <mergeCell ref="D24:L24"/>
    <mergeCell ref="C26:C30"/>
    <mergeCell ref="C37:H37"/>
    <mergeCell ref="I37:N37"/>
    <mergeCell ref="O37:T37"/>
    <mergeCell ref="A39:A43"/>
    <mergeCell ref="A44:A4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21.13"/>
    <col customWidth="1" min="3" max="3" width="13.25"/>
    <col customWidth="1" min="4" max="4" width="7.63"/>
    <col customWidth="1" min="5" max="5" width="12.63"/>
    <col customWidth="1" min="6" max="6" width="12.38"/>
    <col customWidth="1" min="7" max="7" width="12.5"/>
    <col customWidth="1" min="8" max="8" width="12.13"/>
    <col customWidth="1" min="9" max="9" width="6.13"/>
    <col customWidth="1" min="10" max="10" width="12.5"/>
    <col customWidth="1" min="11" max="11" width="6.25"/>
    <col customWidth="1" min="12" max="12" width="10.63"/>
    <col customWidth="1" min="13" max="13" width="18.13"/>
    <col customWidth="1" min="14" max="14" width="12.75"/>
    <col customWidth="1" min="15" max="15" width="7.13"/>
    <col customWidth="1" min="16" max="16" width="6.5"/>
    <col customWidth="1" min="17" max="17" width="22.5"/>
    <col customWidth="1" min="18" max="18" width="11.63"/>
    <col customWidth="1" min="19" max="19" width="12.63"/>
    <col customWidth="1" min="20" max="20" width="7.63"/>
    <col customWidth="1" min="21" max="21" width="4.38"/>
    <col customWidth="1" min="22" max="22" width="17.5"/>
    <col customWidth="1" min="23" max="23" width="13.63"/>
    <col customWidth="1" min="24" max="24" width="9.38"/>
    <col customWidth="1" min="25" max="25" width="5.38"/>
    <col customWidth="1" min="26" max="26" width="7.5"/>
  </cols>
  <sheetData>
    <row r="1">
      <c r="A1" s="19" t="s">
        <v>94</v>
      </c>
    </row>
    <row r="2">
      <c r="A2" s="20"/>
      <c r="C2" s="6" t="s">
        <v>95</v>
      </c>
      <c r="E2" s="21" t="s">
        <v>96</v>
      </c>
      <c r="G2" s="21" t="s">
        <v>96</v>
      </c>
      <c r="H2" s="6" t="s">
        <v>95</v>
      </c>
      <c r="V2" s="18"/>
    </row>
    <row r="3">
      <c r="A3" s="22" t="s">
        <v>97</v>
      </c>
      <c r="B3" s="23" t="s">
        <v>98</v>
      </c>
      <c r="C3" s="24" t="s">
        <v>99</v>
      </c>
      <c r="D3" s="25"/>
      <c r="E3" s="26"/>
      <c r="F3" s="27" t="s">
        <v>100</v>
      </c>
      <c r="G3" s="26" t="s">
        <v>101</v>
      </c>
      <c r="H3" s="26" t="s">
        <v>102</v>
      </c>
      <c r="I3" s="28"/>
      <c r="J3" s="28"/>
      <c r="K3" s="28"/>
      <c r="L3" s="28"/>
      <c r="M3" s="29"/>
      <c r="N3" s="29"/>
      <c r="O3" s="29"/>
      <c r="P3" s="29"/>
      <c r="Q3" s="26" t="s">
        <v>103</v>
      </c>
      <c r="R3" s="26" t="s">
        <v>104</v>
      </c>
      <c r="S3" s="30" t="s">
        <v>105</v>
      </c>
      <c r="V3" s="18"/>
      <c r="Y3" s="31"/>
      <c r="Z3" s="31"/>
    </row>
    <row r="4">
      <c r="A4" s="20"/>
      <c r="B4" s="32" t="s">
        <v>106</v>
      </c>
      <c r="C4" s="33"/>
      <c r="D4" s="33"/>
      <c r="E4" s="33"/>
      <c r="F4" s="33"/>
      <c r="G4" s="33"/>
      <c r="H4" s="34"/>
      <c r="I4" s="35"/>
      <c r="J4" s="34"/>
      <c r="K4" s="36"/>
      <c r="L4" s="36"/>
      <c r="M4" s="37" t="s">
        <v>107</v>
      </c>
      <c r="N4" s="33"/>
      <c r="O4" s="33"/>
      <c r="P4" s="34"/>
      <c r="Q4" s="38" t="s">
        <v>108</v>
      </c>
      <c r="R4" s="34"/>
      <c r="S4" s="39" t="s">
        <v>109</v>
      </c>
      <c r="T4" s="33"/>
      <c r="U4" s="34"/>
      <c r="V4" s="18"/>
    </row>
    <row r="5">
      <c r="A5" s="40"/>
      <c r="B5" s="41" t="s">
        <v>110</v>
      </c>
      <c r="C5" s="42" t="s">
        <v>111</v>
      </c>
      <c r="D5" s="43" t="s">
        <v>112</v>
      </c>
      <c r="E5" s="44" t="s">
        <v>113</v>
      </c>
      <c r="F5" s="41" t="s">
        <v>114</v>
      </c>
      <c r="G5" s="41" t="s">
        <v>115</v>
      </c>
      <c r="H5" s="45" t="s">
        <v>116</v>
      </c>
      <c r="I5" s="43" t="s">
        <v>117</v>
      </c>
      <c r="J5" s="43" t="s">
        <v>118</v>
      </c>
      <c r="K5" s="43" t="s">
        <v>119</v>
      </c>
      <c r="L5" s="43" t="s">
        <v>120</v>
      </c>
      <c r="M5" s="44" t="s">
        <v>121</v>
      </c>
      <c r="N5" s="44" t="s">
        <v>122</v>
      </c>
      <c r="O5" s="44" t="s">
        <v>123</v>
      </c>
      <c r="P5" s="44" t="s">
        <v>124</v>
      </c>
      <c r="Q5" s="43" t="s">
        <v>125</v>
      </c>
      <c r="R5" s="43" t="s">
        <v>126</v>
      </c>
      <c r="S5" s="43" t="s">
        <v>127</v>
      </c>
      <c r="T5" s="43" t="s">
        <v>128</v>
      </c>
      <c r="U5" s="43" t="s">
        <v>129</v>
      </c>
      <c r="V5" s="46" t="s">
        <v>130</v>
      </c>
      <c r="W5" s="3" t="s">
        <v>131</v>
      </c>
      <c r="X5" s="3"/>
      <c r="Y5" s="47"/>
      <c r="Z5" s="43" t="s">
        <v>132</v>
      </c>
    </row>
    <row r="6">
      <c r="A6" s="48" t="s">
        <v>133</v>
      </c>
      <c r="B6" s="6">
        <v>1.0</v>
      </c>
      <c r="C6" s="49">
        <f>(F6/G6)*B6*H6</f>
        <v>1</v>
      </c>
      <c r="D6" s="6">
        <v>32.0</v>
      </c>
      <c r="E6" s="50">
        <f>167772160*2</f>
        <v>335544320</v>
      </c>
      <c r="F6" s="6">
        <v>1.0</v>
      </c>
      <c r="G6" s="6">
        <v>1.0</v>
      </c>
      <c r="H6" s="10">
        <f>ROUNDUP(E6/(M6*N6*O6*P6))</f>
        <v>1</v>
      </c>
      <c r="I6" s="6">
        <v>2.0</v>
      </c>
      <c r="J6" s="6">
        <v>1.0</v>
      </c>
      <c r="K6" s="6">
        <v>3.0</v>
      </c>
      <c r="L6" s="6">
        <v>2.52</v>
      </c>
      <c r="M6" s="6">
        <v>16.0</v>
      </c>
      <c r="N6" s="6">
        <v>8.0</v>
      </c>
      <c r="O6" s="6">
        <v>32.0</v>
      </c>
      <c r="P6" s="6">
        <v>131072.0</v>
      </c>
      <c r="Q6" s="10">
        <v>27.72</v>
      </c>
      <c r="R6" s="10">
        <v>28.98</v>
      </c>
      <c r="V6" s="18">
        <f>D6*H6*I6*Q6+D6*H6*J6*R6+D6*H6*K6*L6</f>
        <v>2943.36</v>
      </c>
      <c r="W6" s="50">
        <f>122075000/1.150332879</f>
        <v>106121456</v>
      </c>
      <c r="Z6" s="10">
        <f>W6/V6</f>
        <v>36054.52816</v>
      </c>
    </row>
    <row r="7">
      <c r="A7" s="48"/>
      <c r="C7" s="49"/>
      <c r="E7" s="50"/>
      <c r="V7" s="18"/>
      <c r="W7" s="50"/>
      <c r="X7" s="50"/>
    </row>
    <row r="8">
      <c r="A8" s="19" t="s">
        <v>134</v>
      </c>
    </row>
    <row r="9">
      <c r="A9" s="20"/>
      <c r="C9" s="6" t="s">
        <v>95</v>
      </c>
      <c r="E9" s="21" t="s">
        <v>96</v>
      </c>
      <c r="G9" s="21" t="s">
        <v>96</v>
      </c>
      <c r="H9" s="6" t="s">
        <v>95</v>
      </c>
      <c r="V9" s="18"/>
    </row>
    <row r="10">
      <c r="A10" s="22" t="s">
        <v>97</v>
      </c>
      <c r="B10" s="23" t="s">
        <v>135</v>
      </c>
      <c r="C10" s="24" t="s">
        <v>136</v>
      </c>
      <c r="D10" s="25"/>
      <c r="E10" s="26"/>
      <c r="F10" s="27" t="s">
        <v>100</v>
      </c>
      <c r="G10" s="26" t="s">
        <v>137</v>
      </c>
      <c r="H10" s="26" t="s">
        <v>138</v>
      </c>
      <c r="I10" s="28"/>
      <c r="J10" s="28"/>
      <c r="K10" s="28"/>
      <c r="L10" s="28"/>
      <c r="M10" s="29"/>
      <c r="N10" s="29"/>
      <c r="O10" s="29"/>
      <c r="P10" s="29"/>
      <c r="Q10" s="26" t="s">
        <v>139</v>
      </c>
      <c r="R10" s="26" t="s">
        <v>140</v>
      </c>
      <c r="S10" s="30" t="s">
        <v>141</v>
      </c>
      <c r="V10" s="18"/>
      <c r="Y10" s="31"/>
      <c r="Z10" s="31"/>
    </row>
    <row r="11">
      <c r="A11" s="20"/>
      <c r="B11" s="32" t="s">
        <v>106</v>
      </c>
      <c r="C11" s="33"/>
      <c r="D11" s="33"/>
      <c r="E11" s="33"/>
      <c r="F11" s="33"/>
      <c r="G11" s="33"/>
      <c r="H11" s="34"/>
      <c r="I11" s="35"/>
      <c r="J11" s="34"/>
      <c r="K11" s="36"/>
      <c r="L11" s="36"/>
      <c r="M11" s="37" t="s">
        <v>107</v>
      </c>
      <c r="N11" s="33"/>
      <c r="O11" s="33"/>
      <c r="P11" s="34"/>
      <c r="Q11" s="38" t="s">
        <v>108</v>
      </c>
      <c r="R11" s="34"/>
      <c r="S11" s="39" t="s">
        <v>109</v>
      </c>
      <c r="T11" s="33"/>
      <c r="U11" s="34"/>
      <c r="V11" s="18"/>
    </row>
    <row r="12" ht="16.5" customHeight="1">
      <c r="A12" s="40"/>
      <c r="B12" s="41" t="s">
        <v>110</v>
      </c>
      <c r="C12" s="42" t="s">
        <v>111</v>
      </c>
      <c r="D12" s="43" t="s">
        <v>112</v>
      </c>
      <c r="E12" s="44" t="s">
        <v>113</v>
      </c>
      <c r="F12" s="41" t="s">
        <v>114</v>
      </c>
      <c r="G12" s="41" t="s">
        <v>115</v>
      </c>
      <c r="H12" s="45" t="s">
        <v>116</v>
      </c>
      <c r="I12" s="43" t="s">
        <v>142</v>
      </c>
      <c r="J12" s="43" t="s">
        <v>143</v>
      </c>
      <c r="K12" s="43"/>
      <c r="L12" s="43"/>
      <c r="M12" s="44" t="s">
        <v>121</v>
      </c>
      <c r="N12" s="44" t="s">
        <v>122</v>
      </c>
      <c r="O12" s="44" t="s">
        <v>123</v>
      </c>
      <c r="P12" s="44" t="s">
        <v>124</v>
      </c>
      <c r="Q12" s="43" t="s">
        <v>125</v>
      </c>
      <c r="R12" s="43" t="s">
        <v>126</v>
      </c>
      <c r="S12" s="43" t="s">
        <v>127</v>
      </c>
      <c r="T12" s="43" t="s">
        <v>128</v>
      </c>
      <c r="U12" s="43" t="s">
        <v>129</v>
      </c>
      <c r="V12" s="46" t="s">
        <v>130</v>
      </c>
      <c r="W12" s="3" t="s">
        <v>131</v>
      </c>
      <c r="X12" s="3"/>
      <c r="Y12" s="47"/>
      <c r="Z12" s="43" t="s">
        <v>132</v>
      </c>
    </row>
    <row r="13">
      <c r="A13" s="48" t="s">
        <v>144</v>
      </c>
      <c r="B13" s="6">
        <v>1.0</v>
      </c>
      <c r="C13" s="49">
        <f>(F13/G13)*B13*H13</f>
        <v>1</v>
      </c>
      <c r="D13" s="6">
        <v>32.0</v>
      </c>
      <c r="E13" s="50">
        <f>167772160*2</f>
        <v>335544320</v>
      </c>
      <c r="F13" s="6">
        <v>1.0</v>
      </c>
      <c r="G13" s="6">
        <v>1.0</v>
      </c>
      <c r="H13" s="10">
        <f>ROUNDUP(E13/(M13*N13*O13*P13))</f>
        <v>1</v>
      </c>
      <c r="I13" s="6">
        <v>8.0</v>
      </c>
      <c r="J13" s="10">
        <v>53.14</v>
      </c>
      <c r="M13" s="6">
        <v>16.0</v>
      </c>
      <c r="N13" s="6">
        <v>8.0</v>
      </c>
      <c r="O13" s="6">
        <v>32.0</v>
      </c>
      <c r="P13" s="6">
        <v>131072.0</v>
      </c>
      <c r="V13" s="18">
        <f>D13*H13*I13*J13</f>
        <v>13603.84</v>
      </c>
      <c r="W13" s="50">
        <v>6.2335E7</v>
      </c>
      <c r="Z13" s="10">
        <f>W13/V13</f>
        <v>4582.162095</v>
      </c>
    </row>
    <row r="14">
      <c r="V14" s="18"/>
    </row>
    <row r="15">
      <c r="V15" s="18"/>
    </row>
    <row r="16">
      <c r="A16" s="19" t="s">
        <v>145</v>
      </c>
    </row>
    <row r="17">
      <c r="A17" s="20"/>
      <c r="C17" s="6" t="s">
        <v>95</v>
      </c>
      <c r="E17" s="21" t="s">
        <v>96</v>
      </c>
      <c r="G17" s="21" t="s">
        <v>96</v>
      </c>
      <c r="H17" s="6" t="s">
        <v>95</v>
      </c>
      <c r="V17" s="18"/>
    </row>
    <row r="18">
      <c r="A18" s="22" t="s">
        <v>97</v>
      </c>
      <c r="B18" s="23" t="s">
        <v>146</v>
      </c>
      <c r="C18" s="24" t="s">
        <v>147</v>
      </c>
      <c r="D18" s="25"/>
      <c r="E18" s="26"/>
      <c r="F18" s="27" t="s">
        <v>100</v>
      </c>
      <c r="G18" s="26" t="s">
        <v>148</v>
      </c>
      <c r="H18" s="26" t="s">
        <v>149</v>
      </c>
      <c r="I18" s="28"/>
      <c r="J18" s="28"/>
      <c r="K18" s="28"/>
      <c r="L18" s="28"/>
      <c r="M18" s="29"/>
      <c r="N18" s="29"/>
      <c r="O18" s="29"/>
      <c r="P18" s="29"/>
      <c r="Q18" s="26" t="s">
        <v>150</v>
      </c>
      <c r="R18" s="26" t="s">
        <v>151</v>
      </c>
      <c r="S18" s="30" t="s">
        <v>152</v>
      </c>
      <c r="V18" s="18"/>
      <c r="Y18" s="31"/>
      <c r="Z18" s="31"/>
    </row>
    <row r="19">
      <c r="A19" s="20"/>
      <c r="B19" s="32" t="s">
        <v>106</v>
      </c>
      <c r="C19" s="33"/>
      <c r="D19" s="33"/>
      <c r="E19" s="33"/>
      <c r="F19" s="33"/>
      <c r="G19" s="33"/>
      <c r="H19" s="34"/>
      <c r="I19" s="35"/>
      <c r="J19" s="34"/>
      <c r="K19" s="36"/>
      <c r="L19" s="36"/>
      <c r="M19" s="37" t="s">
        <v>107</v>
      </c>
      <c r="N19" s="33"/>
      <c r="O19" s="33"/>
      <c r="P19" s="34"/>
      <c r="Q19" s="38" t="s">
        <v>108</v>
      </c>
      <c r="R19" s="34"/>
      <c r="S19" s="39" t="s">
        <v>109</v>
      </c>
      <c r="T19" s="33"/>
      <c r="U19" s="34"/>
      <c r="V19" s="18"/>
    </row>
    <row r="20">
      <c r="A20" s="40"/>
      <c r="B20" s="41" t="s">
        <v>110</v>
      </c>
      <c r="C20" s="42" t="s">
        <v>111</v>
      </c>
      <c r="D20" s="43" t="s">
        <v>112</v>
      </c>
      <c r="E20" s="44" t="s">
        <v>113</v>
      </c>
      <c r="F20" s="41" t="s">
        <v>114</v>
      </c>
      <c r="G20" s="41" t="s">
        <v>115</v>
      </c>
      <c r="H20" s="45" t="s">
        <v>116</v>
      </c>
      <c r="I20" s="43" t="s">
        <v>117</v>
      </c>
      <c r="J20" s="43" t="s">
        <v>118</v>
      </c>
      <c r="K20" s="43" t="s">
        <v>119</v>
      </c>
      <c r="L20" s="43" t="s">
        <v>120</v>
      </c>
      <c r="M20" s="44" t="s">
        <v>121</v>
      </c>
      <c r="N20" s="44" t="s">
        <v>122</v>
      </c>
      <c r="O20" s="44" t="s">
        <v>123</v>
      </c>
      <c r="P20" s="44" t="s">
        <v>124</v>
      </c>
      <c r="Q20" s="43" t="s">
        <v>125</v>
      </c>
      <c r="R20" s="43" t="s">
        <v>126</v>
      </c>
      <c r="S20" s="43" t="s">
        <v>127</v>
      </c>
      <c r="T20" s="43" t="s">
        <v>128</v>
      </c>
      <c r="U20" s="43" t="s">
        <v>129</v>
      </c>
      <c r="V20" s="46" t="s">
        <v>130</v>
      </c>
      <c r="W20" s="3" t="s">
        <v>131</v>
      </c>
      <c r="X20" s="3"/>
      <c r="Y20" s="47"/>
      <c r="Z20" s="43" t="s">
        <v>132</v>
      </c>
    </row>
    <row r="21">
      <c r="A21" s="48" t="s">
        <v>133</v>
      </c>
      <c r="B21" s="6">
        <v>1.0</v>
      </c>
      <c r="C21" s="49">
        <f>(F21/G21)*B21*H21</f>
        <v>1</v>
      </c>
      <c r="D21" s="6">
        <v>32.0</v>
      </c>
      <c r="E21" s="50">
        <f>167772160*2</f>
        <v>335544320</v>
      </c>
      <c r="F21" s="6">
        <v>1.0</v>
      </c>
      <c r="G21" s="6">
        <v>1.0</v>
      </c>
      <c r="H21" s="10">
        <f>ROUNDUP(E21/(M21*N21*O21*P21))</f>
        <v>1</v>
      </c>
      <c r="I21" s="10">
        <f>1.3*D21*D21/D21</f>
        <v>41.6</v>
      </c>
      <c r="J21" s="10">
        <f>0.7*D21*D21/D21</f>
        <v>22.4</v>
      </c>
      <c r="K21" s="10">
        <f>1.6*D21*D21/D21</f>
        <v>51.2</v>
      </c>
      <c r="L21" s="6">
        <v>2.52</v>
      </c>
      <c r="M21" s="6">
        <v>16.0</v>
      </c>
      <c r="N21" s="6">
        <v>8.0</v>
      </c>
      <c r="O21" s="6">
        <v>32.0</v>
      </c>
      <c r="P21" s="6">
        <v>131072.0</v>
      </c>
      <c r="Q21" s="10">
        <v>27.72</v>
      </c>
      <c r="R21" s="10">
        <v>28.98</v>
      </c>
      <c r="V21" s="18">
        <f>D21*H21*I21*Q21+D21*H21*J21*R21+D21*H21*K21*L21</f>
        <v>61802.496</v>
      </c>
      <c r="W21" s="50">
        <v>1.22075E8</v>
      </c>
      <c r="Z21" s="10">
        <f>W21/V21</f>
        <v>1975.243848</v>
      </c>
    </row>
    <row r="22">
      <c r="V22" s="18"/>
    </row>
    <row r="23">
      <c r="A23" s="19" t="s">
        <v>153</v>
      </c>
    </row>
    <row r="24">
      <c r="A24" s="20"/>
      <c r="C24" s="6" t="s">
        <v>95</v>
      </c>
      <c r="E24" s="21" t="s">
        <v>96</v>
      </c>
      <c r="G24" s="21" t="s">
        <v>96</v>
      </c>
      <c r="H24" s="6" t="s">
        <v>95</v>
      </c>
      <c r="V24" s="18"/>
    </row>
    <row r="25">
      <c r="A25" s="22" t="s">
        <v>97</v>
      </c>
      <c r="B25" s="23" t="s">
        <v>154</v>
      </c>
      <c r="C25" s="24" t="s">
        <v>155</v>
      </c>
      <c r="D25" s="25"/>
      <c r="E25" s="26"/>
      <c r="F25" s="27" t="s">
        <v>100</v>
      </c>
      <c r="G25" s="26" t="s">
        <v>156</v>
      </c>
      <c r="H25" s="26" t="s">
        <v>157</v>
      </c>
      <c r="I25" s="28"/>
      <c r="J25" s="28"/>
      <c r="K25" s="28"/>
      <c r="L25" s="28"/>
      <c r="M25" s="29"/>
      <c r="N25" s="29"/>
      <c r="O25" s="29"/>
      <c r="P25" s="29"/>
      <c r="Q25" s="26" t="s">
        <v>158</v>
      </c>
      <c r="R25" s="26" t="s">
        <v>159</v>
      </c>
      <c r="S25" s="30" t="s">
        <v>160</v>
      </c>
      <c r="V25" s="18"/>
      <c r="Y25" s="31"/>
      <c r="Z25" s="31"/>
    </row>
    <row r="26">
      <c r="A26" s="20"/>
      <c r="B26" s="32" t="s">
        <v>106</v>
      </c>
      <c r="C26" s="33"/>
      <c r="D26" s="33"/>
      <c r="E26" s="33"/>
      <c r="F26" s="33"/>
      <c r="G26" s="33"/>
      <c r="H26" s="34"/>
      <c r="I26" s="35"/>
      <c r="J26" s="34"/>
      <c r="K26" s="36"/>
      <c r="L26" s="36"/>
      <c r="M26" s="37" t="s">
        <v>107</v>
      </c>
      <c r="N26" s="33"/>
      <c r="O26" s="33"/>
      <c r="P26" s="34"/>
      <c r="Q26" s="38" t="s">
        <v>108</v>
      </c>
      <c r="R26" s="34"/>
      <c r="S26" s="39" t="s">
        <v>109</v>
      </c>
      <c r="T26" s="33"/>
      <c r="U26" s="34"/>
      <c r="V26" s="18"/>
    </row>
    <row r="27">
      <c r="A27" s="40"/>
      <c r="B27" s="41" t="s">
        <v>110</v>
      </c>
      <c r="C27" s="42" t="s">
        <v>111</v>
      </c>
      <c r="D27" s="43" t="s">
        <v>112</v>
      </c>
      <c r="E27" s="44" t="s">
        <v>113</v>
      </c>
      <c r="F27" s="41" t="s">
        <v>114</v>
      </c>
      <c r="G27" s="41" t="s">
        <v>115</v>
      </c>
      <c r="H27" s="45" t="s">
        <v>116</v>
      </c>
      <c r="I27" s="43" t="s">
        <v>117</v>
      </c>
      <c r="J27" s="43" t="s">
        <v>118</v>
      </c>
      <c r="K27" s="43" t="s">
        <v>119</v>
      </c>
      <c r="L27" s="43" t="s">
        <v>120</v>
      </c>
      <c r="M27" s="44" t="s">
        <v>121</v>
      </c>
      <c r="N27" s="44" t="s">
        <v>122</v>
      </c>
      <c r="O27" s="44" t="s">
        <v>123</v>
      </c>
      <c r="P27" s="44" t="s">
        <v>124</v>
      </c>
      <c r="Q27" s="43" t="s">
        <v>125</v>
      </c>
      <c r="R27" s="43" t="s">
        <v>126</v>
      </c>
      <c r="S27" s="43" t="s">
        <v>127</v>
      </c>
      <c r="T27" s="43" t="s">
        <v>128</v>
      </c>
      <c r="U27" s="43" t="s">
        <v>129</v>
      </c>
      <c r="V27" s="46" t="s">
        <v>130</v>
      </c>
      <c r="W27" s="3" t="s">
        <v>131</v>
      </c>
      <c r="X27" s="3"/>
      <c r="Y27" s="47"/>
      <c r="Z27" s="43" t="s">
        <v>132</v>
      </c>
    </row>
    <row r="28">
      <c r="A28" s="48" t="s">
        <v>133</v>
      </c>
      <c r="B28" s="6">
        <v>1.0</v>
      </c>
      <c r="C28" s="49">
        <f>(F28/G28)*B28*H28</f>
        <v>10</v>
      </c>
      <c r="D28" s="6">
        <v>32.0</v>
      </c>
      <c r="E28" s="50">
        <f>167772160*2</f>
        <v>335544320</v>
      </c>
      <c r="F28" s="6">
        <v>1.0</v>
      </c>
      <c r="G28" s="6">
        <v>1.0</v>
      </c>
      <c r="H28" s="10">
        <f>ROUNDUP(E28/(M28*N28*O28*P28))</f>
        <v>10</v>
      </c>
      <c r="I28" s="10">
        <f>11*D28/D28</f>
        <v>11</v>
      </c>
      <c r="J28" s="10">
        <f>(6*D28+1)/D28</f>
        <v>6.03125</v>
      </c>
      <c r="K28" s="10">
        <f>(13*D28+1)/D28</f>
        <v>13.03125</v>
      </c>
      <c r="L28" s="6">
        <v>2.52</v>
      </c>
      <c r="M28" s="6">
        <v>16.0</v>
      </c>
      <c r="N28" s="6">
        <v>8.0</v>
      </c>
      <c r="O28" s="6">
        <v>2.0</v>
      </c>
      <c r="P28" s="6">
        <v>131072.0</v>
      </c>
      <c r="Q28" s="10">
        <v>27.72</v>
      </c>
      <c r="R28" s="10">
        <v>28.98</v>
      </c>
      <c r="V28" s="18">
        <f>D28*H28*I28*Q28+D28*H28*J28*R28+D28*H28*K28*L28</f>
        <v>164014.2</v>
      </c>
      <c r="W28" s="50">
        <v>1.22075E8</v>
      </c>
      <c r="Z28" s="10">
        <f>W28/V28</f>
        <v>744.295311</v>
      </c>
    </row>
    <row r="29">
      <c r="V29" s="18"/>
    </row>
    <row r="30">
      <c r="V30" s="18"/>
    </row>
    <row r="31">
      <c r="A31" s="19" t="s">
        <v>161</v>
      </c>
    </row>
    <row r="32">
      <c r="A32" s="20"/>
      <c r="C32" s="6" t="s">
        <v>95</v>
      </c>
      <c r="E32" s="21" t="s">
        <v>96</v>
      </c>
      <c r="G32" s="21" t="s">
        <v>96</v>
      </c>
      <c r="H32" s="6" t="s">
        <v>95</v>
      </c>
      <c r="V32" s="18"/>
    </row>
    <row r="33">
      <c r="A33" s="22" t="s">
        <v>97</v>
      </c>
      <c r="B33" s="23" t="s">
        <v>162</v>
      </c>
      <c r="C33" s="24" t="s">
        <v>163</v>
      </c>
      <c r="D33" s="25"/>
      <c r="E33" s="26"/>
      <c r="F33" s="27" t="s">
        <v>100</v>
      </c>
      <c r="G33" s="26" t="s">
        <v>164</v>
      </c>
      <c r="H33" s="26" t="s">
        <v>165</v>
      </c>
      <c r="I33" s="28"/>
      <c r="J33" s="28"/>
      <c r="K33" s="28"/>
      <c r="L33" s="28"/>
      <c r="M33" s="29"/>
      <c r="N33" s="29"/>
      <c r="O33" s="29"/>
      <c r="P33" s="29"/>
      <c r="Q33" s="26" t="s">
        <v>166</v>
      </c>
      <c r="R33" s="26" t="s">
        <v>167</v>
      </c>
      <c r="S33" s="30" t="s">
        <v>168</v>
      </c>
      <c r="V33" s="18"/>
      <c r="Y33" s="31"/>
      <c r="Z33" s="31"/>
    </row>
    <row r="34">
      <c r="A34" s="20"/>
      <c r="B34" s="32" t="s">
        <v>106</v>
      </c>
      <c r="C34" s="33"/>
      <c r="D34" s="33"/>
      <c r="E34" s="33"/>
      <c r="F34" s="33"/>
      <c r="G34" s="33"/>
      <c r="H34" s="34"/>
      <c r="I34" s="35"/>
      <c r="J34" s="34"/>
      <c r="K34" s="36"/>
      <c r="L34" s="36"/>
      <c r="M34" s="37" t="s">
        <v>107</v>
      </c>
      <c r="N34" s="33"/>
      <c r="O34" s="33"/>
      <c r="P34" s="34"/>
      <c r="Q34" s="38" t="s">
        <v>108</v>
      </c>
      <c r="R34" s="34"/>
      <c r="S34" s="39" t="s">
        <v>109</v>
      </c>
      <c r="T34" s="33"/>
      <c r="U34" s="34"/>
      <c r="V34" s="18"/>
    </row>
    <row r="35">
      <c r="A35" s="40"/>
      <c r="B35" s="41" t="s">
        <v>110</v>
      </c>
      <c r="C35" s="42" t="s">
        <v>111</v>
      </c>
      <c r="D35" s="43" t="s">
        <v>112</v>
      </c>
      <c r="E35" s="44" t="s">
        <v>113</v>
      </c>
      <c r="F35" s="41" t="s">
        <v>114</v>
      </c>
      <c r="G35" s="41" t="s">
        <v>115</v>
      </c>
      <c r="H35" s="45" t="s">
        <v>116</v>
      </c>
      <c r="I35" s="43" t="s">
        <v>117</v>
      </c>
      <c r="J35" s="43" t="s">
        <v>118</v>
      </c>
      <c r="K35" s="43" t="s">
        <v>119</v>
      </c>
      <c r="L35" s="43" t="s">
        <v>120</v>
      </c>
      <c r="M35" s="44" t="s">
        <v>121</v>
      </c>
      <c r="N35" s="44" t="s">
        <v>122</v>
      </c>
      <c r="O35" s="44" t="s">
        <v>123</v>
      </c>
      <c r="P35" s="44" t="s">
        <v>124</v>
      </c>
      <c r="Q35" s="43" t="s">
        <v>125</v>
      </c>
      <c r="R35" s="43" t="s">
        <v>126</v>
      </c>
      <c r="S35" s="43" t="s">
        <v>127</v>
      </c>
      <c r="T35" s="43" t="s">
        <v>128</v>
      </c>
      <c r="U35" s="43" t="s">
        <v>129</v>
      </c>
      <c r="V35" s="46" t="s">
        <v>130</v>
      </c>
      <c r="W35" s="3" t="s">
        <v>131</v>
      </c>
      <c r="X35" s="3"/>
      <c r="Y35" s="47"/>
      <c r="Z35" s="43" t="s">
        <v>132</v>
      </c>
    </row>
    <row r="36">
      <c r="A36" s="48" t="s">
        <v>133</v>
      </c>
      <c r="B36" s="6">
        <v>1.0</v>
      </c>
      <c r="C36" s="49">
        <f>(F36/G36)*B36*H36</f>
        <v>1</v>
      </c>
      <c r="D36" s="6">
        <v>32.0</v>
      </c>
      <c r="E36" s="50">
        <f>167772160*2</f>
        <v>335544320</v>
      </c>
      <c r="F36" s="6">
        <v>1.0</v>
      </c>
      <c r="G36" s="6">
        <v>1.0</v>
      </c>
      <c r="H36" s="10">
        <f>ROUNDUP(E36/(M36*N36*O36*P36))</f>
        <v>1</v>
      </c>
      <c r="I36" s="10">
        <f>5*D36/D36</f>
        <v>5</v>
      </c>
      <c r="J36" s="10">
        <f>(3*D36+1)/D36</f>
        <v>3.03125</v>
      </c>
      <c r="K36" s="10">
        <f>(9*D36+1)/D36</f>
        <v>9.03125</v>
      </c>
      <c r="L36" s="6">
        <v>2.52</v>
      </c>
      <c r="M36" s="6">
        <v>16.0</v>
      </c>
      <c r="N36" s="6">
        <v>8.0</v>
      </c>
      <c r="O36" s="6">
        <v>32.0</v>
      </c>
      <c r="P36" s="6">
        <v>131072.0</v>
      </c>
      <c r="Q36" s="10">
        <v>27.72</v>
      </c>
      <c r="R36" s="10">
        <v>28.98</v>
      </c>
      <c r="V36" s="18">
        <f>D36*H36*I36*Q36+D36*H36*J36*R36+D36*H36*K36*L36</f>
        <v>7974.54</v>
      </c>
      <c r="W36" s="50">
        <v>1.22075E8</v>
      </c>
      <c r="Z36" s="10">
        <f>W36/V36</f>
        <v>15308.09301</v>
      </c>
    </row>
    <row r="37">
      <c r="V37" s="18"/>
    </row>
    <row r="38">
      <c r="A38" s="19" t="s">
        <v>169</v>
      </c>
    </row>
    <row r="39">
      <c r="A39" s="20"/>
      <c r="C39" s="6" t="s">
        <v>95</v>
      </c>
      <c r="E39" s="21" t="s">
        <v>96</v>
      </c>
      <c r="G39" s="21" t="s">
        <v>96</v>
      </c>
      <c r="H39" s="6" t="s">
        <v>95</v>
      </c>
      <c r="V39" s="18"/>
    </row>
    <row r="40">
      <c r="A40" s="22" t="s">
        <v>97</v>
      </c>
      <c r="B40" s="23" t="s">
        <v>170</v>
      </c>
      <c r="C40" s="24" t="s">
        <v>171</v>
      </c>
      <c r="D40" s="25"/>
      <c r="E40" s="26"/>
      <c r="F40" s="27" t="s">
        <v>100</v>
      </c>
      <c r="G40" s="26" t="s">
        <v>172</v>
      </c>
      <c r="H40" s="26" t="s">
        <v>173</v>
      </c>
      <c r="I40" s="28"/>
      <c r="J40" s="28"/>
      <c r="K40" s="28"/>
      <c r="L40" s="28"/>
      <c r="M40" s="29"/>
      <c r="N40" s="29"/>
      <c r="O40" s="29"/>
      <c r="P40" s="29"/>
      <c r="Q40" s="26" t="s">
        <v>174</v>
      </c>
      <c r="R40" s="26" t="s">
        <v>175</v>
      </c>
      <c r="S40" s="30" t="s">
        <v>176</v>
      </c>
      <c r="V40" s="18"/>
      <c r="Y40" s="31"/>
      <c r="Z40" s="31"/>
    </row>
    <row r="41">
      <c r="A41" s="20"/>
      <c r="B41" s="32" t="s">
        <v>106</v>
      </c>
      <c r="C41" s="33"/>
      <c r="D41" s="33"/>
      <c r="E41" s="33"/>
      <c r="F41" s="33"/>
      <c r="G41" s="33"/>
      <c r="H41" s="34"/>
      <c r="I41" s="35"/>
      <c r="J41" s="34"/>
      <c r="K41" s="36"/>
      <c r="L41" s="36"/>
      <c r="M41" s="37" t="s">
        <v>107</v>
      </c>
      <c r="N41" s="33"/>
      <c r="O41" s="33"/>
      <c r="P41" s="34"/>
      <c r="Q41" s="38" t="s">
        <v>108</v>
      </c>
      <c r="R41" s="34"/>
      <c r="S41" s="39" t="s">
        <v>109</v>
      </c>
      <c r="T41" s="33"/>
      <c r="U41" s="34"/>
      <c r="V41" s="18"/>
    </row>
    <row r="42">
      <c r="A42" s="40"/>
      <c r="B42" s="41" t="s">
        <v>110</v>
      </c>
      <c r="C42" s="42" t="s">
        <v>111</v>
      </c>
      <c r="D42" s="43" t="s">
        <v>112</v>
      </c>
      <c r="E42" s="44" t="s">
        <v>113</v>
      </c>
      <c r="F42" s="41" t="s">
        <v>114</v>
      </c>
      <c r="G42" s="41" t="s">
        <v>115</v>
      </c>
      <c r="H42" s="45" t="s">
        <v>116</v>
      </c>
      <c r="I42" s="43" t="s">
        <v>117</v>
      </c>
      <c r="J42" s="43" t="s">
        <v>118</v>
      </c>
      <c r="K42" s="43" t="s">
        <v>119</v>
      </c>
      <c r="L42" s="43" t="s">
        <v>120</v>
      </c>
      <c r="M42" s="44" t="s">
        <v>121</v>
      </c>
      <c r="N42" s="44" t="s">
        <v>122</v>
      </c>
      <c r="O42" s="44" t="s">
        <v>123</v>
      </c>
      <c r="P42" s="44" t="s">
        <v>124</v>
      </c>
      <c r="Q42" s="43" t="s">
        <v>125</v>
      </c>
      <c r="R42" s="43" t="s">
        <v>126</v>
      </c>
      <c r="S42" s="43" t="s">
        <v>127</v>
      </c>
      <c r="T42" s="43" t="s">
        <v>128</v>
      </c>
      <c r="U42" s="43" t="s">
        <v>129</v>
      </c>
      <c r="V42" s="46" t="s">
        <v>130</v>
      </c>
      <c r="W42" s="3" t="s">
        <v>131</v>
      </c>
      <c r="X42" s="3"/>
      <c r="Y42" s="47"/>
      <c r="Z42" s="43" t="s">
        <v>132</v>
      </c>
    </row>
    <row r="43">
      <c r="A43" s="48" t="s">
        <v>133</v>
      </c>
      <c r="B43" s="6">
        <v>1.0</v>
      </c>
      <c r="C43" s="49">
        <f>(F43/G43)*B43*H43</f>
        <v>3</v>
      </c>
      <c r="D43" s="6">
        <v>32.0</v>
      </c>
      <c r="E43" s="50">
        <f>167772160*2</f>
        <v>335544320</v>
      </c>
      <c r="F43" s="6">
        <v>1.0</v>
      </c>
      <c r="G43" s="6">
        <v>1.0</v>
      </c>
      <c r="H43" s="10">
        <f>ROUNDUP(E43/(M43*N43*O43*P43))</f>
        <v>3</v>
      </c>
      <c r="I43" s="10">
        <f>4*D43/D43</f>
        <v>4</v>
      </c>
      <c r="J43" s="10">
        <f>(2*D43+1)/D43</f>
        <v>2.03125</v>
      </c>
      <c r="K43" s="10">
        <f>(4*D43+1)/D43</f>
        <v>4.03125</v>
      </c>
      <c r="L43" s="6">
        <v>2.52</v>
      </c>
      <c r="M43" s="6">
        <v>16.0</v>
      </c>
      <c r="N43" s="6">
        <v>8.0</v>
      </c>
      <c r="O43" s="6">
        <v>8.0</v>
      </c>
      <c r="P43" s="6">
        <v>131072.0</v>
      </c>
      <c r="Q43" s="10">
        <v>27.72</v>
      </c>
      <c r="R43" s="10">
        <v>28.98</v>
      </c>
      <c r="V43" s="18">
        <f>D43*H43*I43*Q43+D43*H43*J43*R43+D43*H43*K43*L43</f>
        <v>17270.82</v>
      </c>
      <c r="W43" s="50">
        <v>1.22075E8</v>
      </c>
      <c r="Z43" s="10">
        <f>W43/V43</f>
        <v>7068.280487</v>
      </c>
    </row>
    <row r="44">
      <c r="V44" s="18"/>
    </row>
    <row r="45">
      <c r="V45" s="18"/>
    </row>
    <row r="46">
      <c r="A46" s="19" t="s">
        <v>177</v>
      </c>
    </row>
    <row r="47">
      <c r="A47" s="20"/>
      <c r="C47" s="6" t="s">
        <v>95</v>
      </c>
      <c r="E47" s="21" t="s">
        <v>96</v>
      </c>
      <c r="G47" s="21" t="s">
        <v>96</v>
      </c>
      <c r="H47" s="6" t="s">
        <v>95</v>
      </c>
      <c r="V47" s="18"/>
    </row>
    <row r="48">
      <c r="A48" s="22" t="s">
        <v>97</v>
      </c>
      <c r="B48" s="23" t="s">
        <v>178</v>
      </c>
      <c r="C48" s="24" t="s">
        <v>179</v>
      </c>
      <c r="D48" s="25"/>
      <c r="E48" s="26"/>
      <c r="F48" s="27" t="s">
        <v>100</v>
      </c>
      <c r="G48" s="26" t="s">
        <v>180</v>
      </c>
      <c r="H48" s="26" t="s">
        <v>181</v>
      </c>
      <c r="I48" s="28"/>
      <c r="J48" s="28"/>
      <c r="K48" s="28"/>
      <c r="L48" s="28"/>
      <c r="M48" s="29"/>
      <c r="N48" s="29"/>
      <c r="O48" s="29"/>
      <c r="P48" s="29"/>
      <c r="Q48" s="26" t="s">
        <v>182</v>
      </c>
      <c r="R48" s="26" t="s">
        <v>183</v>
      </c>
      <c r="S48" s="30" t="s">
        <v>184</v>
      </c>
      <c r="V48" s="18"/>
      <c r="Y48" s="31"/>
      <c r="Z48" s="31"/>
    </row>
    <row r="49">
      <c r="A49" s="20"/>
      <c r="B49" s="32" t="s">
        <v>106</v>
      </c>
      <c r="C49" s="33"/>
      <c r="D49" s="33"/>
      <c r="E49" s="33"/>
      <c r="F49" s="33"/>
      <c r="G49" s="33"/>
      <c r="H49" s="34"/>
      <c r="I49" s="35"/>
      <c r="J49" s="34"/>
      <c r="K49" s="36"/>
      <c r="L49" s="36"/>
      <c r="M49" s="37" t="s">
        <v>107</v>
      </c>
      <c r="N49" s="33"/>
      <c r="O49" s="33"/>
      <c r="P49" s="34"/>
      <c r="Q49" s="38" t="s">
        <v>108</v>
      </c>
      <c r="R49" s="34"/>
      <c r="S49" s="39" t="s">
        <v>109</v>
      </c>
      <c r="T49" s="33"/>
      <c r="U49" s="34"/>
      <c r="V49" s="18"/>
    </row>
    <row r="50">
      <c r="A50" s="40"/>
      <c r="B50" s="41" t="s">
        <v>110</v>
      </c>
      <c r="C50" s="42" t="s">
        <v>111</v>
      </c>
      <c r="D50" s="43" t="s">
        <v>112</v>
      </c>
      <c r="E50" s="44" t="s">
        <v>113</v>
      </c>
      <c r="F50" s="41" t="s">
        <v>114</v>
      </c>
      <c r="G50" s="41" t="s">
        <v>115</v>
      </c>
      <c r="H50" s="45" t="s">
        <v>116</v>
      </c>
      <c r="I50" s="43" t="s">
        <v>117</v>
      </c>
      <c r="J50" s="43" t="s">
        <v>118</v>
      </c>
      <c r="K50" s="43" t="s">
        <v>119</v>
      </c>
      <c r="L50" s="43" t="s">
        <v>120</v>
      </c>
      <c r="M50" s="44" t="s">
        <v>121</v>
      </c>
      <c r="N50" s="44" t="s">
        <v>122</v>
      </c>
      <c r="O50" s="44" t="s">
        <v>123</v>
      </c>
      <c r="P50" s="44" t="s">
        <v>124</v>
      </c>
      <c r="Q50" s="43" t="s">
        <v>125</v>
      </c>
      <c r="R50" s="43" t="s">
        <v>126</v>
      </c>
      <c r="S50" s="43" t="s">
        <v>127</v>
      </c>
      <c r="T50" s="43" t="s">
        <v>128</v>
      </c>
      <c r="U50" s="43" t="s">
        <v>129</v>
      </c>
      <c r="V50" s="46" t="s">
        <v>130</v>
      </c>
      <c r="W50" s="3" t="s">
        <v>131</v>
      </c>
      <c r="X50" s="3"/>
      <c r="Y50" s="47"/>
      <c r="Z50" s="43" t="s">
        <v>132</v>
      </c>
    </row>
    <row r="51">
      <c r="A51" s="48" t="s">
        <v>133</v>
      </c>
      <c r="B51" s="6">
        <v>1.0</v>
      </c>
      <c r="C51" s="49">
        <f>(F51/G51)*B51*H51</f>
        <v>1</v>
      </c>
      <c r="D51" s="6">
        <v>32.0</v>
      </c>
      <c r="E51" s="50">
        <f>167772160*2</f>
        <v>335544320</v>
      </c>
      <c r="F51" s="6">
        <v>1.0</v>
      </c>
      <c r="G51" s="6">
        <v>1.0</v>
      </c>
      <c r="H51" s="10">
        <f>ROUNDUP(E51/(M51*N51*O51*P51))</f>
        <v>1</v>
      </c>
      <c r="I51" s="6">
        <v>2.0</v>
      </c>
      <c r="J51" s="6">
        <v>1.0</v>
      </c>
      <c r="K51" s="10">
        <f>(3*D51+1)/D51</f>
        <v>3.03125</v>
      </c>
      <c r="L51" s="6">
        <v>2.52</v>
      </c>
      <c r="M51" s="6">
        <v>16.0</v>
      </c>
      <c r="N51" s="6">
        <v>8.0</v>
      </c>
      <c r="O51" s="6">
        <v>32.0</v>
      </c>
      <c r="P51" s="6">
        <v>131072.0</v>
      </c>
      <c r="Q51" s="10">
        <v>27.72</v>
      </c>
      <c r="R51" s="10">
        <v>28.98</v>
      </c>
      <c r="V51" s="18">
        <f>D51*H51*I51*Q51+D51*H51*J51*R51+D51*H51*K51*L51</f>
        <v>2945.88</v>
      </c>
      <c r="W51" s="50">
        <v>1.22075E8</v>
      </c>
      <c r="Z51" s="10">
        <f>W51/V51</f>
        <v>41439.23038</v>
      </c>
    </row>
    <row r="52">
      <c r="V52" s="18"/>
    </row>
    <row r="53">
      <c r="V53" s="18"/>
    </row>
    <row r="54">
      <c r="V54" s="18"/>
    </row>
    <row r="55">
      <c r="V55" s="18"/>
    </row>
    <row r="56">
      <c r="V56" s="18"/>
    </row>
    <row r="57">
      <c r="V57" s="18"/>
    </row>
    <row r="58">
      <c r="V58" s="18"/>
    </row>
    <row r="59">
      <c r="V59" s="18"/>
    </row>
    <row r="60">
      <c r="V60" s="18"/>
    </row>
    <row r="61">
      <c r="V61" s="18"/>
    </row>
    <row r="62">
      <c r="V62" s="18"/>
    </row>
    <row r="63">
      <c r="V63" s="18"/>
    </row>
    <row r="64">
      <c r="V64" s="18"/>
    </row>
    <row r="65">
      <c r="V65" s="18"/>
    </row>
    <row r="66">
      <c r="V66" s="18"/>
    </row>
    <row r="67">
      <c r="V67" s="18"/>
    </row>
    <row r="68">
      <c r="V68" s="18"/>
    </row>
    <row r="69">
      <c r="V69" s="18"/>
    </row>
    <row r="70">
      <c r="V70" s="18"/>
    </row>
    <row r="71">
      <c r="V71" s="18"/>
    </row>
    <row r="72">
      <c r="V72" s="18"/>
    </row>
    <row r="73">
      <c r="V73" s="18"/>
    </row>
    <row r="74">
      <c r="V74" s="18"/>
    </row>
    <row r="75">
      <c r="V75" s="18"/>
    </row>
    <row r="76">
      <c r="V76" s="18"/>
    </row>
    <row r="77">
      <c r="V77" s="18"/>
    </row>
    <row r="78">
      <c r="V78" s="18"/>
    </row>
    <row r="79">
      <c r="V79" s="18"/>
    </row>
    <row r="80">
      <c r="V80" s="18"/>
    </row>
    <row r="81">
      <c r="V81" s="18"/>
    </row>
    <row r="82">
      <c r="V82" s="18"/>
    </row>
    <row r="83">
      <c r="V83" s="18"/>
    </row>
    <row r="84">
      <c r="V84" s="18"/>
    </row>
    <row r="85">
      <c r="V85" s="18"/>
    </row>
    <row r="86">
      <c r="V86" s="18"/>
    </row>
    <row r="87">
      <c r="V87" s="18"/>
    </row>
    <row r="88">
      <c r="V88" s="18"/>
    </row>
    <row r="89">
      <c r="V89" s="18"/>
    </row>
    <row r="90">
      <c r="V90" s="18"/>
    </row>
    <row r="91">
      <c r="V91" s="18"/>
    </row>
    <row r="92">
      <c r="V92" s="18"/>
    </row>
    <row r="93">
      <c r="V93" s="18"/>
    </row>
    <row r="94">
      <c r="V94" s="18"/>
    </row>
    <row r="95">
      <c r="V95" s="18"/>
    </row>
    <row r="96">
      <c r="V96" s="18"/>
    </row>
    <row r="97">
      <c r="V97" s="18"/>
    </row>
    <row r="98">
      <c r="V98" s="18"/>
    </row>
    <row r="99">
      <c r="V99" s="18"/>
    </row>
    <row r="100">
      <c r="V100" s="18"/>
    </row>
    <row r="101">
      <c r="V101" s="18"/>
    </row>
    <row r="102">
      <c r="V102" s="18"/>
    </row>
    <row r="103">
      <c r="V103" s="18"/>
    </row>
    <row r="104">
      <c r="V104" s="18"/>
    </row>
    <row r="105">
      <c r="V105" s="18"/>
    </row>
    <row r="106">
      <c r="V106" s="18"/>
    </row>
    <row r="107">
      <c r="V107" s="18"/>
    </row>
    <row r="108">
      <c r="V108" s="18"/>
    </row>
    <row r="109">
      <c r="V109" s="18"/>
    </row>
    <row r="110">
      <c r="V110" s="18"/>
    </row>
    <row r="111">
      <c r="V111" s="18"/>
    </row>
    <row r="112">
      <c r="V112" s="18"/>
    </row>
    <row r="113">
      <c r="V113" s="18"/>
    </row>
    <row r="114">
      <c r="V114" s="18"/>
    </row>
    <row r="115">
      <c r="V115" s="18"/>
    </row>
    <row r="116">
      <c r="V116" s="18"/>
    </row>
    <row r="117">
      <c r="V117" s="18"/>
    </row>
    <row r="118">
      <c r="V118" s="18"/>
    </row>
    <row r="119">
      <c r="V119" s="18"/>
    </row>
    <row r="120">
      <c r="V120" s="18"/>
    </row>
    <row r="121">
      <c r="V121" s="18"/>
    </row>
    <row r="122">
      <c r="V122" s="18"/>
    </row>
    <row r="123">
      <c r="V123" s="18"/>
    </row>
    <row r="124">
      <c r="V124" s="18"/>
    </row>
    <row r="125">
      <c r="V125" s="18"/>
    </row>
    <row r="126">
      <c r="V126" s="18"/>
    </row>
    <row r="127">
      <c r="V127" s="18"/>
    </row>
    <row r="128">
      <c r="V128" s="18"/>
    </row>
    <row r="129">
      <c r="V129" s="18"/>
    </row>
    <row r="130">
      <c r="V130" s="18"/>
    </row>
    <row r="131">
      <c r="V131" s="18"/>
    </row>
    <row r="132">
      <c r="V132" s="18"/>
    </row>
    <row r="133">
      <c r="V133" s="18"/>
    </row>
    <row r="134">
      <c r="V134" s="18"/>
    </row>
    <row r="135">
      <c r="V135" s="18"/>
    </row>
    <row r="136">
      <c r="V136" s="18"/>
    </row>
    <row r="137">
      <c r="V137" s="18"/>
    </row>
    <row r="138">
      <c r="V138" s="18"/>
    </row>
    <row r="139">
      <c r="V139" s="18"/>
    </row>
    <row r="140">
      <c r="V140" s="18"/>
    </row>
    <row r="141">
      <c r="V141" s="18"/>
    </row>
    <row r="142">
      <c r="V142" s="18"/>
    </row>
    <row r="143">
      <c r="V143" s="18"/>
    </row>
    <row r="144">
      <c r="V144" s="18"/>
    </row>
    <row r="145">
      <c r="V145" s="18"/>
    </row>
    <row r="146">
      <c r="V146" s="18"/>
    </row>
    <row r="147">
      <c r="V147" s="18"/>
    </row>
    <row r="148">
      <c r="V148" s="18"/>
    </row>
    <row r="149">
      <c r="V149" s="18"/>
    </row>
    <row r="150">
      <c r="V150" s="18"/>
    </row>
    <row r="151">
      <c r="V151" s="18"/>
    </row>
    <row r="152">
      <c r="V152" s="18"/>
    </row>
    <row r="153">
      <c r="V153" s="18"/>
    </row>
    <row r="154">
      <c r="V154" s="18"/>
    </row>
    <row r="155">
      <c r="V155" s="18"/>
    </row>
    <row r="156">
      <c r="V156" s="18"/>
    </row>
    <row r="157">
      <c r="V157" s="18"/>
    </row>
    <row r="158">
      <c r="V158" s="18"/>
    </row>
    <row r="159">
      <c r="V159" s="18"/>
    </row>
    <row r="160">
      <c r="V160" s="18"/>
    </row>
    <row r="161">
      <c r="V161" s="18"/>
    </row>
    <row r="162">
      <c r="V162" s="18"/>
    </row>
    <row r="163">
      <c r="V163" s="18"/>
    </row>
    <row r="164">
      <c r="V164" s="18"/>
    </row>
    <row r="165">
      <c r="V165" s="18"/>
    </row>
    <row r="166">
      <c r="V166" s="18"/>
    </row>
    <row r="167">
      <c r="V167" s="18"/>
    </row>
    <row r="168">
      <c r="V168" s="18"/>
    </row>
    <row r="169">
      <c r="V169" s="18"/>
    </row>
    <row r="170">
      <c r="V170" s="18"/>
    </row>
    <row r="171">
      <c r="V171" s="18"/>
    </row>
    <row r="172">
      <c r="V172" s="18"/>
    </row>
    <row r="173">
      <c r="V173" s="18"/>
    </row>
    <row r="174">
      <c r="V174" s="18"/>
    </row>
    <row r="175">
      <c r="V175" s="18"/>
    </row>
    <row r="176">
      <c r="V176" s="18"/>
    </row>
    <row r="177">
      <c r="V177" s="18"/>
    </row>
    <row r="178">
      <c r="V178" s="18"/>
    </row>
    <row r="179">
      <c r="V179" s="18"/>
    </row>
    <row r="180">
      <c r="V180" s="18"/>
    </row>
    <row r="181">
      <c r="V181" s="18"/>
    </row>
    <row r="182">
      <c r="V182" s="18"/>
    </row>
    <row r="183">
      <c r="V183" s="18"/>
    </row>
    <row r="184">
      <c r="V184" s="18"/>
    </row>
    <row r="185">
      <c r="V185" s="18"/>
    </row>
    <row r="186">
      <c r="V186" s="18"/>
    </row>
    <row r="187">
      <c r="V187" s="18"/>
    </row>
    <row r="188">
      <c r="V188" s="18"/>
    </row>
    <row r="189">
      <c r="V189" s="18"/>
    </row>
    <row r="190">
      <c r="V190" s="18"/>
    </row>
    <row r="191">
      <c r="V191" s="18"/>
    </row>
    <row r="192">
      <c r="V192" s="18"/>
    </row>
    <row r="193">
      <c r="V193" s="18"/>
    </row>
    <row r="194">
      <c r="V194" s="18"/>
    </row>
    <row r="195">
      <c r="V195" s="18"/>
    </row>
    <row r="196">
      <c r="V196" s="18"/>
    </row>
    <row r="197">
      <c r="V197" s="18"/>
    </row>
    <row r="198">
      <c r="V198" s="18"/>
    </row>
    <row r="199">
      <c r="V199" s="18"/>
    </row>
    <row r="200">
      <c r="V200" s="18"/>
    </row>
    <row r="201">
      <c r="V201" s="18"/>
    </row>
    <row r="202">
      <c r="V202" s="18"/>
    </row>
    <row r="203">
      <c r="V203" s="18"/>
    </row>
    <row r="204">
      <c r="V204" s="18"/>
    </row>
    <row r="205">
      <c r="V205" s="18"/>
    </row>
    <row r="206">
      <c r="V206" s="18"/>
    </row>
    <row r="207">
      <c r="V207" s="18"/>
    </row>
    <row r="208">
      <c r="V208" s="18"/>
    </row>
    <row r="209">
      <c r="V209" s="18"/>
    </row>
    <row r="210">
      <c r="V210" s="18"/>
    </row>
    <row r="211">
      <c r="V211" s="18"/>
    </row>
    <row r="212">
      <c r="V212" s="18"/>
    </row>
    <row r="213">
      <c r="V213" s="18"/>
    </row>
    <row r="214">
      <c r="V214" s="18"/>
    </row>
    <row r="215">
      <c r="V215" s="18"/>
    </row>
    <row r="216">
      <c r="V216" s="18"/>
    </row>
    <row r="217">
      <c r="V217" s="18"/>
    </row>
    <row r="218">
      <c r="V218" s="18"/>
    </row>
    <row r="219">
      <c r="V219" s="18"/>
    </row>
    <row r="220">
      <c r="V220" s="18"/>
    </row>
    <row r="221">
      <c r="V221" s="18"/>
    </row>
    <row r="222">
      <c r="V222" s="18"/>
    </row>
    <row r="223">
      <c r="V223" s="18"/>
    </row>
    <row r="224">
      <c r="V224" s="18"/>
    </row>
    <row r="225">
      <c r="V225" s="18"/>
    </row>
    <row r="226">
      <c r="V226" s="18"/>
    </row>
    <row r="227">
      <c r="V227" s="18"/>
    </row>
    <row r="228">
      <c r="V228" s="18"/>
    </row>
    <row r="229">
      <c r="V229" s="18"/>
    </row>
    <row r="230">
      <c r="V230" s="18"/>
    </row>
    <row r="231">
      <c r="V231" s="18"/>
    </row>
    <row r="232">
      <c r="V232" s="18"/>
    </row>
    <row r="233">
      <c r="V233" s="18"/>
    </row>
    <row r="234">
      <c r="V234" s="18"/>
    </row>
    <row r="235">
      <c r="V235" s="18"/>
    </row>
    <row r="236">
      <c r="V236" s="18"/>
    </row>
    <row r="237">
      <c r="V237" s="18"/>
    </row>
    <row r="238">
      <c r="V238" s="18"/>
    </row>
    <row r="239">
      <c r="V239" s="18"/>
    </row>
    <row r="240">
      <c r="V240" s="18"/>
    </row>
    <row r="241">
      <c r="V241" s="18"/>
    </row>
    <row r="242">
      <c r="V242" s="18"/>
    </row>
    <row r="243">
      <c r="V243" s="18"/>
    </row>
    <row r="244">
      <c r="V244" s="18"/>
    </row>
    <row r="245">
      <c r="V245" s="18"/>
    </row>
    <row r="246">
      <c r="V246" s="18"/>
    </row>
    <row r="247">
      <c r="V247" s="18"/>
    </row>
    <row r="248">
      <c r="V248" s="18"/>
    </row>
    <row r="249">
      <c r="V249" s="18"/>
    </row>
    <row r="250">
      <c r="V250" s="18"/>
    </row>
    <row r="251">
      <c r="V251" s="18"/>
    </row>
    <row r="252">
      <c r="V252" s="18"/>
    </row>
    <row r="253">
      <c r="V253" s="18"/>
    </row>
    <row r="254">
      <c r="V254" s="18"/>
    </row>
    <row r="255">
      <c r="V255" s="18"/>
    </row>
    <row r="256">
      <c r="V256" s="18"/>
    </row>
    <row r="257">
      <c r="V257" s="18"/>
    </row>
    <row r="258">
      <c r="V258" s="18"/>
    </row>
    <row r="259">
      <c r="V259" s="18"/>
    </row>
    <row r="260">
      <c r="V260" s="18"/>
    </row>
    <row r="261">
      <c r="V261" s="18"/>
    </row>
    <row r="262">
      <c r="V262" s="18"/>
    </row>
    <row r="263">
      <c r="V263" s="18"/>
    </row>
    <row r="264">
      <c r="V264" s="18"/>
    </row>
    <row r="265">
      <c r="V265" s="18"/>
    </row>
    <row r="266">
      <c r="V266" s="18"/>
    </row>
    <row r="267">
      <c r="V267" s="18"/>
    </row>
    <row r="268">
      <c r="V268" s="18"/>
    </row>
    <row r="269">
      <c r="V269" s="18"/>
    </row>
    <row r="270">
      <c r="V270" s="18"/>
    </row>
    <row r="271">
      <c r="V271" s="18"/>
    </row>
    <row r="272">
      <c r="V272" s="18"/>
    </row>
    <row r="273">
      <c r="V273" s="18"/>
    </row>
    <row r="274">
      <c r="V274" s="18"/>
    </row>
    <row r="275">
      <c r="V275" s="18"/>
    </row>
    <row r="276">
      <c r="V276" s="18"/>
    </row>
    <row r="277">
      <c r="V277" s="18"/>
    </row>
    <row r="278">
      <c r="V278" s="18"/>
    </row>
    <row r="279">
      <c r="V279" s="18"/>
    </row>
    <row r="280">
      <c r="V280" s="18"/>
    </row>
    <row r="281">
      <c r="V281" s="18"/>
    </row>
    <row r="282">
      <c r="V282" s="18"/>
    </row>
    <row r="283">
      <c r="V283" s="18"/>
    </row>
    <row r="284">
      <c r="V284" s="18"/>
    </row>
    <row r="285">
      <c r="V285" s="18"/>
    </row>
    <row r="286">
      <c r="V286" s="18"/>
    </row>
    <row r="287">
      <c r="V287" s="18"/>
    </row>
    <row r="288">
      <c r="V288" s="18"/>
    </row>
    <row r="289">
      <c r="V289" s="18"/>
    </row>
    <row r="290">
      <c r="V290" s="18"/>
    </row>
    <row r="291">
      <c r="V291" s="18"/>
    </row>
    <row r="292">
      <c r="V292" s="18"/>
    </row>
    <row r="293">
      <c r="V293" s="18"/>
    </row>
    <row r="294">
      <c r="V294" s="18"/>
    </row>
    <row r="295">
      <c r="V295" s="18"/>
    </row>
    <row r="296">
      <c r="V296" s="18"/>
    </row>
    <row r="297">
      <c r="V297" s="18"/>
    </row>
    <row r="298">
      <c r="V298" s="18"/>
    </row>
    <row r="299">
      <c r="V299" s="18"/>
    </row>
    <row r="300">
      <c r="V300" s="18"/>
    </row>
    <row r="301">
      <c r="V301" s="18"/>
    </row>
    <row r="302">
      <c r="V302" s="18"/>
    </row>
    <row r="303">
      <c r="V303" s="18"/>
    </row>
    <row r="304">
      <c r="V304" s="18"/>
    </row>
    <row r="305">
      <c r="V305" s="18"/>
    </row>
    <row r="306">
      <c r="V306" s="18"/>
    </row>
    <row r="307">
      <c r="V307" s="18"/>
    </row>
    <row r="308">
      <c r="V308" s="18"/>
    </row>
    <row r="309">
      <c r="V309" s="18"/>
    </row>
    <row r="310">
      <c r="V310" s="18"/>
    </row>
    <row r="311">
      <c r="V311" s="18"/>
    </row>
    <row r="312">
      <c r="V312" s="18"/>
    </row>
    <row r="313">
      <c r="V313" s="18"/>
    </row>
    <row r="314">
      <c r="V314" s="18"/>
    </row>
    <row r="315">
      <c r="V315" s="18"/>
    </row>
    <row r="316">
      <c r="V316" s="18"/>
    </row>
    <row r="317">
      <c r="V317" s="18"/>
    </row>
    <row r="318">
      <c r="V318" s="18"/>
    </row>
    <row r="319">
      <c r="V319" s="18"/>
    </row>
    <row r="320">
      <c r="V320" s="18"/>
    </row>
    <row r="321">
      <c r="V321" s="18"/>
    </row>
    <row r="322">
      <c r="V322" s="18"/>
    </row>
    <row r="323">
      <c r="V323" s="18"/>
    </row>
    <row r="324">
      <c r="V324" s="18"/>
    </row>
    <row r="325">
      <c r="V325" s="18"/>
    </row>
    <row r="326">
      <c r="V326" s="18"/>
    </row>
    <row r="327">
      <c r="V327" s="18"/>
    </row>
    <row r="328">
      <c r="V328" s="18"/>
    </row>
    <row r="329">
      <c r="V329" s="18"/>
    </row>
    <row r="330">
      <c r="V330" s="18"/>
    </row>
    <row r="331">
      <c r="V331" s="18"/>
    </row>
    <row r="332">
      <c r="V332" s="18"/>
    </row>
    <row r="333">
      <c r="V333" s="18"/>
    </row>
    <row r="334">
      <c r="V334" s="18"/>
    </row>
    <row r="335">
      <c r="V335" s="18"/>
    </row>
    <row r="336">
      <c r="V336" s="18"/>
    </row>
    <row r="337">
      <c r="V337" s="18"/>
    </row>
    <row r="338">
      <c r="V338" s="18"/>
    </row>
    <row r="339">
      <c r="V339" s="18"/>
    </row>
    <row r="340">
      <c r="V340" s="18"/>
    </row>
    <row r="341">
      <c r="V341" s="18"/>
    </row>
    <row r="342">
      <c r="V342" s="18"/>
    </row>
    <row r="343">
      <c r="V343" s="18"/>
    </row>
    <row r="344">
      <c r="V344" s="18"/>
    </row>
    <row r="345">
      <c r="V345" s="18"/>
    </row>
    <row r="346">
      <c r="V346" s="18"/>
    </row>
    <row r="347">
      <c r="V347" s="18"/>
    </row>
    <row r="348">
      <c r="V348" s="18"/>
    </row>
    <row r="349">
      <c r="V349" s="18"/>
    </row>
    <row r="350">
      <c r="V350" s="18"/>
    </row>
    <row r="351">
      <c r="V351" s="18"/>
    </row>
    <row r="352">
      <c r="V352" s="18"/>
    </row>
    <row r="353">
      <c r="V353" s="18"/>
    </row>
    <row r="354">
      <c r="V354" s="18"/>
    </row>
    <row r="355">
      <c r="V355" s="18"/>
    </row>
    <row r="356">
      <c r="V356" s="18"/>
    </row>
    <row r="357">
      <c r="V357" s="18"/>
    </row>
    <row r="358">
      <c r="V358" s="18"/>
    </row>
    <row r="359">
      <c r="V359" s="18"/>
    </row>
    <row r="360">
      <c r="V360" s="18"/>
    </row>
    <row r="361">
      <c r="V361" s="18"/>
    </row>
    <row r="362">
      <c r="V362" s="18"/>
    </row>
    <row r="363">
      <c r="V363" s="18"/>
    </row>
    <row r="364">
      <c r="V364" s="18"/>
    </row>
    <row r="365">
      <c r="V365" s="18"/>
    </row>
    <row r="366">
      <c r="V366" s="18"/>
    </row>
    <row r="367">
      <c r="V367" s="18"/>
    </row>
    <row r="368">
      <c r="V368" s="18"/>
    </row>
    <row r="369">
      <c r="V369" s="18"/>
    </row>
    <row r="370">
      <c r="V370" s="18"/>
    </row>
    <row r="371">
      <c r="V371" s="18"/>
    </row>
    <row r="372">
      <c r="V372" s="18"/>
    </row>
    <row r="373">
      <c r="V373" s="18"/>
    </row>
    <row r="374">
      <c r="V374" s="18"/>
    </row>
    <row r="375">
      <c r="V375" s="18"/>
    </row>
    <row r="376">
      <c r="V376" s="18"/>
    </row>
    <row r="377">
      <c r="V377" s="18"/>
    </row>
    <row r="378">
      <c r="V378" s="18"/>
    </row>
    <row r="379">
      <c r="V379" s="18"/>
    </row>
    <row r="380">
      <c r="V380" s="18"/>
    </row>
    <row r="381">
      <c r="V381" s="18"/>
    </row>
    <row r="382">
      <c r="V382" s="18"/>
    </row>
    <row r="383">
      <c r="V383" s="18"/>
    </row>
    <row r="384">
      <c r="V384" s="18"/>
    </row>
    <row r="385">
      <c r="V385" s="18"/>
    </row>
    <row r="386">
      <c r="V386" s="18"/>
    </row>
    <row r="387">
      <c r="V387" s="18"/>
    </row>
    <row r="388">
      <c r="V388" s="18"/>
    </row>
    <row r="389">
      <c r="V389" s="18"/>
    </row>
    <row r="390">
      <c r="V390" s="18"/>
    </row>
    <row r="391">
      <c r="V391" s="18"/>
    </row>
    <row r="392">
      <c r="V392" s="18"/>
    </row>
    <row r="393">
      <c r="V393" s="18"/>
    </row>
    <row r="394">
      <c r="V394" s="18"/>
    </row>
    <row r="395">
      <c r="V395" s="18"/>
    </row>
    <row r="396">
      <c r="V396" s="18"/>
    </row>
    <row r="397">
      <c r="V397" s="18"/>
    </row>
    <row r="398">
      <c r="V398" s="18"/>
    </row>
    <row r="399">
      <c r="V399" s="18"/>
    </row>
    <row r="400">
      <c r="V400" s="18"/>
    </row>
    <row r="401">
      <c r="V401" s="18"/>
    </row>
    <row r="402">
      <c r="V402" s="18"/>
    </row>
    <row r="403">
      <c r="V403" s="18"/>
    </row>
    <row r="404">
      <c r="V404" s="18"/>
    </row>
    <row r="405">
      <c r="V405" s="18"/>
    </row>
    <row r="406">
      <c r="V406" s="18"/>
    </row>
    <row r="407">
      <c r="V407" s="18"/>
    </row>
    <row r="408">
      <c r="V408" s="18"/>
    </row>
    <row r="409">
      <c r="V409" s="18"/>
    </row>
    <row r="410">
      <c r="V410" s="18"/>
    </row>
    <row r="411">
      <c r="V411" s="18"/>
    </row>
    <row r="412">
      <c r="V412" s="18"/>
    </row>
    <row r="413">
      <c r="V413" s="18"/>
    </row>
    <row r="414">
      <c r="V414" s="18"/>
    </row>
    <row r="415">
      <c r="V415" s="18"/>
    </row>
    <row r="416">
      <c r="V416" s="18"/>
    </row>
    <row r="417">
      <c r="V417" s="18"/>
    </row>
    <row r="418">
      <c r="V418" s="18"/>
    </row>
    <row r="419">
      <c r="V419" s="18"/>
    </row>
    <row r="420">
      <c r="V420" s="18"/>
    </row>
    <row r="421">
      <c r="V421" s="18"/>
    </row>
    <row r="422">
      <c r="V422" s="18"/>
    </row>
    <row r="423">
      <c r="V423" s="18"/>
    </row>
    <row r="424">
      <c r="V424" s="18"/>
    </row>
    <row r="425">
      <c r="V425" s="18"/>
    </row>
    <row r="426">
      <c r="V426" s="18"/>
    </row>
    <row r="427">
      <c r="V427" s="18"/>
    </row>
    <row r="428">
      <c r="V428" s="18"/>
    </row>
    <row r="429">
      <c r="V429" s="18"/>
    </row>
    <row r="430">
      <c r="V430" s="18"/>
    </row>
    <row r="431">
      <c r="V431" s="18"/>
    </row>
    <row r="432">
      <c r="V432" s="18"/>
    </row>
    <row r="433">
      <c r="V433" s="18"/>
    </row>
    <row r="434">
      <c r="V434" s="18"/>
    </row>
    <row r="435">
      <c r="V435" s="18"/>
    </row>
    <row r="436">
      <c r="V436" s="18"/>
    </row>
    <row r="437">
      <c r="V437" s="18"/>
    </row>
    <row r="438">
      <c r="V438" s="18"/>
    </row>
    <row r="439">
      <c r="V439" s="18"/>
    </row>
    <row r="440">
      <c r="V440" s="18"/>
    </row>
    <row r="441">
      <c r="V441" s="18"/>
    </row>
    <row r="442">
      <c r="V442" s="18"/>
    </row>
    <row r="443">
      <c r="V443" s="18"/>
    </row>
    <row r="444">
      <c r="V444" s="18"/>
    </row>
    <row r="445">
      <c r="V445" s="18"/>
    </row>
    <row r="446">
      <c r="V446" s="18"/>
    </row>
    <row r="447">
      <c r="V447" s="18"/>
    </row>
    <row r="448">
      <c r="V448" s="18"/>
    </row>
    <row r="449">
      <c r="V449" s="18"/>
    </row>
    <row r="450">
      <c r="V450" s="18"/>
    </row>
    <row r="451">
      <c r="V451" s="18"/>
    </row>
    <row r="452">
      <c r="V452" s="18"/>
    </row>
    <row r="453">
      <c r="V453" s="18"/>
    </row>
    <row r="454">
      <c r="V454" s="18"/>
    </row>
    <row r="455">
      <c r="V455" s="18"/>
    </row>
    <row r="456">
      <c r="V456" s="18"/>
    </row>
    <row r="457">
      <c r="V457" s="18"/>
    </row>
    <row r="458">
      <c r="V458" s="18"/>
    </row>
    <row r="459">
      <c r="V459" s="18"/>
    </row>
    <row r="460">
      <c r="V460" s="18"/>
    </row>
    <row r="461">
      <c r="V461" s="18"/>
    </row>
    <row r="462">
      <c r="V462" s="18"/>
    </row>
    <row r="463">
      <c r="V463" s="18"/>
    </row>
    <row r="464">
      <c r="V464" s="18"/>
    </row>
    <row r="465">
      <c r="V465" s="18"/>
    </row>
    <row r="466">
      <c r="V466" s="18"/>
    </row>
    <row r="467">
      <c r="V467" s="18"/>
    </row>
    <row r="468">
      <c r="V468" s="18"/>
    </row>
    <row r="469">
      <c r="V469" s="18"/>
    </row>
    <row r="470">
      <c r="V470" s="18"/>
    </row>
    <row r="471">
      <c r="V471" s="18"/>
    </row>
    <row r="472">
      <c r="V472" s="18"/>
    </row>
    <row r="473">
      <c r="V473" s="18"/>
    </row>
    <row r="474">
      <c r="V474" s="18"/>
    </row>
    <row r="475">
      <c r="V475" s="18"/>
    </row>
    <row r="476">
      <c r="V476" s="18"/>
    </row>
    <row r="477">
      <c r="V477" s="18"/>
    </row>
    <row r="478">
      <c r="V478" s="18"/>
    </row>
    <row r="479">
      <c r="V479" s="18"/>
    </row>
    <row r="480">
      <c r="V480" s="18"/>
    </row>
    <row r="481">
      <c r="V481" s="18"/>
    </row>
    <row r="482">
      <c r="V482" s="18"/>
    </row>
    <row r="483">
      <c r="V483" s="18"/>
    </row>
    <row r="484">
      <c r="V484" s="18"/>
    </row>
    <row r="485">
      <c r="V485" s="18"/>
    </row>
    <row r="486">
      <c r="V486" s="18"/>
    </row>
    <row r="487">
      <c r="V487" s="18"/>
    </row>
    <row r="488">
      <c r="V488" s="18"/>
    </row>
    <row r="489">
      <c r="V489" s="18"/>
    </row>
    <row r="490">
      <c r="V490" s="18"/>
    </row>
    <row r="491">
      <c r="V491" s="18"/>
    </row>
    <row r="492">
      <c r="V492" s="18"/>
    </row>
    <row r="493">
      <c r="V493" s="18"/>
    </row>
    <row r="494">
      <c r="V494" s="18"/>
    </row>
    <row r="495">
      <c r="V495" s="18"/>
    </row>
    <row r="496">
      <c r="V496" s="18"/>
    </row>
    <row r="497">
      <c r="V497" s="18"/>
    </row>
    <row r="498">
      <c r="V498" s="18"/>
    </row>
    <row r="499">
      <c r="V499" s="18"/>
    </row>
    <row r="500">
      <c r="V500" s="18"/>
    </row>
    <row r="501">
      <c r="V501" s="18"/>
    </row>
    <row r="502">
      <c r="V502" s="18"/>
    </row>
    <row r="503">
      <c r="V503" s="18"/>
    </row>
    <row r="504">
      <c r="V504" s="18"/>
    </row>
    <row r="505">
      <c r="V505" s="18"/>
    </row>
    <row r="506">
      <c r="V506" s="18"/>
    </row>
    <row r="507">
      <c r="V507" s="18"/>
    </row>
    <row r="508">
      <c r="V508" s="18"/>
    </row>
    <row r="509">
      <c r="V509" s="18"/>
    </row>
    <row r="510">
      <c r="V510" s="18"/>
    </row>
    <row r="511">
      <c r="V511" s="18"/>
    </row>
    <row r="512">
      <c r="V512" s="18"/>
    </row>
    <row r="513">
      <c r="V513" s="18"/>
    </row>
    <row r="514">
      <c r="V514" s="18"/>
    </row>
    <row r="515">
      <c r="V515" s="18"/>
    </row>
    <row r="516">
      <c r="V516" s="18"/>
    </row>
    <row r="517">
      <c r="V517" s="18"/>
    </row>
    <row r="518">
      <c r="V518" s="18"/>
    </row>
    <row r="519">
      <c r="V519" s="18"/>
    </row>
    <row r="520">
      <c r="V520" s="18"/>
    </row>
    <row r="521">
      <c r="V521" s="18"/>
    </row>
    <row r="522">
      <c r="V522" s="18"/>
    </row>
    <row r="523">
      <c r="V523" s="18"/>
    </row>
    <row r="524">
      <c r="V524" s="18"/>
    </row>
    <row r="525">
      <c r="V525" s="18"/>
    </row>
    <row r="526">
      <c r="V526" s="18"/>
    </row>
    <row r="527">
      <c r="V527" s="18"/>
    </row>
    <row r="528">
      <c r="V528" s="18"/>
    </row>
    <row r="529">
      <c r="V529" s="18"/>
    </row>
    <row r="530">
      <c r="V530" s="18"/>
    </row>
    <row r="531">
      <c r="V531" s="18"/>
    </row>
    <row r="532">
      <c r="V532" s="18"/>
    </row>
    <row r="533">
      <c r="V533" s="18"/>
    </row>
    <row r="534">
      <c r="V534" s="18"/>
    </row>
    <row r="535">
      <c r="V535" s="18"/>
    </row>
    <row r="536">
      <c r="V536" s="18"/>
    </row>
    <row r="537">
      <c r="V537" s="18"/>
    </row>
    <row r="538">
      <c r="V538" s="18"/>
    </row>
    <row r="539">
      <c r="V539" s="18"/>
    </row>
    <row r="540">
      <c r="V540" s="18"/>
    </row>
    <row r="541">
      <c r="V541" s="18"/>
    </row>
    <row r="542">
      <c r="V542" s="18"/>
    </row>
    <row r="543">
      <c r="V543" s="18"/>
    </row>
    <row r="544">
      <c r="V544" s="18"/>
    </row>
    <row r="545">
      <c r="V545" s="18"/>
    </row>
    <row r="546">
      <c r="V546" s="18"/>
    </row>
    <row r="547">
      <c r="V547" s="18"/>
    </row>
    <row r="548">
      <c r="V548" s="18"/>
    </row>
    <row r="549">
      <c r="V549" s="18"/>
    </row>
    <row r="550">
      <c r="V550" s="18"/>
    </row>
    <row r="551">
      <c r="V551" s="18"/>
    </row>
    <row r="552">
      <c r="V552" s="18"/>
    </row>
    <row r="553">
      <c r="V553" s="18"/>
    </row>
    <row r="554">
      <c r="V554" s="18"/>
    </row>
    <row r="555">
      <c r="V555" s="18"/>
    </row>
    <row r="556">
      <c r="V556" s="18"/>
    </row>
    <row r="557">
      <c r="V557" s="18"/>
    </row>
    <row r="558">
      <c r="V558" s="18"/>
    </row>
    <row r="559">
      <c r="V559" s="18"/>
    </row>
    <row r="560">
      <c r="V560" s="18"/>
    </row>
    <row r="561">
      <c r="V561" s="18"/>
    </row>
    <row r="562">
      <c r="V562" s="18"/>
    </row>
    <row r="563">
      <c r="V563" s="18"/>
    </row>
    <row r="564">
      <c r="V564" s="18"/>
    </row>
    <row r="565">
      <c r="V565" s="18"/>
    </row>
    <row r="566">
      <c r="V566" s="18"/>
    </row>
    <row r="567">
      <c r="V567" s="18"/>
    </row>
    <row r="568">
      <c r="V568" s="18"/>
    </row>
    <row r="569">
      <c r="V569" s="18"/>
    </row>
    <row r="570">
      <c r="V570" s="18"/>
    </row>
    <row r="571">
      <c r="V571" s="18"/>
    </row>
    <row r="572">
      <c r="V572" s="18"/>
    </row>
    <row r="573">
      <c r="V573" s="18"/>
    </row>
    <row r="574">
      <c r="V574" s="18"/>
    </row>
    <row r="575">
      <c r="V575" s="18"/>
    </row>
    <row r="576">
      <c r="V576" s="18"/>
    </row>
    <row r="577">
      <c r="V577" s="18"/>
    </row>
    <row r="578">
      <c r="V578" s="18"/>
    </row>
    <row r="579">
      <c r="V579" s="18"/>
    </row>
    <row r="580">
      <c r="V580" s="18"/>
    </row>
    <row r="581">
      <c r="V581" s="18"/>
    </row>
    <row r="582">
      <c r="V582" s="18"/>
    </row>
    <row r="583">
      <c r="V583" s="18"/>
    </row>
    <row r="584">
      <c r="V584" s="18"/>
    </row>
    <row r="585">
      <c r="V585" s="18"/>
    </row>
    <row r="586">
      <c r="V586" s="18"/>
    </row>
    <row r="587">
      <c r="V587" s="18"/>
    </row>
    <row r="588">
      <c r="V588" s="18"/>
    </row>
    <row r="589">
      <c r="V589" s="18"/>
    </row>
    <row r="590">
      <c r="V590" s="18"/>
    </row>
    <row r="591">
      <c r="V591" s="18"/>
    </row>
    <row r="592">
      <c r="V592" s="18"/>
    </row>
    <row r="593">
      <c r="V593" s="18"/>
    </row>
    <row r="594">
      <c r="V594" s="18"/>
    </row>
    <row r="595">
      <c r="V595" s="18"/>
    </row>
    <row r="596">
      <c r="V596" s="18"/>
    </row>
    <row r="597">
      <c r="V597" s="18"/>
    </row>
    <row r="598">
      <c r="V598" s="18"/>
    </row>
    <row r="599">
      <c r="V599" s="18"/>
    </row>
    <row r="600">
      <c r="V600" s="18"/>
    </row>
    <row r="601">
      <c r="V601" s="18"/>
    </row>
    <row r="602">
      <c r="V602" s="18"/>
    </row>
    <row r="603">
      <c r="V603" s="18"/>
    </row>
    <row r="604">
      <c r="V604" s="18"/>
    </row>
    <row r="605">
      <c r="V605" s="18"/>
    </row>
    <row r="606">
      <c r="V606" s="18"/>
    </row>
    <row r="607">
      <c r="V607" s="18"/>
    </row>
    <row r="608">
      <c r="V608" s="18"/>
    </row>
    <row r="609">
      <c r="V609" s="18"/>
    </row>
    <row r="610">
      <c r="V610" s="18"/>
    </row>
    <row r="611">
      <c r="V611" s="18"/>
    </row>
    <row r="612">
      <c r="V612" s="18"/>
    </row>
    <row r="613">
      <c r="V613" s="18"/>
    </row>
    <row r="614">
      <c r="V614" s="18"/>
    </row>
    <row r="615">
      <c r="V615" s="18"/>
    </row>
    <row r="616">
      <c r="V616" s="18"/>
    </row>
    <row r="617">
      <c r="V617" s="18"/>
    </row>
    <row r="618">
      <c r="V618" s="18"/>
    </row>
    <row r="619">
      <c r="V619" s="18"/>
    </row>
    <row r="620">
      <c r="V620" s="18"/>
    </row>
    <row r="621">
      <c r="V621" s="18"/>
    </row>
    <row r="622">
      <c r="V622" s="18"/>
    </row>
    <row r="623">
      <c r="V623" s="18"/>
    </row>
    <row r="624">
      <c r="V624" s="18"/>
    </row>
    <row r="625">
      <c r="V625" s="18"/>
    </row>
    <row r="626">
      <c r="V626" s="18"/>
    </row>
    <row r="627">
      <c r="V627" s="18"/>
    </row>
    <row r="628">
      <c r="V628" s="18"/>
    </row>
    <row r="629">
      <c r="V629" s="18"/>
    </row>
    <row r="630">
      <c r="V630" s="18"/>
    </row>
    <row r="631">
      <c r="V631" s="18"/>
    </row>
    <row r="632">
      <c r="V632" s="18"/>
    </row>
    <row r="633">
      <c r="V633" s="18"/>
    </row>
    <row r="634">
      <c r="V634" s="18"/>
    </row>
    <row r="635">
      <c r="V635" s="18"/>
    </row>
    <row r="636">
      <c r="V636" s="18"/>
    </row>
    <row r="637">
      <c r="V637" s="18"/>
    </row>
    <row r="638">
      <c r="V638" s="18"/>
    </row>
    <row r="639">
      <c r="V639" s="18"/>
    </row>
    <row r="640">
      <c r="V640" s="18"/>
    </row>
    <row r="641">
      <c r="V641" s="18"/>
    </row>
    <row r="642">
      <c r="V642" s="18"/>
    </row>
    <row r="643">
      <c r="V643" s="18"/>
    </row>
    <row r="644">
      <c r="V644" s="18"/>
    </row>
    <row r="645">
      <c r="V645" s="18"/>
    </row>
    <row r="646">
      <c r="V646" s="18"/>
    </row>
    <row r="647">
      <c r="V647" s="18"/>
    </row>
    <row r="648">
      <c r="V648" s="18"/>
    </row>
    <row r="649">
      <c r="V649" s="18"/>
    </row>
    <row r="650">
      <c r="V650" s="18"/>
    </row>
    <row r="651">
      <c r="V651" s="18"/>
    </row>
    <row r="652">
      <c r="V652" s="18"/>
    </row>
    <row r="653">
      <c r="V653" s="18"/>
    </row>
    <row r="654">
      <c r="V654" s="18"/>
    </row>
    <row r="655">
      <c r="V655" s="18"/>
    </row>
    <row r="656">
      <c r="V656" s="18"/>
    </row>
    <row r="657">
      <c r="V657" s="18"/>
    </row>
    <row r="658">
      <c r="V658" s="18"/>
    </row>
    <row r="659">
      <c r="V659" s="18"/>
    </row>
    <row r="660">
      <c r="V660" s="18"/>
    </row>
    <row r="661">
      <c r="V661" s="18"/>
    </row>
    <row r="662">
      <c r="V662" s="18"/>
    </row>
    <row r="663">
      <c r="V663" s="18"/>
    </row>
    <row r="664">
      <c r="V664" s="18"/>
    </row>
    <row r="665">
      <c r="V665" s="18"/>
    </row>
    <row r="666">
      <c r="V666" s="18"/>
    </row>
    <row r="667">
      <c r="V667" s="18"/>
    </row>
    <row r="668">
      <c r="V668" s="18"/>
    </row>
    <row r="669">
      <c r="V669" s="18"/>
    </row>
    <row r="670">
      <c r="V670" s="18"/>
    </row>
    <row r="671">
      <c r="V671" s="18"/>
    </row>
    <row r="672">
      <c r="V672" s="18"/>
    </row>
    <row r="673">
      <c r="V673" s="18"/>
    </row>
    <row r="674">
      <c r="V674" s="18"/>
    </row>
    <row r="675">
      <c r="V675" s="18"/>
    </row>
    <row r="676">
      <c r="V676" s="18"/>
    </row>
    <row r="677">
      <c r="V677" s="18"/>
    </row>
    <row r="678">
      <c r="V678" s="18"/>
    </row>
    <row r="679">
      <c r="V679" s="18"/>
    </row>
    <row r="680">
      <c r="V680" s="18"/>
    </row>
    <row r="681">
      <c r="V681" s="18"/>
    </row>
    <row r="682">
      <c r="V682" s="18"/>
    </row>
    <row r="683">
      <c r="V683" s="18"/>
    </row>
    <row r="684">
      <c r="V684" s="18"/>
    </row>
    <row r="685">
      <c r="V685" s="18"/>
    </row>
    <row r="686">
      <c r="V686" s="18"/>
    </row>
    <row r="687">
      <c r="V687" s="18"/>
    </row>
    <row r="688">
      <c r="V688" s="18"/>
    </row>
    <row r="689">
      <c r="V689" s="18"/>
    </row>
    <row r="690">
      <c r="V690" s="18"/>
    </row>
    <row r="691">
      <c r="V691" s="18"/>
    </row>
    <row r="692">
      <c r="V692" s="18"/>
    </row>
    <row r="693">
      <c r="V693" s="18"/>
    </row>
    <row r="694">
      <c r="V694" s="18"/>
    </row>
    <row r="695">
      <c r="V695" s="18"/>
    </row>
    <row r="696">
      <c r="V696" s="18"/>
    </row>
    <row r="697">
      <c r="V697" s="18"/>
    </row>
    <row r="698">
      <c r="V698" s="18"/>
    </row>
    <row r="699">
      <c r="V699" s="18"/>
    </row>
    <row r="700">
      <c r="V700" s="18"/>
    </row>
    <row r="701">
      <c r="V701" s="18"/>
    </row>
    <row r="702">
      <c r="V702" s="18"/>
    </row>
    <row r="703">
      <c r="V703" s="18"/>
    </row>
    <row r="704">
      <c r="V704" s="18"/>
    </row>
    <row r="705">
      <c r="V705" s="18"/>
    </row>
    <row r="706">
      <c r="V706" s="18"/>
    </row>
    <row r="707">
      <c r="V707" s="18"/>
    </row>
    <row r="708">
      <c r="V708" s="18"/>
    </row>
    <row r="709">
      <c r="V709" s="18"/>
    </row>
    <row r="710">
      <c r="V710" s="18"/>
    </row>
    <row r="711">
      <c r="V711" s="18"/>
    </row>
    <row r="712">
      <c r="V712" s="18"/>
    </row>
    <row r="713">
      <c r="V713" s="18"/>
    </row>
    <row r="714">
      <c r="V714" s="18"/>
    </row>
    <row r="715">
      <c r="V715" s="18"/>
    </row>
    <row r="716">
      <c r="V716" s="18"/>
    </row>
    <row r="717">
      <c r="V717" s="18"/>
    </row>
    <row r="718">
      <c r="V718" s="18"/>
    </row>
    <row r="719">
      <c r="V719" s="18"/>
    </row>
    <row r="720">
      <c r="V720" s="18"/>
    </row>
    <row r="721">
      <c r="V721" s="18"/>
    </row>
    <row r="722">
      <c r="V722" s="18"/>
    </row>
    <row r="723">
      <c r="V723" s="18"/>
    </row>
    <row r="724">
      <c r="V724" s="18"/>
    </row>
    <row r="725">
      <c r="V725" s="18"/>
    </row>
    <row r="726">
      <c r="V726" s="18"/>
    </row>
    <row r="727">
      <c r="V727" s="18"/>
    </row>
    <row r="728">
      <c r="V728" s="18"/>
    </row>
    <row r="729">
      <c r="V729" s="18"/>
    </row>
    <row r="730">
      <c r="V730" s="18"/>
    </row>
    <row r="731">
      <c r="V731" s="18"/>
    </row>
    <row r="732">
      <c r="V732" s="18"/>
    </row>
    <row r="733">
      <c r="V733" s="18"/>
    </row>
    <row r="734">
      <c r="V734" s="18"/>
    </row>
    <row r="735">
      <c r="V735" s="18"/>
    </row>
    <row r="736">
      <c r="V736" s="18"/>
    </row>
    <row r="737">
      <c r="V737" s="18"/>
    </row>
    <row r="738">
      <c r="V738" s="18"/>
    </row>
    <row r="739">
      <c r="V739" s="18"/>
    </row>
    <row r="740">
      <c r="V740" s="18"/>
    </row>
    <row r="741">
      <c r="V741" s="18"/>
    </row>
    <row r="742">
      <c r="V742" s="18"/>
    </row>
    <row r="743">
      <c r="V743" s="18"/>
    </row>
    <row r="744">
      <c r="V744" s="18"/>
    </row>
    <row r="745">
      <c r="V745" s="18"/>
    </row>
    <row r="746">
      <c r="V746" s="18"/>
    </row>
    <row r="747">
      <c r="V747" s="18"/>
    </row>
    <row r="748">
      <c r="V748" s="18"/>
    </row>
    <row r="749">
      <c r="V749" s="18"/>
    </row>
    <row r="750">
      <c r="V750" s="18"/>
    </row>
    <row r="751">
      <c r="V751" s="18"/>
    </row>
    <row r="752">
      <c r="V752" s="18"/>
    </row>
    <row r="753">
      <c r="V753" s="18"/>
    </row>
    <row r="754">
      <c r="V754" s="18"/>
    </row>
    <row r="755">
      <c r="V755" s="18"/>
    </row>
    <row r="756">
      <c r="V756" s="18"/>
    </row>
    <row r="757">
      <c r="V757" s="18"/>
    </row>
    <row r="758">
      <c r="V758" s="18"/>
    </row>
    <row r="759">
      <c r="V759" s="18"/>
    </row>
    <row r="760">
      <c r="V760" s="18"/>
    </row>
    <row r="761">
      <c r="V761" s="18"/>
    </row>
    <row r="762">
      <c r="V762" s="18"/>
    </row>
    <row r="763">
      <c r="V763" s="18"/>
    </row>
    <row r="764">
      <c r="V764" s="18"/>
    </row>
    <row r="765">
      <c r="V765" s="18"/>
    </row>
    <row r="766">
      <c r="V766" s="18"/>
    </row>
    <row r="767">
      <c r="V767" s="18"/>
    </row>
    <row r="768">
      <c r="V768" s="18"/>
    </row>
    <row r="769">
      <c r="V769" s="18"/>
    </row>
    <row r="770">
      <c r="V770" s="18"/>
    </row>
    <row r="771">
      <c r="V771" s="18"/>
    </row>
    <row r="772">
      <c r="V772" s="18"/>
    </row>
    <row r="773">
      <c r="V773" s="18"/>
    </row>
    <row r="774">
      <c r="V774" s="18"/>
    </row>
    <row r="775">
      <c r="V775" s="18"/>
    </row>
    <row r="776">
      <c r="V776" s="18"/>
    </row>
    <row r="777">
      <c r="V777" s="18"/>
    </row>
    <row r="778">
      <c r="V778" s="18"/>
    </row>
    <row r="779">
      <c r="V779" s="18"/>
    </row>
    <row r="780">
      <c r="V780" s="18"/>
    </row>
    <row r="781">
      <c r="V781" s="18"/>
    </row>
    <row r="782">
      <c r="V782" s="18"/>
    </row>
    <row r="783">
      <c r="V783" s="18"/>
    </row>
    <row r="784">
      <c r="V784" s="18"/>
    </row>
    <row r="785">
      <c r="V785" s="18"/>
    </row>
    <row r="786">
      <c r="V786" s="18"/>
    </row>
    <row r="787">
      <c r="V787" s="18"/>
    </row>
    <row r="788">
      <c r="V788" s="18"/>
    </row>
    <row r="789">
      <c r="V789" s="18"/>
    </row>
    <row r="790">
      <c r="V790" s="18"/>
    </row>
    <row r="791">
      <c r="V791" s="18"/>
    </row>
    <row r="792">
      <c r="V792" s="18"/>
    </row>
    <row r="793">
      <c r="V793" s="18"/>
    </row>
    <row r="794">
      <c r="V794" s="18"/>
    </row>
    <row r="795">
      <c r="V795" s="18"/>
    </row>
    <row r="796">
      <c r="V796" s="18"/>
    </row>
    <row r="797">
      <c r="V797" s="18"/>
    </row>
    <row r="798">
      <c r="V798" s="18"/>
    </row>
    <row r="799">
      <c r="V799" s="18"/>
    </row>
    <row r="800">
      <c r="V800" s="18"/>
    </row>
    <row r="801">
      <c r="V801" s="18"/>
    </row>
    <row r="802">
      <c r="V802" s="18"/>
    </row>
    <row r="803">
      <c r="V803" s="18"/>
    </row>
    <row r="804">
      <c r="V804" s="18"/>
    </row>
    <row r="805">
      <c r="V805" s="18"/>
    </row>
    <row r="806">
      <c r="V806" s="18"/>
    </row>
    <row r="807">
      <c r="V807" s="18"/>
    </row>
    <row r="808">
      <c r="V808" s="18"/>
    </row>
    <row r="809">
      <c r="V809" s="18"/>
    </row>
    <row r="810">
      <c r="V810" s="18"/>
    </row>
    <row r="811">
      <c r="V811" s="18"/>
    </row>
    <row r="812">
      <c r="V812" s="18"/>
    </row>
    <row r="813">
      <c r="V813" s="18"/>
    </row>
    <row r="814">
      <c r="V814" s="18"/>
    </row>
    <row r="815">
      <c r="V815" s="18"/>
    </row>
    <row r="816">
      <c r="V816" s="18"/>
    </row>
    <row r="817">
      <c r="V817" s="18"/>
    </row>
    <row r="818">
      <c r="V818" s="18"/>
    </row>
    <row r="819">
      <c r="V819" s="18"/>
    </row>
    <row r="820">
      <c r="V820" s="18"/>
    </row>
    <row r="821">
      <c r="V821" s="18"/>
    </row>
    <row r="822">
      <c r="V822" s="18"/>
    </row>
    <row r="823">
      <c r="V823" s="18"/>
    </row>
    <row r="824">
      <c r="V824" s="18"/>
    </row>
    <row r="825">
      <c r="V825" s="18"/>
    </row>
    <row r="826">
      <c r="V826" s="18"/>
    </row>
    <row r="827">
      <c r="V827" s="18"/>
    </row>
    <row r="828">
      <c r="V828" s="18"/>
    </row>
    <row r="829">
      <c r="V829" s="18"/>
    </row>
    <row r="830">
      <c r="V830" s="18"/>
    </row>
    <row r="831">
      <c r="V831" s="18"/>
    </row>
    <row r="832">
      <c r="V832" s="18"/>
    </row>
    <row r="833">
      <c r="V833" s="18"/>
    </row>
    <row r="834">
      <c r="V834" s="18"/>
    </row>
    <row r="835">
      <c r="V835" s="18"/>
    </row>
    <row r="836">
      <c r="V836" s="18"/>
    </row>
    <row r="837">
      <c r="V837" s="18"/>
    </row>
    <row r="838">
      <c r="V838" s="18"/>
    </row>
    <row r="839">
      <c r="V839" s="18"/>
    </row>
    <row r="840">
      <c r="V840" s="18"/>
    </row>
    <row r="841">
      <c r="V841" s="18"/>
    </row>
    <row r="842">
      <c r="V842" s="18"/>
    </row>
    <row r="843">
      <c r="V843" s="18"/>
    </row>
    <row r="844">
      <c r="V844" s="18"/>
    </row>
    <row r="845">
      <c r="V845" s="18"/>
    </row>
    <row r="846">
      <c r="V846" s="18"/>
    </row>
    <row r="847">
      <c r="V847" s="18"/>
    </row>
    <row r="848">
      <c r="V848" s="18"/>
    </row>
    <row r="849">
      <c r="V849" s="18"/>
    </row>
    <row r="850">
      <c r="V850" s="18"/>
    </row>
    <row r="851">
      <c r="V851" s="18"/>
    </row>
    <row r="852">
      <c r="V852" s="18"/>
    </row>
    <row r="853">
      <c r="V853" s="18"/>
    </row>
    <row r="854">
      <c r="V854" s="18"/>
    </row>
    <row r="855">
      <c r="V855" s="18"/>
    </row>
    <row r="856">
      <c r="V856" s="18"/>
    </row>
    <row r="857">
      <c r="V857" s="18"/>
    </row>
    <row r="858">
      <c r="V858" s="18"/>
    </row>
    <row r="859">
      <c r="V859" s="18"/>
    </row>
    <row r="860">
      <c r="V860" s="18"/>
    </row>
    <row r="861">
      <c r="V861" s="18"/>
    </row>
    <row r="862">
      <c r="V862" s="18"/>
    </row>
    <row r="863">
      <c r="V863" s="18"/>
    </row>
    <row r="864">
      <c r="V864" s="18"/>
    </row>
    <row r="865">
      <c r="V865" s="18"/>
    </row>
    <row r="866">
      <c r="V866" s="18"/>
    </row>
    <row r="867">
      <c r="V867" s="18"/>
    </row>
    <row r="868">
      <c r="V868" s="18"/>
    </row>
    <row r="869">
      <c r="V869" s="18"/>
    </row>
    <row r="870">
      <c r="V870" s="18"/>
    </row>
    <row r="871">
      <c r="V871" s="18"/>
    </row>
    <row r="872">
      <c r="V872" s="18"/>
    </row>
    <row r="873">
      <c r="V873" s="18"/>
    </row>
    <row r="874">
      <c r="V874" s="18"/>
    </row>
    <row r="875">
      <c r="V875" s="18"/>
    </row>
    <row r="876">
      <c r="V876" s="18"/>
    </row>
    <row r="877">
      <c r="V877" s="18"/>
    </row>
    <row r="878">
      <c r="V878" s="18"/>
    </row>
    <row r="879">
      <c r="V879" s="18"/>
    </row>
    <row r="880">
      <c r="V880" s="18"/>
    </row>
    <row r="881">
      <c r="V881" s="18"/>
    </row>
    <row r="882">
      <c r="V882" s="18"/>
    </row>
    <row r="883">
      <c r="V883" s="18"/>
    </row>
    <row r="884">
      <c r="V884" s="18"/>
    </row>
    <row r="885">
      <c r="V885" s="18"/>
    </row>
    <row r="886">
      <c r="V886" s="18"/>
    </row>
    <row r="887">
      <c r="V887" s="18"/>
    </row>
    <row r="888">
      <c r="V888" s="18"/>
    </row>
    <row r="889">
      <c r="V889" s="18"/>
    </row>
    <row r="890">
      <c r="V890" s="18"/>
    </row>
    <row r="891">
      <c r="V891" s="18"/>
    </row>
    <row r="892">
      <c r="V892" s="18"/>
    </row>
    <row r="893">
      <c r="V893" s="18"/>
    </row>
    <row r="894">
      <c r="V894" s="18"/>
    </row>
    <row r="895">
      <c r="V895" s="18"/>
    </row>
    <row r="896">
      <c r="V896" s="18"/>
    </row>
    <row r="897">
      <c r="V897" s="18"/>
    </row>
    <row r="898">
      <c r="V898" s="18"/>
    </row>
    <row r="899">
      <c r="V899" s="18"/>
    </row>
    <row r="900">
      <c r="V900" s="18"/>
    </row>
    <row r="901">
      <c r="V901" s="18"/>
    </row>
    <row r="902">
      <c r="V902" s="18"/>
    </row>
    <row r="903">
      <c r="V903" s="18"/>
    </row>
    <row r="904">
      <c r="V904" s="18"/>
    </row>
    <row r="905">
      <c r="V905" s="18"/>
    </row>
    <row r="906">
      <c r="V906" s="18"/>
    </row>
    <row r="907">
      <c r="V907" s="18"/>
    </row>
    <row r="908">
      <c r="V908" s="18"/>
    </row>
    <row r="909">
      <c r="V909" s="18"/>
    </row>
    <row r="910">
      <c r="V910" s="18"/>
    </row>
    <row r="911">
      <c r="V911" s="18"/>
    </row>
    <row r="912">
      <c r="V912" s="18"/>
    </row>
    <row r="913">
      <c r="V913" s="18"/>
    </row>
    <row r="914">
      <c r="V914" s="18"/>
    </row>
    <row r="915">
      <c r="V915" s="18"/>
    </row>
    <row r="916">
      <c r="V916" s="18"/>
    </row>
    <row r="917">
      <c r="V917" s="18"/>
    </row>
    <row r="918">
      <c r="V918" s="18"/>
    </row>
    <row r="919">
      <c r="V919" s="18"/>
    </row>
    <row r="920">
      <c r="V920" s="18"/>
    </row>
    <row r="921">
      <c r="V921" s="18"/>
    </row>
    <row r="922">
      <c r="V922" s="18"/>
    </row>
    <row r="923">
      <c r="V923" s="18"/>
    </row>
    <row r="924">
      <c r="V924" s="18"/>
    </row>
    <row r="925">
      <c r="V925" s="18"/>
    </row>
    <row r="926">
      <c r="V926" s="18"/>
    </row>
    <row r="927">
      <c r="V927" s="18"/>
    </row>
    <row r="928">
      <c r="V928" s="18"/>
    </row>
    <row r="929">
      <c r="V929" s="18"/>
    </row>
    <row r="930">
      <c r="V930" s="18"/>
    </row>
    <row r="931">
      <c r="V931" s="18"/>
    </row>
    <row r="932">
      <c r="V932" s="18"/>
    </row>
    <row r="933">
      <c r="V933" s="18"/>
    </row>
    <row r="934">
      <c r="V934" s="18"/>
    </row>
    <row r="935">
      <c r="V935" s="18"/>
    </row>
    <row r="936">
      <c r="V936" s="18"/>
    </row>
    <row r="937">
      <c r="V937" s="18"/>
    </row>
    <row r="938">
      <c r="V938" s="18"/>
    </row>
    <row r="939">
      <c r="V939" s="18"/>
    </row>
    <row r="940">
      <c r="V940" s="18"/>
    </row>
    <row r="941">
      <c r="V941" s="18"/>
    </row>
    <row r="942">
      <c r="V942" s="18"/>
    </row>
    <row r="943">
      <c r="V943" s="18"/>
    </row>
    <row r="944">
      <c r="V944" s="18"/>
    </row>
    <row r="945">
      <c r="V945" s="18"/>
    </row>
    <row r="946">
      <c r="V946" s="18"/>
    </row>
    <row r="947">
      <c r="V947" s="18"/>
    </row>
    <row r="948">
      <c r="V948" s="18"/>
    </row>
    <row r="949">
      <c r="V949" s="18"/>
    </row>
    <row r="950">
      <c r="V950" s="18"/>
    </row>
    <row r="951">
      <c r="V951" s="18"/>
    </row>
    <row r="952">
      <c r="V952" s="18"/>
    </row>
    <row r="953">
      <c r="V953" s="18"/>
    </row>
    <row r="954">
      <c r="V954" s="18"/>
    </row>
    <row r="955">
      <c r="V955" s="18"/>
    </row>
    <row r="956">
      <c r="V956" s="18"/>
    </row>
    <row r="957">
      <c r="V957" s="18"/>
    </row>
    <row r="958">
      <c r="V958" s="18"/>
    </row>
    <row r="959">
      <c r="V959" s="18"/>
    </row>
    <row r="960">
      <c r="V960" s="18"/>
    </row>
    <row r="961">
      <c r="V961" s="18"/>
    </row>
    <row r="962">
      <c r="V962" s="18"/>
    </row>
    <row r="963">
      <c r="V963" s="18"/>
    </row>
    <row r="964">
      <c r="V964" s="18"/>
    </row>
    <row r="965">
      <c r="V965" s="18"/>
    </row>
    <row r="966">
      <c r="V966" s="18"/>
    </row>
    <row r="967">
      <c r="V967" s="18"/>
    </row>
    <row r="968">
      <c r="V968" s="18"/>
    </row>
    <row r="969">
      <c r="V969" s="18"/>
    </row>
    <row r="970">
      <c r="V970" s="18"/>
    </row>
    <row r="971">
      <c r="V971" s="18"/>
    </row>
    <row r="972">
      <c r="V972" s="18"/>
    </row>
    <row r="973">
      <c r="V973" s="18"/>
    </row>
    <row r="974">
      <c r="V974" s="18"/>
    </row>
    <row r="975">
      <c r="V975" s="18"/>
    </row>
    <row r="976">
      <c r="V976" s="18"/>
    </row>
    <row r="977">
      <c r="V977" s="18"/>
    </row>
    <row r="978">
      <c r="V978" s="18"/>
    </row>
    <row r="979">
      <c r="V979" s="18"/>
    </row>
    <row r="980">
      <c r="V980" s="18"/>
    </row>
    <row r="981">
      <c r="V981" s="18"/>
    </row>
    <row r="982">
      <c r="V982" s="18"/>
    </row>
    <row r="983">
      <c r="V983" s="18"/>
    </row>
    <row r="984">
      <c r="V984" s="18"/>
    </row>
    <row r="985">
      <c r="V985" s="18"/>
    </row>
    <row r="986">
      <c r="V986" s="18"/>
    </row>
    <row r="987">
      <c r="V987" s="18"/>
    </row>
    <row r="988">
      <c r="V988" s="18"/>
    </row>
    <row r="989">
      <c r="V989" s="18"/>
    </row>
    <row r="990">
      <c r="V990" s="18"/>
    </row>
    <row r="991">
      <c r="V991" s="18"/>
    </row>
    <row r="992">
      <c r="V992" s="18"/>
    </row>
    <row r="993">
      <c r="V993" s="18"/>
    </row>
    <row r="994">
      <c r="V994" s="18"/>
    </row>
    <row r="995">
      <c r="V995" s="18"/>
    </row>
    <row r="996">
      <c r="V996" s="18"/>
    </row>
  </sheetData>
  <mergeCells count="42">
    <mergeCell ref="I41:J41"/>
    <mergeCell ref="M41:P41"/>
    <mergeCell ref="B34:H34"/>
    <mergeCell ref="I34:J34"/>
    <mergeCell ref="M34:P34"/>
    <mergeCell ref="Q34:R34"/>
    <mergeCell ref="S34:U34"/>
    <mergeCell ref="A38:AB38"/>
    <mergeCell ref="A46:AB46"/>
    <mergeCell ref="A1:AB1"/>
    <mergeCell ref="B4:H4"/>
    <mergeCell ref="I4:J4"/>
    <mergeCell ref="M4:P4"/>
    <mergeCell ref="Q4:R4"/>
    <mergeCell ref="S4:U4"/>
    <mergeCell ref="A8:AB8"/>
    <mergeCell ref="I19:J19"/>
    <mergeCell ref="M19:P19"/>
    <mergeCell ref="Q19:R19"/>
    <mergeCell ref="S19:U19"/>
    <mergeCell ref="B11:H11"/>
    <mergeCell ref="I11:J11"/>
    <mergeCell ref="M11:P11"/>
    <mergeCell ref="Q11:R11"/>
    <mergeCell ref="S11:U11"/>
    <mergeCell ref="A16:AB16"/>
    <mergeCell ref="A23:AB23"/>
    <mergeCell ref="B19:H19"/>
    <mergeCell ref="B26:H26"/>
    <mergeCell ref="I26:J26"/>
    <mergeCell ref="M26:P26"/>
    <mergeCell ref="Q26:R26"/>
    <mergeCell ref="S26:U26"/>
    <mergeCell ref="A31:AB31"/>
    <mergeCell ref="Q41:R41"/>
    <mergeCell ref="S41:U41"/>
    <mergeCell ref="B41:H41"/>
    <mergeCell ref="B49:H49"/>
    <mergeCell ref="I49:J49"/>
    <mergeCell ref="M49:P49"/>
    <mergeCell ref="Q49:R49"/>
    <mergeCell ref="S49:U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1.13"/>
    <col customWidth="1" min="3" max="3" width="21.13"/>
    <col customWidth="1" min="4" max="4" width="13.25"/>
    <col customWidth="1" min="5" max="5" width="6.13"/>
    <col customWidth="1" min="6" max="6" width="12.63"/>
    <col customWidth="1" min="7" max="7" width="12.38"/>
    <col customWidth="1" min="8" max="8" width="12.5"/>
    <col customWidth="1" min="9" max="9" width="12.13"/>
    <col customWidth="1" min="10" max="10" width="6.38"/>
    <col customWidth="1" min="11" max="11" width="13.13"/>
    <col customWidth="1" min="12" max="12" width="6.25"/>
    <col customWidth="1" min="13" max="13" width="10.63"/>
    <col customWidth="1" min="14" max="14" width="18.13"/>
    <col customWidth="1" min="15" max="15" width="12.75"/>
    <col customWidth="1" min="16" max="16" width="7.13"/>
    <col customWidth="1" min="17" max="17" width="6.5"/>
    <col customWidth="1" min="18" max="18" width="22.5"/>
    <col customWidth="1" min="19" max="19" width="11.63"/>
    <col customWidth="1" min="20" max="22" width="12.63"/>
    <col customWidth="1" min="23" max="23" width="7.63"/>
    <col customWidth="1" min="24" max="24" width="4.38"/>
    <col customWidth="1" min="25" max="25" width="14.13"/>
    <col customWidth="1" min="26" max="27" width="9.38"/>
    <col customWidth="1" min="28" max="28" width="5.38"/>
    <col customWidth="1" min="29" max="29" width="9.38"/>
  </cols>
  <sheetData>
    <row r="1">
      <c r="A1" s="19" t="s">
        <v>94</v>
      </c>
    </row>
    <row r="2">
      <c r="A2" s="20"/>
      <c r="B2" s="20"/>
      <c r="D2" s="6" t="s">
        <v>95</v>
      </c>
      <c r="F2" s="21" t="s">
        <v>96</v>
      </c>
      <c r="H2" s="21" t="s">
        <v>96</v>
      </c>
      <c r="I2" s="6" t="s">
        <v>95</v>
      </c>
      <c r="Y2" s="18"/>
      <c r="AA2" s="18"/>
    </row>
    <row r="3">
      <c r="A3" s="22" t="s">
        <v>185</v>
      </c>
      <c r="B3" s="22" t="s">
        <v>186</v>
      </c>
      <c r="C3" s="23" t="s">
        <v>187</v>
      </c>
      <c r="D3" s="24" t="s">
        <v>188</v>
      </c>
      <c r="E3" s="25"/>
      <c r="F3" s="26" t="s">
        <v>189</v>
      </c>
      <c r="G3" s="27" t="s">
        <v>100</v>
      </c>
      <c r="H3" s="26" t="s">
        <v>190</v>
      </c>
      <c r="I3" s="26" t="s">
        <v>191</v>
      </c>
      <c r="J3" s="28"/>
      <c r="K3" s="28"/>
      <c r="L3" s="28"/>
      <c r="M3" s="28"/>
      <c r="N3" s="51" t="s">
        <v>192</v>
      </c>
      <c r="R3" s="26" t="s">
        <v>193</v>
      </c>
      <c r="S3" s="26" t="s">
        <v>194</v>
      </c>
      <c r="T3" s="30"/>
      <c r="U3" s="30"/>
      <c r="V3" s="30" t="s">
        <v>195</v>
      </c>
      <c r="Y3" s="18"/>
      <c r="AA3" s="18"/>
      <c r="AB3" s="31"/>
      <c r="AC3" s="31"/>
    </row>
    <row r="4">
      <c r="A4" s="20"/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38" t="s">
        <v>108</v>
      </c>
      <c r="S4" s="33"/>
      <c r="T4" s="33"/>
      <c r="U4" s="33"/>
      <c r="V4" s="33"/>
      <c r="W4" s="34"/>
      <c r="X4" s="39" t="s">
        <v>109</v>
      </c>
      <c r="Y4" s="33"/>
      <c r="Z4" s="34"/>
      <c r="AA4" s="18"/>
      <c r="AC4" s="18"/>
    </row>
    <row r="5">
      <c r="A5" s="40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120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125</v>
      </c>
      <c r="S5" s="43" t="s">
        <v>126</v>
      </c>
      <c r="T5" s="6"/>
      <c r="U5" s="6"/>
      <c r="V5" s="6" t="s">
        <v>196</v>
      </c>
      <c r="W5" s="43" t="s">
        <v>197</v>
      </c>
      <c r="X5" s="43" t="s">
        <v>127</v>
      </c>
      <c r="Y5" s="43" t="s">
        <v>128</v>
      </c>
      <c r="Z5" s="43" t="s">
        <v>129</v>
      </c>
      <c r="AA5" s="50" t="s">
        <v>198</v>
      </c>
      <c r="AC5" s="46" t="s">
        <v>199</v>
      </c>
      <c r="AD5" s="47"/>
      <c r="AE5" s="43" t="s">
        <v>132</v>
      </c>
    </row>
    <row r="6">
      <c r="A6" s="52" t="s">
        <v>200</v>
      </c>
      <c r="B6" s="48" t="s">
        <v>201</v>
      </c>
      <c r="E6" s="6">
        <v>64.0</v>
      </c>
      <c r="F6" s="6">
        <v>1.6777216E8</v>
      </c>
      <c r="I6" s="10">
        <f>F6/N6/O6/P6/Q6</f>
        <v>0.3125</v>
      </c>
      <c r="N6" s="6">
        <v>16.0</v>
      </c>
      <c r="O6" s="6">
        <v>8.0</v>
      </c>
      <c r="P6" s="6">
        <v>32.0</v>
      </c>
      <c r="Q6" s="6">
        <v>131072.0</v>
      </c>
      <c r="R6" s="10">
        <v>27.72</v>
      </c>
      <c r="S6" s="10">
        <v>28.98</v>
      </c>
      <c r="T6" s="6"/>
      <c r="U6" s="6"/>
      <c r="V6" s="6">
        <v>2.52</v>
      </c>
      <c r="W6" s="6">
        <v>4096.0</v>
      </c>
      <c r="AA6" s="18">
        <f>I6*E6*V6*W6</f>
        <v>206438.4</v>
      </c>
      <c r="AC6" s="50"/>
    </row>
    <row r="7">
      <c r="B7" s="48" t="s">
        <v>202</v>
      </c>
      <c r="E7" s="6">
        <v>64.0</v>
      </c>
      <c r="F7" s="6">
        <v>1.6777216E8</v>
      </c>
      <c r="I7" s="10">
        <f t="shared" ref="I7:I8" si="1">F7/(N7*O7*P7*Q7)</f>
        <v>0.3125</v>
      </c>
      <c r="J7" s="10">
        <f>2*E7*E7/E7</f>
        <v>128</v>
      </c>
      <c r="K7" s="10">
        <f>E7*E7/E7</f>
        <v>64</v>
      </c>
      <c r="L7" s="10">
        <f>5*E7*E7/E7</f>
        <v>320</v>
      </c>
      <c r="M7" s="6">
        <v>2.52</v>
      </c>
      <c r="N7" s="6">
        <v>16.0</v>
      </c>
      <c r="O7" s="6">
        <v>8.0</v>
      </c>
      <c r="P7" s="6">
        <v>32.0</v>
      </c>
      <c r="Q7" s="6">
        <v>131072.0</v>
      </c>
      <c r="R7" s="10">
        <v>27.72</v>
      </c>
      <c r="S7" s="10">
        <v>28.98</v>
      </c>
      <c r="AA7" s="18">
        <f>E7*I7*J7*R7+E7*I7*K7*S7+E7*I7*L7*M7</f>
        <v>124185.6</v>
      </c>
      <c r="AC7" s="18"/>
    </row>
    <row r="8">
      <c r="B8" s="53" t="s">
        <v>203</v>
      </c>
      <c r="F8" s="6">
        <v>1.6777216E8</v>
      </c>
      <c r="I8" s="10">
        <f t="shared" si="1"/>
        <v>0.3125</v>
      </c>
      <c r="N8" s="6">
        <v>16.0</v>
      </c>
      <c r="O8" s="6">
        <v>8.0</v>
      </c>
      <c r="P8" s="6">
        <v>32.0</v>
      </c>
      <c r="Q8" s="6">
        <v>131072.0</v>
      </c>
      <c r="W8" s="6"/>
      <c r="X8" s="6">
        <v>10.0</v>
      </c>
      <c r="Y8" s="6">
        <v>131072.0</v>
      </c>
      <c r="Z8" s="6">
        <v>32000.0</v>
      </c>
      <c r="AA8" s="18">
        <f>X8*I8*Y8/(Z8*10^6)*10^9</f>
        <v>12800</v>
      </c>
      <c r="AC8" s="18"/>
    </row>
    <row r="9">
      <c r="A9" s="48"/>
      <c r="B9" s="48"/>
      <c r="D9" s="49"/>
      <c r="F9" s="50"/>
      <c r="Y9" s="18"/>
      <c r="Z9" s="54" t="s">
        <v>204</v>
      </c>
      <c r="AA9" s="18">
        <f>SUM(AA6:AA8)</f>
        <v>343424</v>
      </c>
    </row>
    <row r="10">
      <c r="Y10" s="18"/>
      <c r="Z10" s="55"/>
      <c r="AA10" s="18"/>
    </row>
    <row r="11">
      <c r="A11" s="19" t="s">
        <v>134</v>
      </c>
    </row>
    <row r="12">
      <c r="A12" s="20"/>
      <c r="B12" s="20"/>
      <c r="D12" s="6" t="s">
        <v>95</v>
      </c>
      <c r="F12" s="21" t="s">
        <v>96</v>
      </c>
      <c r="H12" s="21" t="s">
        <v>96</v>
      </c>
      <c r="I12" s="6" t="s">
        <v>95</v>
      </c>
      <c r="Y12" s="18"/>
      <c r="AA12" s="18"/>
    </row>
    <row r="13">
      <c r="A13" s="22" t="s">
        <v>185</v>
      </c>
      <c r="B13" s="22" t="s">
        <v>205</v>
      </c>
      <c r="C13" s="23" t="s">
        <v>206</v>
      </c>
      <c r="D13" s="24" t="s">
        <v>207</v>
      </c>
      <c r="E13" s="25"/>
      <c r="F13" s="26" t="s">
        <v>189</v>
      </c>
      <c r="G13" s="27" t="s">
        <v>100</v>
      </c>
      <c r="H13" s="26" t="s">
        <v>208</v>
      </c>
      <c r="I13" s="26" t="s">
        <v>209</v>
      </c>
      <c r="J13" s="28"/>
      <c r="K13" s="28"/>
      <c r="L13" s="28"/>
      <c r="M13" s="28"/>
      <c r="N13" s="51" t="s">
        <v>210</v>
      </c>
      <c r="R13" s="26" t="s">
        <v>211</v>
      </c>
      <c r="S13" s="26" t="s">
        <v>212</v>
      </c>
      <c r="T13" s="30"/>
      <c r="U13" s="30"/>
      <c r="V13" s="30" t="s">
        <v>213</v>
      </c>
      <c r="Y13" s="18"/>
      <c r="AA13" s="18"/>
      <c r="AB13" s="31"/>
      <c r="AC13" s="31"/>
    </row>
    <row r="14">
      <c r="A14" s="20"/>
      <c r="B14" s="20"/>
      <c r="C14" s="32" t="s">
        <v>106</v>
      </c>
      <c r="D14" s="33"/>
      <c r="E14" s="33"/>
      <c r="F14" s="33"/>
      <c r="G14" s="33"/>
      <c r="H14" s="33"/>
      <c r="I14" s="34"/>
      <c r="J14" s="35"/>
      <c r="K14" s="34"/>
      <c r="L14" s="36"/>
      <c r="M14" s="36"/>
      <c r="N14" s="37" t="s">
        <v>107</v>
      </c>
      <c r="O14" s="33"/>
      <c r="P14" s="33"/>
      <c r="Q14" s="34"/>
      <c r="R14" s="38" t="s">
        <v>108</v>
      </c>
      <c r="S14" s="33"/>
      <c r="T14" s="33"/>
      <c r="U14" s="33"/>
      <c r="V14" s="33"/>
      <c r="W14" s="34"/>
      <c r="X14" s="39" t="s">
        <v>109</v>
      </c>
      <c r="Y14" s="33"/>
      <c r="Z14" s="34"/>
      <c r="AA14" s="18"/>
      <c r="AC14" s="18"/>
    </row>
    <row r="15">
      <c r="A15" s="40"/>
      <c r="B15" s="40"/>
      <c r="C15" s="41" t="s">
        <v>110</v>
      </c>
      <c r="D15" s="42" t="s">
        <v>111</v>
      </c>
      <c r="E15" s="43" t="s">
        <v>112</v>
      </c>
      <c r="F15" s="44" t="s">
        <v>113</v>
      </c>
      <c r="G15" s="41" t="s">
        <v>114</v>
      </c>
      <c r="H15" s="41" t="s">
        <v>115</v>
      </c>
      <c r="I15" s="45" t="s">
        <v>116</v>
      </c>
      <c r="J15" s="43" t="s">
        <v>117</v>
      </c>
      <c r="K15" s="43" t="s">
        <v>118</v>
      </c>
      <c r="L15" s="43" t="s">
        <v>119</v>
      </c>
      <c r="M15" s="43" t="s">
        <v>120</v>
      </c>
      <c r="N15" s="44" t="s">
        <v>121</v>
      </c>
      <c r="O15" s="44" t="s">
        <v>122</v>
      </c>
      <c r="P15" s="44" t="s">
        <v>123</v>
      </c>
      <c r="Q15" s="44" t="s">
        <v>124</v>
      </c>
      <c r="R15" s="43" t="s">
        <v>125</v>
      </c>
      <c r="S15" s="43" t="s">
        <v>126</v>
      </c>
      <c r="T15" s="6"/>
      <c r="U15" s="6"/>
      <c r="V15" s="6" t="s">
        <v>196</v>
      </c>
      <c r="W15" s="43" t="s">
        <v>197</v>
      </c>
      <c r="X15" s="43" t="s">
        <v>127</v>
      </c>
      <c r="Y15" s="43" t="s">
        <v>128</v>
      </c>
      <c r="Z15" s="43" t="s">
        <v>129</v>
      </c>
      <c r="AA15" s="50" t="s">
        <v>198</v>
      </c>
      <c r="AC15" s="46" t="s">
        <v>199</v>
      </c>
      <c r="AD15" s="47"/>
      <c r="AE15" s="43" t="s">
        <v>132</v>
      </c>
    </row>
    <row r="16">
      <c r="A16" s="52" t="s">
        <v>214</v>
      </c>
      <c r="B16" s="48" t="s">
        <v>201</v>
      </c>
      <c r="E16" s="6">
        <v>64.0</v>
      </c>
      <c r="F16" s="6">
        <v>1.6777216E8</v>
      </c>
      <c r="I16" s="10">
        <f>F16/N16/O16/P16/Q16</f>
        <v>0.3125</v>
      </c>
      <c r="N16" s="6">
        <v>16.0</v>
      </c>
      <c r="O16" s="6">
        <v>8.0</v>
      </c>
      <c r="P16" s="6">
        <v>32.0</v>
      </c>
      <c r="Q16" s="6">
        <v>131072.0</v>
      </c>
      <c r="R16" s="10">
        <v>27.72</v>
      </c>
      <c r="S16" s="10">
        <v>28.98</v>
      </c>
      <c r="T16" s="6"/>
      <c r="U16" s="6"/>
      <c r="V16" s="6">
        <v>2.52</v>
      </c>
      <c r="W16" s="6">
        <v>4096.0</v>
      </c>
      <c r="AA16" s="18">
        <f>I16*E16*V16*W16</f>
        <v>206438.4</v>
      </c>
      <c r="AC16" s="50">
        <v>6.9335E7</v>
      </c>
    </row>
    <row r="17">
      <c r="B17" s="48"/>
      <c r="E17" s="6"/>
      <c r="F17" s="6"/>
      <c r="J17" s="56" t="s">
        <v>142</v>
      </c>
      <c r="K17" s="56" t="s">
        <v>143</v>
      </c>
      <c r="M17" s="6"/>
      <c r="AA17" s="18"/>
      <c r="AC17" s="18"/>
    </row>
    <row r="18">
      <c r="B18" s="48" t="s">
        <v>215</v>
      </c>
      <c r="E18" s="6">
        <v>64.0</v>
      </c>
      <c r="F18" s="6">
        <v>1.6777216E8</v>
      </c>
      <c r="I18" s="10">
        <f t="shared" ref="I18:I19" si="2">F18/(N18*O18*P18*Q18)</f>
        <v>0.3125</v>
      </c>
      <c r="J18" s="10">
        <f>(11*E18*E18-5*E18-1)/E18</f>
        <v>698.984375</v>
      </c>
      <c r="K18" s="6">
        <v>53.14</v>
      </c>
      <c r="N18" s="6">
        <v>16.0</v>
      </c>
      <c r="O18" s="6">
        <v>8.0</v>
      </c>
      <c r="P18" s="6">
        <v>32.0</v>
      </c>
      <c r="Q18" s="6">
        <v>131072.0</v>
      </c>
      <c r="R18" s="10">
        <v>27.72</v>
      </c>
      <c r="S18" s="10">
        <v>28.98</v>
      </c>
      <c r="AA18" s="18">
        <f>E18*I18*J18*K18</f>
        <v>742880.5938</v>
      </c>
      <c r="AC18" s="18"/>
    </row>
    <row r="19">
      <c r="B19" s="53" t="s">
        <v>203</v>
      </c>
      <c r="F19" s="6">
        <v>1.6777216E8</v>
      </c>
      <c r="I19" s="10">
        <f t="shared" si="2"/>
        <v>0.3125</v>
      </c>
      <c r="N19" s="6">
        <v>16.0</v>
      </c>
      <c r="O19" s="6">
        <v>8.0</v>
      </c>
      <c r="P19" s="6">
        <v>32.0</v>
      </c>
      <c r="Q19" s="6">
        <v>131072.0</v>
      </c>
      <c r="W19" s="6"/>
      <c r="X19" s="6">
        <v>10.0</v>
      </c>
      <c r="Y19" s="6">
        <v>131072.0</v>
      </c>
      <c r="Z19" s="6">
        <v>32000.0</v>
      </c>
      <c r="AA19" s="18">
        <f>X19*I19*Y19/(Z19*10^6)*10^9</f>
        <v>12800</v>
      </c>
      <c r="AC19" s="18"/>
    </row>
    <row r="20">
      <c r="A20" s="48"/>
      <c r="B20" s="48"/>
      <c r="D20" s="49"/>
      <c r="F20" s="50"/>
      <c r="Y20" s="18"/>
      <c r="Z20" s="54" t="s">
        <v>204</v>
      </c>
      <c r="AA20" s="18">
        <f>SUM(AA16:AA19)</f>
        <v>962118.9938</v>
      </c>
    </row>
    <row r="21">
      <c r="Y21" s="18"/>
      <c r="AA21" s="18"/>
    </row>
    <row r="22">
      <c r="A22" s="19" t="s">
        <v>145</v>
      </c>
    </row>
    <row r="23">
      <c r="A23" s="20"/>
      <c r="B23" s="20"/>
      <c r="D23" s="6" t="s">
        <v>95</v>
      </c>
      <c r="F23" s="21" t="s">
        <v>96</v>
      </c>
      <c r="H23" s="21" t="s">
        <v>96</v>
      </c>
      <c r="I23" s="6" t="s">
        <v>95</v>
      </c>
      <c r="Y23" s="18"/>
      <c r="AA23" s="18"/>
    </row>
    <row r="24">
      <c r="A24" s="22" t="s">
        <v>185</v>
      </c>
      <c r="B24" s="22" t="s">
        <v>216</v>
      </c>
      <c r="C24" s="23" t="s">
        <v>217</v>
      </c>
      <c r="D24" s="24" t="s">
        <v>218</v>
      </c>
      <c r="E24" s="25"/>
      <c r="F24" s="26" t="s">
        <v>189</v>
      </c>
      <c r="G24" s="27" t="s">
        <v>100</v>
      </c>
      <c r="H24" s="26" t="s">
        <v>219</v>
      </c>
      <c r="I24" s="26" t="s">
        <v>220</v>
      </c>
      <c r="J24" s="28"/>
      <c r="K24" s="28"/>
      <c r="L24" s="28"/>
      <c r="M24" s="28"/>
      <c r="N24" s="51" t="s">
        <v>221</v>
      </c>
      <c r="R24" s="26" t="s">
        <v>222</v>
      </c>
      <c r="S24" s="26" t="s">
        <v>223</v>
      </c>
      <c r="T24" s="30"/>
      <c r="U24" s="30"/>
      <c r="V24" s="30" t="s">
        <v>224</v>
      </c>
      <c r="Y24" s="18"/>
      <c r="AA24" s="18"/>
      <c r="AB24" s="31"/>
      <c r="AC24" s="31"/>
    </row>
    <row r="25">
      <c r="A25" s="20"/>
      <c r="B25" s="20"/>
      <c r="C25" s="32" t="s">
        <v>106</v>
      </c>
      <c r="D25" s="33"/>
      <c r="E25" s="33"/>
      <c r="F25" s="33"/>
      <c r="G25" s="33"/>
      <c r="H25" s="33"/>
      <c r="I25" s="34"/>
      <c r="J25" s="35"/>
      <c r="K25" s="34"/>
      <c r="L25" s="36"/>
      <c r="M25" s="36"/>
      <c r="N25" s="37" t="s">
        <v>107</v>
      </c>
      <c r="O25" s="33"/>
      <c r="P25" s="33"/>
      <c r="Q25" s="34"/>
      <c r="R25" s="38" t="s">
        <v>108</v>
      </c>
      <c r="S25" s="33"/>
      <c r="T25" s="33"/>
      <c r="U25" s="33"/>
      <c r="V25" s="33"/>
      <c r="W25" s="34"/>
      <c r="X25" s="39" t="s">
        <v>109</v>
      </c>
      <c r="Y25" s="33"/>
      <c r="Z25" s="34"/>
      <c r="AA25" s="18"/>
      <c r="AC25" s="18"/>
    </row>
    <row r="26">
      <c r="A26" s="40"/>
      <c r="B26" s="40"/>
      <c r="C26" s="41" t="s">
        <v>110</v>
      </c>
      <c r="D26" s="42" t="s">
        <v>111</v>
      </c>
      <c r="E26" s="43" t="s">
        <v>112</v>
      </c>
      <c r="F26" s="44" t="s">
        <v>113</v>
      </c>
      <c r="G26" s="41" t="s">
        <v>114</v>
      </c>
      <c r="H26" s="41" t="s">
        <v>115</v>
      </c>
      <c r="I26" s="45" t="s">
        <v>116</v>
      </c>
      <c r="J26" s="43" t="s">
        <v>117</v>
      </c>
      <c r="K26" s="43" t="s">
        <v>118</v>
      </c>
      <c r="L26" s="43" t="s">
        <v>119</v>
      </c>
      <c r="M26" s="43" t="s">
        <v>120</v>
      </c>
      <c r="N26" s="44" t="s">
        <v>121</v>
      </c>
      <c r="O26" s="44" t="s">
        <v>122</v>
      </c>
      <c r="P26" s="44" t="s">
        <v>123</v>
      </c>
      <c r="Q26" s="44" t="s">
        <v>124</v>
      </c>
      <c r="R26" s="43" t="s">
        <v>125</v>
      </c>
      <c r="S26" s="43" t="s">
        <v>126</v>
      </c>
      <c r="T26" s="6"/>
      <c r="U26" s="6"/>
      <c r="V26" s="6" t="s">
        <v>196</v>
      </c>
      <c r="W26" s="43" t="s">
        <v>197</v>
      </c>
      <c r="X26" s="43" t="s">
        <v>127</v>
      </c>
      <c r="Y26" s="43" t="s">
        <v>128</v>
      </c>
      <c r="Z26" s="43" t="s">
        <v>129</v>
      </c>
      <c r="AA26" s="50" t="s">
        <v>198</v>
      </c>
      <c r="AC26" s="46" t="s">
        <v>199</v>
      </c>
      <c r="AD26" s="47"/>
      <c r="AE26" s="43" t="s">
        <v>132</v>
      </c>
    </row>
    <row r="27">
      <c r="A27" s="52" t="s">
        <v>225</v>
      </c>
      <c r="B27" s="57" t="s">
        <v>201</v>
      </c>
      <c r="E27" s="6">
        <v>64.0</v>
      </c>
      <c r="F27" s="6">
        <v>1.6777216E8</v>
      </c>
      <c r="I27" s="10">
        <f>F27/N27/O27/P27/Q27</f>
        <v>0.3125</v>
      </c>
      <c r="N27" s="6">
        <v>16.0</v>
      </c>
      <c r="O27" s="6">
        <v>8.0</v>
      </c>
      <c r="P27" s="6">
        <v>32.0</v>
      </c>
      <c r="Q27" s="6">
        <v>131072.0</v>
      </c>
      <c r="R27" s="10">
        <v>27.72</v>
      </c>
      <c r="S27" s="10">
        <v>28.98</v>
      </c>
      <c r="T27" s="6"/>
      <c r="U27" s="6"/>
      <c r="V27" s="6">
        <v>2.52</v>
      </c>
      <c r="W27" s="6">
        <v>4096.0</v>
      </c>
      <c r="AA27" s="18">
        <f>I27*E27*V27*W27</f>
        <v>206438.4</v>
      </c>
      <c r="AC27" s="50">
        <v>6.9335E7</v>
      </c>
    </row>
    <row r="28">
      <c r="B28" s="48" t="s">
        <v>202</v>
      </c>
      <c r="E28" s="6">
        <v>64.0</v>
      </c>
      <c r="F28" s="6">
        <v>1.6777216E8</v>
      </c>
      <c r="I28" s="10">
        <f t="shared" ref="I28:I29" si="3">F28/(N28*O28*P28*Q28)</f>
        <v>0.3125</v>
      </c>
      <c r="J28" s="10">
        <f>1.8*E28*E28/E28</f>
        <v>115.2</v>
      </c>
      <c r="K28" s="10">
        <f>E28*E28/E28</f>
        <v>64</v>
      </c>
      <c r="L28" s="10">
        <f>3.6*E28*E28/E28</f>
        <v>230.4</v>
      </c>
      <c r="M28" s="6">
        <v>2.52</v>
      </c>
      <c r="N28" s="6">
        <v>16.0</v>
      </c>
      <c r="O28" s="6">
        <v>8.0</v>
      </c>
      <c r="P28" s="6">
        <v>32.0</v>
      </c>
      <c r="Q28" s="6">
        <v>131072.0</v>
      </c>
      <c r="R28" s="10">
        <v>27.72</v>
      </c>
      <c r="S28" s="10">
        <v>28.98</v>
      </c>
      <c r="AA28" s="18">
        <f>E28*I28*J28*R28+E28*I28*K28*S28+E28*I28*L28*M28</f>
        <v>112573.44</v>
      </c>
      <c r="AC28" s="18"/>
    </row>
    <row r="29">
      <c r="B29" s="58" t="s">
        <v>203</v>
      </c>
      <c r="F29" s="6">
        <v>1.6777216E8</v>
      </c>
      <c r="I29" s="10">
        <f t="shared" si="3"/>
        <v>0.3125</v>
      </c>
      <c r="N29" s="6">
        <v>16.0</v>
      </c>
      <c r="O29" s="6">
        <v>8.0</v>
      </c>
      <c r="P29" s="6">
        <v>32.0</v>
      </c>
      <c r="Q29" s="6">
        <v>131072.0</v>
      </c>
      <c r="W29" s="6"/>
      <c r="X29" s="6">
        <v>10.0</v>
      </c>
      <c r="Y29" s="6">
        <v>131072.0</v>
      </c>
      <c r="Z29" s="6">
        <v>32000.0</v>
      </c>
      <c r="AA29" s="18">
        <f>X29*I29*Y29/(Z29*10^6)*10^9</f>
        <v>12800</v>
      </c>
      <c r="AC29" s="18"/>
    </row>
    <row r="30">
      <c r="A30" s="48"/>
      <c r="B30" s="48"/>
      <c r="D30" s="49"/>
      <c r="F30" s="50"/>
      <c r="Y30" s="18"/>
      <c r="Z30" s="54" t="s">
        <v>204</v>
      </c>
      <c r="AA30" s="18">
        <f>SUM(AA27:AA29)</f>
        <v>331811.84</v>
      </c>
    </row>
    <row r="31">
      <c r="A31" s="19" t="s">
        <v>226</v>
      </c>
    </row>
    <row r="32">
      <c r="A32" s="20"/>
      <c r="B32" s="20"/>
      <c r="D32" s="6" t="s">
        <v>95</v>
      </c>
      <c r="F32" s="21" t="s">
        <v>96</v>
      </c>
      <c r="H32" s="21" t="s">
        <v>96</v>
      </c>
      <c r="I32" s="6" t="s">
        <v>95</v>
      </c>
      <c r="Y32" s="18"/>
      <c r="AA32" s="18"/>
    </row>
    <row r="33">
      <c r="A33" s="22" t="s">
        <v>185</v>
      </c>
      <c r="B33" s="22" t="s">
        <v>227</v>
      </c>
      <c r="C33" s="23" t="s">
        <v>228</v>
      </c>
      <c r="D33" s="24" t="s">
        <v>229</v>
      </c>
      <c r="E33" s="25"/>
      <c r="F33" s="26" t="s">
        <v>189</v>
      </c>
      <c r="G33" s="27" t="s">
        <v>100</v>
      </c>
      <c r="H33" s="26" t="s">
        <v>230</v>
      </c>
      <c r="I33" s="26" t="s">
        <v>231</v>
      </c>
      <c r="J33" s="28"/>
      <c r="K33" s="28"/>
      <c r="L33" s="28"/>
      <c r="M33" s="28"/>
      <c r="N33" s="51" t="s">
        <v>232</v>
      </c>
      <c r="R33" s="26" t="s">
        <v>233</v>
      </c>
      <c r="S33" s="26" t="s">
        <v>234</v>
      </c>
      <c r="T33" s="30"/>
      <c r="U33" s="30"/>
      <c r="V33" s="30" t="s">
        <v>235</v>
      </c>
      <c r="Y33" s="18"/>
      <c r="AA33" s="18"/>
      <c r="AB33" s="31"/>
      <c r="AC33" s="31"/>
    </row>
    <row r="34">
      <c r="A34" s="20"/>
      <c r="B34" s="20"/>
      <c r="C34" s="32" t="s">
        <v>106</v>
      </c>
      <c r="D34" s="33"/>
      <c r="E34" s="33"/>
      <c r="F34" s="33"/>
      <c r="G34" s="33"/>
      <c r="H34" s="33"/>
      <c r="I34" s="34"/>
      <c r="J34" s="35"/>
      <c r="K34" s="34"/>
      <c r="L34" s="36"/>
      <c r="M34" s="36"/>
      <c r="N34" s="37" t="s">
        <v>107</v>
      </c>
      <c r="O34" s="33"/>
      <c r="P34" s="33"/>
      <c r="Q34" s="34"/>
      <c r="R34" s="38" t="s">
        <v>108</v>
      </c>
      <c r="S34" s="33"/>
      <c r="T34" s="33"/>
      <c r="U34" s="33"/>
      <c r="V34" s="33"/>
      <c r="W34" s="34"/>
      <c r="X34" s="39" t="s">
        <v>109</v>
      </c>
      <c r="Y34" s="33"/>
      <c r="Z34" s="34"/>
      <c r="AA34" s="18"/>
      <c r="AC34" s="18"/>
    </row>
    <row r="35">
      <c r="A35" s="40"/>
      <c r="B35" s="40"/>
      <c r="C35" s="41" t="s">
        <v>110</v>
      </c>
      <c r="D35" s="42" t="s">
        <v>111</v>
      </c>
      <c r="E35" s="43" t="s">
        <v>112</v>
      </c>
      <c r="F35" s="44" t="s">
        <v>113</v>
      </c>
      <c r="G35" s="41" t="s">
        <v>114</v>
      </c>
      <c r="H35" s="41" t="s">
        <v>115</v>
      </c>
      <c r="I35" s="45" t="s">
        <v>116</v>
      </c>
      <c r="J35" s="43" t="s">
        <v>117</v>
      </c>
      <c r="K35" s="43" t="s">
        <v>118</v>
      </c>
      <c r="L35" s="43" t="s">
        <v>119</v>
      </c>
      <c r="M35" s="43" t="s">
        <v>120</v>
      </c>
      <c r="N35" s="44" t="s">
        <v>121</v>
      </c>
      <c r="O35" s="44" t="s">
        <v>122</v>
      </c>
      <c r="P35" s="44" t="s">
        <v>123</v>
      </c>
      <c r="Q35" s="44" t="s">
        <v>124</v>
      </c>
      <c r="R35" s="43" t="s">
        <v>125</v>
      </c>
      <c r="S35" s="43" t="s">
        <v>126</v>
      </c>
      <c r="T35" s="6"/>
      <c r="U35" s="6"/>
      <c r="V35" s="6" t="s">
        <v>196</v>
      </c>
      <c r="W35" s="43" t="s">
        <v>197</v>
      </c>
      <c r="X35" s="43" t="s">
        <v>127</v>
      </c>
      <c r="Y35" s="43" t="s">
        <v>128</v>
      </c>
      <c r="Z35" s="43" t="s">
        <v>129</v>
      </c>
      <c r="AA35" s="50" t="s">
        <v>198</v>
      </c>
      <c r="AC35" s="46" t="s">
        <v>199</v>
      </c>
      <c r="AD35" s="47"/>
    </row>
    <row r="36">
      <c r="A36" s="52" t="s">
        <v>236</v>
      </c>
      <c r="B36" s="48" t="s">
        <v>201</v>
      </c>
      <c r="E36" s="6">
        <v>64.0</v>
      </c>
      <c r="F36" s="6">
        <v>1.6777216E8</v>
      </c>
      <c r="I36" s="10">
        <f>F36/N36/O36/P36/Q36</f>
        <v>5</v>
      </c>
      <c r="N36" s="6">
        <v>16.0</v>
      </c>
      <c r="O36" s="6">
        <v>8.0</v>
      </c>
      <c r="P36" s="6">
        <v>2.0</v>
      </c>
      <c r="Q36" s="6">
        <v>131072.0</v>
      </c>
      <c r="R36" s="10">
        <v>27.72</v>
      </c>
      <c r="S36" s="10">
        <v>28.98</v>
      </c>
      <c r="T36" s="6"/>
      <c r="U36" s="6"/>
      <c r="V36" s="6">
        <v>2.52</v>
      </c>
      <c r="W36" s="6">
        <v>4096.0</v>
      </c>
      <c r="AA36" s="18">
        <f>I36*E36*V36*W36</f>
        <v>3303014.4</v>
      </c>
      <c r="AC36" s="50"/>
    </row>
    <row r="37">
      <c r="B37" s="48" t="s">
        <v>202</v>
      </c>
      <c r="E37" s="6">
        <v>64.0</v>
      </c>
      <c r="F37" s="6">
        <v>1.6777216E8</v>
      </c>
      <c r="I37" s="10">
        <f t="shared" ref="I37:I38" si="4">F37/(N37*O37*P37*Q37)</f>
        <v>5</v>
      </c>
      <c r="J37" s="10">
        <f>15.2*E37*E37/E37</f>
        <v>972.8</v>
      </c>
      <c r="K37" s="10">
        <f>8.62*E37*E37/E37</f>
        <v>551.68</v>
      </c>
      <c r="L37" s="10">
        <f>17.1*E37*E37/E37</f>
        <v>1094.4</v>
      </c>
      <c r="M37" s="6">
        <v>2.52</v>
      </c>
      <c r="N37" s="6">
        <v>16.0</v>
      </c>
      <c r="O37" s="6">
        <v>8.0</v>
      </c>
      <c r="P37" s="6">
        <v>2.0</v>
      </c>
      <c r="Q37" s="6">
        <v>131072.0</v>
      </c>
      <c r="R37" s="10">
        <v>27.72</v>
      </c>
      <c r="S37" s="10">
        <v>28.98</v>
      </c>
      <c r="AA37" s="18">
        <f>E37*I37*J37*R37+E37*I37*K37*S37+E37*I37*L37*M37</f>
        <v>14627708.93</v>
      </c>
      <c r="AC37" s="18"/>
    </row>
    <row r="38">
      <c r="B38" s="53" t="s">
        <v>203</v>
      </c>
      <c r="F38" s="6">
        <v>1.6777216E8</v>
      </c>
      <c r="I38" s="10">
        <f t="shared" si="4"/>
        <v>5</v>
      </c>
      <c r="N38" s="6">
        <v>16.0</v>
      </c>
      <c r="O38" s="6">
        <v>8.0</v>
      </c>
      <c r="P38" s="6">
        <v>2.0</v>
      </c>
      <c r="Q38" s="6">
        <v>131072.0</v>
      </c>
      <c r="W38" s="6"/>
      <c r="X38" s="6">
        <v>10.0</v>
      </c>
      <c r="Y38" s="6">
        <v>131072.0</v>
      </c>
      <c r="Z38" s="6">
        <v>32000.0</v>
      </c>
      <c r="AA38" s="18">
        <f>X38*I38*Y38/(Z38*10^6)*10^9</f>
        <v>204800</v>
      </c>
      <c r="AC38" s="18"/>
    </row>
    <row r="39">
      <c r="A39" s="48"/>
      <c r="B39" s="48"/>
      <c r="D39" s="49"/>
      <c r="F39" s="50"/>
      <c r="Y39" s="18"/>
      <c r="Z39" s="54" t="s">
        <v>204</v>
      </c>
      <c r="AA39" s="18">
        <f>SUM(AA36:AA38)</f>
        <v>18135523.33</v>
      </c>
    </row>
    <row r="40">
      <c r="A40" s="19" t="s">
        <v>237</v>
      </c>
    </row>
    <row r="41">
      <c r="A41" s="20"/>
      <c r="B41" s="20"/>
      <c r="D41" s="6" t="s">
        <v>95</v>
      </c>
      <c r="F41" s="21" t="s">
        <v>96</v>
      </c>
      <c r="H41" s="21" t="s">
        <v>96</v>
      </c>
      <c r="I41" s="6" t="s">
        <v>95</v>
      </c>
      <c r="Y41" s="18"/>
      <c r="AA41" s="18"/>
    </row>
    <row r="42">
      <c r="A42" s="22" t="s">
        <v>185</v>
      </c>
      <c r="B42" s="22" t="s">
        <v>238</v>
      </c>
      <c r="C42" s="23" t="s">
        <v>239</v>
      </c>
      <c r="D42" s="24" t="s">
        <v>240</v>
      </c>
      <c r="E42" s="25"/>
      <c r="F42" s="26" t="s">
        <v>189</v>
      </c>
      <c r="G42" s="27" t="s">
        <v>100</v>
      </c>
      <c r="H42" s="26" t="s">
        <v>241</v>
      </c>
      <c r="I42" s="26" t="s">
        <v>242</v>
      </c>
      <c r="J42" s="28"/>
      <c r="K42" s="28"/>
      <c r="L42" s="28"/>
      <c r="M42" s="28"/>
      <c r="N42" s="51" t="s">
        <v>243</v>
      </c>
      <c r="R42" s="26" t="s">
        <v>244</v>
      </c>
      <c r="S42" s="26" t="s">
        <v>245</v>
      </c>
      <c r="T42" s="30"/>
      <c r="U42" s="30"/>
      <c r="V42" s="30" t="s">
        <v>246</v>
      </c>
      <c r="Y42" s="18"/>
      <c r="AA42" s="18"/>
      <c r="AB42" s="31"/>
      <c r="AC42" s="31"/>
    </row>
    <row r="43">
      <c r="A43" s="20"/>
      <c r="B43" s="20"/>
      <c r="C43" s="32" t="s">
        <v>106</v>
      </c>
      <c r="D43" s="33"/>
      <c r="E43" s="33"/>
      <c r="F43" s="33"/>
      <c r="G43" s="33"/>
      <c r="H43" s="33"/>
      <c r="I43" s="34"/>
      <c r="J43" s="35"/>
      <c r="K43" s="34"/>
      <c r="L43" s="36"/>
      <c r="M43" s="36"/>
      <c r="N43" s="37" t="s">
        <v>107</v>
      </c>
      <c r="O43" s="33"/>
      <c r="P43" s="33"/>
      <c r="Q43" s="34"/>
      <c r="R43" s="38" t="s">
        <v>108</v>
      </c>
      <c r="S43" s="33"/>
      <c r="T43" s="33"/>
      <c r="U43" s="33"/>
      <c r="V43" s="33"/>
      <c r="W43" s="34"/>
      <c r="X43" s="39" t="s">
        <v>109</v>
      </c>
      <c r="Y43" s="33"/>
      <c r="Z43" s="34"/>
      <c r="AA43" s="18"/>
      <c r="AC43" s="18"/>
    </row>
    <row r="44">
      <c r="A44" s="40"/>
      <c r="B44" s="40"/>
      <c r="C44" s="41" t="s">
        <v>110</v>
      </c>
      <c r="D44" s="42" t="s">
        <v>111</v>
      </c>
      <c r="E44" s="43" t="s">
        <v>112</v>
      </c>
      <c r="F44" s="44" t="s">
        <v>113</v>
      </c>
      <c r="G44" s="41" t="s">
        <v>114</v>
      </c>
      <c r="H44" s="41" t="s">
        <v>115</v>
      </c>
      <c r="I44" s="45" t="s">
        <v>116</v>
      </c>
      <c r="J44" s="43" t="s">
        <v>117</v>
      </c>
      <c r="K44" s="43" t="s">
        <v>118</v>
      </c>
      <c r="L44" s="43" t="s">
        <v>119</v>
      </c>
      <c r="M44" s="43" t="s">
        <v>120</v>
      </c>
      <c r="N44" s="44" t="s">
        <v>121</v>
      </c>
      <c r="O44" s="44" t="s">
        <v>122</v>
      </c>
      <c r="P44" s="44" t="s">
        <v>123</v>
      </c>
      <c r="Q44" s="44" t="s">
        <v>124</v>
      </c>
      <c r="R44" s="43" t="s">
        <v>125</v>
      </c>
      <c r="S44" s="43" t="s">
        <v>126</v>
      </c>
      <c r="T44" s="6"/>
      <c r="U44" s="6"/>
      <c r="V44" s="6" t="s">
        <v>196</v>
      </c>
      <c r="W44" s="43" t="s">
        <v>197</v>
      </c>
      <c r="X44" s="43" t="s">
        <v>127</v>
      </c>
      <c r="Y44" s="43" t="s">
        <v>128</v>
      </c>
      <c r="Z44" s="43" t="s">
        <v>129</v>
      </c>
      <c r="AA44" s="50" t="s">
        <v>198</v>
      </c>
      <c r="AC44" s="46" t="s">
        <v>199</v>
      </c>
      <c r="AD44" s="47"/>
    </row>
    <row r="45">
      <c r="A45" s="52" t="s">
        <v>247</v>
      </c>
      <c r="B45" s="48" t="s">
        <v>201</v>
      </c>
      <c r="E45" s="6">
        <v>64.0</v>
      </c>
      <c r="F45" s="6">
        <v>1.6777216E8</v>
      </c>
      <c r="I45" s="10">
        <f>F45/N45/O45/P45/Q45</f>
        <v>0.3125</v>
      </c>
      <c r="N45" s="6">
        <v>16.0</v>
      </c>
      <c r="O45" s="6">
        <v>8.0</v>
      </c>
      <c r="P45" s="6">
        <v>32.0</v>
      </c>
      <c r="Q45" s="6">
        <v>131072.0</v>
      </c>
      <c r="R45" s="10">
        <v>27.72</v>
      </c>
      <c r="S45" s="10">
        <v>28.98</v>
      </c>
      <c r="T45" s="6"/>
      <c r="U45" s="6"/>
      <c r="V45" s="6">
        <v>2.52</v>
      </c>
      <c r="W45" s="6">
        <v>4096.0</v>
      </c>
      <c r="AA45" s="18">
        <f>I45*E45*V45*W45</f>
        <v>206438.4</v>
      </c>
      <c r="AC45" s="50"/>
    </row>
    <row r="46">
      <c r="B46" s="48" t="s">
        <v>202</v>
      </c>
      <c r="E46" s="6">
        <v>64.0</v>
      </c>
      <c r="F46" s="6">
        <v>1.6777216E8</v>
      </c>
      <c r="I46" s="10">
        <f t="shared" ref="I46:I47" si="5">F46/(N46*O46*P46*Q46)</f>
        <v>0.3125</v>
      </c>
      <c r="J46" s="10">
        <f>7.6*E46*E46/E46</f>
        <v>486.4</v>
      </c>
      <c r="K46" s="10">
        <f>4.33*E46*E46/E46</f>
        <v>277.12</v>
      </c>
      <c r="L46" s="10">
        <f>16*E46*E46/E46</f>
        <v>1024</v>
      </c>
      <c r="M46" s="6">
        <v>2.52</v>
      </c>
      <c r="N46" s="6">
        <v>16.0</v>
      </c>
      <c r="O46" s="6">
        <v>8.0</v>
      </c>
      <c r="P46" s="6">
        <v>32.0</v>
      </c>
      <c r="Q46" s="6">
        <v>131072.0</v>
      </c>
      <c r="R46" s="10">
        <v>27.72</v>
      </c>
      <c r="S46" s="10">
        <v>28.98</v>
      </c>
      <c r="AA46" s="18">
        <f>E46*I46*J46*R46+E46*I46*K46*S46+E46*I46*L46*M46</f>
        <v>481888.512</v>
      </c>
      <c r="AC46" s="18"/>
    </row>
    <row r="47">
      <c r="B47" s="53" t="s">
        <v>203</v>
      </c>
      <c r="F47" s="6">
        <v>1.6777216E8</v>
      </c>
      <c r="I47" s="10">
        <f t="shared" si="5"/>
        <v>0.3125</v>
      </c>
      <c r="N47" s="6">
        <v>16.0</v>
      </c>
      <c r="O47" s="6">
        <v>8.0</v>
      </c>
      <c r="P47" s="6">
        <v>32.0</v>
      </c>
      <c r="Q47" s="6">
        <v>131072.0</v>
      </c>
      <c r="W47" s="6"/>
      <c r="X47" s="6">
        <v>10.0</v>
      </c>
      <c r="Y47" s="6">
        <v>131072.0</v>
      </c>
      <c r="Z47" s="6">
        <v>32000.0</v>
      </c>
      <c r="AA47" s="18">
        <f>X47*I47*Y47/(Z47*10^6)*10^9</f>
        <v>12800</v>
      </c>
      <c r="AC47" s="18"/>
    </row>
    <row r="48">
      <c r="A48" s="48"/>
      <c r="B48" s="48"/>
      <c r="D48" s="49"/>
      <c r="F48" s="50"/>
      <c r="Y48" s="18"/>
      <c r="Z48" s="54" t="s">
        <v>204</v>
      </c>
      <c r="AA48" s="18">
        <f>SUM(AA45:AA47)</f>
        <v>701126.912</v>
      </c>
    </row>
    <row r="49">
      <c r="Y49" s="18"/>
      <c r="AA49" s="18"/>
    </row>
    <row r="50">
      <c r="A50" s="19" t="s">
        <v>248</v>
      </c>
    </row>
    <row r="51">
      <c r="A51" s="20"/>
      <c r="B51" s="20"/>
      <c r="D51" s="6" t="s">
        <v>95</v>
      </c>
      <c r="F51" s="21" t="s">
        <v>96</v>
      </c>
      <c r="H51" s="21" t="s">
        <v>96</v>
      </c>
      <c r="I51" s="6" t="s">
        <v>95</v>
      </c>
      <c r="Y51" s="18"/>
      <c r="AA51" s="18"/>
    </row>
    <row r="52">
      <c r="A52" s="22" t="s">
        <v>185</v>
      </c>
      <c r="B52" s="22" t="s">
        <v>249</v>
      </c>
      <c r="C52" s="23" t="s">
        <v>250</v>
      </c>
      <c r="D52" s="24" t="s">
        <v>251</v>
      </c>
      <c r="E52" s="25"/>
      <c r="F52" s="26" t="s">
        <v>189</v>
      </c>
      <c r="G52" s="27" t="s">
        <v>100</v>
      </c>
      <c r="H52" s="26" t="s">
        <v>252</v>
      </c>
      <c r="I52" s="26" t="s">
        <v>253</v>
      </c>
      <c r="J52" s="28"/>
      <c r="K52" s="28"/>
      <c r="L52" s="28"/>
      <c r="M52" s="28"/>
      <c r="N52" s="51" t="s">
        <v>254</v>
      </c>
      <c r="R52" s="26" t="s">
        <v>255</v>
      </c>
      <c r="S52" s="26" t="s">
        <v>256</v>
      </c>
      <c r="T52" s="30"/>
      <c r="U52" s="30"/>
      <c r="V52" s="30" t="s">
        <v>257</v>
      </c>
      <c r="Y52" s="18"/>
      <c r="AA52" s="18"/>
      <c r="AB52" s="31"/>
      <c r="AC52" s="31"/>
    </row>
    <row r="53">
      <c r="A53" s="20"/>
      <c r="B53" s="20"/>
      <c r="C53" s="32" t="s">
        <v>106</v>
      </c>
      <c r="D53" s="33"/>
      <c r="E53" s="33"/>
      <c r="F53" s="33"/>
      <c r="G53" s="33"/>
      <c r="H53" s="33"/>
      <c r="I53" s="34"/>
      <c r="J53" s="35"/>
      <c r="K53" s="34"/>
      <c r="L53" s="36"/>
      <c r="M53" s="36"/>
      <c r="N53" s="37" t="s">
        <v>107</v>
      </c>
      <c r="O53" s="33"/>
      <c r="P53" s="33"/>
      <c r="Q53" s="34"/>
      <c r="R53" s="38" t="s">
        <v>108</v>
      </c>
      <c r="S53" s="33"/>
      <c r="T53" s="33"/>
      <c r="U53" s="33"/>
      <c r="V53" s="33"/>
      <c r="W53" s="34"/>
      <c r="X53" s="39" t="s">
        <v>109</v>
      </c>
      <c r="Y53" s="33"/>
      <c r="Z53" s="34"/>
      <c r="AA53" s="18"/>
      <c r="AC53" s="18"/>
    </row>
    <row r="54">
      <c r="A54" s="40"/>
      <c r="B54" s="40"/>
      <c r="C54" s="41" t="s">
        <v>110</v>
      </c>
      <c r="D54" s="42" t="s">
        <v>111</v>
      </c>
      <c r="E54" s="43" t="s">
        <v>112</v>
      </c>
      <c r="F54" s="44" t="s">
        <v>113</v>
      </c>
      <c r="G54" s="41" t="s">
        <v>114</v>
      </c>
      <c r="H54" s="41" t="s">
        <v>115</v>
      </c>
      <c r="I54" s="45" t="s">
        <v>116</v>
      </c>
      <c r="J54" s="43" t="s">
        <v>117</v>
      </c>
      <c r="K54" s="43" t="s">
        <v>118</v>
      </c>
      <c r="L54" s="43" t="s">
        <v>119</v>
      </c>
      <c r="M54" s="43" t="s">
        <v>120</v>
      </c>
      <c r="N54" s="44" t="s">
        <v>121</v>
      </c>
      <c r="O54" s="44" t="s">
        <v>122</v>
      </c>
      <c r="P54" s="44" t="s">
        <v>123</v>
      </c>
      <c r="Q54" s="44" t="s">
        <v>124</v>
      </c>
      <c r="R54" s="43" t="s">
        <v>125</v>
      </c>
      <c r="S54" s="43" t="s">
        <v>126</v>
      </c>
      <c r="T54" s="6"/>
      <c r="U54" s="6"/>
      <c r="V54" s="6" t="s">
        <v>196</v>
      </c>
      <c r="W54" s="43" t="s">
        <v>197</v>
      </c>
      <c r="X54" s="43" t="s">
        <v>127</v>
      </c>
      <c r="Y54" s="43" t="s">
        <v>128</v>
      </c>
      <c r="Z54" s="43" t="s">
        <v>129</v>
      </c>
      <c r="AA54" s="50" t="s">
        <v>198</v>
      </c>
      <c r="AC54" s="46" t="s">
        <v>199</v>
      </c>
      <c r="AD54" s="47"/>
    </row>
    <row r="55">
      <c r="A55" s="52" t="s">
        <v>258</v>
      </c>
      <c r="B55" s="48" t="s">
        <v>201</v>
      </c>
      <c r="E55" s="6">
        <v>64.0</v>
      </c>
      <c r="F55" s="6">
        <v>1.6777216E8</v>
      </c>
      <c r="I55" s="10">
        <f>F55/N55/O55/P55/Q55</f>
        <v>1.25</v>
      </c>
      <c r="N55" s="6">
        <v>16.0</v>
      </c>
      <c r="O55" s="6">
        <v>8.0</v>
      </c>
      <c r="P55" s="6">
        <v>8.0</v>
      </c>
      <c r="Q55" s="6">
        <v>131072.0</v>
      </c>
      <c r="R55" s="10">
        <v>27.72</v>
      </c>
      <c r="S55" s="10">
        <v>28.98</v>
      </c>
      <c r="T55" s="6"/>
      <c r="U55" s="6"/>
      <c r="V55" s="6">
        <v>2.52</v>
      </c>
      <c r="W55" s="6">
        <v>4096.0</v>
      </c>
      <c r="AA55" s="18">
        <f>I55*E55*V55*W55</f>
        <v>825753.6</v>
      </c>
      <c r="AC55" s="50"/>
    </row>
    <row r="56">
      <c r="B56" s="48" t="s">
        <v>202</v>
      </c>
      <c r="E56" s="6">
        <v>64.0</v>
      </c>
      <c r="F56" s="6">
        <v>1.6777216E8</v>
      </c>
      <c r="I56" s="10">
        <f t="shared" ref="I56:I57" si="6">F56/(N56*O56*P56*Q56)</f>
        <v>1.25</v>
      </c>
      <c r="J56" s="10">
        <f>5.12*E56*E56/E56</f>
        <v>327.68</v>
      </c>
      <c r="K56" s="10">
        <f>2.73*E56*E56/E56</f>
        <v>174.72</v>
      </c>
      <c r="L56" s="10">
        <f>5.17*E56*E56/E56</f>
        <v>330.88</v>
      </c>
      <c r="M56" s="6">
        <v>2.52</v>
      </c>
      <c r="N56" s="6">
        <v>16.0</v>
      </c>
      <c r="O56" s="6">
        <v>8.0</v>
      </c>
      <c r="P56" s="6">
        <v>8.0</v>
      </c>
      <c r="Q56" s="6">
        <v>131072.0</v>
      </c>
      <c r="R56" s="10">
        <v>27.72</v>
      </c>
      <c r="S56" s="10">
        <v>28.98</v>
      </c>
      <c r="AA56" s="18">
        <f>E56*I56*J56*R56+E56*I56*K56*S56+E56*I56*L56*M56</f>
        <v>1198439.424</v>
      </c>
      <c r="AC56" s="18"/>
    </row>
    <row r="57">
      <c r="B57" s="53" t="s">
        <v>203</v>
      </c>
      <c r="F57" s="6">
        <v>1.6777216E8</v>
      </c>
      <c r="I57" s="10">
        <f t="shared" si="6"/>
        <v>1.25</v>
      </c>
      <c r="N57" s="6">
        <v>16.0</v>
      </c>
      <c r="O57" s="6">
        <v>8.0</v>
      </c>
      <c r="P57" s="6">
        <v>8.0</v>
      </c>
      <c r="Q57" s="6">
        <v>131072.0</v>
      </c>
      <c r="W57" s="6"/>
      <c r="X57" s="6">
        <v>10.0</v>
      </c>
      <c r="Y57" s="6">
        <v>131072.0</v>
      </c>
      <c r="Z57" s="6">
        <v>32000.0</v>
      </c>
      <c r="AA57" s="18">
        <f>X57*I57*Y57/(Z57*10^6)*10^9</f>
        <v>51200</v>
      </c>
      <c r="AC57" s="18"/>
    </row>
    <row r="58">
      <c r="A58" s="48"/>
      <c r="B58" s="48"/>
      <c r="D58" s="49"/>
      <c r="F58" s="50"/>
      <c r="Y58" s="18"/>
      <c r="Z58" s="54" t="s">
        <v>204</v>
      </c>
      <c r="AA58" s="18">
        <f>SUM(AA55:AA57)</f>
        <v>2075393.024</v>
      </c>
    </row>
    <row r="59">
      <c r="Y59" s="18"/>
      <c r="AA59" s="18"/>
    </row>
    <row r="60">
      <c r="A60" s="19" t="s">
        <v>259</v>
      </c>
    </row>
    <row r="61">
      <c r="A61" s="20"/>
      <c r="B61" s="20"/>
      <c r="D61" s="6" t="s">
        <v>95</v>
      </c>
      <c r="F61" s="21" t="s">
        <v>96</v>
      </c>
      <c r="H61" s="21" t="s">
        <v>96</v>
      </c>
      <c r="I61" s="6" t="s">
        <v>95</v>
      </c>
      <c r="Y61" s="18"/>
      <c r="AA61" s="18"/>
    </row>
    <row r="62">
      <c r="A62" s="22" t="s">
        <v>185</v>
      </c>
      <c r="B62" s="22" t="s">
        <v>260</v>
      </c>
      <c r="C62" s="23" t="s">
        <v>261</v>
      </c>
      <c r="D62" s="24" t="s">
        <v>262</v>
      </c>
      <c r="E62" s="25"/>
      <c r="F62" s="26" t="s">
        <v>189</v>
      </c>
      <c r="G62" s="27" t="s">
        <v>100</v>
      </c>
      <c r="H62" s="26" t="s">
        <v>263</v>
      </c>
      <c r="I62" s="26" t="s">
        <v>264</v>
      </c>
      <c r="J62" s="28"/>
      <c r="K62" s="28"/>
      <c r="L62" s="28"/>
      <c r="M62" s="28"/>
      <c r="N62" s="51" t="s">
        <v>265</v>
      </c>
      <c r="R62" s="26" t="s">
        <v>266</v>
      </c>
      <c r="S62" s="26" t="s">
        <v>267</v>
      </c>
      <c r="T62" s="30"/>
      <c r="U62" s="30"/>
      <c r="V62" s="30" t="s">
        <v>268</v>
      </c>
      <c r="Y62" s="18"/>
      <c r="AA62" s="18"/>
      <c r="AB62" s="31"/>
      <c r="AC62" s="31"/>
    </row>
    <row r="63">
      <c r="A63" s="20"/>
      <c r="B63" s="20"/>
      <c r="C63" s="32" t="s">
        <v>106</v>
      </c>
      <c r="D63" s="33"/>
      <c r="E63" s="33"/>
      <c r="F63" s="33"/>
      <c r="G63" s="33"/>
      <c r="H63" s="33"/>
      <c r="I63" s="34"/>
      <c r="J63" s="35"/>
      <c r="K63" s="34"/>
      <c r="L63" s="36"/>
      <c r="M63" s="36"/>
      <c r="N63" s="37" t="s">
        <v>107</v>
      </c>
      <c r="O63" s="33"/>
      <c r="P63" s="33"/>
      <c r="Q63" s="34"/>
      <c r="R63" s="38" t="s">
        <v>108</v>
      </c>
      <c r="S63" s="33"/>
      <c r="T63" s="33"/>
      <c r="U63" s="33"/>
      <c r="V63" s="33"/>
      <c r="W63" s="34"/>
      <c r="X63" s="39" t="s">
        <v>109</v>
      </c>
      <c r="Y63" s="33"/>
      <c r="Z63" s="34"/>
      <c r="AA63" s="18"/>
      <c r="AC63" s="18"/>
    </row>
    <row r="64">
      <c r="A64" s="40"/>
      <c r="B64" s="40"/>
      <c r="C64" s="41" t="s">
        <v>110</v>
      </c>
      <c r="D64" s="42" t="s">
        <v>111</v>
      </c>
      <c r="E64" s="43" t="s">
        <v>112</v>
      </c>
      <c r="F64" s="44" t="s">
        <v>113</v>
      </c>
      <c r="G64" s="41" t="s">
        <v>114</v>
      </c>
      <c r="H64" s="41" t="s">
        <v>115</v>
      </c>
      <c r="I64" s="45" t="s">
        <v>116</v>
      </c>
      <c r="J64" s="43" t="s">
        <v>117</v>
      </c>
      <c r="K64" s="43" t="s">
        <v>118</v>
      </c>
      <c r="L64" s="43" t="s">
        <v>119</v>
      </c>
      <c r="M64" s="43" t="s">
        <v>120</v>
      </c>
      <c r="N64" s="44" t="s">
        <v>121</v>
      </c>
      <c r="O64" s="44" t="s">
        <v>122</v>
      </c>
      <c r="P64" s="44" t="s">
        <v>123</v>
      </c>
      <c r="Q64" s="44" t="s">
        <v>124</v>
      </c>
      <c r="R64" s="43" t="s">
        <v>125</v>
      </c>
      <c r="S64" s="43" t="s">
        <v>126</v>
      </c>
      <c r="T64" s="6"/>
      <c r="U64" s="6"/>
      <c r="V64" s="6" t="s">
        <v>196</v>
      </c>
      <c r="W64" s="43" t="s">
        <v>197</v>
      </c>
      <c r="X64" s="43" t="s">
        <v>127</v>
      </c>
      <c r="Y64" s="43" t="s">
        <v>128</v>
      </c>
      <c r="Z64" s="43" t="s">
        <v>129</v>
      </c>
      <c r="AA64" s="50" t="s">
        <v>198</v>
      </c>
      <c r="AC64" s="46" t="s">
        <v>199</v>
      </c>
      <c r="AD64" s="47"/>
    </row>
    <row r="65">
      <c r="A65" s="52" t="s">
        <v>269</v>
      </c>
      <c r="B65" s="48" t="s">
        <v>201</v>
      </c>
      <c r="E65" s="6">
        <v>64.0</v>
      </c>
      <c r="F65" s="6">
        <v>1.6777216E8</v>
      </c>
      <c r="I65" s="10">
        <f>F65/N65/O65/P65/Q65</f>
        <v>0.3125</v>
      </c>
      <c r="N65" s="6">
        <v>16.0</v>
      </c>
      <c r="O65" s="6">
        <v>8.0</v>
      </c>
      <c r="P65" s="6">
        <v>32.0</v>
      </c>
      <c r="Q65" s="6">
        <v>131072.0</v>
      </c>
      <c r="R65" s="10">
        <v>27.72</v>
      </c>
      <c r="S65" s="10">
        <v>28.98</v>
      </c>
      <c r="T65" s="6"/>
      <c r="U65" s="6"/>
      <c r="V65" s="6">
        <v>2.52</v>
      </c>
      <c r="W65" s="6">
        <v>4096.0</v>
      </c>
      <c r="AA65" s="18">
        <f>I65*E65*V65*W65</f>
        <v>206438.4</v>
      </c>
      <c r="AC65" s="50"/>
    </row>
    <row r="66">
      <c r="B66" s="48" t="s">
        <v>202</v>
      </c>
      <c r="E66" s="6">
        <v>64.0</v>
      </c>
      <c r="F66" s="6">
        <v>1.6777216E8</v>
      </c>
      <c r="I66" s="10">
        <f t="shared" ref="I66:I67" si="7">F66/(N66*O66*P66*Q66)</f>
        <v>0.3125</v>
      </c>
      <c r="J66" s="10">
        <f>3.32*E66*E66/E66</f>
        <v>212.48</v>
      </c>
      <c r="K66" s="10">
        <f>1.8*E66*E66/E66</f>
        <v>115.2</v>
      </c>
      <c r="L66" s="10">
        <f>4.3*E66*E66/E66</f>
        <v>275.2</v>
      </c>
      <c r="M66" s="6">
        <v>2.52</v>
      </c>
      <c r="N66" s="6">
        <v>16.0</v>
      </c>
      <c r="O66" s="6">
        <v>8.0</v>
      </c>
      <c r="P66" s="6">
        <v>32.0</v>
      </c>
      <c r="Q66" s="6">
        <v>131072.0</v>
      </c>
      <c r="R66" s="10">
        <v>27.72</v>
      </c>
      <c r="S66" s="10">
        <v>28.98</v>
      </c>
      <c r="AA66" s="18">
        <f>E66*I66*J66*R66+E66*I66*K66*S66+E66*I66*L66*M66</f>
        <v>198438.912</v>
      </c>
      <c r="AC66" s="18"/>
    </row>
    <row r="67">
      <c r="B67" s="53" t="s">
        <v>203</v>
      </c>
      <c r="F67" s="6">
        <v>1.6777216E8</v>
      </c>
      <c r="I67" s="10">
        <f t="shared" si="7"/>
        <v>0.3125</v>
      </c>
      <c r="N67" s="6">
        <v>16.0</v>
      </c>
      <c r="O67" s="6">
        <v>8.0</v>
      </c>
      <c r="P67" s="6">
        <v>32.0</v>
      </c>
      <c r="Q67" s="6">
        <v>131072.0</v>
      </c>
      <c r="W67" s="6"/>
      <c r="X67" s="6">
        <v>10.0</v>
      </c>
      <c r="Y67" s="6">
        <v>131072.0</v>
      </c>
      <c r="Z67" s="6">
        <v>32000.0</v>
      </c>
      <c r="AA67" s="18">
        <f>X67*I67*Y67/(Z67*10^6)*10^9</f>
        <v>12800</v>
      </c>
      <c r="AC67" s="18"/>
    </row>
    <row r="68">
      <c r="A68" s="48"/>
      <c r="B68" s="48"/>
      <c r="D68" s="49"/>
      <c r="F68" s="50"/>
      <c r="Y68" s="18"/>
      <c r="Z68" s="54" t="s">
        <v>204</v>
      </c>
      <c r="AA68" s="18">
        <f>SUM(AA65:AA67)</f>
        <v>417677.312</v>
      </c>
    </row>
    <row r="69">
      <c r="Y69" s="18"/>
      <c r="AA69" s="18"/>
    </row>
    <row r="70">
      <c r="Y70" s="18"/>
      <c r="AA70" s="18"/>
    </row>
    <row r="71">
      <c r="Y71" s="18"/>
      <c r="AA71" s="18"/>
    </row>
    <row r="72">
      <c r="Y72" s="18"/>
      <c r="AA72" s="18"/>
    </row>
    <row r="73">
      <c r="Y73" s="18"/>
      <c r="AA73" s="18"/>
    </row>
    <row r="74">
      <c r="Y74" s="18"/>
      <c r="AA74" s="18"/>
    </row>
    <row r="75">
      <c r="Y75" s="18"/>
      <c r="AA75" s="18"/>
    </row>
    <row r="76">
      <c r="Y76" s="18"/>
      <c r="AA76" s="18"/>
    </row>
    <row r="77">
      <c r="Y77" s="18"/>
      <c r="AA77" s="18"/>
    </row>
    <row r="78">
      <c r="Y78" s="18"/>
      <c r="AA78" s="18"/>
    </row>
    <row r="79">
      <c r="Y79" s="18"/>
      <c r="AA79" s="18"/>
    </row>
    <row r="80">
      <c r="Y80" s="18"/>
      <c r="AA80" s="18"/>
    </row>
    <row r="81">
      <c r="Y81" s="18"/>
      <c r="AA81" s="18"/>
    </row>
    <row r="82">
      <c r="Y82" s="18"/>
      <c r="AA82" s="18"/>
    </row>
    <row r="83">
      <c r="Y83" s="18"/>
      <c r="AA83" s="18"/>
    </row>
    <row r="84">
      <c r="Y84" s="18"/>
      <c r="AA84" s="18"/>
    </row>
    <row r="85">
      <c r="Y85" s="18"/>
      <c r="AA85" s="18"/>
    </row>
    <row r="86">
      <c r="Y86" s="18"/>
      <c r="AA86" s="18"/>
    </row>
    <row r="87">
      <c r="Y87" s="18"/>
      <c r="AA87" s="18"/>
    </row>
    <row r="88">
      <c r="Y88" s="18"/>
      <c r="AA88" s="18"/>
    </row>
    <row r="89">
      <c r="Y89" s="18"/>
      <c r="AA89" s="18"/>
    </row>
    <row r="90">
      <c r="Y90" s="18"/>
      <c r="AA90" s="18"/>
    </row>
    <row r="91">
      <c r="Y91" s="18"/>
      <c r="AA91" s="18"/>
    </row>
    <row r="92">
      <c r="Y92" s="18"/>
      <c r="AA92" s="18"/>
    </row>
    <row r="93">
      <c r="Y93" s="18"/>
      <c r="AA93" s="18"/>
    </row>
    <row r="94">
      <c r="Y94" s="18"/>
      <c r="AA94" s="18"/>
    </row>
    <row r="95">
      <c r="Y95" s="18"/>
      <c r="AA95" s="18"/>
    </row>
    <row r="96">
      <c r="Y96" s="18"/>
      <c r="AA96" s="18"/>
    </row>
    <row r="97">
      <c r="Y97" s="18"/>
      <c r="AA97" s="18"/>
    </row>
    <row r="98">
      <c r="Y98" s="18"/>
      <c r="AA98" s="18"/>
    </row>
    <row r="99">
      <c r="Y99" s="18"/>
      <c r="AA99" s="18"/>
    </row>
    <row r="100">
      <c r="Y100" s="18"/>
      <c r="AA100" s="18"/>
    </row>
    <row r="101">
      <c r="Y101" s="18"/>
      <c r="AA101" s="18"/>
    </row>
    <row r="102">
      <c r="Y102" s="18"/>
      <c r="AA102" s="18"/>
    </row>
    <row r="103">
      <c r="Y103" s="18"/>
      <c r="AA103" s="18"/>
    </row>
    <row r="104">
      <c r="Y104" s="18"/>
      <c r="AA104" s="18"/>
    </row>
    <row r="105">
      <c r="Y105" s="18"/>
      <c r="AA105" s="18"/>
    </row>
    <row r="106">
      <c r="Y106" s="18"/>
      <c r="AA106" s="18"/>
    </row>
    <row r="107">
      <c r="Y107" s="18"/>
      <c r="AA107" s="18"/>
    </row>
    <row r="108">
      <c r="Y108" s="18"/>
      <c r="AA108" s="18"/>
    </row>
    <row r="109">
      <c r="Y109" s="18"/>
      <c r="AA109" s="18"/>
    </row>
    <row r="110">
      <c r="Y110" s="18"/>
      <c r="AA110" s="18"/>
    </row>
    <row r="111">
      <c r="Y111" s="18"/>
      <c r="AA111" s="18"/>
    </row>
    <row r="112">
      <c r="Y112" s="18"/>
      <c r="AA112" s="18"/>
    </row>
    <row r="113">
      <c r="Y113" s="18"/>
      <c r="AA113" s="18"/>
    </row>
    <row r="114">
      <c r="Y114" s="18"/>
      <c r="AA114" s="18"/>
    </row>
    <row r="115">
      <c r="Y115" s="18"/>
      <c r="AA115" s="18"/>
    </row>
    <row r="116">
      <c r="Y116" s="18"/>
      <c r="AA116" s="18"/>
    </row>
    <row r="117">
      <c r="Y117" s="18"/>
      <c r="AA117" s="18"/>
    </row>
    <row r="118">
      <c r="Y118" s="18"/>
      <c r="AA118" s="18"/>
    </row>
    <row r="119">
      <c r="Y119" s="18"/>
      <c r="AA119" s="18"/>
    </row>
    <row r="120">
      <c r="Y120" s="18"/>
      <c r="AA120" s="18"/>
    </row>
    <row r="121">
      <c r="Y121" s="18"/>
      <c r="AA121" s="18"/>
    </row>
    <row r="122">
      <c r="Y122" s="18"/>
      <c r="AA122" s="18"/>
    </row>
    <row r="123">
      <c r="Y123" s="18"/>
      <c r="AA123" s="18"/>
    </row>
    <row r="124">
      <c r="Y124" s="18"/>
      <c r="AA124" s="18"/>
    </row>
    <row r="125">
      <c r="Y125" s="18"/>
      <c r="AA125" s="18"/>
    </row>
    <row r="126">
      <c r="Y126" s="18"/>
      <c r="AA126" s="18"/>
    </row>
    <row r="127">
      <c r="Y127" s="18"/>
      <c r="AA127" s="18"/>
    </row>
    <row r="128">
      <c r="Y128" s="18"/>
      <c r="AA128" s="18"/>
    </row>
    <row r="129">
      <c r="Y129" s="18"/>
      <c r="AA129" s="18"/>
    </row>
    <row r="130">
      <c r="Y130" s="18"/>
      <c r="AA130" s="18"/>
    </row>
    <row r="131">
      <c r="Y131" s="18"/>
      <c r="AA131" s="18"/>
    </row>
    <row r="132">
      <c r="Y132" s="18"/>
      <c r="AA132" s="18"/>
    </row>
    <row r="133">
      <c r="Y133" s="18"/>
      <c r="AA133" s="18"/>
    </row>
    <row r="134">
      <c r="Y134" s="18"/>
      <c r="AA134" s="18"/>
    </row>
    <row r="135">
      <c r="Y135" s="18"/>
      <c r="AA135" s="18"/>
    </row>
    <row r="136">
      <c r="Y136" s="18"/>
      <c r="AA136" s="18"/>
    </row>
    <row r="137">
      <c r="Y137" s="18"/>
      <c r="AA137" s="18"/>
    </row>
    <row r="138">
      <c r="Y138" s="18"/>
      <c r="AA138" s="18"/>
    </row>
    <row r="139">
      <c r="Y139" s="18"/>
      <c r="AA139" s="18"/>
    </row>
    <row r="140">
      <c r="Y140" s="18"/>
      <c r="AA140" s="18"/>
    </row>
    <row r="141">
      <c r="Y141" s="18"/>
      <c r="AA141" s="18"/>
    </row>
    <row r="142">
      <c r="Y142" s="18"/>
      <c r="AA142" s="18"/>
    </row>
    <row r="143">
      <c r="Y143" s="18"/>
      <c r="AA143" s="18"/>
    </row>
    <row r="144">
      <c r="Y144" s="18"/>
      <c r="AA144" s="18"/>
    </row>
    <row r="145">
      <c r="Y145" s="18"/>
      <c r="AA145" s="18"/>
    </row>
    <row r="146">
      <c r="Y146" s="18"/>
      <c r="AA146" s="18"/>
    </row>
    <row r="147">
      <c r="Y147" s="18"/>
      <c r="AA147" s="18"/>
    </row>
    <row r="148">
      <c r="Y148" s="18"/>
      <c r="AA148" s="18"/>
    </row>
    <row r="149">
      <c r="Y149" s="18"/>
      <c r="AA149" s="18"/>
    </row>
    <row r="150">
      <c r="Y150" s="18"/>
      <c r="AA150" s="18"/>
    </row>
    <row r="151">
      <c r="Y151" s="18"/>
      <c r="AA151" s="18"/>
    </row>
    <row r="152">
      <c r="Y152" s="18"/>
      <c r="AA152" s="18"/>
    </row>
    <row r="153">
      <c r="Y153" s="18"/>
      <c r="AA153" s="18"/>
    </row>
    <row r="154">
      <c r="Y154" s="18"/>
      <c r="AA154" s="18"/>
    </row>
    <row r="155">
      <c r="Y155" s="18"/>
      <c r="AA155" s="18"/>
    </row>
    <row r="156">
      <c r="Y156" s="18"/>
      <c r="AA156" s="18"/>
    </row>
    <row r="157">
      <c r="Y157" s="18"/>
      <c r="AA157" s="18"/>
    </row>
    <row r="158">
      <c r="Y158" s="18"/>
      <c r="AA158" s="18"/>
    </row>
    <row r="159">
      <c r="Y159" s="18"/>
      <c r="AA159" s="18"/>
    </row>
    <row r="160">
      <c r="Y160" s="18"/>
      <c r="AA160" s="18"/>
    </row>
    <row r="161">
      <c r="Y161" s="18"/>
      <c r="AA161" s="18"/>
    </row>
    <row r="162">
      <c r="Y162" s="18"/>
      <c r="AA162" s="18"/>
    </row>
    <row r="163">
      <c r="Y163" s="18"/>
      <c r="AA163" s="18"/>
    </row>
    <row r="164">
      <c r="Y164" s="18"/>
      <c r="AA164" s="18"/>
    </row>
    <row r="165">
      <c r="Y165" s="18"/>
      <c r="AA165" s="18"/>
    </row>
    <row r="166">
      <c r="Y166" s="18"/>
      <c r="AA166" s="18"/>
    </row>
    <row r="167">
      <c r="Y167" s="18"/>
      <c r="AA167" s="18"/>
    </row>
    <row r="168">
      <c r="Y168" s="18"/>
      <c r="AA168" s="18"/>
    </row>
    <row r="169">
      <c r="Y169" s="18"/>
      <c r="AA169" s="18"/>
    </row>
    <row r="170">
      <c r="Y170" s="18"/>
      <c r="AA170" s="18"/>
    </row>
    <row r="171">
      <c r="Y171" s="18"/>
      <c r="AA171" s="18"/>
    </row>
    <row r="172">
      <c r="Y172" s="18"/>
      <c r="AA172" s="18"/>
    </row>
    <row r="173">
      <c r="Y173" s="18"/>
      <c r="AA173" s="18"/>
    </row>
    <row r="174">
      <c r="Y174" s="18"/>
      <c r="AA174" s="18"/>
    </row>
    <row r="175">
      <c r="Y175" s="18"/>
      <c r="AA175" s="18"/>
    </row>
    <row r="176">
      <c r="Y176" s="18"/>
      <c r="AA176" s="18"/>
    </row>
    <row r="177">
      <c r="Y177" s="18"/>
      <c r="AA177" s="18"/>
    </row>
    <row r="178">
      <c r="Y178" s="18"/>
      <c r="AA178" s="18"/>
    </row>
    <row r="179">
      <c r="Y179" s="18"/>
      <c r="AA179" s="18"/>
    </row>
    <row r="180">
      <c r="Y180" s="18"/>
      <c r="AA180" s="18"/>
    </row>
    <row r="181">
      <c r="Y181" s="18"/>
      <c r="AA181" s="18"/>
    </row>
    <row r="182">
      <c r="Y182" s="18"/>
      <c r="AA182" s="18"/>
    </row>
    <row r="183">
      <c r="Y183" s="18"/>
      <c r="AA183" s="18"/>
    </row>
    <row r="184">
      <c r="Y184" s="18"/>
      <c r="AA184" s="18"/>
    </row>
    <row r="185">
      <c r="Y185" s="18"/>
      <c r="AA185" s="18"/>
    </row>
    <row r="186">
      <c r="Y186" s="18"/>
      <c r="AA186" s="18"/>
    </row>
    <row r="187">
      <c r="Y187" s="18"/>
      <c r="AA187" s="18"/>
    </row>
    <row r="188">
      <c r="Y188" s="18"/>
      <c r="AA188" s="18"/>
    </row>
    <row r="189">
      <c r="Y189" s="18"/>
      <c r="AA189" s="18"/>
    </row>
    <row r="190">
      <c r="Y190" s="18"/>
      <c r="AA190" s="18"/>
    </row>
    <row r="191">
      <c r="Y191" s="18"/>
      <c r="AA191" s="18"/>
    </row>
    <row r="192">
      <c r="Y192" s="18"/>
      <c r="AA192" s="18"/>
    </row>
    <row r="193">
      <c r="Y193" s="18"/>
      <c r="AA193" s="18"/>
    </row>
    <row r="194">
      <c r="Y194" s="18"/>
      <c r="AA194" s="18"/>
    </row>
    <row r="195">
      <c r="Y195" s="18"/>
      <c r="AA195" s="18"/>
    </row>
    <row r="196">
      <c r="Y196" s="18"/>
      <c r="AA196" s="18"/>
    </row>
    <row r="197">
      <c r="Y197" s="18"/>
      <c r="AA197" s="18"/>
    </row>
    <row r="198">
      <c r="Y198" s="18"/>
      <c r="AA198" s="18"/>
    </row>
    <row r="199">
      <c r="Y199" s="18"/>
      <c r="AA199" s="18"/>
    </row>
    <row r="200">
      <c r="Y200" s="18"/>
      <c r="AA200" s="18"/>
    </row>
    <row r="201">
      <c r="Y201" s="18"/>
      <c r="AA201" s="18"/>
    </row>
    <row r="202">
      <c r="Y202" s="18"/>
      <c r="AA202" s="18"/>
    </row>
    <row r="203">
      <c r="Y203" s="18"/>
      <c r="AA203" s="18"/>
    </row>
    <row r="204">
      <c r="Y204" s="18"/>
      <c r="AA204" s="18"/>
    </row>
    <row r="205">
      <c r="Y205" s="18"/>
      <c r="AA205" s="18"/>
    </row>
    <row r="206">
      <c r="Y206" s="18"/>
      <c r="AA206" s="18"/>
    </row>
    <row r="207">
      <c r="Y207" s="18"/>
      <c r="AA207" s="18"/>
    </row>
    <row r="208">
      <c r="Y208" s="18"/>
      <c r="AA208" s="18"/>
    </row>
    <row r="209">
      <c r="Y209" s="18"/>
      <c r="AA209" s="18"/>
    </row>
    <row r="210">
      <c r="Y210" s="18"/>
      <c r="AA210" s="18"/>
    </row>
    <row r="211">
      <c r="Y211" s="18"/>
      <c r="AA211" s="18"/>
    </row>
    <row r="212">
      <c r="Y212" s="18"/>
      <c r="AA212" s="18"/>
    </row>
    <row r="213">
      <c r="Y213" s="18"/>
      <c r="AA213" s="18"/>
    </row>
    <row r="214">
      <c r="Y214" s="18"/>
      <c r="AA214" s="18"/>
    </row>
    <row r="215">
      <c r="Y215" s="18"/>
      <c r="AA215" s="18"/>
    </row>
    <row r="216">
      <c r="Y216" s="18"/>
      <c r="AA216" s="18"/>
    </row>
    <row r="217">
      <c r="Y217" s="18"/>
      <c r="AA217" s="18"/>
    </row>
    <row r="218">
      <c r="Y218" s="18"/>
      <c r="AA218" s="18"/>
    </row>
    <row r="219">
      <c r="Y219" s="18"/>
      <c r="AA219" s="18"/>
    </row>
    <row r="220">
      <c r="Y220" s="18"/>
      <c r="AA220" s="18"/>
    </row>
    <row r="221">
      <c r="Y221" s="18"/>
      <c r="AA221" s="18"/>
    </row>
    <row r="222">
      <c r="Y222" s="18"/>
      <c r="AA222" s="18"/>
    </row>
    <row r="223">
      <c r="Y223" s="18"/>
      <c r="AA223" s="18"/>
    </row>
    <row r="224">
      <c r="Y224" s="18"/>
      <c r="AA224" s="18"/>
    </row>
    <row r="225">
      <c r="Y225" s="18"/>
      <c r="AA225" s="18"/>
    </row>
    <row r="226">
      <c r="Y226" s="18"/>
      <c r="AA226" s="18"/>
    </row>
    <row r="227">
      <c r="Y227" s="18"/>
      <c r="AA227" s="18"/>
    </row>
    <row r="228">
      <c r="Y228" s="18"/>
      <c r="AA228" s="18"/>
    </row>
    <row r="229">
      <c r="Y229" s="18"/>
      <c r="AA229" s="18"/>
    </row>
    <row r="230">
      <c r="Y230" s="18"/>
      <c r="AA230" s="18"/>
    </row>
    <row r="231">
      <c r="Y231" s="18"/>
      <c r="AA231" s="18"/>
    </row>
    <row r="232">
      <c r="Y232" s="18"/>
      <c r="AA232" s="18"/>
    </row>
    <row r="233">
      <c r="Y233" s="18"/>
      <c r="AA233" s="18"/>
    </row>
    <row r="234">
      <c r="Y234" s="18"/>
      <c r="AA234" s="18"/>
    </row>
    <row r="235">
      <c r="Y235" s="18"/>
      <c r="AA235" s="18"/>
    </row>
    <row r="236">
      <c r="Y236" s="18"/>
      <c r="AA236" s="18"/>
    </row>
    <row r="237">
      <c r="Y237" s="18"/>
      <c r="AA237" s="18"/>
    </row>
    <row r="238">
      <c r="Y238" s="18"/>
      <c r="AA238" s="18"/>
    </row>
    <row r="239">
      <c r="Y239" s="18"/>
      <c r="AA239" s="18"/>
    </row>
    <row r="240">
      <c r="Y240" s="18"/>
      <c r="AA240" s="18"/>
    </row>
    <row r="241">
      <c r="Y241" s="18"/>
      <c r="AA241" s="18"/>
    </row>
    <row r="242">
      <c r="Y242" s="18"/>
      <c r="AA242" s="18"/>
    </row>
    <row r="243">
      <c r="Y243" s="18"/>
      <c r="AA243" s="18"/>
    </row>
    <row r="244">
      <c r="Y244" s="18"/>
      <c r="AA244" s="18"/>
    </row>
    <row r="245">
      <c r="Y245" s="18"/>
      <c r="AA245" s="18"/>
    </row>
    <row r="246">
      <c r="Y246" s="18"/>
      <c r="AA246" s="18"/>
    </row>
    <row r="247">
      <c r="Y247" s="18"/>
      <c r="AA247" s="18"/>
    </row>
    <row r="248">
      <c r="Y248" s="18"/>
      <c r="AA248" s="18"/>
    </row>
    <row r="249">
      <c r="Y249" s="18"/>
      <c r="AA249" s="18"/>
    </row>
    <row r="250">
      <c r="Y250" s="18"/>
      <c r="AA250" s="18"/>
    </row>
    <row r="251">
      <c r="Y251" s="18"/>
      <c r="AA251" s="18"/>
    </row>
    <row r="252">
      <c r="Y252" s="18"/>
      <c r="AA252" s="18"/>
    </row>
    <row r="253">
      <c r="Y253" s="18"/>
      <c r="AA253" s="18"/>
    </row>
    <row r="254">
      <c r="Y254" s="18"/>
      <c r="AA254" s="18"/>
    </row>
    <row r="255">
      <c r="Y255" s="18"/>
      <c r="AA255" s="18"/>
    </row>
    <row r="256">
      <c r="Y256" s="18"/>
      <c r="AA256" s="18"/>
    </row>
    <row r="257">
      <c r="Y257" s="18"/>
      <c r="AA257" s="18"/>
    </row>
    <row r="258">
      <c r="Y258" s="18"/>
      <c r="AA258" s="18"/>
    </row>
    <row r="259">
      <c r="Y259" s="18"/>
      <c r="AA259" s="18"/>
    </row>
    <row r="260">
      <c r="Y260" s="18"/>
      <c r="AA260" s="18"/>
    </row>
    <row r="261">
      <c r="Y261" s="18"/>
      <c r="AA261" s="18"/>
    </row>
    <row r="262">
      <c r="Y262" s="18"/>
      <c r="AA262" s="18"/>
    </row>
    <row r="263">
      <c r="Y263" s="18"/>
      <c r="AA263" s="18"/>
    </row>
    <row r="264">
      <c r="Y264" s="18"/>
      <c r="AA264" s="18"/>
    </row>
    <row r="265">
      <c r="Y265" s="18"/>
      <c r="AA265" s="18"/>
    </row>
    <row r="266">
      <c r="Y266" s="18"/>
      <c r="AA266" s="18"/>
    </row>
    <row r="267">
      <c r="Y267" s="18"/>
      <c r="AA267" s="18"/>
    </row>
    <row r="268">
      <c r="Y268" s="18"/>
      <c r="AA268" s="18"/>
    </row>
    <row r="269">
      <c r="Y269" s="18"/>
      <c r="AA269" s="18"/>
    </row>
    <row r="270">
      <c r="Y270" s="18"/>
      <c r="AA270" s="18"/>
    </row>
    <row r="271">
      <c r="Y271" s="18"/>
      <c r="AA271" s="18"/>
    </row>
    <row r="272">
      <c r="Y272" s="18"/>
      <c r="AA272" s="18"/>
    </row>
    <row r="273">
      <c r="Y273" s="18"/>
      <c r="AA273" s="18"/>
    </row>
    <row r="274">
      <c r="Y274" s="18"/>
      <c r="AA274" s="18"/>
    </row>
    <row r="275">
      <c r="Y275" s="18"/>
      <c r="AA275" s="18"/>
    </row>
    <row r="276">
      <c r="Y276" s="18"/>
      <c r="AA276" s="18"/>
    </row>
    <row r="277">
      <c r="Y277" s="18"/>
      <c r="AA277" s="18"/>
    </row>
    <row r="278">
      <c r="Y278" s="18"/>
      <c r="AA278" s="18"/>
    </row>
    <row r="279">
      <c r="Y279" s="18"/>
      <c r="AA279" s="18"/>
    </row>
    <row r="280">
      <c r="Y280" s="18"/>
      <c r="AA280" s="18"/>
    </row>
    <row r="281">
      <c r="Y281" s="18"/>
      <c r="AA281" s="18"/>
    </row>
    <row r="282">
      <c r="Y282" s="18"/>
      <c r="AA282" s="18"/>
    </row>
    <row r="283">
      <c r="Y283" s="18"/>
      <c r="AA283" s="18"/>
    </row>
    <row r="284">
      <c r="Y284" s="18"/>
      <c r="AA284" s="18"/>
    </row>
    <row r="285">
      <c r="Y285" s="18"/>
      <c r="AA285" s="18"/>
    </row>
    <row r="286">
      <c r="Y286" s="18"/>
      <c r="AA286" s="18"/>
    </row>
    <row r="287">
      <c r="Y287" s="18"/>
      <c r="AA287" s="18"/>
    </row>
    <row r="288">
      <c r="Y288" s="18"/>
      <c r="AA288" s="18"/>
    </row>
    <row r="289">
      <c r="Y289" s="18"/>
      <c r="AA289" s="18"/>
    </row>
    <row r="290">
      <c r="Y290" s="18"/>
      <c r="AA290" s="18"/>
    </row>
    <row r="291">
      <c r="Y291" s="18"/>
      <c r="AA291" s="18"/>
    </row>
    <row r="292">
      <c r="Y292" s="18"/>
      <c r="AA292" s="18"/>
    </row>
    <row r="293">
      <c r="Y293" s="18"/>
      <c r="AA293" s="18"/>
    </row>
    <row r="294">
      <c r="Y294" s="18"/>
      <c r="AA294" s="18"/>
    </row>
    <row r="295">
      <c r="Y295" s="18"/>
      <c r="AA295" s="18"/>
    </row>
    <row r="296">
      <c r="Y296" s="18"/>
      <c r="AA296" s="18"/>
    </row>
    <row r="297">
      <c r="Y297" s="18"/>
      <c r="AA297" s="18"/>
    </row>
    <row r="298">
      <c r="Y298" s="18"/>
      <c r="AA298" s="18"/>
    </row>
    <row r="299">
      <c r="Y299" s="18"/>
      <c r="AA299" s="18"/>
    </row>
    <row r="300">
      <c r="Y300" s="18"/>
      <c r="AA300" s="18"/>
    </row>
    <row r="301">
      <c r="Y301" s="18"/>
      <c r="AA301" s="18"/>
    </row>
    <row r="302">
      <c r="Y302" s="18"/>
      <c r="AA302" s="18"/>
    </row>
    <row r="303">
      <c r="Y303" s="18"/>
      <c r="AA303" s="18"/>
    </row>
    <row r="304">
      <c r="Y304" s="18"/>
      <c r="AA304" s="18"/>
    </row>
    <row r="305">
      <c r="Y305" s="18"/>
      <c r="AA305" s="18"/>
    </row>
    <row r="306">
      <c r="Y306" s="18"/>
      <c r="AA306" s="18"/>
    </row>
    <row r="307">
      <c r="Y307" s="18"/>
      <c r="AA307" s="18"/>
    </row>
    <row r="308">
      <c r="Y308" s="18"/>
      <c r="AA308" s="18"/>
    </row>
    <row r="309">
      <c r="Y309" s="18"/>
      <c r="AA309" s="18"/>
    </row>
    <row r="310">
      <c r="Y310" s="18"/>
      <c r="AA310" s="18"/>
    </row>
    <row r="311">
      <c r="Y311" s="18"/>
      <c r="AA311" s="18"/>
    </row>
    <row r="312">
      <c r="Y312" s="18"/>
      <c r="AA312" s="18"/>
    </row>
    <row r="313">
      <c r="Y313" s="18"/>
      <c r="AA313" s="18"/>
    </row>
    <row r="314">
      <c r="Y314" s="18"/>
      <c r="AA314" s="18"/>
    </row>
    <row r="315">
      <c r="Y315" s="18"/>
      <c r="AA315" s="18"/>
    </row>
    <row r="316">
      <c r="Y316" s="18"/>
      <c r="AA316" s="18"/>
    </row>
    <row r="317">
      <c r="Y317" s="18"/>
      <c r="AA317" s="18"/>
    </row>
    <row r="318">
      <c r="Y318" s="18"/>
      <c r="AA318" s="18"/>
    </row>
    <row r="319">
      <c r="Y319" s="18"/>
      <c r="AA319" s="18"/>
    </row>
    <row r="320">
      <c r="Y320" s="18"/>
      <c r="AA320" s="18"/>
    </row>
    <row r="321">
      <c r="Y321" s="18"/>
      <c r="AA321" s="18"/>
    </row>
    <row r="322">
      <c r="Y322" s="18"/>
      <c r="AA322" s="18"/>
    </row>
    <row r="323">
      <c r="Y323" s="18"/>
      <c r="AA323" s="18"/>
    </row>
    <row r="324">
      <c r="Y324" s="18"/>
      <c r="AA324" s="18"/>
    </row>
    <row r="325">
      <c r="Y325" s="18"/>
      <c r="AA325" s="18"/>
    </row>
    <row r="326">
      <c r="Y326" s="18"/>
      <c r="AA326" s="18"/>
    </row>
    <row r="327">
      <c r="Y327" s="18"/>
      <c r="AA327" s="18"/>
    </row>
    <row r="328">
      <c r="Y328" s="18"/>
      <c r="AA328" s="18"/>
    </row>
    <row r="329">
      <c r="Y329" s="18"/>
      <c r="AA329" s="18"/>
    </row>
    <row r="330">
      <c r="Y330" s="18"/>
      <c r="AA330" s="18"/>
    </row>
    <row r="331">
      <c r="Y331" s="18"/>
      <c r="AA331" s="18"/>
    </row>
    <row r="332">
      <c r="Y332" s="18"/>
      <c r="AA332" s="18"/>
    </row>
    <row r="333">
      <c r="Y333" s="18"/>
      <c r="AA333" s="18"/>
    </row>
    <row r="334">
      <c r="Y334" s="18"/>
      <c r="AA334" s="18"/>
    </row>
    <row r="335">
      <c r="Y335" s="18"/>
      <c r="AA335" s="18"/>
    </row>
    <row r="336">
      <c r="Y336" s="18"/>
      <c r="AA336" s="18"/>
    </row>
    <row r="337">
      <c r="Y337" s="18"/>
      <c r="AA337" s="18"/>
    </row>
    <row r="338">
      <c r="Y338" s="18"/>
      <c r="AA338" s="18"/>
    </row>
    <row r="339">
      <c r="Y339" s="18"/>
      <c r="AA339" s="18"/>
    </row>
    <row r="340">
      <c r="Y340" s="18"/>
      <c r="AA340" s="18"/>
    </row>
    <row r="341">
      <c r="Y341" s="18"/>
      <c r="AA341" s="18"/>
    </row>
    <row r="342">
      <c r="Y342" s="18"/>
      <c r="AA342" s="18"/>
    </row>
    <row r="343">
      <c r="Y343" s="18"/>
      <c r="AA343" s="18"/>
    </row>
    <row r="344">
      <c r="Y344" s="18"/>
      <c r="AA344" s="18"/>
    </row>
    <row r="345">
      <c r="Y345" s="18"/>
      <c r="AA345" s="18"/>
    </row>
    <row r="346">
      <c r="Y346" s="18"/>
      <c r="AA346" s="18"/>
    </row>
    <row r="347">
      <c r="Y347" s="18"/>
      <c r="AA347" s="18"/>
    </row>
    <row r="348">
      <c r="Y348" s="18"/>
      <c r="AA348" s="18"/>
    </row>
    <row r="349">
      <c r="Y349" s="18"/>
      <c r="AA349" s="18"/>
    </row>
    <row r="350">
      <c r="Y350" s="18"/>
      <c r="AA350" s="18"/>
    </row>
    <row r="351">
      <c r="Y351" s="18"/>
      <c r="AA351" s="18"/>
    </row>
    <row r="352">
      <c r="Y352" s="18"/>
      <c r="AA352" s="18"/>
    </row>
    <row r="353">
      <c r="Y353" s="18"/>
      <c r="AA353" s="18"/>
    </row>
    <row r="354">
      <c r="Y354" s="18"/>
      <c r="AA354" s="18"/>
    </row>
    <row r="355">
      <c r="Y355" s="18"/>
      <c r="AA355" s="18"/>
    </row>
    <row r="356">
      <c r="Y356" s="18"/>
      <c r="AA356" s="18"/>
    </row>
    <row r="357">
      <c r="Y357" s="18"/>
      <c r="AA357" s="18"/>
    </row>
    <row r="358">
      <c r="Y358" s="18"/>
      <c r="AA358" s="18"/>
    </row>
    <row r="359">
      <c r="Y359" s="18"/>
      <c r="AA359" s="18"/>
    </row>
    <row r="360">
      <c r="Y360" s="18"/>
      <c r="AA360" s="18"/>
    </row>
    <row r="361">
      <c r="Y361" s="18"/>
      <c r="AA361" s="18"/>
    </row>
    <row r="362">
      <c r="Y362" s="18"/>
      <c r="AA362" s="18"/>
    </row>
    <row r="363">
      <c r="Y363" s="18"/>
      <c r="AA363" s="18"/>
    </row>
    <row r="364">
      <c r="Y364" s="18"/>
      <c r="AA364" s="18"/>
    </row>
    <row r="365">
      <c r="Y365" s="18"/>
      <c r="AA365" s="18"/>
    </row>
    <row r="366">
      <c r="Y366" s="18"/>
      <c r="AA366" s="18"/>
    </row>
    <row r="367">
      <c r="Y367" s="18"/>
      <c r="AA367" s="18"/>
    </row>
    <row r="368">
      <c r="Y368" s="18"/>
      <c r="AA368" s="18"/>
    </row>
    <row r="369">
      <c r="Y369" s="18"/>
      <c r="AA369" s="18"/>
    </row>
    <row r="370">
      <c r="Y370" s="18"/>
      <c r="AA370" s="18"/>
    </row>
    <row r="371">
      <c r="Y371" s="18"/>
      <c r="AA371" s="18"/>
    </row>
    <row r="372">
      <c r="Y372" s="18"/>
      <c r="AA372" s="18"/>
    </row>
    <row r="373">
      <c r="Y373" s="18"/>
      <c r="AA373" s="18"/>
    </row>
    <row r="374">
      <c r="Y374" s="18"/>
      <c r="AA374" s="18"/>
    </row>
    <row r="375">
      <c r="Y375" s="18"/>
      <c r="AA375" s="18"/>
    </row>
    <row r="376">
      <c r="Y376" s="18"/>
      <c r="AA376" s="18"/>
    </row>
    <row r="377">
      <c r="Y377" s="18"/>
      <c r="AA377" s="18"/>
    </row>
    <row r="378">
      <c r="Y378" s="18"/>
      <c r="AA378" s="18"/>
    </row>
    <row r="379">
      <c r="Y379" s="18"/>
      <c r="AA379" s="18"/>
    </row>
    <row r="380">
      <c r="Y380" s="18"/>
      <c r="AA380" s="18"/>
    </row>
    <row r="381">
      <c r="Y381" s="18"/>
      <c r="AA381" s="18"/>
    </row>
    <row r="382">
      <c r="Y382" s="18"/>
      <c r="AA382" s="18"/>
    </row>
    <row r="383">
      <c r="Y383" s="18"/>
      <c r="AA383" s="18"/>
    </row>
    <row r="384">
      <c r="Y384" s="18"/>
      <c r="AA384" s="18"/>
    </row>
    <row r="385">
      <c r="Y385" s="18"/>
      <c r="AA385" s="18"/>
    </row>
    <row r="386">
      <c r="Y386" s="18"/>
      <c r="AA386" s="18"/>
    </row>
    <row r="387">
      <c r="Y387" s="18"/>
      <c r="AA387" s="18"/>
    </row>
    <row r="388">
      <c r="Y388" s="18"/>
      <c r="AA388" s="18"/>
    </row>
    <row r="389">
      <c r="Y389" s="18"/>
      <c r="AA389" s="18"/>
    </row>
    <row r="390">
      <c r="Y390" s="18"/>
      <c r="AA390" s="18"/>
    </row>
    <row r="391">
      <c r="Y391" s="18"/>
      <c r="AA391" s="18"/>
    </row>
    <row r="392">
      <c r="Y392" s="18"/>
      <c r="AA392" s="18"/>
    </row>
    <row r="393">
      <c r="Y393" s="18"/>
      <c r="AA393" s="18"/>
    </row>
    <row r="394">
      <c r="Y394" s="18"/>
      <c r="AA394" s="18"/>
    </row>
    <row r="395">
      <c r="Y395" s="18"/>
      <c r="AA395" s="18"/>
    </row>
    <row r="396">
      <c r="Y396" s="18"/>
      <c r="AA396" s="18"/>
    </row>
    <row r="397">
      <c r="Y397" s="18"/>
      <c r="AA397" s="18"/>
    </row>
    <row r="398">
      <c r="Y398" s="18"/>
      <c r="AA398" s="18"/>
    </row>
    <row r="399">
      <c r="Y399" s="18"/>
      <c r="AA399" s="18"/>
    </row>
    <row r="400">
      <c r="Y400" s="18"/>
      <c r="AA400" s="18"/>
    </row>
    <row r="401">
      <c r="Y401" s="18"/>
      <c r="AA401" s="18"/>
    </row>
    <row r="402">
      <c r="Y402" s="18"/>
      <c r="AA402" s="18"/>
    </row>
    <row r="403">
      <c r="Y403" s="18"/>
      <c r="AA403" s="18"/>
    </row>
    <row r="404">
      <c r="Y404" s="18"/>
      <c r="AA404" s="18"/>
    </row>
    <row r="405">
      <c r="Y405" s="18"/>
      <c r="AA405" s="18"/>
    </row>
    <row r="406">
      <c r="Y406" s="18"/>
      <c r="AA406" s="18"/>
    </row>
    <row r="407">
      <c r="Y407" s="18"/>
      <c r="AA407" s="18"/>
    </row>
    <row r="408">
      <c r="Y408" s="18"/>
      <c r="AA408" s="18"/>
    </row>
    <row r="409">
      <c r="Y409" s="18"/>
      <c r="AA409" s="18"/>
    </row>
    <row r="410">
      <c r="Y410" s="18"/>
      <c r="AA410" s="18"/>
    </row>
    <row r="411">
      <c r="Y411" s="18"/>
      <c r="AA411" s="18"/>
    </row>
    <row r="412">
      <c r="Y412" s="18"/>
      <c r="AA412" s="18"/>
    </row>
    <row r="413">
      <c r="Y413" s="18"/>
      <c r="AA413" s="18"/>
    </row>
    <row r="414">
      <c r="Y414" s="18"/>
      <c r="AA414" s="18"/>
    </row>
    <row r="415">
      <c r="Y415" s="18"/>
      <c r="AA415" s="18"/>
    </row>
    <row r="416">
      <c r="Y416" s="18"/>
      <c r="AA416" s="18"/>
    </row>
    <row r="417">
      <c r="Y417" s="18"/>
      <c r="AA417" s="18"/>
    </row>
    <row r="418">
      <c r="Y418" s="18"/>
      <c r="AA418" s="18"/>
    </row>
    <row r="419">
      <c r="Y419" s="18"/>
      <c r="AA419" s="18"/>
    </row>
    <row r="420">
      <c r="Y420" s="18"/>
      <c r="AA420" s="18"/>
    </row>
    <row r="421">
      <c r="Y421" s="18"/>
      <c r="AA421" s="18"/>
    </row>
    <row r="422">
      <c r="Y422" s="18"/>
      <c r="AA422" s="18"/>
    </row>
    <row r="423">
      <c r="Y423" s="18"/>
      <c r="AA423" s="18"/>
    </row>
    <row r="424">
      <c r="Y424" s="18"/>
      <c r="AA424" s="18"/>
    </row>
    <row r="425">
      <c r="Y425" s="18"/>
      <c r="AA425" s="18"/>
    </row>
    <row r="426">
      <c r="Y426" s="18"/>
      <c r="AA426" s="18"/>
    </row>
    <row r="427">
      <c r="Y427" s="18"/>
      <c r="AA427" s="18"/>
    </row>
    <row r="428">
      <c r="Y428" s="18"/>
      <c r="AA428" s="18"/>
    </row>
    <row r="429">
      <c r="Y429" s="18"/>
      <c r="AA429" s="18"/>
    </row>
    <row r="430">
      <c r="Y430" s="18"/>
      <c r="AA430" s="18"/>
    </row>
    <row r="431">
      <c r="Y431" s="18"/>
      <c r="AA431" s="18"/>
    </row>
    <row r="432">
      <c r="Y432" s="18"/>
      <c r="AA432" s="18"/>
    </row>
    <row r="433">
      <c r="Y433" s="18"/>
      <c r="AA433" s="18"/>
    </row>
    <row r="434">
      <c r="Y434" s="18"/>
      <c r="AA434" s="18"/>
    </row>
    <row r="435">
      <c r="Y435" s="18"/>
      <c r="AA435" s="18"/>
    </row>
    <row r="436">
      <c r="Y436" s="18"/>
      <c r="AA436" s="18"/>
    </row>
    <row r="437">
      <c r="Y437" s="18"/>
      <c r="AA437" s="18"/>
    </row>
    <row r="438">
      <c r="Y438" s="18"/>
      <c r="AA438" s="18"/>
    </row>
    <row r="439">
      <c r="Y439" s="18"/>
      <c r="AA439" s="18"/>
    </row>
    <row r="440">
      <c r="Y440" s="18"/>
      <c r="AA440" s="18"/>
    </row>
    <row r="441">
      <c r="Y441" s="18"/>
      <c r="AA441" s="18"/>
    </row>
    <row r="442">
      <c r="Y442" s="18"/>
      <c r="AA442" s="18"/>
    </row>
    <row r="443">
      <c r="Y443" s="18"/>
      <c r="AA443" s="18"/>
    </row>
    <row r="444">
      <c r="Y444" s="18"/>
      <c r="AA444" s="18"/>
    </row>
    <row r="445">
      <c r="Y445" s="18"/>
      <c r="AA445" s="18"/>
    </row>
    <row r="446">
      <c r="Y446" s="18"/>
      <c r="AA446" s="18"/>
    </row>
    <row r="447">
      <c r="Y447" s="18"/>
      <c r="AA447" s="18"/>
    </row>
    <row r="448">
      <c r="Y448" s="18"/>
      <c r="AA448" s="18"/>
    </row>
    <row r="449">
      <c r="Y449" s="18"/>
      <c r="AA449" s="18"/>
    </row>
    <row r="450">
      <c r="Y450" s="18"/>
      <c r="AA450" s="18"/>
    </row>
    <row r="451">
      <c r="Y451" s="18"/>
      <c r="AA451" s="18"/>
    </row>
    <row r="452">
      <c r="Y452" s="18"/>
      <c r="AA452" s="18"/>
    </row>
    <row r="453">
      <c r="Y453" s="18"/>
      <c r="AA453" s="18"/>
    </row>
    <row r="454">
      <c r="Y454" s="18"/>
      <c r="AA454" s="18"/>
    </row>
    <row r="455">
      <c r="Y455" s="18"/>
      <c r="AA455" s="18"/>
    </row>
    <row r="456">
      <c r="Y456" s="18"/>
      <c r="AA456" s="18"/>
    </row>
    <row r="457">
      <c r="Y457" s="18"/>
      <c r="AA457" s="18"/>
    </row>
    <row r="458">
      <c r="Y458" s="18"/>
      <c r="AA458" s="18"/>
    </row>
    <row r="459">
      <c r="Y459" s="18"/>
      <c r="AA459" s="18"/>
    </row>
    <row r="460">
      <c r="Y460" s="18"/>
      <c r="AA460" s="18"/>
    </row>
    <row r="461">
      <c r="Y461" s="18"/>
      <c r="AA461" s="18"/>
    </row>
    <row r="462">
      <c r="Y462" s="18"/>
      <c r="AA462" s="18"/>
    </row>
    <row r="463">
      <c r="Y463" s="18"/>
      <c r="AA463" s="18"/>
    </row>
    <row r="464">
      <c r="Y464" s="18"/>
      <c r="AA464" s="18"/>
    </row>
    <row r="465">
      <c r="Y465" s="18"/>
      <c r="AA465" s="18"/>
    </row>
    <row r="466">
      <c r="Y466" s="18"/>
      <c r="AA466" s="18"/>
    </row>
    <row r="467">
      <c r="Y467" s="18"/>
      <c r="AA467" s="18"/>
    </row>
    <row r="468">
      <c r="Y468" s="18"/>
      <c r="AA468" s="18"/>
    </row>
    <row r="469">
      <c r="Y469" s="18"/>
      <c r="AA469" s="18"/>
    </row>
    <row r="470">
      <c r="Y470" s="18"/>
      <c r="AA470" s="18"/>
    </row>
    <row r="471">
      <c r="Y471" s="18"/>
      <c r="AA471" s="18"/>
    </row>
    <row r="472">
      <c r="Y472" s="18"/>
      <c r="AA472" s="18"/>
    </row>
    <row r="473">
      <c r="Y473" s="18"/>
      <c r="AA473" s="18"/>
    </row>
    <row r="474">
      <c r="Y474" s="18"/>
      <c r="AA474" s="18"/>
    </row>
    <row r="475">
      <c r="Y475" s="18"/>
      <c r="AA475" s="18"/>
    </row>
    <row r="476">
      <c r="Y476" s="18"/>
      <c r="AA476" s="18"/>
    </row>
    <row r="477">
      <c r="Y477" s="18"/>
      <c r="AA477" s="18"/>
    </row>
    <row r="478">
      <c r="Y478" s="18"/>
      <c r="AA478" s="18"/>
    </row>
    <row r="479">
      <c r="Y479" s="18"/>
      <c r="AA479" s="18"/>
    </row>
    <row r="480">
      <c r="Y480" s="18"/>
      <c r="AA480" s="18"/>
    </row>
    <row r="481">
      <c r="Y481" s="18"/>
      <c r="AA481" s="18"/>
    </row>
    <row r="482">
      <c r="Y482" s="18"/>
      <c r="AA482" s="18"/>
    </row>
    <row r="483">
      <c r="Y483" s="18"/>
      <c r="AA483" s="18"/>
    </row>
    <row r="484">
      <c r="Y484" s="18"/>
      <c r="AA484" s="18"/>
    </row>
    <row r="485">
      <c r="Y485" s="18"/>
      <c r="AA485" s="18"/>
    </row>
    <row r="486">
      <c r="Y486" s="18"/>
      <c r="AA486" s="18"/>
    </row>
    <row r="487">
      <c r="Y487" s="18"/>
      <c r="AA487" s="18"/>
    </row>
    <row r="488">
      <c r="Y488" s="18"/>
      <c r="AA488" s="18"/>
    </row>
    <row r="489">
      <c r="Y489" s="18"/>
      <c r="AA489" s="18"/>
    </row>
    <row r="490">
      <c r="Y490" s="18"/>
      <c r="AA490" s="18"/>
    </row>
    <row r="491">
      <c r="Y491" s="18"/>
      <c r="AA491" s="18"/>
    </row>
    <row r="492">
      <c r="Y492" s="18"/>
      <c r="AA492" s="18"/>
    </row>
    <row r="493">
      <c r="Y493" s="18"/>
      <c r="AA493" s="18"/>
    </row>
    <row r="494">
      <c r="Y494" s="18"/>
      <c r="AA494" s="18"/>
    </row>
    <row r="495">
      <c r="Y495" s="18"/>
      <c r="AA495" s="18"/>
    </row>
    <row r="496">
      <c r="Y496" s="18"/>
      <c r="AA496" s="18"/>
    </row>
    <row r="497">
      <c r="Y497" s="18"/>
      <c r="AA497" s="18"/>
    </row>
    <row r="498">
      <c r="Y498" s="18"/>
      <c r="AA498" s="18"/>
    </row>
    <row r="499">
      <c r="Y499" s="18"/>
      <c r="AA499" s="18"/>
    </row>
    <row r="500">
      <c r="Y500" s="18"/>
      <c r="AA500" s="18"/>
    </row>
    <row r="501">
      <c r="Y501" s="18"/>
      <c r="AA501" s="18"/>
    </row>
    <row r="502">
      <c r="Y502" s="18"/>
      <c r="AA502" s="18"/>
    </row>
    <row r="503">
      <c r="Y503" s="18"/>
      <c r="AA503" s="18"/>
    </row>
    <row r="504">
      <c r="Y504" s="18"/>
      <c r="AA504" s="18"/>
    </row>
    <row r="505">
      <c r="Y505" s="18"/>
      <c r="AA505" s="18"/>
    </row>
    <row r="506">
      <c r="Y506" s="18"/>
      <c r="AA506" s="18"/>
    </row>
    <row r="507">
      <c r="Y507" s="18"/>
      <c r="AA507" s="18"/>
    </row>
    <row r="508">
      <c r="Y508" s="18"/>
      <c r="AA508" s="18"/>
    </row>
    <row r="509">
      <c r="Y509" s="18"/>
      <c r="AA509" s="18"/>
    </row>
    <row r="510">
      <c r="Y510" s="18"/>
      <c r="AA510" s="18"/>
    </row>
    <row r="511">
      <c r="Y511" s="18"/>
      <c r="AA511" s="18"/>
    </row>
    <row r="512">
      <c r="Y512" s="18"/>
      <c r="AA512" s="18"/>
    </row>
    <row r="513">
      <c r="Y513" s="18"/>
      <c r="AA513" s="18"/>
    </row>
    <row r="514">
      <c r="Y514" s="18"/>
      <c r="AA514" s="18"/>
    </row>
    <row r="515">
      <c r="Y515" s="18"/>
      <c r="AA515" s="18"/>
    </row>
    <row r="516">
      <c r="Y516" s="18"/>
      <c r="AA516" s="18"/>
    </row>
    <row r="517">
      <c r="Y517" s="18"/>
      <c r="AA517" s="18"/>
    </row>
    <row r="518">
      <c r="Y518" s="18"/>
      <c r="AA518" s="18"/>
    </row>
    <row r="519">
      <c r="Y519" s="18"/>
      <c r="AA519" s="18"/>
    </row>
    <row r="520">
      <c r="Y520" s="18"/>
      <c r="AA520" s="18"/>
    </row>
    <row r="521">
      <c r="Y521" s="18"/>
      <c r="AA521" s="18"/>
    </row>
    <row r="522">
      <c r="Y522" s="18"/>
      <c r="AA522" s="18"/>
    </row>
    <row r="523">
      <c r="Y523" s="18"/>
      <c r="AA523" s="18"/>
    </row>
    <row r="524">
      <c r="Y524" s="18"/>
      <c r="AA524" s="18"/>
    </row>
    <row r="525">
      <c r="Y525" s="18"/>
      <c r="AA525" s="18"/>
    </row>
    <row r="526">
      <c r="Y526" s="18"/>
      <c r="AA526" s="18"/>
    </row>
    <row r="527">
      <c r="Y527" s="18"/>
      <c r="AA527" s="18"/>
    </row>
    <row r="528">
      <c r="Y528" s="18"/>
      <c r="AA528" s="18"/>
    </row>
    <row r="529">
      <c r="Y529" s="18"/>
      <c r="AA529" s="18"/>
    </row>
    <row r="530">
      <c r="Y530" s="18"/>
      <c r="AA530" s="18"/>
    </row>
    <row r="531">
      <c r="Y531" s="18"/>
      <c r="AA531" s="18"/>
    </row>
    <row r="532">
      <c r="Y532" s="18"/>
      <c r="AA532" s="18"/>
    </row>
    <row r="533">
      <c r="Y533" s="18"/>
      <c r="AA533" s="18"/>
    </row>
    <row r="534">
      <c r="Y534" s="18"/>
      <c r="AA534" s="18"/>
    </row>
    <row r="535">
      <c r="Y535" s="18"/>
      <c r="AA535" s="18"/>
    </row>
    <row r="536">
      <c r="Y536" s="18"/>
      <c r="AA536" s="18"/>
    </row>
    <row r="537">
      <c r="Y537" s="18"/>
      <c r="AA537" s="18"/>
    </row>
    <row r="538">
      <c r="Y538" s="18"/>
      <c r="AA538" s="18"/>
    </row>
    <row r="539">
      <c r="Y539" s="18"/>
      <c r="AA539" s="18"/>
    </row>
    <row r="540">
      <c r="Y540" s="18"/>
      <c r="AA540" s="18"/>
    </row>
    <row r="541">
      <c r="Y541" s="18"/>
      <c r="AA541" s="18"/>
    </row>
    <row r="542">
      <c r="Y542" s="18"/>
      <c r="AA542" s="18"/>
    </row>
    <row r="543">
      <c r="Y543" s="18"/>
      <c r="AA543" s="18"/>
    </row>
    <row r="544">
      <c r="Y544" s="18"/>
      <c r="AA544" s="18"/>
    </row>
    <row r="545">
      <c r="Y545" s="18"/>
      <c r="AA545" s="18"/>
    </row>
    <row r="546">
      <c r="Y546" s="18"/>
      <c r="AA546" s="18"/>
    </row>
    <row r="547">
      <c r="Y547" s="18"/>
      <c r="AA547" s="18"/>
    </row>
    <row r="548">
      <c r="Y548" s="18"/>
      <c r="AA548" s="18"/>
    </row>
    <row r="549">
      <c r="Y549" s="18"/>
      <c r="AA549" s="18"/>
    </row>
    <row r="550">
      <c r="Y550" s="18"/>
      <c r="AA550" s="18"/>
    </row>
    <row r="551">
      <c r="Y551" s="18"/>
      <c r="AA551" s="18"/>
    </row>
    <row r="552">
      <c r="Y552" s="18"/>
      <c r="AA552" s="18"/>
    </row>
    <row r="553">
      <c r="Y553" s="18"/>
      <c r="AA553" s="18"/>
    </row>
    <row r="554">
      <c r="Y554" s="18"/>
      <c r="AA554" s="18"/>
    </row>
    <row r="555">
      <c r="Y555" s="18"/>
      <c r="AA555" s="18"/>
    </row>
    <row r="556">
      <c r="Y556" s="18"/>
      <c r="AA556" s="18"/>
    </row>
    <row r="557">
      <c r="Y557" s="18"/>
      <c r="AA557" s="18"/>
    </row>
    <row r="558">
      <c r="Y558" s="18"/>
      <c r="AA558" s="18"/>
    </row>
    <row r="559">
      <c r="Y559" s="18"/>
      <c r="AA559" s="18"/>
    </row>
    <row r="560">
      <c r="Y560" s="18"/>
      <c r="AA560" s="18"/>
    </row>
    <row r="561">
      <c r="Y561" s="18"/>
      <c r="AA561" s="18"/>
    </row>
    <row r="562">
      <c r="Y562" s="18"/>
      <c r="AA562" s="18"/>
    </row>
    <row r="563">
      <c r="Y563" s="18"/>
      <c r="AA563" s="18"/>
    </row>
    <row r="564">
      <c r="Y564" s="18"/>
      <c r="AA564" s="18"/>
    </row>
    <row r="565">
      <c r="Y565" s="18"/>
      <c r="AA565" s="18"/>
    </row>
    <row r="566">
      <c r="Y566" s="18"/>
      <c r="AA566" s="18"/>
    </row>
    <row r="567">
      <c r="Y567" s="18"/>
      <c r="AA567" s="18"/>
    </row>
    <row r="568">
      <c r="Y568" s="18"/>
      <c r="AA568" s="18"/>
    </row>
    <row r="569">
      <c r="Y569" s="18"/>
      <c r="AA569" s="18"/>
    </row>
    <row r="570">
      <c r="Y570" s="18"/>
      <c r="AA570" s="18"/>
    </row>
    <row r="571">
      <c r="Y571" s="18"/>
      <c r="AA571" s="18"/>
    </row>
    <row r="572">
      <c r="Y572" s="18"/>
      <c r="AA572" s="18"/>
    </row>
    <row r="573">
      <c r="Y573" s="18"/>
      <c r="AA573" s="18"/>
    </row>
    <row r="574">
      <c r="Y574" s="18"/>
      <c r="AA574" s="18"/>
    </row>
    <row r="575">
      <c r="Y575" s="18"/>
      <c r="AA575" s="18"/>
    </row>
    <row r="576">
      <c r="Y576" s="18"/>
      <c r="AA576" s="18"/>
    </row>
    <row r="577">
      <c r="Y577" s="18"/>
      <c r="AA577" s="18"/>
    </row>
    <row r="578">
      <c r="Y578" s="18"/>
      <c r="AA578" s="18"/>
    </row>
    <row r="579">
      <c r="Y579" s="18"/>
      <c r="AA579" s="18"/>
    </row>
    <row r="580">
      <c r="Y580" s="18"/>
      <c r="AA580" s="18"/>
    </row>
    <row r="581">
      <c r="Y581" s="18"/>
      <c r="AA581" s="18"/>
    </row>
    <row r="582">
      <c r="Y582" s="18"/>
      <c r="AA582" s="18"/>
    </row>
    <row r="583">
      <c r="Y583" s="18"/>
      <c r="AA583" s="18"/>
    </row>
    <row r="584">
      <c r="Y584" s="18"/>
      <c r="AA584" s="18"/>
    </row>
    <row r="585">
      <c r="Y585" s="18"/>
      <c r="AA585" s="18"/>
    </row>
    <row r="586">
      <c r="Y586" s="18"/>
      <c r="AA586" s="18"/>
    </row>
    <row r="587">
      <c r="Y587" s="18"/>
      <c r="AA587" s="18"/>
    </row>
    <row r="588">
      <c r="Y588" s="18"/>
      <c r="AA588" s="18"/>
    </row>
    <row r="589">
      <c r="Y589" s="18"/>
      <c r="AA589" s="18"/>
    </row>
    <row r="590">
      <c r="Y590" s="18"/>
      <c r="AA590" s="18"/>
    </row>
    <row r="591">
      <c r="Y591" s="18"/>
      <c r="AA591" s="18"/>
    </row>
    <row r="592">
      <c r="Y592" s="18"/>
      <c r="AA592" s="18"/>
    </row>
    <row r="593">
      <c r="Y593" s="18"/>
      <c r="AA593" s="18"/>
    </row>
    <row r="594">
      <c r="Y594" s="18"/>
      <c r="AA594" s="18"/>
    </row>
    <row r="595">
      <c r="Y595" s="18"/>
      <c r="AA595" s="18"/>
    </row>
    <row r="596">
      <c r="Y596" s="18"/>
      <c r="AA596" s="18"/>
    </row>
    <row r="597">
      <c r="Y597" s="18"/>
      <c r="AA597" s="18"/>
    </row>
    <row r="598">
      <c r="Y598" s="18"/>
      <c r="AA598" s="18"/>
    </row>
    <row r="599">
      <c r="Y599" s="18"/>
      <c r="AA599" s="18"/>
    </row>
    <row r="600">
      <c r="Y600" s="18"/>
      <c r="AA600" s="18"/>
    </row>
    <row r="601">
      <c r="Y601" s="18"/>
      <c r="AA601" s="18"/>
    </row>
    <row r="602">
      <c r="Y602" s="18"/>
      <c r="AA602" s="18"/>
    </row>
    <row r="603">
      <c r="Y603" s="18"/>
      <c r="AA603" s="18"/>
    </row>
    <row r="604">
      <c r="Y604" s="18"/>
      <c r="AA604" s="18"/>
    </row>
    <row r="605">
      <c r="Y605" s="18"/>
      <c r="AA605" s="18"/>
    </row>
    <row r="606">
      <c r="Y606" s="18"/>
      <c r="AA606" s="18"/>
    </row>
    <row r="607">
      <c r="Y607" s="18"/>
      <c r="AA607" s="18"/>
    </row>
    <row r="608">
      <c r="Y608" s="18"/>
      <c r="AA608" s="18"/>
    </row>
    <row r="609">
      <c r="Y609" s="18"/>
      <c r="AA609" s="18"/>
    </row>
    <row r="610">
      <c r="Y610" s="18"/>
      <c r="AA610" s="18"/>
    </row>
    <row r="611">
      <c r="Y611" s="18"/>
      <c r="AA611" s="18"/>
    </row>
    <row r="612">
      <c r="Y612" s="18"/>
      <c r="AA612" s="18"/>
    </row>
    <row r="613">
      <c r="Y613" s="18"/>
      <c r="AA613" s="18"/>
    </row>
    <row r="614">
      <c r="Y614" s="18"/>
      <c r="AA614" s="18"/>
    </row>
    <row r="615">
      <c r="Y615" s="18"/>
      <c r="AA615" s="18"/>
    </row>
    <row r="616">
      <c r="Y616" s="18"/>
      <c r="AA616" s="18"/>
    </row>
    <row r="617">
      <c r="Y617" s="18"/>
      <c r="AA617" s="18"/>
    </row>
    <row r="618">
      <c r="Y618" s="18"/>
      <c r="AA618" s="18"/>
    </row>
    <row r="619">
      <c r="Y619" s="18"/>
      <c r="AA619" s="18"/>
    </row>
    <row r="620">
      <c r="Y620" s="18"/>
      <c r="AA620" s="18"/>
    </row>
    <row r="621">
      <c r="Y621" s="18"/>
      <c r="AA621" s="18"/>
    </row>
    <row r="622">
      <c r="Y622" s="18"/>
      <c r="AA622" s="18"/>
    </row>
    <row r="623">
      <c r="Y623" s="18"/>
      <c r="AA623" s="18"/>
    </row>
    <row r="624">
      <c r="Y624" s="18"/>
      <c r="AA624" s="18"/>
    </row>
    <row r="625">
      <c r="Y625" s="18"/>
      <c r="AA625" s="18"/>
    </row>
    <row r="626">
      <c r="Y626" s="18"/>
      <c r="AA626" s="18"/>
    </row>
    <row r="627">
      <c r="Y627" s="18"/>
      <c r="AA627" s="18"/>
    </row>
    <row r="628">
      <c r="Y628" s="18"/>
      <c r="AA628" s="18"/>
    </row>
    <row r="629">
      <c r="Y629" s="18"/>
      <c r="AA629" s="18"/>
    </row>
    <row r="630">
      <c r="Y630" s="18"/>
      <c r="AA630" s="18"/>
    </row>
    <row r="631">
      <c r="Y631" s="18"/>
      <c r="AA631" s="18"/>
    </row>
    <row r="632">
      <c r="Y632" s="18"/>
      <c r="AA632" s="18"/>
    </row>
    <row r="633">
      <c r="Y633" s="18"/>
      <c r="AA633" s="18"/>
    </row>
    <row r="634">
      <c r="Y634" s="18"/>
      <c r="AA634" s="18"/>
    </row>
    <row r="635">
      <c r="Y635" s="18"/>
      <c r="AA635" s="18"/>
    </row>
    <row r="636">
      <c r="Y636" s="18"/>
      <c r="AA636" s="18"/>
    </row>
    <row r="637">
      <c r="Y637" s="18"/>
      <c r="AA637" s="18"/>
    </row>
    <row r="638">
      <c r="Y638" s="18"/>
      <c r="AA638" s="18"/>
    </row>
    <row r="639">
      <c r="Y639" s="18"/>
      <c r="AA639" s="18"/>
    </row>
    <row r="640">
      <c r="Y640" s="18"/>
      <c r="AA640" s="18"/>
    </row>
    <row r="641">
      <c r="Y641" s="18"/>
      <c r="AA641" s="18"/>
    </row>
    <row r="642">
      <c r="Y642" s="18"/>
      <c r="AA642" s="18"/>
    </row>
    <row r="643">
      <c r="Y643" s="18"/>
      <c r="AA643" s="18"/>
    </row>
    <row r="644">
      <c r="Y644" s="18"/>
      <c r="AA644" s="18"/>
    </row>
    <row r="645">
      <c r="Y645" s="18"/>
      <c r="AA645" s="18"/>
    </row>
    <row r="646">
      <c r="Y646" s="18"/>
      <c r="AA646" s="18"/>
    </row>
    <row r="647">
      <c r="Y647" s="18"/>
      <c r="AA647" s="18"/>
    </row>
    <row r="648">
      <c r="Y648" s="18"/>
      <c r="AA648" s="18"/>
    </row>
    <row r="649">
      <c r="Y649" s="18"/>
      <c r="AA649" s="18"/>
    </row>
    <row r="650">
      <c r="Y650" s="18"/>
      <c r="AA650" s="18"/>
    </row>
    <row r="651">
      <c r="Y651" s="18"/>
      <c r="AA651" s="18"/>
    </row>
    <row r="652">
      <c r="Y652" s="18"/>
      <c r="AA652" s="18"/>
    </row>
    <row r="653">
      <c r="Y653" s="18"/>
      <c r="AA653" s="18"/>
    </row>
    <row r="654">
      <c r="Y654" s="18"/>
      <c r="AA654" s="18"/>
    </row>
    <row r="655">
      <c r="Y655" s="18"/>
      <c r="AA655" s="18"/>
    </row>
    <row r="656">
      <c r="Y656" s="18"/>
      <c r="AA656" s="18"/>
    </row>
    <row r="657">
      <c r="Y657" s="18"/>
      <c r="AA657" s="18"/>
    </row>
    <row r="658">
      <c r="Y658" s="18"/>
      <c r="AA658" s="18"/>
    </row>
    <row r="659">
      <c r="Y659" s="18"/>
      <c r="AA659" s="18"/>
    </row>
    <row r="660">
      <c r="Y660" s="18"/>
      <c r="AA660" s="18"/>
    </row>
    <row r="661">
      <c r="Y661" s="18"/>
      <c r="AA661" s="18"/>
    </row>
    <row r="662">
      <c r="Y662" s="18"/>
      <c r="AA662" s="18"/>
    </row>
    <row r="663">
      <c r="Y663" s="18"/>
      <c r="AA663" s="18"/>
    </row>
    <row r="664">
      <c r="Y664" s="18"/>
      <c r="AA664" s="18"/>
    </row>
    <row r="665">
      <c r="Y665" s="18"/>
      <c r="AA665" s="18"/>
    </row>
    <row r="666">
      <c r="Y666" s="18"/>
      <c r="AA666" s="18"/>
    </row>
    <row r="667">
      <c r="Y667" s="18"/>
      <c r="AA667" s="18"/>
    </row>
    <row r="668">
      <c r="Y668" s="18"/>
      <c r="AA668" s="18"/>
    </row>
    <row r="669">
      <c r="Y669" s="18"/>
      <c r="AA669" s="18"/>
    </row>
    <row r="670">
      <c r="Y670" s="18"/>
      <c r="AA670" s="18"/>
    </row>
    <row r="671">
      <c r="Y671" s="18"/>
      <c r="AA671" s="18"/>
    </row>
    <row r="672">
      <c r="Y672" s="18"/>
      <c r="AA672" s="18"/>
    </row>
    <row r="673">
      <c r="Y673" s="18"/>
      <c r="AA673" s="18"/>
    </row>
    <row r="674">
      <c r="Y674" s="18"/>
      <c r="AA674" s="18"/>
    </row>
    <row r="675">
      <c r="Y675" s="18"/>
      <c r="AA675" s="18"/>
    </row>
    <row r="676">
      <c r="Y676" s="18"/>
      <c r="AA676" s="18"/>
    </row>
    <row r="677">
      <c r="Y677" s="18"/>
      <c r="AA677" s="18"/>
    </row>
    <row r="678">
      <c r="Y678" s="18"/>
      <c r="AA678" s="18"/>
    </row>
    <row r="679">
      <c r="Y679" s="18"/>
      <c r="AA679" s="18"/>
    </row>
    <row r="680">
      <c r="Y680" s="18"/>
      <c r="AA680" s="18"/>
    </row>
    <row r="681">
      <c r="Y681" s="18"/>
      <c r="AA681" s="18"/>
    </row>
    <row r="682">
      <c r="Y682" s="18"/>
      <c r="AA682" s="18"/>
    </row>
    <row r="683">
      <c r="Y683" s="18"/>
      <c r="AA683" s="18"/>
    </row>
    <row r="684">
      <c r="Y684" s="18"/>
      <c r="AA684" s="18"/>
    </row>
    <row r="685">
      <c r="Y685" s="18"/>
      <c r="AA685" s="18"/>
    </row>
    <row r="686">
      <c r="Y686" s="18"/>
      <c r="AA686" s="18"/>
    </row>
    <row r="687">
      <c r="Y687" s="18"/>
      <c r="AA687" s="18"/>
    </row>
    <row r="688">
      <c r="Y688" s="18"/>
      <c r="AA688" s="18"/>
    </row>
    <row r="689">
      <c r="Y689" s="18"/>
      <c r="AA689" s="18"/>
    </row>
    <row r="690">
      <c r="Y690" s="18"/>
      <c r="AA690" s="18"/>
    </row>
    <row r="691">
      <c r="Y691" s="18"/>
      <c r="AA691" s="18"/>
    </row>
    <row r="692">
      <c r="Y692" s="18"/>
      <c r="AA692" s="18"/>
    </row>
    <row r="693">
      <c r="Y693" s="18"/>
      <c r="AA693" s="18"/>
    </row>
    <row r="694">
      <c r="Y694" s="18"/>
      <c r="AA694" s="18"/>
    </row>
    <row r="695">
      <c r="Y695" s="18"/>
      <c r="AA695" s="18"/>
    </row>
    <row r="696">
      <c r="Y696" s="18"/>
      <c r="AA696" s="18"/>
    </row>
    <row r="697">
      <c r="Y697" s="18"/>
      <c r="AA697" s="18"/>
    </row>
    <row r="698">
      <c r="Y698" s="18"/>
      <c r="AA698" s="18"/>
    </row>
    <row r="699">
      <c r="Y699" s="18"/>
      <c r="AA699" s="18"/>
    </row>
    <row r="700">
      <c r="Y700" s="18"/>
      <c r="AA700" s="18"/>
    </row>
    <row r="701">
      <c r="Y701" s="18"/>
      <c r="AA701" s="18"/>
    </row>
    <row r="702">
      <c r="Y702" s="18"/>
      <c r="AA702" s="18"/>
    </row>
    <row r="703">
      <c r="Y703" s="18"/>
      <c r="AA703" s="18"/>
    </row>
    <row r="704">
      <c r="Y704" s="18"/>
      <c r="AA704" s="18"/>
    </row>
    <row r="705">
      <c r="Y705" s="18"/>
      <c r="AA705" s="18"/>
    </row>
    <row r="706">
      <c r="Y706" s="18"/>
      <c r="AA706" s="18"/>
    </row>
    <row r="707">
      <c r="Y707" s="18"/>
      <c r="AA707" s="18"/>
    </row>
    <row r="708">
      <c r="Y708" s="18"/>
      <c r="AA708" s="18"/>
    </row>
    <row r="709">
      <c r="Y709" s="18"/>
      <c r="AA709" s="18"/>
    </row>
    <row r="710">
      <c r="Y710" s="18"/>
      <c r="AA710" s="18"/>
    </row>
    <row r="711">
      <c r="Y711" s="18"/>
      <c r="AA711" s="18"/>
    </row>
    <row r="712">
      <c r="Y712" s="18"/>
      <c r="AA712" s="18"/>
    </row>
    <row r="713">
      <c r="Y713" s="18"/>
      <c r="AA713" s="18"/>
    </row>
    <row r="714">
      <c r="Y714" s="18"/>
      <c r="AA714" s="18"/>
    </row>
    <row r="715">
      <c r="Y715" s="18"/>
      <c r="AA715" s="18"/>
    </row>
    <row r="716">
      <c r="Y716" s="18"/>
      <c r="AA716" s="18"/>
    </row>
    <row r="717">
      <c r="Y717" s="18"/>
      <c r="AA717" s="18"/>
    </row>
    <row r="718">
      <c r="Y718" s="18"/>
      <c r="AA718" s="18"/>
    </row>
    <row r="719">
      <c r="Y719" s="18"/>
      <c r="AA719" s="18"/>
    </row>
    <row r="720">
      <c r="Y720" s="18"/>
      <c r="AA720" s="18"/>
    </row>
    <row r="721">
      <c r="Y721" s="18"/>
      <c r="AA721" s="18"/>
    </row>
    <row r="722">
      <c r="Y722" s="18"/>
      <c r="AA722" s="18"/>
    </row>
    <row r="723">
      <c r="Y723" s="18"/>
      <c r="AA723" s="18"/>
    </row>
    <row r="724">
      <c r="Y724" s="18"/>
      <c r="AA724" s="18"/>
    </row>
    <row r="725">
      <c r="Y725" s="18"/>
      <c r="AA725" s="18"/>
    </row>
    <row r="726">
      <c r="Y726" s="18"/>
      <c r="AA726" s="18"/>
    </row>
    <row r="727">
      <c r="Y727" s="18"/>
      <c r="AA727" s="18"/>
    </row>
    <row r="728">
      <c r="Y728" s="18"/>
      <c r="AA728" s="18"/>
    </row>
    <row r="729">
      <c r="Y729" s="18"/>
      <c r="AA729" s="18"/>
    </row>
    <row r="730">
      <c r="Y730" s="18"/>
      <c r="AA730" s="18"/>
    </row>
    <row r="731">
      <c r="Y731" s="18"/>
      <c r="AA731" s="18"/>
    </row>
    <row r="732">
      <c r="Y732" s="18"/>
      <c r="AA732" s="18"/>
    </row>
    <row r="733">
      <c r="Y733" s="18"/>
      <c r="AA733" s="18"/>
    </row>
    <row r="734">
      <c r="Y734" s="18"/>
      <c r="AA734" s="18"/>
    </row>
    <row r="735">
      <c r="Y735" s="18"/>
      <c r="AA735" s="18"/>
    </row>
    <row r="736">
      <c r="Y736" s="18"/>
      <c r="AA736" s="18"/>
    </row>
    <row r="737">
      <c r="Y737" s="18"/>
      <c r="AA737" s="18"/>
    </row>
    <row r="738">
      <c r="Y738" s="18"/>
      <c r="AA738" s="18"/>
    </row>
    <row r="739">
      <c r="Y739" s="18"/>
      <c r="AA739" s="18"/>
    </row>
    <row r="740">
      <c r="Y740" s="18"/>
      <c r="AA740" s="18"/>
    </row>
    <row r="741">
      <c r="Y741" s="18"/>
      <c r="AA741" s="18"/>
    </row>
    <row r="742">
      <c r="Y742" s="18"/>
      <c r="AA742" s="18"/>
    </row>
    <row r="743">
      <c r="Y743" s="18"/>
      <c r="AA743" s="18"/>
    </row>
    <row r="744">
      <c r="Y744" s="18"/>
      <c r="AA744" s="18"/>
    </row>
    <row r="745">
      <c r="Y745" s="18"/>
      <c r="AA745" s="18"/>
    </row>
    <row r="746">
      <c r="Y746" s="18"/>
      <c r="AA746" s="18"/>
    </row>
    <row r="747">
      <c r="Y747" s="18"/>
      <c r="AA747" s="18"/>
    </row>
    <row r="748">
      <c r="Y748" s="18"/>
      <c r="AA748" s="18"/>
    </row>
    <row r="749">
      <c r="Y749" s="18"/>
      <c r="AA749" s="18"/>
    </row>
    <row r="750">
      <c r="Y750" s="18"/>
      <c r="AA750" s="18"/>
    </row>
    <row r="751">
      <c r="Y751" s="18"/>
      <c r="AA751" s="18"/>
    </row>
    <row r="752">
      <c r="Y752" s="18"/>
      <c r="AA752" s="18"/>
    </row>
    <row r="753">
      <c r="Y753" s="18"/>
      <c r="AA753" s="18"/>
    </row>
    <row r="754">
      <c r="Y754" s="18"/>
      <c r="AA754" s="18"/>
    </row>
    <row r="755">
      <c r="Y755" s="18"/>
      <c r="AA755" s="18"/>
    </row>
    <row r="756">
      <c r="Y756" s="18"/>
      <c r="AA756" s="18"/>
    </row>
    <row r="757">
      <c r="Y757" s="18"/>
      <c r="AA757" s="18"/>
    </row>
    <row r="758">
      <c r="Y758" s="18"/>
      <c r="AA758" s="18"/>
    </row>
    <row r="759">
      <c r="Y759" s="18"/>
      <c r="AA759" s="18"/>
    </row>
    <row r="760">
      <c r="Y760" s="18"/>
      <c r="AA760" s="18"/>
    </row>
    <row r="761">
      <c r="Y761" s="18"/>
      <c r="AA761" s="18"/>
    </row>
    <row r="762">
      <c r="Y762" s="18"/>
      <c r="AA762" s="18"/>
    </row>
    <row r="763">
      <c r="Y763" s="18"/>
      <c r="AA763" s="18"/>
    </row>
    <row r="764">
      <c r="Y764" s="18"/>
      <c r="AA764" s="18"/>
    </row>
    <row r="765">
      <c r="Y765" s="18"/>
      <c r="AA765" s="18"/>
    </row>
    <row r="766">
      <c r="Y766" s="18"/>
      <c r="AA766" s="18"/>
    </row>
    <row r="767">
      <c r="Y767" s="18"/>
      <c r="AA767" s="18"/>
    </row>
    <row r="768">
      <c r="Y768" s="18"/>
      <c r="AA768" s="18"/>
    </row>
    <row r="769">
      <c r="Y769" s="18"/>
      <c r="AA769" s="18"/>
    </row>
    <row r="770">
      <c r="Y770" s="18"/>
      <c r="AA770" s="18"/>
    </row>
    <row r="771">
      <c r="Y771" s="18"/>
      <c r="AA771" s="18"/>
    </row>
    <row r="772">
      <c r="Y772" s="18"/>
      <c r="AA772" s="18"/>
    </row>
    <row r="773">
      <c r="Y773" s="18"/>
      <c r="AA773" s="18"/>
    </row>
    <row r="774">
      <c r="Y774" s="18"/>
      <c r="AA774" s="18"/>
    </row>
    <row r="775">
      <c r="Y775" s="18"/>
      <c r="AA775" s="18"/>
    </row>
    <row r="776">
      <c r="Y776" s="18"/>
      <c r="AA776" s="18"/>
    </row>
    <row r="777">
      <c r="Y777" s="18"/>
      <c r="AA777" s="18"/>
    </row>
    <row r="778">
      <c r="Y778" s="18"/>
      <c r="AA778" s="18"/>
    </row>
    <row r="779">
      <c r="Y779" s="18"/>
      <c r="AA779" s="18"/>
    </row>
    <row r="780">
      <c r="Y780" s="18"/>
      <c r="AA780" s="18"/>
    </row>
    <row r="781">
      <c r="Y781" s="18"/>
      <c r="AA781" s="18"/>
    </row>
    <row r="782">
      <c r="Y782" s="18"/>
      <c r="AA782" s="18"/>
    </row>
    <row r="783">
      <c r="Y783" s="18"/>
      <c r="AA783" s="18"/>
    </row>
    <row r="784">
      <c r="Y784" s="18"/>
      <c r="AA784" s="18"/>
    </row>
    <row r="785">
      <c r="Y785" s="18"/>
      <c r="AA785" s="18"/>
    </row>
    <row r="786">
      <c r="Y786" s="18"/>
      <c r="AA786" s="18"/>
    </row>
    <row r="787">
      <c r="Y787" s="18"/>
      <c r="AA787" s="18"/>
    </row>
    <row r="788">
      <c r="Y788" s="18"/>
      <c r="AA788" s="18"/>
    </row>
    <row r="789">
      <c r="Y789" s="18"/>
      <c r="AA789" s="18"/>
    </row>
    <row r="790">
      <c r="Y790" s="18"/>
      <c r="AA790" s="18"/>
    </row>
    <row r="791">
      <c r="Y791" s="18"/>
      <c r="AA791" s="18"/>
    </row>
    <row r="792">
      <c r="Y792" s="18"/>
      <c r="AA792" s="18"/>
    </row>
    <row r="793">
      <c r="Y793" s="18"/>
      <c r="AA793" s="18"/>
    </row>
    <row r="794">
      <c r="Y794" s="18"/>
      <c r="AA794" s="18"/>
    </row>
    <row r="795">
      <c r="Y795" s="18"/>
      <c r="AA795" s="18"/>
    </row>
    <row r="796">
      <c r="Y796" s="18"/>
      <c r="AA796" s="18"/>
    </row>
    <row r="797">
      <c r="Y797" s="18"/>
      <c r="AA797" s="18"/>
    </row>
    <row r="798">
      <c r="Y798" s="18"/>
      <c r="AA798" s="18"/>
    </row>
    <row r="799">
      <c r="Y799" s="18"/>
      <c r="AA799" s="18"/>
    </row>
    <row r="800">
      <c r="Y800" s="18"/>
      <c r="AA800" s="18"/>
    </row>
    <row r="801">
      <c r="Y801" s="18"/>
      <c r="AA801" s="18"/>
    </row>
    <row r="802">
      <c r="Y802" s="18"/>
      <c r="AA802" s="18"/>
    </row>
    <row r="803">
      <c r="Y803" s="18"/>
      <c r="AA803" s="18"/>
    </row>
    <row r="804">
      <c r="Y804" s="18"/>
      <c r="AA804" s="18"/>
    </row>
    <row r="805">
      <c r="Y805" s="18"/>
      <c r="AA805" s="18"/>
    </row>
    <row r="806">
      <c r="Y806" s="18"/>
      <c r="AA806" s="18"/>
    </row>
    <row r="807">
      <c r="Y807" s="18"/>
      <c r="AA807" s="18"/>
    </row>
    <row r="808">
      <c r="Y808" s="18"/>
      <c r="AA808" s="18"/>
    </row>
    <row r="809">
      <c r="Y809" s="18"/>
      <c r="AA809" s="18"/>
    </row>
    <row r="810">
      <c r="Y810" s="18"/>
      <c r="AA810" s="18"/>
    </row>
    <row r="811">
      <c r="Y811" s="18"/>
      <c r="AA811" s="18"/>
    </row>
    <row r="812">
      <c r="Y812" s="18"/>
      <c r="AA812" s="18"/>
    </row>
    <row r="813">
      <c r="Y813" s="18"/>
      <c r="AA813" s="18"/>
    </row>
    <row r="814">
      <c r="Y814" s="18"/>
      <c r="AA814" s="18"/>
    </row>
    <row r="815">
      <c r="Y815" s="18"/>
      <c r="AA815" s="18"/>
    </row>
    <row r="816">
      <c r="Y816" s="18"/>
      <c r="AA816" s="18"/>
    </row>
    <row r="817">
      <c r="Y817" s="18"/>
      <c r="AA817" s="18"/>
    </row>
    <row r="818">
      <c r="Y818" s="18"/>
      <c r="AA818" s="18"/>
    </row>
    <row r="819">
      <c r="Y819" s="18"/>
      <c r="AA819" s="18"/>
    </row>
    <row r="820">
      <c r="Y820" s="18"/>
      <c r="AA820" s="18"/>
    </row>
    <row r="821">
      <c r="Y821" s="18"/>
      <c r="AA821" s="18"/>
    </row>
    <row r="822">
      <c r="Y822" s="18"/>
      <c r="AA822" s="18"/>
    </row>
    <row r="823">
      <c r="Y823" s="18"/>
      <c r="AA823" s="18"/>
    </row>
    <row r="824">
      <c r="Y824" s="18"/>
      <c r="AA824" s="18"/>
    </row>
    <row r="825">
      <c r="Y825" s="18"/>
      <c r="AA825" s="18"/>
    </row>
    <row r="826">
      <c r="Y826" s="18"/>
      <c r="AA826" s="18"/>
    </row>
    <row r="827">
      <c r="Y827" s="18"/>
      <c r="AA827" s="18"/>
    </row>
    <row r="828">
      <c r="Y828" s="18"/>
      <c r="AA828" s="18"/>
    </row>
    <row r="829">
      <c r="Y829" s="18"/>
      <c r="AA829" s="18"/>
    </row>
    <row r="830">
      <c r="Y830" s="18"/>
      <c r="AA830" s="18"/>
    </row>
    <row r="831">
      <c r="Y831" s="18"/>
      <c r="AA831" s="18"/>
    </row>
    <row r="832">
      <c r="Y832" s="18"/>
      <c r="AA832" s="18"/>
    </row>
    <row r="833">
      <c r="Y833" s="18"/>
      <c r="AA833" s="18"/>
    </row>
    <row r="834">
      <c r="Y834" s="18"/>
      <c r="AA834" s="18"/>
    </row>
    <row r="835">
      <c r="Y835" s="18"/>
      <c r="AA835" s="18"/>
    </row>
    <row r="836">
      <c r="Y836" s="18"/>
      <c r="AA836" s="18"/>
    </row>
    <row r="837">
      <c r="Y837" s="18"/>
      <c r="AA837" s="18"/>
    </row>
    <row r="838">
      <c r="Y838" s="18"/>
      <c r="AA838" s="18"/>
    </row>
    <row r="839">
      <c r="Y839" s="18"/>
      <c r="AA839" s="18"/>
    </row>
    <row r="840">
      <c r="Y840" s="18"/>
      <c r="AA840" s="18"/>
    </row>
    <row r="841">
      <c r="Y841" s="18"/>
      <c r="AA841" s="18"/>
    </row>
    <row r="842">
      <c r="Y842" s="18"/>
      <c r="AA842" s="18"/>
    </row>
    <row r="843">
      <c r="Y843" s="18"/>
      <c r="AA843" s="18"/>
    </row>
    <row r="844">
      <c r="Y844" s="18"/>
      <c r="AA844" s="18"/>
    </row>
    <row r="845">
      <c r="Y845" s="18"/>
      <c r="AA845" s="18"/>
    </row>
    <row r="846">
      <c r="Y846" s="18"/>
      <c r="AA846" s="18"/>
    </row>
    <row r="847">
      <c r="Y847" s="18"/>
      <c r="AA847" s="18"/>
    </row>
    <row r="848">
      <c r="Y848" s="18"/>
      <c r="AA848" s="18"/>
    </row>
    <row r="849">
      <c r="Y849" s="18"/>
      <c r="AA849" s="18"/>
    </row>
    <row r="850">
      <c r="Y850" s="18"/>
      <c r="AA850" s="18"/>
    </row>
    <row r="851">
      <c r="Y851" s="18"/>
      <c r="AA851" s="18"/>
    </row>
    <row r="852">
      <c r="Y852" s="18"/>
      <c r="AA852" s="18"/>
    </row>
    <row r="853">
      <c r="Y853" s="18"/>
      <c r="AA853" s="18"/>
    </row>
    <row r="854">
      <c r="Y854" s="18"/>
      <c r="AA854" s="18"/>
    </row>
    <row r="855">
      <c r="Y855" s="18"/>
      <c r="AA855" s="18"/>
    </row>
    <row r="856">
      <c r="Y856" s="18"/>
      <c r="AA856" s="18"/>
    </row>
    <row r="857">
      <c r="Y857" s="18"/>
      <c r="AA857" s="18"/>
    </row>
    <row r="858">
      <c r="Y858" s="18"/>
      <c r="AA858" s="18"/>
    </row>
    <row r="859">
      <c r="Y859" s="18"/>
      <c r="AA859" s="18"/>
    </row>
    <row r="860">
      <c r="Y860" s="18"/>
      <c r="AA860" s="18"/>
    </row>
    <row r="861">
      <c r="Y861" s="18"/>
      <c r="AA861" s="18"/>
    </row>
    <row r="862">
      <c r="Y862" s="18"/>
      <c r="AA862" s="18"/>
    </row>
    <row r="863">
      <c r="Y863" s="18"/>
      <c r="AA863" s="18"/>
    </row>
    <row r="864">
      <c r="Y864" s="18"/>
      <c r="AA864" s="18"/>
    </row>
    <row r="865">
      <c r="Y865" s="18"/>
      <c r="AA865" s="18"/>
    </row>
    <row r="866">
      <c r="Y866" s="18"/>
      <c r="AA866" s="18"/>
    </row>
    <row r="867">
      <c r="Y867" s="18"/>
      <c r="AA867" s="18"/>
    </row>
    <row r="868">
      <c r="Y868" s="18"/>
      <c r="AA868" s="18"/>
    </row>
    <row r="869">
      <c r="Y869" s="18"/>
      <c r="AA869" s="18"/>
    </row>
    <row r="870">
      <c r="Y870" s="18"/>
      <c r="AA870" s="18"/>
    </row>
    <row r="871">
      <c r="Y871" s="18"/>
      <c r="AA871" s="18"/>
    </row>
    <row r="872">
      <c r="Y872" s="18"/>
      <c r="AA872" s="18"/>
    </row>
    <row r="873">
      <c r="Y873" s="18"/>
      <c r="AA873" s="18"/>
    </row>
    <row r="874">
      <c r="Y874" s="18"/>
      <c r="AA874" s="18"/>
    </row>
    <row r="875">
      <c r="Y875" s="18"/>
      <c r="AA875" s="18"/>
    </row>
    <row r="876">
      <c r="Y876" s="18"/>
      <c r="AA876" s="18"/>
    </row>
    <row r="877">
      <c r="Y877" s="18"/>
      <c r="AA877" s="18"/>
    </row>
    <row r="878">
      <c r="Y878" s="18"/>
      <c r="AA878" s="18"/>
    </row>
    <row r="879">
      <c r="Y879" s="18"/>
      <c r="AA879" s="18"/>
    </row>
    <row r="880">
      <c r="Y880" s="18"/>
      <c r="AA880" s="18"/>
    </row>
    <row r="881">
      <c r="Y881" s="18"/>
      <c r="AA881" s="18"/>
    </row>
    <row r="882">
      <c r="Y882" s="18"/>
      <c r="AA882" s="18"/>
    </row>
    <row r="883">
      <c r="Y883" s="18"/>
      <c r="AA883" s="18"/>
    </row>
    <row r="884">
      <c r="Y884" s="18"/>
      <c r="AA884" s="18"/>
    </row>
    <row r="885">
      <c r="Y885" s="18"/>
      <c r="AA885" s="18"/>
    </row>
    <row r="886">
      <c r="Y886" s="18"/>
      <c r="AA886" s="18"/>
    </row>
    <row r="887">
      <c r="Y887" s="18"/>
      <c r="AA887" s="18"/>
    </row>
    <row r="888">
      <c r="Y888" s="18"/>
      <c r="AA888" s="18"/>
    </row>
    <row r="889">
      <c r="Y889" s="18"/>
      <c r="AA889" s="18"/>
    </row>
    <row r="890">
      <c r="Y890" s="18"/>
      <c r="AA890" s="18"/>
    </row>
    <row r="891">
      <c r="Y891" s="18"/>
      <c r="AA891" s="18"/>
    </row>
    <row r="892">
      <c r="Y892" s="18"/>
      <c r="AA892" s="18"/>
    </row>
    <row r="893">
      <c r="Y893" s="18"/>
      <c r="AA893" s="18"/>
    </row>
    <row r="894">
      <c r="Y894" s="18"/>
      <c r="AA894" s="18"/>
    </row>
    <row r="895">
      <c r="Y895" s="18"/>
      <c r="AA895" s="18"/>
    </row>
    <row r="896">
      <c r="Y896" s="18"/>
      <c r="AA896" s="18"/>
    </row>
    <row r="897">
      <c r="Y897" s="18"/>
      <c r="AA897" s="18"/>
    </row>
    <row r="898">
      <c r="Y898" s="18"/>
      <c r="AA898" s="18"/>
    </row>
    <row r="899">
      <c r="Y899" s="18"/>
      <c r="AA899" s="18"/>
    </row>
    <row r="900">
      <c r="Y900" s="18"/>
      <c r="AA900" s="18"/>
    </row>
    <row r="901">
      <c r="Y901" s="18"/>
      <c r="AA901" s="18"/>
    </row>
    <row r="902">
      <c r="Y902" s="18"/>
      <c r="AA902" s="18"/>
    </row>
    <row r="903">
      <c r="Y903" s="18"/>
      <c r="AA903" s="18"/>
    </row>
    <row r="904">
      <c r="Y904" s="18"/>
      <c r="AA904" s="18"/>
    </row>
    <row r="905">
      <c r="Y905" s="18"/>
      <c r="AA905" s="18"/>
    </row>
    <row r="906">
      <c r="Y906" s="18"/>
      <c r="AA906" s="18"/>
    </row>
    <row r="907">
      <c r="Y907" s="18"/>
      <c r="AA907" s="18"/>
    </row>
    <row r="908">
      <c r="Y908" s="18"/>
      <c r="AA908" s="18"/>
    </row>
    <row r="909">
      <c r="Y909" s="18"/>
      <c r="AA909" s="18"/>
    </row>
    <row r="910">
      <c r="Y910" s="18"/>
      <c r="AA910" s="18"/>
    </row>
    <row r="911">
      <c r="Y911" s="18"/>
      <c r="AA911" s="18"/>
    </row>
    <row r="912">
      <c r="Y912" s="18"/>
      <c r="AA912" s="18"/>
    </row>
    <row r="913">
      <c r="Y913" s="18"/>
      <c r="AA913" s="18"/>
    </row>
    <row r="914">
      <c r="Y914" s="18"/>
      <c r="AA914" s="18"/>
    </row>
    <row r="915">
      <c r="Y915" s="18"/>
      <c r="AA915" s="18"/>
    </row>
    <row r="916">
      <c r="Y916" s="18"/>
      <c r="AA916" s="18"/>
    </row>
    <row r="917">
      <c r="Y917" s="18"/>
      <c r="AA917" s="18"/>
    </row>
    <row r="918">
      <c r="Y918" s="18"/>
      <c r="AA918" s="18"/>
    </row>
    <row r="919">
      <c r="Y919" s="18"/>
      <c r="AA919" s="18"/>
    </row>
    <row r="920">
      <c r="Y920" s="18"/>
      <c r="AA920" s="18"/>
    </row>
    <row r="921">
      <c r="Y921" s="18"/>
      <c r="AA921" s="18"/>
    </row>
    <row r="922">
      <c r="Y922" s="18"/>
      <c r="AA922" s="18"/>
    </row>
    <row r="923">
      <c r="Y923" s="18"/>
      <c r="AA923" s="18"/>
    </row>
    <row r="924">
      <c r="Y924" s="18"/>
      <c r="AA924" s="18"/>
    </row>
    <row r="925">
      <c r="Y925" s="18"/>
      <c r="AA925" s="18"/>
    </row>
    <row r="926">
      <c r="Y926" s="18"/>
      <c r="AA926" s="18"/>
    </row>
    <row r="927">
      <c r="Y927" s="18"/>
      <c r="AA927" s="18"/>
    </row>
    <row r="928">
      <c r="Y928" s="18"/>
      <c r="AA928" s="18"/>
    </row>
    <row r="929">
      <c r="Y929" s="18"/>
      <c r="AA929" s="18"/>
    </row>
    <row r="930">
      <c r="Y930" s="18"/>
      <c r="AA930" s="18"/>
    </row>
    <row r="931">
      <c r="Y931" s="18"/>
      <c r="AA931" s="18"/>
    </row>
    <row r="932">
      <c r="Y932" s="18"/>
      <c r="AA932" s="18"/>
    </row>
    <row r="933">
      <c r="Y933" s="18"/>
      <c r="AA933" s="18"/>
    </row>
    <row r="934">
      <c r="Y934" s="18"/>
      <c r="AA934" s="18"/>
    </row>
    <row r="935">
      <c r="Y935" s="18"/>
      <c r="AA935" s="18"/>
    </row>
    <row r="936">
      <c r="Y936" s="18"/>
      <c r="AA936" s="18"/>
    </row>
    <row r="937">
      <c r="Y937" s="18"/>
      <c r="AA937" s="18"/>
    </row>
    <row r="938">
      <c r="Y938" s="18"/>
      <c r="AA938" s="18"/>
    </row>
    <row r="939">
      <c r="Y939" s="18"/>
      <c r="AA939" s="18"/>
    </row>
    <row r="940">
      <c r="Y940" s="18"/>
      <c r="AA940" s="18"/>
    </row>
    <row r="941">
      <c r="Y941" s="18"/>
      <c r="AA941" s="18"/>
    </row>
    <row r="942">
      <c r="Y942" s="18"/>
      <c r="AA942" s="18"/>
    </row>
    <row r="943">
      <c r="Y943" s="18"/>
      <c r="AA943" s="18"/>
    </row>
    <row r="944">
      <c r="Y944" s="18"/>
      <c r="AA944" s="18"/>
    </row>
    <row r="945">
      <c r="Y945" s="18"/>
      <c r="AA945" s="18"/>
    </row>
    <row r="946">
      <c r="Y946" s="18"/>
      <c r="AA946" s="18"/>
    </row>
    <row r="947">
      <c r="Y947" s="18"/>
      <c r="AA947" s="18"/>
    </row>
    <row r="948">
      <c r="Y948" s="18"/>
      <c r="AA948" s="18"/>
    </row>
    <row r="949">
      <c r="Y949" s="18"/>
      <c r="AA949" s="18"/>
    </row>
    <row r="950">
      <c r="Y950" s="18"/>
      <c r="AA950" s="18"/>
    </row>
    <row r="951">
      <c r="Y951" s="18"/>
      <c r="AA951" s="18"/>
    </row>
    <row r="952">
      <c r="Y952" s="18"/>
      <c r="AA952" s="18"/>
    </row>
    <row r="953">
      <c r="Y953" s="18"/>
      <c r="AA953" s="18"/>
    </row>
    <row r="954">
      <c r="Y954" s="18"/>
      <c r="AA954" s="18"/>
    </row>
    <row r="955">
      <c r="Y955" s="18"/>
      <c r="AA955" s="18"/>
    </row>
    <row r="956">
      <c r="Y956" s="18"/>
      <c r="AA956" s="18"/>
    </row>
    <row r="957">
      <c r="Y957" s="18"/>
      <c r="AA957" s="18"/>
    </row>
    <row r="958">
      <c r="Y958" s="18"/>
      <c r="AA958" s="18"/>
    </row>
    <row r="959">
      <c r="Y959" s="18"/>
      <c r="AA959" s="18"/>
    </row>
    <row r="960">
      <c r="Y960" s="18"/>
      <c r="AA960" s="18"/>
    </row>
    <row r="961">
      <c r="Y961" s="18"/>
      <c r="AA961" s="18"/>
    </row>
    <row r="962">
      <c r="Y962" s="18"/>
      <c r="AA962" s="18"/>
    </row>
    <row r="963">
      <c r="Y963" s="18"/>
      <c r="AA963" s="18"/>
    </row>
    <row r="964">
      <c r="Y964" s="18"/>
      <c r="AA964" s="18"/>
    </row>
    <row r="965">
      <c r="Y965" s="18"/>
      <c r="AA965" s="18"/>
    </row>
    <row r="966">
      <c r="Y966" s="18"/>
      <c r="AA966" s="18"/>
    </row>
    <row r="967">
      <c r="Y967" s="18"/>
      <c r="AA967" s="18"/>
    </row>
    <row r="968">
      <c r="Y968" s="18"/>
      <c r="AA968" s="18"/>
    </row>
    <row r="969">
      <c r="Y969" s="18"/>
      <c r="AA969" s="18"/>
    </row>
    <row r="970">
      <c r="Y970" s="18"/>
      <c r="AA970" s="18"/>
    </row>
    <row r="971">
      <c r="Y971" s="18"/>
      <c r="AA971" s="18"/>
    </row>
    <row r="972">
      <c r="Y972" s="18"/>
      <c r="AA972" s="18"/>
    </row>
    <row r="973">
      <c r="Y973" s="18"/>
      <c r="AA973" s="18"/>
    </row>
    <row r="974">
      <c r="Y974" s="18"/>
      <c r="AA974" s="18"/>
    </row>
    <row r="975">
      <c r="Y975" s="18"/>
      <c r="AA975" s="18"/>
    </row>
    <row r="976">
      <c r="Y976" s="18"/>
      <c r="AA976" s="18"/>
    </row>
    <row r="977">
      <c r="Y977" s="18"/>
      <c r="AA977" s="18"/>
    </row>
    <row r="978">
      <c r="Y978" s="18"/>
      <c r="AA978" s="18"/>
    </row>
    <row r="979">
      <c r="Y979" s="18"/>
      <c r="AA979" s="18"/>
    </row>
    <row r="980">
      <c r="Y980" s="18"/>
      <c r="AA980" s="18"/>
    </row>
    <row r="981">
      <c r="Y981" s="18"/>
      <c r="AA981" s="18"/>
    </row>
    <row r="982">
      <c r="Y982" s="18"/>
      <c r="AA982" s="18"/>
    </row>
    <row r="983">
      <c r="Y983" s="18"/>
      <c r="AA983" s="18"/>
    </row>
    <row r="984">
      <c r="Y984" s="18"/>
      <c r="AA984" s="18"/>
    </row>
    <row r="985">
      <c r="Y985" s="18"/>
      <c r="AA985" s="18"/>
    </row>
    <row r="986">
      <c r="Y986" s="18"/>
      <c r="AA986" s="18"/>
    </row>
    <row r="987">
      <c r="Y987" s="18"/>
      <c r="AA987" s="18"/>
    </row>
    <row r="988">
      <c r="Y988" s="18"/>
      <c r="AA988" s="18"/>
    </row>
    <row r="989">
      <c r="Y989" s="18"/>
      <c r="AA989" s="18"/>
    </row>
    <row r="990">
      <c r="Y990" s="18"/>
      <c r="AA990" s="18"/>
    </row>
    <row r="991">
      <c r="Y991" s="18"/>
      <c r="AA991" s="18"/>
    </row>
    <row r="992">
      <c r="Y992" s="18"/>
      <c r="AA992" s="18"/>
    </row>
    <row r="993">
      <c r="Y993" s="18"/>
      <c r="AA993" s="18"/>
    </row>
    <row r="994">
      <c r="Y994" s="18"/>
      <c r="AA994" s="18"/>
    </row>
    <row r="995">
      <c r="Y995" s="18"/>
      <c r="AA995" s="18"/>
    </row>
  </sheetData>
  <mergeCells count="49">
    <mergeCell ref="N52:Q52"/>
    <mergeCell ref="N62:Q62"/>
    <mergeCell ref="N4:Q4"/>
    <mergeCell ref="N13:Q13"/>
    <mergeCell ref="N14:Q14"/>
    <mergeCell ref="N24:Q24"/>
    <mergeCell ref="N33:Q33"/>
    <mergeCell ref="N42:Q42"/>
    <mergeCell ref="N43:Q43"/>
    <mergeCell ref="A1:AD1"/>
    <mergeCell ref="N3:Q3"/>
    <mergeCell ref="C4:I4"/>
    <mergeCell ref="J4:K4"/>
    <mergeCell ref="R4:W4"/>
    <mergeCell ref="X4:Z4"/>
    <mergeCell ref="A11:AD11"/>
    <mergeCell ref="N25:Q25"/>
    <mergeCell ref="R25:W25"/>
    <mergeCell ref="C14:I14"/>
    <mergeCell ref="J14:K14"/>
    <mergeCell ref="R14:W14"/>
    <mergeCell ref="X14:Z14"/>
    <mergeCell ref="A22:AD22"/>
    <mergeCell ref="J25:K25"/>
    <mergeCell ref="X25:Z25"/>
    <mergeCell ref="C34:I34"/>
    <mergeCell ref="C43:I43"/>
    <mergeCell ref="J43:K43"/>
    <mergeCell ref="C25:I25"/>
    <mergeCell ref="A31:AD31"/>
    <mergeCell ref="J34:K34"/>
    <mergeCell ref="N34:Q34"/>
    <mergeCell ref="R34:W34"/>
    <mergeCell ref="X34:Z34"/>
    <mergeCell ref="A40:AD40"/>
    <mergeCell ref="C53:I53"/>
    <mergeCell ref="A60:AD60"/>
    <mergeCell ref="C63:I63"/>
    <mergeCell ref="J63:K63"/>
    <mergeCell ref="N63:Q63"/>
    <mergeCell ref="R63:W63"/>
    <mergeCell ref="X63:Z63"/>
    <mergeCell ref="R43:W43"/>
    <mergeCell ref="X43:Z43"/>
    <mergeCell ref="A50:AD50"/>
    <mergeCell ref="J53:K53"/>
    <mergeCell ref="N53:Q53"/>
    <mergeCell ref="R53:W53"/>
    <mergeCell ref="X53:Z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18.5"/>
  </cols>
  <sheetData>
    <row r="1">
      <c r="A1" s="19" t="s">
        <v>94</v>
      </c>
    </row>
    <row r="2">
      <c r="A2" s="20"/>
      <c r="B2" s="20"/>
      <c r="D2" s="6" t="s">
        <v>95</v>
      </c>
      <c r="F2" s="21" t="s">
        <v>96</v>
      </c>
      <c r="H2" s="21" t="s">
        <v>96</v>
      </c>
      <c r="I2" s="6" t="s">
        <v>95</v>
      </c>
      <c r="Y2" s="18"/>
    </row>
    <row r="3">
      <c r="A3" s="22" t="s">
        <v>185</v>
      </c>
      <c r="B3" s="22" t="s">
        <v>270</v>
      </c>
      <c r="C3" s="23" t="s">
        <v>271</v>
      </c>
      <c r="D3" s="24" t="s">
        <v>272</v>
      </c>
      <c r="E3" s="59"/>
      <c r="F3" s="26"/>
      <c r="G3" s="27" t="s">
        <v>100</v>
      </c>
      <c r="H3" s="26" t="s">
        <v>273</v>
      </c>
      <c r="I3" s="26" t="s">
        <v>274</v>
      </c>
      <c r="J3" s="28"/>
      <c r="K3" s="28"/>
      <c r="L3" s="28"/>
      <c r="M3" s="28"/>
      <c r="N3" s="51" t="s">
        <v>275</v>
      </c>
      <c r="R3" s="26"/>
      <c r="S3" s="26" t="s">
        <v>276</v>
      </c>
      <c r="T3" s="26" t="s">
        <v>277</v>
      </c>
      <c r="U3" s="26" t="s">
        <v>278</v>
      </c>
      <c r="V3" s="30" t="s">
        <v>279</v>
      </c>
      <c r="Y3" s="18"/>
      <c r="AB3" s="31"/>
      <c r="AC3" s="31"/>
    </row>
    <row r="4">
      <c r="A4" s="20"/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60"/>
      <c r="S4" s="38" t="s">
        <v>108</v>
      </c>
      <c r="T4" s="34"/>
      <c r="U4" s="60"/>
      <c r="V4" s="39" t="s">
        <v>109</v>
      </c>
      <c r="W4" s="33"/>
      <c r="X4" s="34"/>
      <c r="Y4" s="18"/>
    </row>
    <row r="5">
      <c r="A5" s="40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120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280</v>
      </c>
      <c r="S5" s="43" t="s">
        <v>125</v>
      </c>
      <c r="T5" s="43" t="s">
        <v>126</v>
      </c>
      <c r="U5" s="6" t="s">
        <v>196</v>
      </c>
      <c r="V5" s="43" t="s">
        <v>127</v>
      </c>
      <c r="W5" s="43" t="s">
        <v>128</v>
      </c>
      <c r="X5" s="43" t="s">
        <v>129</v>
      </c>
      <c r="Y5" s="50" t="s">
        <v>198</v>
      </c>
      <c r="AA5" s="3" t="s">
        <v>199</v>
      </c>
      <c r="AB5" s="47"/>
      <c r="AC5" s="43"/>
    </row>
    <row r="6">
      <c r="A6" s="61" t="s">
        <v>281</v>
      </c>
      <c r="B6" s="48" t="s">
        <v>282</v>
      </c>
      <c r="D6" s="49"/>
      <c r="E6" s="6">
        <v>64.0</v>
      </c>
      <c r="F6" s="50">
        <v>1.2582912E9</v>
      </c>
      <c r="I6" s="10">
        <f t="shared" ref="I6:I7" si="1">ROUNDUP(F6/(N6*O6*P6*Q6))</f>
        <v>3</v>
      </c>
      <c r="J6" s="10">
        <f>3*E6*E6/E6</f>
        <v>192</v>
      </c>
      <c r="K6" s="10">
        <f>1.7*E6*E6/E6</f>
        <v>108.8</v>
      </c>
      <c r="L6" s="10">
        <f>5*E6*E6/64</f>
        <v>320</v>
      </c>
      <c r="M6" s="6">
        <v>2.52</v>
      </c>
      <c r="N6" s="6">
        <v>16.0</v>
      </c>
      <c r="O6" s="6">
        <v>8.0</v>
      </c>
      <c r="P6" s="6">
        <v>32.0</v>
      </c>
      <c r="Q6" s="6">
        <v>131072.0</v>
      </c>
      <c r="S6" s="10">
        <v>27.72</v>
      </c>
      <c r="T6" s="10">
        <v>28.98</v>
      </c>
      <c r="U6" s="10">
        <v>2.52</v>
      </c>
      <c r="Y6" s="18">
        <f t="shared" ref="Y6:Y7" si="2">E6*I6*J6*S6+E6*I6*K6*T6+E6*I6*L6*M6</f>
        <v>1782079.488</v>
      </c>
      <c r="AA6" s="50">
        <v>3.0732124E10</v>
      </c>
    </row>
    <row r="7">
      <c r="A7" s="61"/>
      <c r="B7" s="62" t="s">
        <v>283</v>
      </c>
      <c r="E7" s="6">
        <v>64.0</v>
      </c>
      <c r="F7" s="50">
        <v>1.2582912E9</v>
      </c>
      <c r="I7" s="10">
        <f t="shared" si="1"/>
        <v>3</v>
      </c>
      <c r="J7" s="6">
        <v>2.0</v>
      </c>
      <c r="K7" s="6">
        <v>1.0</v>
      </c>
      <c r="L7" s="6">
        <v>3.0</v>
      </c>
      <c r="M7" s="6">
        <v>2.52</v>
      </c>
      <c r="N7" s="6">
        <v>16.0</v>
      </c>
      <c r="O7" s="6">
        <v>8.0</v>
      </c>
      <c r="P7" s="6">
        <v>32.0</v>
      </c>
      <c r="Q7" s="6">
        <v>131072.0</v>
      </c>
      <c r="R7" s="6"/>
      <c r="S7" s="10">
        <v>27.72</v>
      </c>
      <c r="T7" s="10">
        <v>28.98</v>
      </c>
      <c r="Y7" s="18">
        <f t="shared" si="2"/>
        <v>17660.16</v>
      </c>
      <c r="Z7" s="18">
        <f>Y6+Y7</f>
        <v>1799739.648</v>
      </c>
    </row>
    <row r="8">
      <c r="A8" s="61" t="s">
        <v>284</v>
      </c>
      <c r="B8" s="63" t="s">
        <v>285</v>
      </c>
      <c r="E8" s="6">
        <v>64.0</v>
      </c>
      <c r="F8" s="50">
        <v>1.2582912E9</v>
      </c>
      <c r="I8" s="10">
        <f>ROUNDUP((F8/Q8/N8/O8)*E8)</f>
        <v>4800</v>
      </c>
      <c r="N8" s="6">
        <v>16.0</v>
      </c>
      <c r="O8" s="6">
        <v>8.0</v>
      </c>
      <c r="P8" s="6">
        <v>32.0</v>
      </c>
      <c r="Q8" s="6">
        <v>131072.0</v>
      </c>
      <c r="R8" s="6">
        <v>4096.0</v>
      </c>
      <c r="S8" s="10">
        <v>27.72</v>
      </c>
      <c r="T8" s="10">
        <v>28.98</v>
      </c>
      <c r="U8" s="10">
        <v>2.52</v>
      </c>
      <c r="Y8" s="18">
        <f>E8*I8*S8+R8*U8*E8*I8</f>
        <v>3179409408</v>
      </c>
    </row>
    <row r="9">
      <c r="B9" s="63"/>
      <c r="Y9" s="18">
        <f>SUM(Y6:Y8)</f>
        <v>3181209148</v>
      </c>
      <c r="Z9" s="54"/>
    </row>
    <row r="10">
      <c r="A10" s="19" t="s">
        <v>134</v>
      </c>
    </row>
    <row r="11">
      <c r="A11" s="20"/>
      <c r="B11" s="20"/>
      <c r="D11" s="6" t="s">
        <v>95</v>
      </c>
      <c r="F11" s="21" t="s">
        <v>96</v>
      </c>
      <c r="H11" s="21" t="s">
        <v>96</v>
      </c>
      <c r="I11" s="6" t="s">
        <v>95</v>
      </c>
      <c r="Y11" s="18"/>
    </row>
    <row r="12">
      <c r="A12" s="22" t="s">
        <v>185</v>
      </c>
      <c r="B12" s="22" t="s">
        <v>286</v>
      </c>
      <c r="C12" s="23" t="s">
        <v>287</v>
      </c>
      <c r="D12" s="24" t="s">
        <v>288</v>
      </c>
      <c r="E12" s="59"/>
      <c r="F12" s="26"/>
      <c r="G12" s="27" t="s">
        <v>100</v>
      </c>
      <c r="H12" s="26" t="s">
        <v>289</v>
      </c>
      <c r="I12" s="26" t="s">
        <v>290</v>
      </c>
      <c r="J12" s="28"/>
      <c r="K12" s="28"/>
      <c r="L12" s="28"/>
      <c r="M12" s="28"/>
      <c r="N12" s="51" t="s">
        <v>291</v>
      </c>
      <c r="R12" s="26"/>
      <c r="S12" s="26" t="s">
        <v>292</v>
      </c>
      <c r="T12" s="26" t="s">
        <v>293</v>
      </c>
      <c r="U12" s="26" t="s">
        <v>278</v>
      </c>
      <c r="V12" s="30" t="s">
        <v>294</v>
      </c>
      <c r="Y12" s="18"/>
      <c r="AB12" s="31"/>
      <c r="AC12" s="31"/>
    </row>
    <row r="13">
      <c r="A13" s="20"/>
      <c r="B13" s="20"/>
      <c r="C13" s="32" t="s">
        <v>106</v>
      </c>
      <c r="D13" s="33"/>
      <c r="E13" s="33"/>
      <c r="F13" s="33"/>
      <c r="G13" s="33"/>
      <c r="H13" s="33"/>
      <c r="I13" s="34"/>
      <c r="J13" s="35"/>
      <c r="K13" s="34"/>
      <c r="L13" s="36"/>
      <c r="M13" s="36"/>
      <c r="N13" s="37" t="s">
        <v>107</v>
      </c>
      <c r="O13" s="33"/>
      <c r="P13" s="33"/>
      <c r="Q13" s="34"/>
      <c r="R13" s="60"/>
      <c r="S13" s="38" t="s">
        <v>108</v>
      </c>
      <c r="T13" s="34"/>
      <c r="U13" s="60"/>
      <c r="V13" s="39" t="s">
        <v>109</v>
      </c>
      <c r="W13" s="33"/>
      <c r="X13" s="34"/>
      <c r="Y13" s="18"/>
    </row>
    <row r="14">
      <c r="A14" s="40"/>
      <c r="B14" s="40"/>
      <c r="C14" s="41" t="s">
        <v>110</v>
      </c>
      <c r="D14" s="42" t="s">
        <v>111</v>
      </c>
      <c r="E14" s="43" t="s">
        <v>112</v>
      </c>
      <c r="F14" s="44" t="s">
        <v>113</v>
      </c>
      <c r="G14" s="41" t="s">
        <v>114</v>
      </c>
      <c r="H14" s="41" t="s">
        <v>115</v>
      </c>
      <c r="I14" s="45" t="s">
        <v>116</v>
      </c>
      <c r="J14" s="56" t="s">
        <v>142</v>
      </c>
      <c r="K14" s="56" t="s">
        <v>143</v>
      </c>
      <c r="L14" s="56"/>
      <c r="M14" s="56"/>
      <c r="N14" s="44" t="s">
        <v>121</v>
      </c>
      <c r="O14" s="44" t="s">
        <v>122</v>
      </c>
      <c r="P14" s="44" t="s">
        <v>123</v>
      </c>
      <c r="Q14" s="44" t="s">
        <v>124</v>
      </c>
      <c r="R14" s="43" t="s">
        <v>280</v>
      </c>
      <c r="S14" s="43" t="s">
        <v>125</v>
      </c>
      <c r="T14" s="43" t="s">
        <v>126</v>
      </c>
      <c r="U14" s="6" t="s">
        <v>196</v>
      </c>
      <c r="V14" s="43" t="s">
        <v>127</v>
      </c>
      <c r="W14" s="43" t="s">
        <v>128</v>
      </c>
      <c r="X14" s="43" t="s">
        <v>129</v>
      </c>
      <c r="Y14" s="50" t="s">
        <v>198</v>
      </c>
      <c r="AA14" s="3" t="s">
        <v>199</v>
      </c>
      <c r="AB14" s="47"/>
      <c r="AC14" s="43"/>
    </row>
    <row r="15">
      <c r="A15" s="61" t="s">
        <v>281</v>
      </c>
      <c r="B15" s="48" t="s">
        <v>295</v>
      </c>
      <c r="D15" s="49"/>
      <c r="E15" s="6">
        <v>64.0</v>
      </c>
      <c r="F15" s="50">
        <v>1.2582912E9</v>
      </c>
      <c r="I15" s="10">
        <f t="shared" ref="I15:I16" si="3">ROUNDUP(F15/(N15*O15*P15*Q15))</f>
        <v>3</v>
      </c>
      <c r="J15" s="10">
        <f>(8*E15*E15+12*E15)/E15</f>
        <v>524</v>
      </c>
      <c r="K15" s="6">
        <v>53.14</v>
      </c>
      <c r="N15" s="6">
        <v>16.0</v>
      </c>
      <c r="O15" s="6">
        <v>8.0</v>
      </c>
      <c r="P15" s="6">
        <v>32.0</v>
      </c>
      <c r="Q15" s="6">
        <v>131072.0</v>
      </c>
      <c r="S15" s="10">
        <v>27.72</v>
      </c>
      <c r="T15" s="10">
        <v>28.98</v>
      </c>
      <c r="U15" s="10">
        <v>2.52</v>
      </c>
      <c r="Y15" s="18">
        <f t="shared" ref="Y15:Y16" si="4">E15*I15*J15*K15</f>
        <v>5346309.12</v>
      </c>
      <c r="AA15" s="50">
        <v>3.0732124E10</v>
      </c>
    </row>
    <row r="16">
      <c r="A16" s="61"/>
      <c r="B16" s="62" t="s">
        <v>296</v>
      </c>
      <c r="E16" s="6">
        <v>64.0</v>
      </c>
      <c r="F16" s="50">
        <v>1.2582912E9</v>
      </c>
      <c r="I16" s="10">
        <f t="shared" si="3"/>
        <v>3</v>
      </c>
      <c r="J16" s="6">
        <v>4.0</v>
      </c>
      <c r="K16" s="6">
        <v>53.14</v>
      </c>
      <c r="N16" s="6">
        <v>16.0</v>
      </c>
      <c r="O16" s="6">
        <v>8.0</v>
      </c>
      <c r="P16" s="6">
        <v>32.0</v>
      </c>
      <c r="Q16" s="6">
        <v>131072.0</v>
      </c>
      <c r="R16" s="6"/>
      <c r="S16" s="10">
        <v>27.72</v>
      </c>
      <c r="T16" s="10">
        <v>28.98</v>
      </c>
      <c r="Y16" s="18">
        <f t="shared" si="4"/>
        <v>40811.52</v>
      </c>
      <c r="Z16" s="18">
        <f>Y15+Y16</f>
        <v>5387120.64</v>
      </c>
    </row>
    <row r="17">
      <c r="A17" s="61" t="s">
        <v>284</v>
      </c>
      <c r="B17" s="63" t="s">
        <v>285</v>
      </c>
      <c r="E17" s="6">
        <v>64.0</v>
      </c>
      <c r="F17" s="50">
        <v>1.2582912E9</v>
      </c>
      <c r="I17" s="10">
        <f>ROUNDUP((F17/Q17/N17/O17)*E17)</f>
        <v>4800</v>
      </c>
      <c r="N17" s="6">
        <v>16.0</v>
      </c>
      <c r="O17" s="6">
        <v>8.0</v>
      </c>
      <c r="P17" s="6">
        <v>32.0</v>
      </c>
      <c r="Q17" s="6">
        <v>131072.0</v>
      </c>
      <c r="R17" s="6">
        <v>4096.0</v>
      </c>
      <c r="S17" s="10">
        <v>27.72</v>
      </c>
      <c r="T17" s="10">
        <v>28.98</v>
      </c>
      <c r="U17" s="10">
        <v>2.52</v>
      </c>
      <c r="Y17" s="18">
        <f>E17*I17*S17+R17*U17*E17*I17</f>
        <v>3179409408</v>
      </c>
    </row>
    <row r="18">
      <c r="Y18" s="18">
        <f>SUM(Y15:Y17)</f>
        <v>3184796529</v>
      </c>
    </row>
    <row r="19">
      <c r="Y19" s="18"/>
    </row>
    <row r="20">
      <c r="A20" s="19" t="s">
        <v>145</v>
      </c>
    </row>
    <row r="21">
      <c r="A21" s="20"/>
      <c r="B21" s="20"/>
      <c r="D21" s="6" t="s">
        <v>95</v>
      </c>
      <c r="F21" s="21" t="s">
        <v>96</v>
      </c>
      <c r="H21" s="21" t="s">
        <v>96</v>
      </c>
      <c r="I21" s="6" t="s">
        <v>95</v>
      </c>
      <c r="Y21" s="18"/>
    </row>
    <row r="22">
      <c r="A22" s="22" t="s">
        <v>185</v>
      </c>
      <c r="B22" s="22" t="s">
        <v>297</v>
      </c>
      <c r="C22" s="23" t="s">
        <v>298</v>
      </c>
      <c r="D22" s="24" t="s">
        <v>299</v>
      </c>
      <c r="E22" s="59"/>
      <c r="F22" s="26"/>
      <c r="G22" s="27" t="s">
        <v>100</v>
      </c>
      <c r="H22" s="26" t="s">
        <v>300</v>
      </c>
      <c r="I22" s="26" t="s">
        <v>301</v>
      </c>
      <c r="J22" s="28"/>
      <c r="K22" s="28"/>
      <c r="L22" s="28"/>
      <c r="M22" s="28"/>
      <c r="N22" s="51" t="s">
        <v>302</v>
      </c>
      <c r="R22" s="26"/>
      <c r="S22" s="26" t="s">
        <v>303</v>
      </c>
      <c r="T22" s="26" t="s">
        <v>304</v>
      </c>
      <c r="U22" s="26" t="s">
        <v>278</v>
      </c>
      <c r="V22" s="30" t="s">
        <v>305</v>
      </c>
      <c r="Y22" s="18"/>
      <c r="AB22" s="31"/>
      <c r="AC22" s="31"/>
    </row>
    <row r="23">
      <c r="A23" s="20"/>
      <c r="B23" s="20"/>
      <c r="C23" s="32" t="s">
        <v>106</v>
      </c>
      <c r="D23" s="33"/>
      <c r="E23" s="33"/>
      <c r="F23" s="33"/>
      <c r="G23" s="33"/>
      <c r="H23" s="33"/>
      <c r="I23" s="34"/>
      <c r="J23" s="35"/>
      <c r="K23" s="34"/>
      <c r="L23" s="36"/>
      <c r="M23" s="36"/>
      <c r="N23" s="37" t="s">
        <v>107</v>
      </c>
      <c r="O23" s="33"/>
      <c r="P23" s="33"/>
      <c r="Q23" s="34"/>
      <c r="R23" s="60"/>
      <c r="S23" s="38" t="s">
        <v>108</v>
      </c>
      <c r="T23" s="34"/>
      <c r="U23" s="60"/>
      <c r="V23" s="39" t="s">
        <v>109</v>
      </c>
      <c r="W23" s="33"/>
      <c r="X23" s="34"/>
      <c r="Y23" s="18"/>
    </row>
    <row r="24">
      <c r="A24" s="40"/>
      <c r="B24" s="40"/>
      <c r="C24" s="41" t="s">
        <v>110</v>
      </c>
      <c r="D24" s="42" t="s">
        <v>111</v>
      </c>
      <c r="E24" s="43" t="s">
        <v>112</v>
      </c>
      <c r="F24" s="44" t="s">
        <v>113</v>
      </c>
      <c r="G24" s="41" t="s">
        <v>114</v>
      </c>
      <c r="H24" s="41" t="s">
        <v>115</v>
      </c>
      <c r="I24" s="45" t="s">
        <v>116</v>
      </c>
      <c r="J24" s="43" t="s">
        <v>117</v>
      </c>
      <c r="K24" s="43" t="s">
        <v>118</v>
      </c>
      <c r="L24" s="43" t="s">
        <v>119</v>
      </c>
      <c r="M24" s="43" t="s">
        <v>120</v>
      </c>
      <c r="N24" s="44" t="s">
        <v>121</v>
      </c>
      <c r="O24" s="44" t="s">
        <v>122</v>
      </c>
      <c r="P24" s="44" t="s">
        <v>123</v>
      </c>
      <c r="Q24" s="44" t="s">
        <v>124</v>
      </c>
      <c r="R24" s="43" t="s">
        <v>280</v>
      </c>
      <c r="S24" s="43" t="s">
        <v>125</v>
      </c>
      <c r="T24" s="43" t="s">
        <v>126</v>
      </c>
      <c r="U24" s="6" t="s">
        <v>196</v>
      </c>
      <c r="V24" s="43" t="s">
        <v>127</v>
      </c>
      <c r="W24" s="43" t="s">
        <v>128</v>
      </c>
      <c r="X24" s="43" t="s">
        <v>129</v>
      </c>
      <c r="Y24" s="50" t="s">
        <v>198</v>
      </c>
      <c r="AA24" s="3" t="s">
        <v>199</v>
      </c>
      <c r="AB24" s="47"/>
      <c r="AC24" s="43"/>
    </row>
    <row r="25">
      <c r="A25" s="61" t="s">
        <v>281</v>
      </c>
      <c r="B25" s="48" t="s">
        <v>282</v>
      </c>
      <c r="D25" s="49"/>
      <c r="E25" s="6">
        <v>64.0</v>
      </c>
      <c r="F25" s="50">
        <v>1.2582912E9</v>
      </c>
      <c r="I25" s="10">
        <f t="shared" ref="I25:I26" si="5">ROUNDUP(F25/(N25*O25*P25*Q25))</f>
        <v>3</v>
      </c>
      <c r="J25" s="10">
        <f>2.7*E25*E25/E25</f>
        <v>172.8</v>
      </c>
      <c r="K25" s="10">
        <f>1.4*E25*E25/E25</f>
        <v>89.6</v>
      </c>
      <c r="L25" s="10">
        <f>4*E25*E25/64</f>
        <v>256</v>
      </c>
      <c r="M25" s="6">
        <v>2.52</v>
      </c>
      <c r="N25" s="6">
        <v>16.0</v>
      </c>
      <c r="O25" s="6">
        <v>8.0</v>
      </c>
      <c r="P25" s="6">
        <v>32.0</v>
      </c>
      <c r="Q25" s="6">
        <v>131072.0</v>
      </c>
      <c r="S25" s="10">
        <v>27.72</v>
      </c>
      <c r="T25" s="10">
        <v>28.98</v>
      </c>
      <c r="U25" s="10">
        <v>2.52</v>
      </c>
      <c r="Y25" s="18">
        <f t="shared" ref="Y25:Y26" si="6">E25*I25*J25*S25+E25*I25*K25*T25+E25*I25*L25*M25</f>
        <v>1542094.848</v>
      </c>
      <c r="AA25" s="50">
        <v>3.0732124E10</v>
      </c>
    </row>
    <row r="26">
      <c r="A26" s="61"/>
      <c r="B26" s="64" t="s">
        <v>283</v>
      </c>
      <c r="E26" s="6">
        <v>64.0</v>
      </c>
      <c r="F26" s="50">
        <v>1.2582912E9</v>
      </c>
      <c r="I26" s="10">
        <f t="shared" si="5"/>
        <v>3</v>
      </c>
      <c r="J26" s="6">
        <v>2.0</v>
      </c>
      <c r="K26" s="6">
        <v>1.0</v>
      </c>
      <c r="L26" s="6">
        <v>3.0</v>
      </c>
      <c r="M26" s="6">
        <v>2.52</v>
      </c>
      <c r="N26" s="6">
        <v>16.0</v>
      </c>
      <c r="O26" s="6">
        <v>8.0</v>
      </c>
      <c r="P26" s="6">
        <v>32.0</v>
      </c>
      <c r="Q26" s="6">
        <v>131072.0</v>
      </c>
      <c r="R26" s="6"/>
      <c r="S26" s="10">
        <v>27.72</v>
      </c>
      <c r="T26" s="10">
        <v>28.98</v>
      </c>
      <c r="Y26" s="18">
        <f t="shared" si="6"/>
        <v>17660.16</v>
      </c>
    </row>
    <row r="27">
      <c r="A27" s="61" t="s">
        <v>284</v>
      </c>
      <c r="B27" s="65" t="s">
        <v>285</v>
      </c>
      <c r="E27" s="6">
        <v>64.0</v>
      </c>
      <c r="F27" s="50">
        <v>1.2582912E9</v>
      </c>
      <c r="I27" s="10">
        <f>ROUNDUP((F27/Q27/N27/O27)*E27)</f>
        <v>4800</v>
      </c>
      <c r="N27" s="6">
        <v>16.0</v>
      </c>
      <c r="O27" s="6">
        <v>8.0</v>
      </c>
      <c r="P27" s="6">
        <v>32.0</v>
      </c>
      <c r="Q27" s="6">
        <v>131072.0</v>
      </c>
      <c r="R27" s="6">
        <v>4096.0</v>
      </c>
      <c r="S27" s="10">
        <v>27.72</v>
      </c>
      <c r="T27" s="10">
        <v>28.98</v>
      </c>
      <c r="U27" s="10">
        <v>2.52</v>
      </c>
      <c r="Y27" s="18">
        <f>E27*I27*S27+R27*U27*E27*I27</f>
        <v>3179409408</v>
      </c>
    </row>
    <row r="28">
      <c r="B28" s="63"/>
      <c r="Y28" s="18">
        <f>SUM(Y25:Y27)</f>
        <v>3180969163</v>
      </c>
      <c r="Z28" s="54"/>
    </row>
    <row r="29">
      <c r="Y29" s="18"/>
    </row>
    <row r="30">
      <c r="A30" s="19" t="s">
        <v>226</v>
      </c>
    </row>
    <row r="31">
      <c r="A31" s="20"/>
      <c r="B31" s="20"/>
      <c r="D31" s="6" t="s">
        <v>95</v>
      </c>
      <c r="F31" s="21" t="s">
        <v>96</v>
      </c>
      <c r="H31" s="21" t="s">
        <v>96</v>
      </c>
      <c r="I31" s="6" t="s">
        <v>95</v>
      </c>
      <c r="Y31" s="18"/>
    </row>
    <row r="32">
      <c r="A32" s="22" t="s">
        <v>185</v>
      </c>
      <c r="B32" s="22" t="s">
        <v>306</v>
      </c>
      <c r="C32" s="23" t="s">
        <v>307</v>
      </c>
      <c r="D32" s="24" t="s">
        <v>308</v>
      </c>
      <c r="E32" s="59"/>
      <c r="F32" s="26"/>
      <c r="G32" s="27" t="s">
        <v>100</v>
      </c>
      <c r="H32" s="26" t="s">
        <v>309</v>
      </c>
      <c r="I32" s="26" t="s">
        <v>310</v>
      </c>
      <c r="J32" s="28"/>
      <c r="K32" s="28"/>
      <c r="L32" s="28"/>
      <c r="M32" s="28"/>
      <c r="N32" s="51" t="s">
        <v>311</v>
      </c>
      <c r="R32" s="26"/>
      <c r="S32" s="26" t="s">
        <v>312</v>
      </c>
      <c r="T32" s="26" t="s">
        <v>313</v>
      </c>
      <c r="U32" s="26" t="s">
        <v>278</v>
      </c>
      <c r="V32" s="30" t="s">
        <v>314</v>
      </c>
      <c r="Y32" s="18"/>
      <c r="AB32" s="31"/>
      <c r="AC32" s="31"/>
    </row>
    <row r="33">
      <c r="A33" s="20"/>
      <c r="B33" s="20"/>
      <c r="C33" s="32" t="s">
        <v>106</v>
      </c>
      <c r="D33" s="33"/>
      <c r="E33" s="33"/>
      <c r="F33" s="33"/>
      <c r="G33" s="33"/>
      <c r="H33" s="33"/>
      <c r="I33" s="34"/>
      <c r="J33" s="35"/>
      <c r="K33" s="34"/>
      <c r="L33" s="36"/>
      <c r="M33" s="36"/>
      <c r="N33" s="37" t="s">
        <v>107</v>
      </c>
      <c r="O33" s="33"/>
      <c r="P33" s="33"/>
      <c r="Q33" s="34"/>
      <c r="R33" s="60"/>
      <c r="S33" s="38" t="s">
        <v>108</v>
      </c>
      <c r="T33" s="34"/>
      <c r="U33" s="60"/>
      <c r="V33" s="39" t="s">
        <v>109</v>
      </c>
      <c r="W33" s="33"/>
      <c r="X33" s="34"/>
      <c r="Y33" s="18"/>
    </row>
    <row r="34">
      <c r="A34" s="40"/>
      <c r="B34" s="40"/>
      <c r="C34" s="41" t="s">
        <v>110</v>
      </c>
      <c r="D34" s="42" t="s">
        <v>111</v>
      </c>
      <c r="E34" s="43" t="s">
        <v>112</v>
      </c>
      <c r="F34" s="44" t="s">
        <v>113</v>
      </c>
      <c r="G34" s="41" t="s">
        <v>114</v>
      </c>
      <c r="H34" s="41" t="s">
        <v>115</v>
      </c>
      <c r="I34" s="45" t="s">
        <v>116</v>
      </c>
      <c r="J34" s="43" t="s">
        <v>117</v>
      </c>
      <c r="K34" s="43" t="s">
        <v>118</v>
      </c>
      <c r="L34" s="43" t="s">
        <v>119</v>
      </c>
      <c r="M34" s="43" t="s">
        <v>120</v>
      </c>
      <c r="N34" s="44" t="s">
        <v>121</v>
      </c>
      <c r="O34" s="44" t="s">
        <v>122</v>
      </c>
      <c r="P34" s="44" t="s">
        <v>123</v>
      </c>
      <c r="Q34" s="44" t="s">
        <v>124</v>
      </c>
      <c r="R34" s="43" t="s">
        <v>280</v>
      </c>
      <c r="S34" s="43" t="s">
        <v>125</v>
      </c>
      <c r="T34" s="43" t="s">
        <v>126</v>
      </c>
      <c r="U34" s="6" t="s">
        <v>196</v>
      </c>
      <c r="V34" s="43" t="s">
        <v>127</v>
      </c>
      <c r="W34" s="43" t="s">
        <v>128</v>
      </c>
      <c r="X34" s="43" t="s">
        <v>129</v>
      </c>
      <c r="Y34" s="50" t="s">
        <v>198</v>
      </c>
      <c r="AA34" s="3" t="s">
        <v>199</v>
      </c>
      <c r="AB34" s="47"/>
      <c r="AC34" s="43"/>
    </row>
    <row r="35">
      <c r="A35" s="61" t="s">
        <v>281</v>
      </c>
      <c r="B35" s="48" t="s">
        <v>282</v>
      </c>
      <c r="D35" s="49"/>
      <c r="E35" s="6">
        <v>64.0</v>
      </c>
      <c r="F35" s="50">
        <v>1.2582912E9</v>
      </c>
      <c r="I35" s="10">
        <f t="shared" ref="I35:I36" si="7">ROUNDUP(F35/(N35*O35*P35*Q35))</f>
        <v>38</v>
      </c>
      <c r="J35" s="10">
        <f>22.8*E35*E35/E35</f>
        <v>1459.2</v>
      </c>
      <c r="K35" s="10">
        <f>12.9*E35*E35/E35</f>
        <v>825.6</v>
      </c>
      <c r="L35" s="10">
        <f>23.9*E35*E35/E35</f>
        <v>1529.6</v>
      </c>
      <c r="M35" s="6">
        <v>2.52</v>
      </c>
      <c r="N35" s="6">
        <v>16.0</v>
      </c>
      <c r="O35" s="6">
        <v>8.0</v>
      </c>
      <c r="P35" s="6">
        <v>2.0</v>
      </c>
      <c r="Q35" s="6">
        <v>131072.0</v>
      </c>
      <c r="S35" s="10">
        <v>27.72</v>
      </c>
      <c r="T35" s="10">
        <v>28.98</v>
      </c>
      <c r="U35" s="10">
        <v>2.52</v>
      </c>
      <c r="Y35" s="18">
        <f t="shared" ref="Y35:Y36" si="8">E35*I35*J35*S35+E35*I35*K35*T35+E35*I35*L35*M35</f>
        <v>165934153.7</v>
      </c>
      <c r="AA35" s="50">
        <v>3.0732124E10</v>
      </c>
    </row>
    <row r="36">
      <c r="A36" s="61"/>
      <c r="B36" s="62" t="s">
        <v>283</v>
      </c>
      <c r="E36" s="6">
        <v>64.0</v>
      </c>
      <c r="F36" s="50">
        <v>1.2582912E9</v>
      </c>
      <c r="I36" s="10">
        <f t="shared" si="7"/>
        <v>38</v>
      </c>
      <c r="J36" s="6">
        <v>4.0</v>
      </c>
      <c r="K36" s="6">
        <v>2.0</v>
      </c>
      <c r="L36" s="6">
        <v>6.0</v>
      </c>
      <c r="M36" s="6">
        <v>2.52</v>
      </c>
      <c r="N36" s="6">
        <v>16.0</v>
      </c>
      <c r="O36" s="6">
        <v>8.0</v>
      </c>
      <c r="P36" s="6">
        <v>2.0</v>
      </c>
      <c r="Q36" s="6">
        <v>131072.0</v>
      </c>
      <c r="R36" s="6"/>
      <c r="S36" s="10">
        <v>27.72</v>
      </c>
      <c r="T36" s="10">
        <v>28.98</v>
      </c>
      <c r="Y36" s="18">
        <f t="shared" si="8"/>
        <v>447390.72</v>
      </c>
      <c r="Z36" s="18">
        <f>Y35+Y36</f>
        <v>166381544.4</v>
      </c>
    </row>
    <row r="37">
      <c r="A37" s="61" t="s">
        <v>284</v>
      </c>
      <c r="B37" s="63" t="s">
        <v>285</v>
      </c>
      <c r="E37" s="6">
        <v>64.0</v>
      </c>
      <c r="F37" s="50">
        <v>1.2582912E9</v>
      </c>
      <c r="I37" s="10">
        <f>ROUNDUP((F37/Q37/N37/O37)*E37)</f>
        <v>4800</v>
      </c>
      <c r="N37" s="6">
        <v>16.0</v>
      </c>
      <c r="O37" s="6">
        <v>8.0</v>
      </c>
      <c r="P37" s="6">
        <v>2.0</v>
      </c>
      <c r="Q37" s="6">
        <v>131072.0</v>
      </c>
      <c r="R37" s="6">
        <v>4096.0</v>
      </c>
      <c r="S37" s="10">
        <v>27.72</v>
      </c>
      <c r="T37" s="10">
        <v>28.98</v>
      </c>
      <c r="U37" s="10">
        <v>2.52</v>
      </c>
      <c r="Y37" s="18">
        <f>E37*I37*S37+R37*U37*E37*I37</f>
        <v>3179409408</v>
      </c>
    </row>
    <row r="38">
      <c r="B38" s="63"/>
      <c r="Y38" s="18">
        <f>SUM(Y35:Y37)</f>
        <v>3345790952</v>
      </c>
      <c r="Z38" s="54"/>
    </row>
    <row r="39">
      <c r="I39" s="3"/>
      <c r="Y39" s="18"/>
    </row>
    <row r="40">
      <c r="A40" s="19" t="s">
        <v>237</v>
      </c>
    </row>
    <row r="41">
      <c r="A41" s="20"/>
      <c r="B41" s="20"/>
      <c r="D41" s="6" t="s">
        <v>95</v>
      </c>
      <c r="F41" s="21" t="s">
        <v>96</v>
      </c>
      <c r="H41" s="21" t="s">
        <v>96</v>
      </c>
      <c r="I41" s="6" t="s">
        <v>95</v>
      </c>
      <c r="Y41" s="18"/>
    </row>
    <row r="42">
      <c r="A42" s="22" t="s">
        <v>185</v>
      </c>
      <c r="B42" s="22" t="s">
        <v>315</v>
      </c>
      <c r="C42" s="23" t="s">
        <v>316</v>
      </c>
      <c r="D42" s="24" t="s">
        <v>317</v>
      </c>
      <c r="E42" s="59"/>
      <c r="F42" s="26"/>
      <c r="G42" s="27" t="s">
        <v>100</v>
      </c>
      <c r="H42" s="26" t="s">
        <v>318</v>
      </c>
      <c r="I42" s="26" t="s">
        <v>319</v>
      </c>
      <c r="J42" s="28"/>
      <c r="K42" s="28"/>
      <c r="L42" s="28"/>
      <c r="M42" s="28"/>
      <c r="N42" s="51" t="s">
        <v>320</v>
      </c>
      <c r="R42" s="26"/>
      <c r="S42" s="26" t="s">
        <v>321</v>
      </c>
      <c r="T42" s="26" t="s">
        <v>322</v>
      </c>
      <c r="U42" s="26" t="s">
        <v>278</v>
      </c>
      <c r="V42" s="30" t="s">
        <v>323</v>
      </c>
      <c r="Y42" s="18"/>
      <c r="AB42" s="31"/>
      <c r="AC42" s="31"/>
    </row>
    <row r="43">
      <c r="A43" s="20"/>
      <c r="B43" s="20"/>
      <c r="C43" s="32" t="s">
        <v>106</v>
      </c>
      <c r="D43" s="33"/>
      <c r="E43" s="33"/>
      <c r="F43" s="33"/>
      <c r="G43" s="33"/>
      <c r="H43" s="33"/>
      <c r="I43" s="34"/>
      <c r="J43" s="35"/>
      <c r="K43" s="34"/>
      <c r="L43" s="36"/>
      <c r="M43" s="36"/>
      <c r="N43" s="37" t="s">
        <v>107</v>
      </c>
      <c r="O43" s="33"/>
      <c r="P43" s="33"/>
      <c r="Q43" s="34"/>
      <c r="R43" s="60"/>
      <c r="S43" s="38" t="s">
        <v>108</v>
      </c>
      <c r="T43" s="34"/>
      <c r="U43" s="60"/>
      <c r="V43" s="39" t="s">
        <v>109</v>
      </c>
      <c r="W43" s="33"/>
      <c r="X43" s="34"/>
      <c r="Y43" s="18"/>
    </row>
    <row r="44">
      <c r="A44" s="40"/>
      <c r="B44" s="40"/>
      <c r="C44" s="41" t="s">
        <v>110</v>
      </c>
      <c r="D44" s="42" t="s">
        <v>111</v>
      </c>
      <c r="E44" s="43" t="s">
        <v>112</v>
      </c>
      <c r="F44" s="44" t="s">
        <v>113</v>
      </c>
      <c r="G44" s="41" t="s">
        <v>114</v>
      </c>
      <c r="H44" s="41" t="s">
        <v>115</v>
      </c>
      <c r="I44" s="45" t="s">
        <v>116</v>
      </c>
      <c r="J44" s="43" t="s">
        <v>117</v>
      </c>
      <c r="K44" s="43" t="s">
        <v>118</v>
      </c>
      <c r="L44" s="43" t="s">
        <v>119</v>
      </c>
      <c r="M44" s="43" t="s">
        <v>120</v>
      </c>
      <c r="N44" s="44" t="s">
        <v>121</v>
      </c>
      <c r="O44" s="44" t="s">
        <v>122</v>
      </c>
      <c r="P44" s="44" t="s">
        <v>123</v>
      </c>
      <c r="Q44" s="44" t="s">
        <v>124</v>
      </c>
      <c r="R44" s="43" t="s">
        <v>280</v>
      </c>
      <c r="S44" s="43" t="s">
        <v>125</v>
      </c>
      <c r="T44" s="43" t="s">
        <v>126</v>
      </c>
      <c r="U44" s="6" t="s">
        <v>196</v>
      </c>
      <c r="V44" s="43" t="s">
        <v>127</v>
      </c>
      <c r="W44" s="43" t="s">
        <v>128</v>
      </c>
      <c r="X44" s="43" t="s">
        <v>129</v>
      </c>
      <c r="Y44" s="50" t="s">
        <v>198</v>
      </c>
      <c r="AA44" s="3" t="s">
        <v>199</v>
      </c>
      <c r="AB44" s="47"/>
      <c r="AC44" s="43"/>
    </row>
    <row r="45">
      <c r="A45" s="61" t="s">
        <v>281</v>
      </c>
      <c r="B45" s="48" t="s">
        <v>282</v>
      </c>
      <c r="D45" s="49"/>
      <c r="E45" s="6">
        <v>64.0</v>
      </c>
      <c r="F45" s="50">
        <v>1.2582912E9</v>
      </c>
      <c r="I45" s="10">
        <f t="shared" ref="I45:I46" si="9">ROUNDUP(F45/(N45*O45*P45*Q45))</f>
        <v>3</v>
      </c>
      <c r="J45" s="10">
        <f>12*E45*E45/E45</f>
        <v>768</v>
      </c>
      <c r="K45" s="10">
        <f>6.48*E45*E45/E45</f>
        <v>414.72</v>
      </c>
      <c r="L45" s="10">
        <f>22.36*E45*E45/E45</f>
        <v>1431.04</v>
      </c>
      <c r="M45" s="6">
        <v>2.52</v>
      </c>
      <c r="N45" s="6">
        <v>16.0</v>
      </c>
      <c r="O45" s="6">
        <v>8.0</v>
      </c>
      <c r="P45" s="6">
        <v>32.0</v>
      </c>
      <c r="Q45" s="6">
        <v>131072.0</v>
      </c>
      <c r="S45" s="10">
        <v>27.72</v>
      </c>
      <c r="T45" s="10">
        <v>28.98</v>
      </c>
      <c r="U45" s="10">
        <v>2.52</v>
      </c>
      <c r="Y45" s="18">
        <f t="shared" ref="Y45:Y46" si="10">E45*I45*J45*S45+E45*I45*K45*T45+E45*I45*L45*M45</f>
        <v>7087443.149</v>
      </c>
      <c r="AA45" s="50">
        <v>3.0732124E10</v>
      </c>
    </row>
    <row r="46">
      <c r="A46" s="61"/>
      <c r="B46" s="62" t="s">
        <v>283</v>
      </c>
      <c r="E46" s="6">
        <v>64.0</v>
      </c>
      <c r="F46" s="50">
        <v>1.2582912E9</v>
      </c>
      <c r="I46" s="10">
        <f t="shared" si="9"/>
        <v>3</v>
      </c>
      <c r="J46" s="6">
        <v>3.0</v>
      </c>
      <c r="K46" s="6">
        <v>2.0</v>
      </c>
      <c r="L46" s="6">
        <v>12.0</v>
      </c>
      <c r="M46" s="6">
        <v>2.52</v>
      </c>
      <c r="N46" s="6">
        <v>16.0</v>
      </c>
      <c r="O46" s="6">
        <v>8.0</v>
      </c>
      <c r="P46" s="6">
        <v>32.0</v>
      </c>
      <c r="Q46" s="6">
        <v>131072.0</v>
      </c>
      <c r="R46" s="6"/>
      <c r="S46" s="10">
        <v>27.72</v>
      </c>
      <c r="T46" s="10">
        <v>28.98</v>
      </c>
      <c r="Y46" s="18">
        <f t="shared" si="10"/>
        <v>32901.12</v>
      </c>
      <c r="Z46" s="18">
        <f>Y45+Y46</f>
        <v>7120344.269</v>
      </c>
    </row>
    <row r="47">
      <c r="A47" s="61" t="s">
        <v>284</v>
      </c>
      <c r="B47" s="63" t="s">
        <v>285</v>
      </c>
      <c r="E47" s="6">
        <v>64.0</v>
      </c>
      <c r="F47" s="50">
        <v>1.2582912E9</v>
      </c>
      <c r="I47" s="10">
        <f>ROUNDUP((F47/Q47/N47/O47)*E47)</f>
        <v>4800</v>
      </c>
      <c r="N47" s="6">
        <v>16.0</v>
      </c>
      <c r="O47" s="6">
        <v>8.0</v>
      </c>
      <c r="P47" s="6">
        <v>32.0</v>
      </c>
      <c r="Q47" s="6">
        <v>131072.0</v>
      </c>
      <c r="R47" s="6">
        <v>4096.0</v>
      </c>
      <c r="S47" s="10">
        <v>27.72</v>
      </c>
      <c r="T47" s="10">
        <v>28.98</v>
      </c>
      <c r="U47" s="10">
        <v>2.52</v>
      </c>
      <c r="Y47" s="18">
        <f>E47*I47*S47+R47*U47*E47*I47</f>
        <v>3179409408</v>
      </c>
    </row>
    <row r="48">
      <c r="B48" s="63"/>
      <c r="Y48" s="18">
        <f>SUM(Y45:Y47)</f>
        <v>3186529752</v>
      </c>
      <c r="Z48" s="54"/>
    </row>
    <row r="49">
      <c r="Y49" s="18"/>
    </row>
    <row r="50">
      <c r="A50" s="19" t="s">
        <v>248</v>
      </c>
    </row>
    <row r="51">
      <c r="A51" s="20"/>
      <c r="B51" s="20"/>
      <c r="D51" s="6" t="s">
        <v>95</v>
      </c>
      <c r="F51" s="21" t="s">
        <v>96</v>
      </c>
      <c r="H51" s="21" t="s">
        <v>96</v>
      </c>
      <c r="I51" s="6" t="s">
        <v>95</v>
      </c>
      <c r="Y51" s="18"/>
    </row>
    <row r="52">
      <c r="A52" s="22" t="s">
        <v>185</v>
      </c>
      <c r="B52" s="22" t="s">
        <v>324</v>
      </c>
      <c r="C52" s="23" t="s">
        <v>325</v>
      </c>
      <c r="D52" s="24" t="s">
        <v>326</v>
      </c>
      <c r="E52" s="59"/>
      <c r="F52" s="26"/>
      <c r="G52" s="27" t="s">
        <v>100</v>
      </c>
      <c r="H52" s="26" t="s">
        <v>327</v>
      </c>
      <c r="I52" s="26" t="s">
        <v>328</v>
      </c>
      <c r="J52" s="28"/>
      <c r="K52" s="28"/>
      <c r="L52" s="28"/>
      <c r="M52" s="28"/>
      <c r="N52" s="51" t="s">
        <v>329</v>
      </c>
      <c r="R52" s="26"/>
      <c r="S52" s="26" t="s">
        <v>330</v>
      </c>
      <c r="T52" s="26" t="s">
        <v>331</v>
      </c>
      <c r="U52" s="26" t="s">
        <v>278</v>
      </c>
      <c r="V52" s="30" t="s">
        <v>332</v>
      </c>
      <c r="Y52" s="18"/>
      <c r="AB52" s="31"/>
      <c r="AC52" s="31"/>
    </row>
    <row r="53">
      <c r="A53" s="20"/>
      <c r="B53" s="20"/>
      <c r="C53" s="32" t="s">
        <v>106</v>
      </c>
      <c r="D53" s="33"/>
      <c r="E53" s="33"/>
      <c r="F53" s="33"/>
      <c r="G53" s="33"/>
      <c r="H53" s="33"/>
      <c r="I53" s="34"/>
      <c r="J53" s="35"/>
      <c r="K53" s="34"/>
      <c r="L53" s="36"/>
      <c r="M53" s="36"/>
      <c r="N53" s="37" t="s">
        <v>107</v>
      </c>
      <c r="O53" s="33"/>
      <c r="P53" s="33"/>
      <c r="Q53" s="34"/>
      <c r="R53" s="60"/>
      <c r="S53" s="38" t="s">
        <v>108</v>
      </c>
      <c r="T53" s="34"/>
      <c r="U53" s="60"/>
      <c r="V53" s="39" t="s">
        <v>109</v>
      </c>
      <c r="W53" s="33"/>
      <c r="X53" s="34"/>
      <c r="Y53" s="18"/>
    </row>
    <row r="54">
      <c r="A54" s="40"/>
      <c r="B54" s="40"/>
      <c r="C54" s="41" t="s">
        <v>110</v>
      </c>
      <c r="D54" s="42" t="s">
        <v>111</v>
      </c>
      <c r="E54" s="43" t="s">
        <v>112</v>
      </c>
      <c r="F54" s="44" t="s">
        <v>113</v>
      </c>
      <c r="G54" s="41" t="s">
        <v>114</v>
      </c>
      <c r="H54" s="41" t="s">
        <v>115</v>
      </c>
      <c r="I54" s="45" t="s">
        <v>116</v>
      </c>
      <c r="J54" s="43" t="s">
        <v>117</v>
      </c>
      <c r="K54" s="43" t="s">
        <v>118</v>
      </c>
      <c r="L54" s="43" t="s">
        <v>119</v>
      </c>
      <c r="M54" s="43" t="s">
        <v>120</v>
      </c>
      <c r="N54" s="44" t="s">
        <v>121</v>
      </c>
      <c r="O54" s="44" t="s">
        <v>122</v>
      </c>
      <c r="P54" s="44" t="s">
        <v>123</v>
      </c>
      <c r="Q54" s="44" t="s">
        <v>124</v>
      </c>
      <c r="R54" s="43" t="s">
        <v>280</v>
      </c>
      <c r="S54" s="43" t="s">
        <v>125</v>
      </c>
      <c r="T54" s="43" t="s">
        <v>126</v>
      </c>
      <c r="U54" s="6" t="s">
        <v>196</v>
      </c>
      <c r="V54" s="43" t="s">
        <v>127</v>
      </c>
      <c r="W54" s="43" t="s">
        <v>128</v>
      </c>
      <c r="X54" s="43" t="s">
        <v>129</v>
      </c>
      <c r="Y54" s="50" t="s">
        <v>198</v>
      </c>
      <c r="AA54" s="3" t="s">
        <v>199</v>
      </c>
      <c r="AB54" s="47"/>
      <c r="AC54" s="43"/>
    </row>
    <row r="55">
      <c r="A55" s="61" t="s">
        <v>281</v>
      </c>
      <c r="B55" s="48" t="s">
        <v>282</v>
      </c>
      <c r="D55" s="49"/>
      <c r="E55" s="6">
        <v>64.0</v>
      </c>
      <c r="F55" s="50">
        <v>1.2582912E9</v>
      </c>
      <c r="I55" s="10">
        <f t="shared" ref="I55:I56" si="11">ROUNDUP(F55/(N55*O55*P55*Q55))</f>
        <v>10</v>
      </c>
      <c r="J55" s="10">
        <f>8.08*E55*E55/E55</f>
        <v>517.12</v>
      </c>
      <c r="K55" s="10">
        <f>4.09*E55*E55/E55</f>
        <v>261.76</v>
      </c>
      <c r="L55" s="10">
        <f>7.22*E55*E55/E55</f>
        <v>462.08</v>
      </c>
      <c r="M55" s="6">
        <v>2.52</v>
      </c>
      <c r="N55" s="6">
        <v>16.0</v>
      </c>
      <c r="O55" s="6">
        <v>8.0</v>
      </c>
      <c r="P55" s="6">
        <v>8.0</v>
      </c>
      <c r="Q55" s="6">
        <v>131072.0</v>
      </c>
      <c r="S55" s="10">
        <v>27.72</v>
      </c>
      <c r="T55" s="10">
        <v>28.98</v>
      </c>
      <c r="U55" s="10">
        <v>2.52</v>
      </c>
      <c r="Y55" s="18">
        <f t="shared" ref="Y55:Y56" si="12">E55*I55*J55*S55+E55*I55*K55*T55+E55*I55*L55*M55</f>
        <v>14774280.19</v>
      </c>
      <c r="AA55" s="50">
        <v>3.0732124E10</v>
      </c>
    </row>
    <row r="56">
      <c r="A56" s="61"/>
      <c r="B56" s="62" t="s">
        <v>283</v>
      </c>
      <c r="E56" s="6">
        <v>64.0</v>
      </c>
      <c r="F56" s="50">
        <v>1.2582912E9</v>
      </c>
      <c r="I56" s="10">
        <f t="shared" si="11"/>
        <v>10</v>
      </c>
      <c r="J56" s="6">
        <v>2.0</v>
      </c>
      <c r="K56" s="6">
        <f>(E56+1)/E56</f>
        <v>1.015625</v>
      </c>
      <c r="L56" s="6">
        <v>4.0</v>
      </c>
      <c r="M56" s="6">
        <v>2.52</v>
      </c>
      <c r="N56" s="6">
        <v>16.0</v>
      </c>
      <c r="O56" s="6">
        <v>8.0</v>
      </c>
      <c r="P56" s="6">
        <v>8.0</v>
      </c>
      <c r="Q56" s="6">
        <v>131072.0</v>
      </c>
      <c r="R56" s="6"/>
      <c r="S56" s="10">
        <v>27.72</v>
      </c>
      <c r="T56" s="10">
        <v>28.98</v>
      </c>
      <c r="Y56" s="18">
        <f t="shared" si="12"/>
        <v>60769.8</v>
      </c>
      <c r="Z56" s="18">
        <f>Y55+Y56</f>
        <v>14835049.99</v>
      </c>
    </row>
    <row r="57">
      <c r="A57" s="61" t="s">
        <v>284</v>
      </c>
      <c r="B57" s="63" t="s">
        <v>285</v>
      </c>
      <c r="E57" s="6">
        <v>64.0</v>
      </c>
      <c r="F57" s="50">
        <v>1.2582912E9</v>
      </c>
      <c r="I57" s="10">
        <f>ROUNDUP((F57/Q57/N57/O57)*E57)</f>
        <v>4800</v>
      </c>
      <c r="N57" s="6">
        <v>16.0</v>
      </c>
      <c r="O57" s="6">
        <v>8.0</v>
      </c>
      <c r="P57" s="6">
        <v>8.0</v>
      </c>
      <c r="Q57" s="6">
        <v>131072.0</v>
      </c>
      <c r="R57" s="6">
        <v>4096.0</v>
      </c>
      <c r="S57" s="10">
        <v>27.72</v>
      </c>
      <c r="T57" s="10">
        <v>28.98</v>
      </c>
      <c r="U57" s="10">
        <v>2.52</v>
      </c>
      <c r="Y57" s="18">
        <f>E57*I57*S57+R57*U57*E57*I57</f>
        <v>3179409408</v>
      </c>
    </row>
    <row r="58">
      <c r="B58" s="63"/>
      <c r="Y58" s="18">
        <f>SUM(Y55:Y57)</f>
        <v>3194244458</v>
      </c>
      <c r="Z58" s="54"/>
    </row>
    <row r="59">
      <c r="Y59" s="18"/>
    </row>
    <row r="60">
      <c r="A60" s="19" t="s">
        <v>259</v>
      </c>
    </row>
    <row r="61">
      <c r="A61" s="20"/>
      <c r="B61" s="20"/>
      <c r="D61" s="6" t="s">
        <v>95</v>
      </c>
      <c r="F61" s="21" t="s">
        <v>96</v>
      </c>
      <c r="H61" s="21" t="s">
        <v>96</v>
      </c>
      <c r="I61" s="6" t="s">
        <v>95</v>
      </c>
      <c r="Y61" s="18"/>
    </row>
    <row r="62">
      <c r="A62" s="22" t="s">
        <v>185</v>
      </c>
      <c r="B62" s="22" t="s">
        <v>333</v>
      </c>
      <c r="C62" s="23" t="s">
        <v>334</v>
      </c>
      <c r="D62" s="24" t="s">
        <v>335</v>
      </c>
      <c r="E62" s="59"/>
      <c r="F62" s="26"/>
      <c r="G62" s="27" t="s">
        <v>100</v>
      </c>
      <c r="H62" s="26" t="s">
        <v>336</v>
      </c>
      <c r="I62" s="26" t="s">
        <v>337</v>
      </c>
      <c r="J62" s="28"/>
      <c r="K62" s="28"/>
      <c r="L62" s="28"/>
      <c r="M62" s="28"/>
      <c r="N62" s="51" t="s">
        <v>338</v>
      </c>
      <c r="R62" s="26"/>
      <c r="S62" s="26" t="s">
        <v>339</v>
      </c>
      <c r="T62" s="26" t="s">
        <v>340</v>
      </c>
      <c r="U62" s="26" t="s">
        <v>278</v>
      </c>
      <c r="V62" s="30" t="s">
        <v>341</v>
      </c>
      <c r="Y62" s="18"/>
      <c r="AB62" s="31"/>
      <c r="AC62" s="31"/>
    </row>
    <row r="63">
      <c r="A63" s="20"/>
      <c r="B63" s="20"/>
      <c r="C63" s="32" t="s">
        <v>106</v>
      </c>
      <c r="D63" s="33"/>
      <c r="E63" s="33"/>
      <c r="F63" s="33"/>
      <c r="G63" s="33"/>
      <c r="H63" s="33"/>
      <c r="I63" s="34"/>
      <c r="J63" s="35"/>
      <c r="K63" s="34"/>
      <c r="L63" s="36"/>
      <c r="M63" s="36"/>
      <c r="N63" s="37" t="s">
        <v>107</v>
      </c>
      <c r="O63" s="33"/>
      <c r="P63" s="33"/>
      <c r="Q63" s="34"/>
      <c r="R63" s="60"/>
      <c r="S63" s="38" t="s">
        <v>108</v>
      </c>
      <c r="T63" s="34"/>
      <c r="U63" s="60"/>
      <c r="V63" s="39" t="s">
        <v>109</v>
      </c>
      <c r="W63" s="33"/>
      <c r="X63" s="34"/>
      <c r="Y63" s="18"/>
    </row>
    <row r="64">
      <c r="A64" s="40"/>
      <c r="B64" s="40"/>
      <c r="C64" s="41" t="s">
        <v>110</v>
      </c>
      <c r="D64" s="42" t="s">
        <v>111</v>
      </c>
      <c r="E64" s="43" t="s">
        <v>112</v>
      </c>
      <c r="F64" s="44" t="s">
        <v>113</v>
      </c>
      <c r="G64" s="41" t="s">
        <v>114</v>
      </c>
      <c r="H64" s="41" t="s">
        <v>115</v>
      </c>
      <c r="I64" s="45" t="s">
        <v>116</v>
      </c>
      <c r="J64" s="43" t="s">
        <v>117</v>
      </c>
      <c r="K64" s="43" t="s">
        <v>118</v>
      </c>
      <c r="L64" s="43" t="s">
        <v>119</v>
      </c>
      <c r="M64" s="43" t="s">
        <v>120</v>
      </c>
      <c r="N64" s="44" t="s">
        <v>121</v>
      </c>
      <c r="O64" s="44" t="s">
        <v>122</v>
      </c>
      <c r="P64" s="44" t="s">
        <v>123</v>
      </c>
      <c r="Q64" s="44" t="s">
        <v>124</v>
      </c>
      <c r="R64" s="43" t="s">
        <v>280</v>
      </c>
      <c r="S64" s="43" t="s">
        <v>125</v>
      </c>
      <c r="T64" s="43" t="s">
        <v>126</v>
      </c>
      <c r="U64" s="6" t="s">
        <v>196</v>
      </c>
      <c r="V64" s="43" t="s">
        <v>127</v>
      </c>
      <c r="W64" s="43" t="s">
        <v>128</v>
      </c>
      <c r="X64" s="43" t="s">
        <v>129</v>
      </c>
      <c r="Y64" s="50" t="s">
        <v>198</v>
      </c>
      <c r="AA64" s="3" t="s">
        <v>199</v>
      </c>
      <c r="AB64" s="47"/>
      <c r="AC64" s="43"/>
    </row>
    <row r="65">
      <c r="A65" s="61" t="s">
        <v>281</v>
      </c>
      <c r="B65" s="48" t="s">
        <v>282</v>
      </c>
      <c r="D65" s="49"/>
      <c r="E65" s="6">
        <v>64.0</v>
      </c>
      <c r="F65" s="50">
        <v>1.2582912E9</v>
      </c>
      <c r="I65" s="10">
        <f t="shared" ref="I65:I66" si="13">ROUNDUP(F65/(N65*O65*P65*Q65))</f>
        <v>3</v>
      </c>
      <c r="J65" s="10">
        <f>5.24*E65*E65/E65</f>
        <v>335.36</v>
      </c>
      <c r="K65" s="10">
        <f>2.7*E65*E65/E65</f>
        <v>172.8</v>
      </c>
      <c r="L65" s="10">
        <f>6.01*E65*E65/E65</f>
        <v>384.64</v>
      </c>
      <c r="M65" s="6">
        <v>2.52</v>
      </c>
      <c r="N65" s="6">
        <v>16.0</v>
      </c>
      <c r="O65" s="6">
        <v>8.0</v>
      </c>
      <c r="P65" s="6">
        <v>32.0</v>
      </c>
      <c r="Q65" s="6">
        <v>131072.0</v>
      </c>
      <c r="S65" s="10">
        <v>27.72</v>
      </c>
      <c r="T65" s="10">
        <v>28.98</v>
      </c>
      <c r="U65" s="10">
        <v>2.52</v>
      </c>
      <c r="Y65" s="18">
        <f t="shared" ref="Y65:Y66" si="14">E65*I65*J65*S65+E65*I65*K65*T65+E65*I65*L65*M65</f>
        <v>2932457.472</v>
      </c>
      <c r="AA65" s="50">
        <v>3.0732124E10</v>
      </c>
    </row>
    <row r="66">
      <c r="A66" s="61"/>
      <c r="B66" s="62" t="s">
        <v>283</v>
      </c>
      <c r="E66" s="6">
        <v>64.0</v>
      </c>
      <c r="F66" s="50">
        <v>1.2582912E9</v>
      </c>
      <c r="I66" s="10">
        <f t="shared" si="13"/>
        <v>3</v>
      </c>
      <c r="J66" s="6">
        <v>2.0</v>
      </c>
      <c r="K66" s="6">
        <v>1.0</v>
      </c>
      <c r="L66" s="6">
        <v>2.0</v>
      </c>
      <c r="M66" s="6">
        <v>2.52</v>
      </c>
      <c r="N66" s="6">
        <v>16.0</v>
      </c>
      <c r="O66" s="6">
        <v>8.0</v>
      </c>
      <c r="P66" s="6">
        <v>32.0</v>
      </c>
      <c r="Q66" s="6">
        <v>131072.0</v>
      </c>
      <c r="R66" s="6"/>
      <c r="S66" s="10">
        <v>27.72</v>
      </c>
      <c r="T66" s="10">
        <v>28.98</v>
      </c>
      <c r="Y66" s="18">
        <f t="shared" si="14"/>
        <v>17176.32</v>
      </c>
      <c r="Z66" s="18">
        <f>Y65+Y66</f>
        <v>2949633.792</v>
      </c>
    </row>
    <row r="67">
      <c r="A67" s="61" t="s">
        <v>284</v>
      </c>
      <c r="B67" s="63" t="s">
        <v>285</v>
      </c>
      <c r="E67" s="6">
        <v>64.0</v>
      </c>
      <c r="F67" s="50">
        <v>1.2582912E9</v>
      </c>
      <c r="I67" s="10">
        <f>ROUNDUP((F67/Q67/N67/O67)*E67)</f>
        <v>4800</v>
      </c>
      <c r="N67" s="6">
        <v>16.0</v>
      </c>
      <c r="O67" s="6">
        <v>8.0</v>
      </c>
      <c r="P67" s="6">
        <v>32.0</v>
      </c>
      <c r="Q67" s="6">
        <v>131072.0</v>
      </c>
      <c r="R67" s="6">
        <v>4096.0</v>
      </c>
      <c r="S67" s="10">
        <v>27.72</v>
      </c>
      <c r="T67" s="10">
        <v>28.98</v>
      </c>
      <c r="U67" s="10">
        <v>2.52</v>
      </c>
      <c r="Y67" s="18">
        <f>E67*I67*S67+R67*U67*E67*I67</f>
        <v>3179409408</v>
      </c>
    </row>
    <row r="68">
      <c r="B68" s="63"/>
      <c r="Y68" s="18">
        <f>SUM(Y65:Y67)</f>
        <v>3182359042</v>
      </c>
      <c r="Z68" s="54"/>
    </row>
    <row r="69">
      <c r="Y69" s="18"/>
    </row>
    <row r="70">
      <c r="Y70" s="18"/>
    </row>
    <row r="71">
      <c r="Y71" s="18"/>
    </row>
    <row r="72">
      <c r="Y72" s="18"/>
    </row>
    <row r="73">
      <c r="Y73" s="18"/>
    </row>
    <row r="74">
      <c r="Y74" s="18"/>
    </row>
    <row r="75">
      <c r="Y75" s="18"/>
    </row>
    <row r="76">
      <c r="Y76" s="18"/>
    </row>
    <row r="77">
      <c r="Y77" s="18"/>
    </row>
    <row r="78">
      <c r="Y78" s="18"/>
    </row>
    <row r="79">
      <c r="Y79" s="18"/>
    </row>
    <row r="80">
      <c r="Y80" s="18"/>
    </row>
    <row r="81">
      <c r="Y81" s="18"/>
    </row>
    <row r="82">
      <c r="Y82" s="18"/>
    </row>
    <row r="83">
      <c r="Y83" s="18"/>
    </row>
    <row r="84">
      <c r="Y84" s="18"/>
    </row>
    <row r="85">
      <c r="Y85" s="18"/>
    </row>
    <row r="86">
      <c r="Y86" s="18"/>
    </row>
    <row r="87">
      <c r="Y87" s="18"/>
    </row>
    <row r="88">
      <c r="Y88" s="18"/>
    </row>
    <row r="89">
      <c r="Y89" s="18"/>
    </row>
    <row r="90">
      <c r="Y90" s="18"/>
    </row>
    <row r="91">
      <c r="Y91" s="18"/>
    </row>
    <row r="92">
      <c r="Y92" s="18"/>
    </row>
    <row r="93">
      <c r="Y93" s="18"/>
    </row>
    <row r="94">
      <c r="Y94" s="18"/>
    </row>
    <row r="95">
      <c r="Y95" s="18"/>
    </row>
    <row r="96">
      <c r="Y96" s="18"/>
    </row>
    <row r="97">
      <c r="Y97" s="18"/>
    </row>
    <row r="98">
      <c r="Y98" s="18"/>
    </row>
    <row r="99">
      <c r="Y99" s="18"/>
    </row>
    <row r="100">
      <c r="Y100" s="18"/>
    </row>
    <row r="101">
      <c r="Y101" s="18"/>
    </row>
    <row r="102">
      <c r="Y102" s="18"/>
    </row>
    <row r="103">
      <c r="Y103" s="18"/>
    </row>
    <row r="104">
      <c r="Y104" s="18"/>
    </row>
    <row r="105">
      <c r="Y105" s="18"/>
    </row>
    <row r="106">
      <c r="Y106" s="18"/>
    </row>
    <row r="107">
      <c r="Y107" s="18"/>
    </row>
    <row r="108">
      <c r="Y108" s="18"/>
    </row>
    <row r="109">
      <c r="Y109" s="18"/>
    </row>
    <row r="110">
      <c r="Y110" s="18"/>
    </row>
    <row r="111">
      <c r="Y111" s="18"/>
    </row>
    <row r="112">
      <c r="Y112" s="18"/>
    </row>
    <row r="113">
      <c r="Y113" s="18"/>
    </row>
    <row r="114">
      <c r="Y114" s="18"/>
    </row>
    <row r="115">
      <c r="Y115" s="18"/>
    </row>
    <row r="116">
      <c r="Y116" s="18"/>
    </row>
    <row r="117">
      <c r="Y117" s="18"/>
    </row>
    <row r="118">
      <c r="Y118" s="18"/>
    </row>
    <row r="119">
      <c r="Y119" s="18"/>
    </row>
    <row r="120">
      <c r="Y120" s="18"/>
    </row>
    <row r="121">
      <c r="Y121" s="18"/>
    </row>
    <row r="122">
      <c r="Y122" s="18"/>
    </row>
    <row r="123">
      <c r="Y123" s="18"/>
    </row>
    <row r="124">
      <c r="Y124" s="18"/>
    </row>
    <row r="125">
      <c r="Y125" s="18"/>
    </row>
    <row r="126">
      <c r="Y126" s="18"/>
    </row>
    <row r="127">
      <c r="Y127" s="18"/>
    </row>
    <row r="128">
      <c r="Y128" s="18"/>
    </row>
    <row r="129">
      <c r="Y129" s="18"/>
    </row>
    <row r="130">
      <c r="Y130" s="18"/>
    </row>
    <row r="131">
      <c r="Y131" s="18"/>
    </row>
    <row r="132">
      <c r="Y132" s="18"/>
    </row>
    <row r="133">
      <c r="Y133" s="18"/>
    </row>
    <row r="134">
      <c r="Y134" s="18"/>
    </row>
    <row r="135">
      <c r="Y135" s="18"/>
    </row>
    <row r="136">
      <c r="Y136" s="18"/>
    </row>
    <row r="137">
      <c r="Y137" s="18"/>
    </row>
    <row r="138">
      <c r="Y138" s="18"/>
    </row>
    <row r="139">
      <c r="Y139" s="18"/>
    </row>
    <row r="140">
      <c r="Y140" s="18"/>
    </row>
    <row r="141">
      <c r="Y141" s="18"/>
    </row>
    <row r="142">
      <c r="Y142" s="18"/>
    </row>
    <row r="143">
      <c r="Y143" s="18"/>
    </row>
    <row r="144">
      <c r="Y144" s="18"/>
    </row>
    <row r="145">
      <c r="Y145" s="18"/>
    </row>
    <row r="146">
      <c r="Y146" s="18"/>
    </row>
    <row r="147">
      <c r="Y147" s="18"/>
    </row>
    <row r="148">
      <c r="Y148" s="18"/>
    </row>
    <row r="149">
      <c r="Y149" s="18"/>
    </row>
    <row r="150">
      <c r="Y150" s="18"/>
    </row>
    <row r="151">
      <c r="Y151" s="18"/>
    </row>
    <row r="152">
      <c r="Y152" s="18"/>
    </row>
    <row r="153">
      <c r="Y153" s="18"/>
    </row>
    <row r="154">
      <c r="Y154" s="18"/>
    </row>
    <row r="155">
      <c r="Y155" s="18"/>
    </row>
    <row r="156">
      <c r="Y156" s="18"/>
    </row>
    <row r="157">
      <c r="Y157" s="18"/>
    </row>
    <row r="158">
      <c r="Y158" s="18"/>
    </row>
    <row r="159">
      <c r="Y159" s="18"/>
    </row>
    <row r="160">
      <c r="Y160" s="18"/>
    </row>
    <row r="161">
      <c r="Y161" s="18"/>
    </row>
    <row r="162">
      <c r="Y162" s="18"/>
    </row>
    <row r="163">
      <c r="Y163" s="18"/>
    </row>
    <row r="164">
      <c r="Y164" s="18"/>
    </row>
    <row r="165">
      <c r="Y165" s="18"/>
    </row>
    <row r="166">
      <c r="Y166" s="18"/>
    </row>
    <row r="167">
      <c r="Y167" s="18"/>
    </row>
    <row r="168">
      <c r="Y168" s="18"/>
    </row>
    <row r="169">
      <c r="Y169" s="18"/>
    </row>
    <row r="170">
      <c r="Y170" s="18"/>
    </row>
    <row r="171">
      <c r="Y171" s="18"/>
    </row>
    <row r="172">
      <c r="Y172" s="18"/>
    </row>
    <row r="173">
      <c r="Y173" s="18"/>
    </row>
    <row r="174">
      <c r="Y174" s="18"/>
    </row>
    <row r="175">
      <c r="Y175" s="18"/>
    </row>
    <row r="176">
      <c r="Y176" s="18"/>
    </row>
    <row r="177">
      <c r="Y177" s="18"/>
    </row>
    <row r="178">
      <c r="Y178" s="18"/>
    </row>
    <row r="179">
      <c r="Y179" s="18"/>
    </row>
    <row r="180">
      <c r="Y180" s="18"/>
    </row>
    <row r="181">
      <c r="Y181" s="18"/>
    </row>
    <row r="182">
      <c r="Y182" s="18"/>
    </row>
    <row r="183">
      <c r="Y183" s="18"/>
    </row>
    <row r="184">
      <c r="Y184" s="18"/>
    </row>
    <row r="185">
      <c r="Y185" s="18"/>
    </row>
    <row r="186">
      <c r="Y186" s="18"/>
    </row>
    <row r="187">
      <c r="Y187" s="18"/>
    </row>
    <row r="188">
      <c r="Y188" s="18"/>
    </row>
    <row r="189">
      <c r="Y189" s="18"/>
    </row>
    <row r="190">
      <c r="Y190" s="18"/>
    </row>
    <row r="191">
      <c r="Y191" s="18"/>
    </row>
    <row r="192">
      <c r="Y192" s="18"/>
    </row>
    <row r="193">
      <c r="Y193" s="18"/>
    </row>
    <row r="194">
      <c r="Y194" s="18"/>
    </row>
    <row r="195">
      <c r="Y195" s="18"/>
    </row>
    <row r="196">
      <c r="Y196" s="18"/>
    </row>
    <row r="197">
      <c r="Y197" s="18"/>
    </row>
    <row r="198">
      <c r="Y198" s="18"/>
    </row>
    <row r="199">
      <c r="Y199" s="18"/>
    </row>
    <row r="200">
      <c r="Y200" s="18"/>
    </row>
    <row r="201">
      <c r="Y201" s="18"/>
    </row>
    <row r="202">
      <c r="Y202" s="18"/>
    </row>
    <row r="203">
      <c r="Y203" s="18"/>
    </row>
    <row r="204">
      <c r="Y204" s="18"/>
    </row>
    <row r="205">
      <c r="Y205" s="18"/>
    </row>
    <row r="206">
      <c r="Y206" s="18"/>
    </row>
    <row r="207">
      <c r="Y207" s="18"/>
    </row>
    <row r="208">
      <c r="Y208" s="18"/>
    </row>
    <row r="209">
      <c r="Y209" s="18"/>
    </row>
    <row r="210">
      <c r="Y210" s="18"/>
    </row>
    <row r="211">
      <c r="Y211" s="18"/>
    </row>
    <row r="212">
      <c r="Y212" s="18"/>
    </row>
    <row r="213">
      <c r="Y213" s="18"/>
    </row>
    <row r="214">
      <c r="Y214" s="18"/>
    </row>
    <row r="215">
      <c r="Y215" s="18"/>
    </row>
    <row r="216">
      <c r="Y216" s="18"/>
    </row>
    <row r="217">
      <c r="Y217" s="18"/>
    </row>
    <row r="218">
      <c r="Y218" s="18"/>
    </row>
    <row r="219">
      <c r="Y219" s="18"/>
    </row>
    <row r="220">
      <c r="Y220" s="18"/>
    </row>
    <row r="221">
      <c r="Y221" s="18"/>
    </row>
    <row r="222">
      <c r="Y222" s="18"/>
    </row>
    <row r="223">
      <c r="Y223" s="18"/>
    </row>
    <row r="224">
      <c r="Y224" s="18"/>
    </row>
    <row r="225">
      <c r="Y225" s="18"/>
    </row>
    <row r="226">
      <c r="Y226" s="18"/>
    </row>
    <row r="227">
      <c r="Y227" s="18"/>
    </row>
    <row r="228">
      <c r="Y228" s="18"/>
    </row>
    <row r="229">
      <c r="Y229" s="18"/>
    </row>
    <row r="230">
      <c r="Y230" s="18"/>
    </row>
    <row r="231">
      <c r="Y231" s="18"/>
    </row>
    <row r="232">
      <c r="Y232" s="18"/>
    </row>
    <row r="233">
      <c r="Y233" s="18"/>
    </row>
    <row r="234">
      <c r="Y234" s="18"/>
    </row>
    <row r="235">
      <c r="Y235" s="18"/>
    </row>
    <row r="236">
      <c r="Y236" s="18"/>
    </row>
    <row r="237">
      <c r="Y237" s="18"/>
    </row>
    <row r="238">
      <c r="Y238" s="18"/>
    </row>
    <row r="239">
      <c r="Y239" s="18"/>
    </row>
    <row r="240">
      <c r="Y240" s="18"/>
    </row>
    <row r="241">
      <c r="Y241" s="18"/>
    </row>
    <row r="242">
      <c r="Y242" s="18"/>
    </row>
    <row r="243">
      <c r="Y243" s="18"/>
    </row>
    <row r="244">
      <c r="Y244" s="18"/>
    </row>
    <row r="245">
      <c r="Y245" s="18"/>
    </row>
    <row r="246">
      <c r="Y246" s="18"/>
    </row>
    <row r="247">
      <c r="Y247" s="18"/>
    </row>
    <row r="248">
      <c r="Y248" s="18"/>
    </row>
    <row r="249">
      <c r="Y249" s="18"/>
    </row>
    <row r="250">
      <c r="Y250" s="18"/>
    </row>
    <row r="251">
      <c r="Y251" s="18"/>
    </row>
    <row r="252">
      <c r="Y252" s="18"/>
    </row>
    <row r="253">
      <c r="Y253" s="18"/>
    </row>
    <row r="254">
      <c r="Y254" s="18"/>
    </row>
    <row r="255">
      <c r="Y255" s="18"/>
    </row>
    <row r="256">
      <c r="Y256" s="18"/>
    </row>
    <row r="257">
      <c r="Y257" s="18"/>
    </row>
    <row r="258">
      <c r="Y258" s="18"/>
    </row>
    <row r="259">
      <c r="Y259" s="18"/>
    </row>
    <row r="260">
      <c r="Y260" s="18"/>
    </row>
    <row r="261">
      <c r="Y261" s="18"/>
    </row>
    <row r="262">
      <c r="Y262" s="18"/>
    </row>
    <row r="263">
      <c r="Y263" s="18"/>
    </row>
    <row r="264">
      <c r="Y264" s="18"/>
    </row>
    <row r="265">
      <c r="Y265" s="18"/>
    </row>
    <row r="266">
      <c r="Y266" s="18"/>
    </row>
    <row r="267">
      <c r="Y267" s="18"/>
    </row>
    <row r="268">
      <c r="Y268" s="18"/>
    </row>
    <row r="269">
      <c r="Y269" s="18"/>
    </row>
    <row r="270">
      <c r="Y270" s="18"/>
    </row>
    <row r="271">
      <c r="Y271" s="18"/>
    </row>
    <row r="272">
      <c r="Y272" s="18"/>
    </row>
    <row r="273">
      <c r="Y273" s="18"/>
    </row>
    <row r="274">
      <c r="Y274" s="18"/>
    </row>
    <row r="275">
      <c r="Y275" s="18"/>
    </row>
    <row r="276">
      <c r="Y276" s="18"/>
    </row>
    <row r="277">
      <c r="Y277" s="18"/>
    </row>
    <row r="278">
      <c r="Y278" s="18"/>
    </row>
    <row r="279">
      <c r="Y279" s="18"/>
    </row>
    <row r="280">
      <c r="Y280" s="18"/>
    </row>
    <row r="281">
      <c r="Y281" s="18"/>
    </row>
    <row r="282">
      <c r="Y282" s="18"/>
    </row>
    <row r="283">
      <c r="Y283" s="18"/>
    </row>
    <row r="284">
      <c r="Y284" s="18"/>
    </row>
    <row r="285">
      <c r="Y285" s="18"/>
    </row>
    <row r="286">
      <c r="Y286" s="18"/>
    </row>
    <row r="287">
      <c r="Y287" s="18"/>
    </row>
    <row r="288">
      <c r="Y288" s="18"/>
    </row>
    <row r="289">
      <c r="Y289" s="18"/>
    </row>
    <row r="290">
      <c r="Y290" s="18"/>
    </row>
    <row r="291">
      <c r="Y291" s="18"/>
    </row>
    <row r="292">
      <c r="Y292" s="18"/>
    </row>
    <row r="293">
      <c r="Y293" s="18"/>
    </row>
    <row r="294">
      <c r="Y294" s="18"/>
    </row>
    <row r="295">
      <c r="Y295" s="18"/>
    </row>
    <row r="296">
      <c r="Y296" s="18"/>
    </row>
    <row r="297">
      <c r="Y297" s="18"/>
    </row>
    <row r="298">
      <c r="Y298" s="18"/>
    </row>
    <row r="299">
      <c r="Y299" s="18"/>
    </row>
    <row r="300">
      <c r="Y300" s="18"/>
    </row>
    <row r="301">
      <c r="Y301" s="18"/>
    </row>
    <row r="302">
      <c r="Y302" s="18"/>
    </row>
    <row r="303">
      <c r="Y303" s="18"/>
    </row>
    <row r="304">
      <c r="Y304" s="18"/>
    </row>
    <row r="305">
      <c r="Y305" s="18"/>
    </row>
    <row r="306">
      <c r="Y306" s="18"/>
    </row>
    <row r="307">
      <c r="Y307" s="18"/>
    </row>
    <row r="308">
      <c r="Y308" s="18"/>
    </row>
    <row r="309">
      <c r="Y309" s="18"/>
    </row>
    <row r="310">
      <c r="Y310" s="18"/>
    </row>
    <row r="311">
      <c r="Y311" s="18"/>
    </row>
    <row r="312">
      <c r="Y312" s="18"/>
    </row>
    <row r="313">
      <c r="Y313" s="18"/>
    </row>
    <row r="314">
      <c r="Y314" s="18"/>
    </row>
    <row r="315">
      <c r="Y315" s="18"/>
    </row>
    <row r="316">
      <c r="Y316" s="18"/>
    </row>
    <row r="317">
      <c r="Y317" s="18"/>
    </row>
    <row r="318">
      <c r="Y318" s="18"/>
    </row>
    <row r="319">
      <c r="Y319" s="18"/>
    </row>
    <row r="320">
      <c r="Y320" s="18"/>
    </row>
    <row r="321">
      <c r="Y321" s="18"/>
    </row>
    <row r="322">
      <c r="Y322" s="18"/>
    </row>
    <row r="323">
      <c r="Y323" s="18"/>
    </row>
    <row r="324">
      <c r="Y324" s="18"/>
    </row>
    <row r="325">
      <c r="Y325" s="18"/>
    </row>
    <row r="326">
      <c r="Y326" s="18"/>
    </row>
    <row r="327">
      <c r="Y327" s="18"/>
    </row>
    <row r="328">
      <c r="Y328" s="18"/>
    </row>
    <row r="329">
      <c r="Y329" s="18"/>
    </row>
    <row r="330">
      <c r="Y330" s="18"/>
    </row>
    <row r="331">
      <c r="Y331" s="18"/>
    </row>
    <row r="332">
      <c r="Y332" s="18"/>
    </row>
    <row r="333">
      <c r="Y333" s="18"/>
    </row>
    <row r="334">
      <c r="Y334" s="18"/>
    </row>
    <row r="335">
      <c r="Y335" s="18"/>
    </row>
    <row r="336">
      <c r="Y336" s="18"/>
    </row>
    <row r="337">
      <c r="Y337" s="18"/>
    </row>
    <row r="338">
      <c r="Y338" s="18"/>
    </row>
    <row r="339">
      <c r="Y339" s="18"/>
    </row>
    <row r="340">
      <c r="Y340" s="18"/>
    </row>
    <row r="341">
      <c r="Y341" s="18"/>
    </row>
    <row r="342">
      <c r="Y342" s="18"/>
    </row>
    <row r="343">
      <c r="Y343" s="18"/>
    </row>
    <row r="344">
      <c r="Y344" s="18"/>
    </row>
    <row r="345">
      <c r="Y345" s="18"/>
    </row>
    <row r="346">
      <c r="Y346" s="18"/>
    </row>
    <row r="347">
      <c r="Y347" s="18"/>
    </row>
    <row r="348">
      <c r="Y348" s="18"/>
    </row>
    <row r="349">
      <c r="Y349" s="18"/>
    </row>
    <row r="350">
      <c r="Y350" s="18"/>
    </row>
    <row r="351">
      <c r="Y351" s="18"/>
    </row>
    <row r="352">
      <c r="Y352" s="18"/>
    </row>
    <row r="353">
      <c r="Y353" s="18"/>
    </row>
    <row r="354">
      <c r="Y354" s="18"/>
    </row>
    <row r="355">
      <c r="Y355" s="18"/>
    </row>
    <row r="356">
      <c r="Y356" s="18"/>
    </row>
    <row r="357">
      <c r="Y357" s="18"/>
    </row>
    <row r="358">
      <c r="Y358" s="18"/>
    </row>
    <row r="359">
      <c r="Y359" s="18"/>
    </row>
    <row r="360">
      <c r="Y360" s="18"/>
    </row>
    <row r="361">
      <c r="Y361" s="18"/>
    </row>
    <row r="362">
      <c r="Y362" s="18"/>
    </row>
    <row r="363">
      <c r="Y363" s="18"/>
    </row>
    <row r="364">
      <c r="Y364" s="18"/>
    </row>
    <row r="365">
      <c r="Y365" s="18"/>
    </row>
    <row r="366">
      <c r="Y366" s="18"/>
    </row>
    <row r="367">
      <c r="Y367" s="18"/>
    </row>
    <row r="368">
      <c r="Y368" s="18"/>
    </row>
    <row r="369">
      <c r="Y369" s="18"/>
    </row>
    <row r="370">
      <c r="Y370" s="18"/>
    </row>
    <row r="371">
      <c r="Y371" s="18"/>
    </row>
    <row r="372">
      <c r="Y372" s="18"/>
    </row>
    <row r="373">
      <c r="Y373" s="18"/>
    </row>
    <row r="374">
      <c r="Y374" s="18"/>
    </row>
    <row r="375">
      <c r="Y375" s="18"/>
    </row>
    <row r="376">
      <c r="Y376" s="18"/>
    </row>
    <row r="377">
      <c r="Y377" s="18"/>
    </row>
    <row r="378">
      <c r="Y378" s="18"/>
    </row>
    <row r="379">
      <c r="Y379" s="18"/>
    </row>
    <row r="380">
      <c r="Y380" s="18"/>
    </row>
    <row r="381">
      <c r="Y381" s="18"/>
    </row>
    <row r="382">
      <c r="Y382" s="18"/>
    </row>
    <row r="383">
      <c r="Y383" s="18"/>
    </row>
    <row r="384">
      <c r="Y384" s="18"/>
    </row>
    <row r="385">
      <c r="Y385" s="18"/>
    </row>
    <row r="386">
      <c r="Y386" s="18"/>
    </row>
    <row r="387">
      <c r="Y387" s="18"/>
    </row>
    <row r="388">
      <c r="Y388" s="18"/>
    </row>
    <row r="389">
      <c r="Y389" s="18"/>
    </row>
    <row r="390">
      <c r="Y390" s="18"/>
    </row>
    <row r="391">
      <c r="Y391" s="18"/>
    </row>
    <row r="392">
      <c r="Y392" s="18"/>
    </row>
    <row r="393">
      <c r="Y393" s="18"/>
    </row>
    <row r="394">
      <c r="Y394" s="18"/>
    </row>
    <row r="395">
      <c r="Y395" s="18"/>
    </row>
    <row r="396">
      <c r="Y396" s="18"/>
    </row>
    <row r="397">
      <c r="Y397" s="18"/>
    </row>
    <row r="398">
      <c r="Y398" s="18"/>
    </row>
    <row r="399">
      <c r="Y399" s="18"/>
    </row>
    <row r="400">
      <c r="Y400" s="18"/>
    </row>
    <row r="401">
      <c r="Y401" s="18"/>
    </row>
    <row r="402">
      <c r="Y402" s="18"/>
    </row>
    <row r="403">
      <c r="Y403" s="18"/>
    </row>
    <row r="404">
      <c r="Y404" s="18"/>
    </row>
    <row r="405">
      <c r="Y405" s="18"/>
    </row>
    <row r="406">
      <c r="Y406" s="18"/>
    </row>
    <row r="407">
      <c r="Y407" s="18"/>
    </row>
    <row r="408">
      <c r="Y408" s="18"/>
    </row>
    <row r="409">
      <c r="Y409" s="18"/>
    </row>
    <row r="410">
      <c r="Y410" s="18"/>
    </row>
    <row r="411">
      <c r="Y411" s="18"/>
    </row>
    <row r="412">
      <c r="Y412" s="18"/>
    </row>
    <row r="413">
      <c r="Y413" s="18"/>
    </row>
    <row r="414">
      <c r="Y414" s="18"/>
    </row>
    <row r="415">
      <c r="Y415" s="18"/>
    </row>
    <row r="416">
      <c r="Y416" s="18"/>
    </row>
    <row r="417">
      <c r="Y417" s="18"/>
    </row>
    <row r="418">
      <c r="Y418" s="18"/>
    </row>
    <row r="419">
      <c r="Y419" s="18"/>
    </row>
    <row r="420">
      <c r="Y420" s="18"/>
    </row>
    <row r="421">
      <c r="Y421" s="18"/>
    </row>
    <row r="422">
      <c r="Y422" s="18"/>
    </row>
    <row r="423">
      <c r="Y423" s="18"/>
    </row>
    <row r="424">
      <c r="Y424" s="18"/>
    </row>
    <row r="425">
      <c r="Y425" s="18"/>
    </row>
    <row r="426">
      <c r="Y426" s="18"/>
    </row>
    <row r="427">
      <c r="Y427" s="18"/>
    </row>
    <row r="428">
      <c r="Y428" s="18"/>
    </row>
    <row r="429">
      <c r="Y429" s="18"/>
    </row>
    <row r="430">
      <c r="Y430" s="18"/>
    </row>
    <row r="431">
      <c r="Y431" s="18"/>
    </row>
    <row r="432">
      <c r="Y432" s="18"/>
    </row>
    <row r="433">
      <c r="Y433" s="18"/>
    </row>
    <row r="434">
      <c r="Y434" s="18"/>
    </row>
    <row r="435">
      <c r="Y435" s="18"/>
    </row>
    <row r="436">
      <c r="Y436" s="18"/>
    </row>
    <row r="437">
      <c r="Y437" s="18"/>
    </row>
    <row r="438">
      <c r="Y438" s="18"/>
    </row>
    <row r="439">
      <c r="Y439" s="18"/>
    </row>
    <row r="440">
      <c r="Y440" s="18"/>
    </row>
    <row r="441">
      <c r="Y441" s="18"/>
    </row>
    <row r="442">
      <c r="Y442" s="18"/>
    </row>
    <row r="443">
      <c r="Y443" s="18"/>
    </row>
    <row r="444">
      <c r="Y444" s="18"/>
    </row>
    <row r="445">
      <c r="Y445" s="18"/>
    </row>
    <row r="446">
      <c r="Y446" s="18"/>
    </row>
    <row r="447">
      <c r="Y447" s="18"/>
    </row>
    <row r="448">
      <c r="Y448" s="18"/>
    </row>
    <row r="449">
      <c r="Y449" s="18"/>
    </row>
    <row r="450">
      <c r="Y450" s="18"/>
    </row>
    <row r="451">
      <c r="Y451" s="18"/>
    </row>
    <row r="452">
      <c r="Y452" s="18"/>
    </row>
    <row r="453">
      <c r="Y453" s="18"/>
    </row>
    <row r="454">
      <c r="Y454" s="18"/>
    </row>
    <row r="455">
      <c r="Y455" s="18"/>
    </row>
    <row r="456">
      <c r="Y456" s="18"/>
    </row>
    <row r="457">
      <c r="Y457" s="18"/>
    </row>
    <row r="458">
      <c r="Y458" s="18"/>
    </row>
    <row r="459">
      <c r="Y459" s="18"/>
    </row>
    <row r="460">
      <c r="Y460" s="18"/>
    </row>
    <row r="461">
      <c r="Y461" s="18"/>
    </row>
    <row r="462">
      <c r="Y462" s="18"/>
    </row>
    <row r="463">
      <c r="Y463" s="18"/>
    </row>
    <row r="464">
      <c r="Y464" s="18"/>
    </row>
    <row r="465">
      <c r="Y465" s="18"/>
    </row>
    <row r="466">
      <c r="Y466" s="18"/>
    </row>
    <row r="467">
      <c r="Y467" s="18"/>
    </row>
    <row r="468">
      <c r="Y468" s="18"/>
    </row>
    <row r="469">
      <c r="Y469" s="18"/>
    </row>
    <row r="470">
      <c r="Y470" s="18"/>
    </row>
    <row r="471">
      <c r="Y471" s="18"/>
    </row>
    <row r="472">
      <c r="Y472" s="18"/>
    </row>
    <row r="473">
      <c r="Y473" s="18"/>
    </row>
    <row r="474">
      <c r="Y474" s="18"/>
    </row>
    <row r="475">
      <c r="Y475" s="18"/>
    </row>
    <row r="476">
      <c r="Y476" s="18"/>
    </row>
    <row r="477">
      <c r="Y477" s="18"/>
    </row>
    <row r="478">
      <c r="Y478" s="18"/>
    </row>
    <row r="479">
      <c r="Y479" s="18"/>
    </row>
    <row r="480">
      <c r="Y480" s="18"/>
    </row>
    <row r="481">
      <c r="Y481" s="18"/>
    </row>
    <row r="482">
      <c r="Y482" s="18"/>
    </row>
    <row r="483">
      <c r="Y483" s="18"/>
    </row>
    <row r="484">
      <c r="Y484" s="18"/>
    </row>
    <row r="485">
      <c r="Y485" s="18"/>
    </row>
    <row r="486">
      <c r="Y486" s="18"/>
    </row>
    <row r="487">
      <c r="Y487" s="18"/>
    </row>
    <row r="488">
      <c r="Y488" s="18"/>
    </row>
    <row r="489">
      <c r="Y489" s="18"/>
    </row>
    <row r="490">
      <c r="Y490" s="18"/>
    </row>
    <row r="491">
      <c r="Y491" s="18"/>
    </row>
    <row r="492">
      <c r="Y492" s="18"/>
    </row>
    <row r="493">
      <c r="Y493" s="18"/>
    </row>
    <row r="494">
      <c r="Y494" s="18"/>
    </row>
    <row r="495">
      <c r="Y495" s="18"/>
    </row>
    <row r="496">
      <c r="Y496" s="18"/>
    </row>
    <row r="497">
      <c r="Y497" s="18"/>
    </row>
    <row r="498">
      <c r="Y498" s="18"/>
    </row>
    <row r="499">
      <c r="Y499" s="18"/>
    </row>
    <row r="500">
      <c r="Y500" s="18"/>
    </row>
    <row r="501">
      <c r="Y501" s="18"/>
    </row>
    <row r="502">
      <c r="Y502" s="18"/>
    </row>
    <row r="503">
      <c r="Y503" s="18"/>
    </row>
    <row r="504">
      <c r="Y504" s="18"/>
    </row>
    <row r="505">
      <c r="Y505" s="18"/>
    </row>
    <row r="506">
      <c r="Y506" s="18"/>
    </row>
    <row r="507">
      <c r="Y507" s="18"/>
    </row>
    <row r="508">
      <c r="Y508" s="18"/>
    </row>
    <row r="509">
      <c r="Y509" s="18"/>
    </row>
    <row r="510">
      <c r="Y510" s="18"/>
    </row>
    <row r="511">
      <c r="Y511" s="18"/>
    </row>
    <row r="512">
      <c r="Y512" s="18"/>
    </row>
    <row r="513">
      <c r="Y513" s="18"/>
    </row>
    <row r="514">
      <c r="Y514" s="18"/>
    </row>
    <row r="515">
      <c r="Y515" s="18"/>
    </row>
    <row r="516">
      <c r="Y516" s="18"/>
    </row>
    <row r="517">
      <c r="Y517" s="18"/>
    </row>
    <row r="518">
      <c r="Y518" s="18"/>
    </row>
    <row r="519">
      <c r="Y519" s="18"/>
    </row>
    <row r="520">
      <c r="Y520" s="18"/>
    </row>
    <row r="521">
      <c r="Y521" s="18"/>
    </row>
    <row r="522">
      <c r="Y522" s="18"/>
    </row>
    <row r="523">
      <c r="Y523" s="18"/>
    </row>
    <row r="524">
      <c r="Y524" s="18"/>
    </row>
    <row r="525">
      <c r="Y525" s="18"/>
    </row>
    <row r="526">
      <c r="Y526" s="18"/>
    </row>
    <row r="527">
      <c r="Y527" s="18"/>
    </row>
    <row r="528">
      <c r="Y528" s="18"/>
    </row>
    <row r="529">
      <c r="Y529" s="18"/>
    </row>
    <row r="530">
      <c r="Y530" s="18"/>
    </row>
    <row r="531">
      <c r="Y531" s="18"/>
    </row>
    <row r="532">
      <c r="Y532" s="18"/>
    </row>
    <row r="533">
      <c r="Y533" s="18"/>
    </row>
    <row r="534">
      <c r="Y534" s="18"/>
    </row>
    <row r="535">
      <c r="Y535" s="18"/>
    </row>
    <row r="536">
      <c r="Y536" s="18"/>
    </row>
    <row r="537">
      <c r="Y537" s="18"/>
    </row>
    <row r="538">
      <c r="Y538" s="18"/>
    </row>
    <row r="539">
      <c r="Y539" s="18"/>
    </row>
    <row r="540">
      <c r="Y540" s="18"/>
    </row>
    <row r="541">
      <c r="Y541" s="18"/>
    </row>
    <row r="542">
      <c r="Y542" s="18"/>
    </row>
    <row r="543">
      <c r="Y543" s="18"/>
    </row>
    <row r="544">
      <c r="Y544" s="18"/>
    </row>
    <row r="545">
      <c r="Y545" s="18"/>
    </row>
    <row r="546">
      <c r="Y546" s="18"/>
    </row>
    <row r="547">
      <c r="Y547" s="18"/>
    </row>
    <row r="548">
      <c r="Y548" s="18"/>
    </row>
    <row r="549">
      <c r="Y549" s="18"/>
    </row>
    <row r="550">
      <c r="Y550" s="18"/>
    </row>
    <row r="551">
      <c r="Y551" s="18"/>
    </row>
    <row r="552">
      <c r="Y552" s="18"/>
    </row>
    <row r="553">
      <c r="Y553" s="18"/>
    </row>
    <row r="554">
      <c r="Y554" s="18"/>
    </row>
    <row r="555">
      <c r="Y555" s="18"/>
    </row>
    <row r="556">
      <c r="Y556" s="18"/>
    </row>
    <row r="557">
      <c r="Y557" s="18"/>
    </row>
    <row r="558">
      <c r="Y558" s="18"/>
    </row>
    <row r="559">
      <c r="Y559" s="18"/>
    </row>
    <row r="560">
      <c r="Y560" s="18"/>
    </row>
    <row r="561">
      <c r="Y561" s="18"/>
    </row>
    <row r="562">
      <c r="Y562" s="18"/>
    </row>
    <row r="563">
      <c r="Y563" s="18"/>
    </row>
    <row r="564">
      <c r="Y564" s="18"/>
    </row>
    <row r="565">
      <c r="Y565" s="18"/>
    </row>
    <row r="566">
      <c r="Y566" s="18"/>
    </row>
    <row r="567">
      <c r="Y567" s="18"/>
    </row>
    <row r="568">
      <c r="Y568" s="18"/>
    </row>
    <row r="569">
      <c r="Y569" s="18"/>
    </row>
    <row r="570">
      <c r="Y570" s="18"/>
    </row>
    <row r="571">
      <c r="Y571" s="18"/>
    </row>
    <row r="572">
      <c r="Y572" s="18"/>
    </row>
    <row r="573">
      <c r="Y573" s="18"/>
    </row>
    <row r="574">
      <c r="Y574" s="18"/>
    </row>
    <row r="575">
      <c r="Y575" s="18"/>
    </row>
    <row r="576">
      <c r="Y576" s="18"/>
    </row>
    <row r="577">
      <c r="Y577" s="18"/>
    </row>
    <row r="578">
      <c r="Y578" s="18"/>
    </row>
    <row r="579">
      <c r="Y579" s="18"/>
    </row>
    <row r="580">
      <c r="Y580" s="18"/>
    </row>
    <row r="581">
      <c r="Y581" s="18"/>
    </row>
    <row r="582">
      <c r="Y582" s="18"/>
    </row>
    <row r="583">
      <c r="Y583" s="18"/>
    </row>
    <row r="584">
      <c r="Y584" s="18"/>
    </row>
    <row r="585">
      <c r="Y585" s="18"/>
    </row>
    <row r="586">
      <c r="Y586" s="18"/>
    </row>
    <row r="587">
      <c r="Y587" s="18"/>
    </row>
    <row r="588">
      <c r="Y588" s="18"/>
    </row>
    <row r="589">
      <c r="Y589" s="18"/>
    </row>
    <row r="590">
      <c r="Y590" s="18"/>
    </row>
    <row r="591">
      <c r="Y591" s="18"/>
    </row>
    <row r="592">
      <c r="Y592" s="18"/>
    </row>
    <row r="593">
      <c r="Y593" s="18"/>
    </row>
    <row r="594">
      <c r="Y594" s="18"/>
    </row>
    <row r="595">
      <c r="Y595" s="18"/>
    </row>
    <row r="596">
      <c r="Y596" s="18"/>
    </row>
    <row r="597">
      <c r="Y597" s="18"/>
    </row>
    <row r="598">
      <c r="Y598" s="18"/>
    </row>
    <row r="599">
      <c r="Y599" s="18"/>
    </row>
    <row r="600">
      <c r="Y600" s="18"/>
    </row>
    <row r="601">
      <c r="Y601" s="18"/>
    </row>
    <row r="602">
      <c r="Y602" s="18"/>
    </row>
    <row r="603">
      <c r="Y603" s="18"/>
    </row>
    <row r="604">
      <c r="Y604" s="18"/>
    </row>
    <row r="605">
      <c r="Y605" s="18"/>
    </row>
    <row r="606">
      <c r="Y606" s="18"/>
    </row>
    <row r="607">
      <c r="Y607" s="18"/>
    </row>
    <row r="608">
      <c r="Y608" s="18"/>
    </row>
    <row r="609">
      <c r="Y609" s="18"/>
    </row>
    <row r="610">
      <c r="Y610" s="18"/>
    </row>
    <row r="611">
      <c r="Y611" s="18"/>
    </row>
    <row r="612">
      <c r="Y612" s="18"/>
    </row>
    <row r="613">
      <c r="Y613" s="18"/>
    </row>
    <row r="614">
      <c r="Y614" s="18"/>
    </row>
    <row r="615">
      <c r="Y615" s="18"/>
    </row>
    <row r="616">
      <c r="Y616" s="18"/>
    </row>
    <row r="617">
      <c r="Y617" s="18"/>
    </row>
    <row r="618">
      <c r="Y618" s="18"/>
    </row>
    <row r="619">
      <c r="Y619" s="18"/>
    </row>
    <row r="620">
      <c r="Y620" s="18"/>
    </row>
    <row r="621">
      <c r="Y621" s="18"/>
    </row>
    <row r="622">
      <c r="Y622" s="18"/>
    </row>
    <row r="623">
      <c r="Y623" s="18"/>
    </row>
    <row r="624">
      <c r="Y624" s="18"/>
    </row>
    <row r="625">
      <c r="Y625" s="18"/>
    </row>
    <row r="626">
      <c r="Y626" s="18"/>
    </row>
    <row r="627">
      <c r="Y627" s="18"/>
    </row>
    <row r="628">
      <c r="Y628" s="18"/>
    </row>
    <row r="629">
      <c r="Y629" s="18"/>
    </row>
    <row r="630">
      <c r="Y630" s="18"/>
    </row>
    <row r="631">
      <c r="Y631" s="18"/>
    </row>
    <row r="632">
      <c r="Y632" s="18"/>
    </row>
    <row r="633">
      <c r="Y633" s="18"/>
    </row>
    <row r="634">
      <c r="Y634" s="18"/>
    </row>
    <row r="635">
      <c r="Y635" s="18"/>
    </row>
    <row r="636">
      <c r="Y636" s="18"/>
    </row>
    <row r="637">
      <c r="Y637" s="18"/>
    </row>
    <row r="638">
      <c r="Y638" s="18"/>
    </row>
    <row r="639">
      <c r="Y639" s="18"/>
    </row>
    <row r="640">
      <c r="Y640" s="18"/>
    </row>
    <row r="641">
      <c r="Y641" s="18"/>
    </row>
    <row r="642">
      <c r="Y642" s="18"/>
    </row>
    <row r="643">
      <c r="Y643" s="18"/>
    </row>
    <row r="644">
      <c r="Y644" s="18"/>
    </row>
    <row r="645">
      <c r="Y645" s="18"/>
    </row>
    <row r="646">
      <c r="Y646" s="18"/>
    </row>
    <row r="647">
      <c r="Y647" s="18"/>
    </row>
    <row r="648">
      <c r="Y648" s="18"/>
    </row>
    <row r="649">
      <c r="Y649" s="18"/>
    </row>
    <row r="650">
      <c r="Y650" s="18"/>
    </row>
    <row r="651">
      <c r="Y651" s="18"/>
    </row>
    <row r="652">
      <c r="Y652" s="18"/>
    </row>
    <row r="653">
      <c r="Y653" s="18"/>
    </row>
    <row r="654">
      <c r="Y654" s="18"/>
    </row>
    <row r="655">
      <c r="Y655" s="18"/>
    </row>
    <row r="656">
      <c r="Y656" s="18"/>
    </row>
    <row r="657">
      <c r="Y657" s="18"/>
    </row>
    <row r="658">
      <c r="Y658" s="18"/>
    </row>
    <row r="659">
      <c r="Y659" s="18"/>
    </row>
    <row r="660">
      <c r="Y660" s="18"/>
    </row>
    <row r="661">
      <c r="Y661" s="18"/>
    </row>
    <row r="662">
      <c r="Y662" s="18"/>
    </row>
    <row r="663">
      <c r="Y663" s="18"/>
    </row>
    <row r="664">
      <c r="Y664" s="18"/>
    </row>
    <row r="665">
      <c r="Y665" s="18"/>
    </row>
    <row r="666">
      <c r="Y666" s="18"/>
    </row>
    <row r="667">
      <c r="Y667" s="18"/>
    </row>
    <row r="668">
      <c r="Y668" s="18"/>
    </row>
    <row r="669">
      <c r="Y669" s="18"/>
    </row>
    <row r="670">
      <c r="Y670" s="18"/>
    </row>
    <row r="671">
      <c r="Y671" s="18"/>
    </row>
    <row r="672">
      <c r="Y672" s="18"/>
    </row>
    <row r="673">
      <c r="Y673" s="18"/>
    </row>
    <row r="674">
      <c r="Y674" s="18"/>
    </row>
    <row r="675">
      <c r="Y675" s="18"/>
    </row>
    <row r="676">
      <c r="Y676" s="18"/>
    </row>
    <row r="677">
      <c r="Y677" s="18"/>
    </row>
    <row r="678">
      <c r="Y678" s="18"/>
    </row>
    <row r="679">
      <c r="Y679" s="18"/>
    </row>
    <row r="680">
      <c r="Y680" s="18"/>
    </row>
    <row r="681">
      <c r="Y681" s="18"/>
    </row>
    <row r="682">
      <c r="Y682" s="18"/>
    </row>
    <row r="683">
      <c r="Y683" s="18"/>
    </row>
    <row r="684">
      <c r="Y684" s="18"/>
    </row>
    <row r="685">
      <c r="Y685" s="18"/>
    </row>
    <row r="686">
      <c r="Y686" s="18"/>
    </row>
    <row r="687">
      <c r="Y687" s="18"/>
    </row>
    <row r="688">
      <c r="Y688" s="18"/>
    </row>
    <row r="689">
      <c r="Y689" s="18"/>
    </row>
    <row r="690">
      <c r="Y690" s="18"/>
    </row>
    <row r="691">
      <c r="Y691" s="18"/>
    </row>
    <row r="692">
      <c r="Y692" s="18"/>
    </row>
    <row r="693">
      <c r="Y693" s="18"/>
    </row>
    <row r="694">
      <c r="Y694" s="18"/>
    </row>
    <row r="695">
      <c r="Y695" s="18"/>
    </row>
    <row r="696">
      <c r="Y696" s="18"/>
    </row>
    <row r="697">
      <c r="Y697" s="18"/>
    </row>
    <row r="698">
      <c r="Y698" s="18"/>
    </row>
    <row r="699">
      <c r="Y699" s="18"/>
    </row>
    <row r="700">
      <c r="Y700" s="18"/>
    </row>
    <row r="701">
      <c r="Y701" s="18"/>
    </row>
    <row r="702">
      <c r="Y702" s="18"/>
    </row>
    <row r="703">
      <c r="Y703" s="18"/>
    </row>
    <row r="704">
      <c r="Y704" s="18"/>
    </row>
    <row r="705">
      <c r="Y705" s="18"/>
    </row>
    <row r="706">
      <c r="Y706" s="18"/>
    </row>
    <row r="707">
      <c r="Y707" s="18"/>
    </row>
    <row r="708">
      <c r="Y708" s="18"/>
    </row>
    <row r="709">
      <c r="Y709" s="18"/>
    </row>
    <row r="710">
      <c r="Y710" s="18"/>
    </row>
    <row r="711">
      <c r="Y711" s="18"/>
    </row>
    <row r="712">
      <c r="Y712" s="18"/>
    </row>
    <row r="713">
      <c r="Y713" s="18"/>
    </row>
    <row r="714">
      <c r="Y714" s="18"/>
    </row>
    <row r="715">
      <c r="Y715" s="18"/>
    </row>
    <row r="716">
      <c r="Y716" s="18"/>
    </row>
    <row r="717">
      <c r="Y717" s="18"/>
    </row>
    <row r="718">
      <c r="Y718" s="18"/>
    </row>
    <row r="719">
      <c r="Y719" s="18"/>
    </row>
    <row r="720">
      <c r="Y720" s="18"/>
    </row>
    <row r="721">
      <c r="Y721" s="18"/>
    </row>
    <row r="722">
      <c r="Y722" s="18"/>
    </row>
    <row r="723">
      <c r="Y723" s="18"/>
    </row>
    <row r="724">
      <c r="Y724" s="18"/>
    </row>
    <row r="725">
      <c r="Y725" s="18"/>
    </row>
    <row r="726">
      <c r="Y726" s="18"/>
    </row>
    <row r="727">
      <c r="Y727" s="18"/>
    </row>
    <row r="728">
      <c r="Y728" s="18"/>
    </row>
    <row r="729">
      <c r="Y729" s="18"/>
    </row>
    <row r="730">
      <c r="Y730" s="18"/>
    </row>
    <row r="731">
      <c r="Y731" s="18"/>
    </row>
    <row r="732">
      <c r="Y732" s="18"/>
    </row>
    <row r="733">
      <c r="Y733" s="18"/>
    </row>
    <row r="734">
      <c r="Y734" s="18"/>
    </row>
    <row r="735">
      <c r="Y735" s="18"/>
    </row>
    <row r="736">
      <c r="Y736" s="18"/>
    </row>
    <row r="737">
      <c r="Y737" s="18"/>
    </row>
    <row r="738">
      <c r="Y738" s="18"/>
    </row>
    <row r="739">
      <c r="Y739" s="18"/>
    </row>
    <row r="740">
      <c r="Y740" s="18"/>
    </row>
    <row r="741">
      <c r="Y741" s="18"/>
    </row>
    <row r="742">
      <c r="Y742" s="18"/>
    </row>
    <row r="743">
      <c r="Y743" s="18"/>
    </row>
    <row r="744">
      <c r="Y744" s="18"/>
    </row>
    <row r="745">
      <c r="Y745" s="18"/>
    </row>
    <row r="746">
      <c r="Y746" s="18"/>
    </row>
    <row r="747">
      <c r="Y747" s="18"/>
    </row>
    <row r="748">
      <c r="Y748" s="18"/>
    </row>
    <row r="749">
      <c r="Y749" s="18"/>
    </row>
    <row r="750">
      <c r="Y750" s="18"/>
    </row>
    <row r="751">
      <c r="Y751" s="18"/>
    </row>
    <row r="752">
      <c r="Y752" s="18"/>
    </row>
    <row r="753">
      <c r="Y753" s="18"/>
    </row>
    <row r="754">
      <c r="Y754" s="18"/>
    </row>
    <row r="755">
      <c r="Y755" s="18"/>
    </row>
    <row r="756">
      <c r="Y756" s="18"/>
    </row>
    <row r="757">
      <c r="Y757" s="18"/>
    </row>
    <row r="758">
      <c r="Y758" s="18"/>
    </row>
    <row r="759">
      <c r="Y759" s="18"/>
    </row>
    <row r="760">
      <c r="Y760" s="18"/>
    </row>
    <row r="761">
      <c r="Y761" s="18"/>
    </row>
    <row r="762">
      <c r="Y762" s="18"/>
    </row>
    <row r="763">
      <c r="Y763" s="18"/>
    </row>
    <row r="764">
      <c r="Y764" s="18"/>
    </row>
    <row r="765">
      <c r="Y765" s="18"/>
    </row>
    <row r="766">
      <c r="Y766" s="18"/>
    </row>
    <row r="767">
      <c r="Y767" s="18"/>
    </row>
    <row r="768">
      <c r="Y768" s="18"/>
    </row>
    <row r="769">
      <c r="Y769" s="18"/>
    </row>
    <row r="770">
      <c r="Y770" s="18"/>
    </row>
    <row r="771">
      <c r="Y771" s="18"/>
    </row>
    <row r="772">
      <c r="Y772" s="18"/>
    </row>
    <row r="773">
      <c r="Y773" s="18"/>
    </row>
    <row r="774">
      <c r="Y774" s="18"/>
    </row>
    <row r="775">
      <c r="Y775" s="18"/>
    </row>
    <row r="776">
      <c r="Y776" s="18"/>
    </row>
    <row r="777">
      <c r="Y777" s="18"/>
    </row>
    <row r="778">
      <c r="Y778" s="18"/>
    </row>
    <row r="779">
      <c r="Y779" s="18"/>
    </row>
    <row r="780">
      <c r="Y780" s="18"/>
    </row>
    <row r="781">
      <c r="Y781" s="18"/>
    </row>
    <row r="782">
      <c r="Y782" s="18"/>
    </row>
    <row r="783">
      <c r="Y783" s="18"/>
    </row>
    <row r="784">
      <c r="Y784" s="18"/>
    </row>
    <row r="785">
      <c r="Y785" s="18"/>
    </row>
    <row r="786">
      <c r="Y786" s="18"/>
    </row>
    <row r="787">
      <c r="Y787" s="18"/>
    </row>
    <row r="788">
      <c r="Y788" s="18"/>
    </row>
    <row r="789">
      <c r="Y789" s="18"/>
    </row>
    <row r="790">
      <c r="Y790" s="18"/>
    </row>
    <row r="791">
      <c r="Y791" s="18"/>
    </row>
    <row r="792">
      <c r="Y792" s="18"/>
    </row>
    <row r="793">
      <c r="Y793" s="18"/>
    </row>
    <row r="794">
      <c r="Y794" s="18"/>
    </row>
    <row r="795">
      <c r="Y795" s="18"/>
    </row>
    <row r="796">
      <c r="Y796" s="18"/>
    </row>
    <row r="797">
      <c r="Y797" s="18"/>
    </row>
    <row r="798">
      <c r="Y798" s="18"/>
    </row>
    <row r="799">
      <c r="Y799" s="18"/>
    </row>
    <row r="800">
      <c r="Y800" s="18"/>
    </row>
    <row r="801">
      <c r="Y801" s="18"/>
    </row>
    <row r="802">
      <c r="Y802" s="18"/>
    </row>
    <row r="803">
      <c r="Y803" s="18"/>
    </row>
    <row r="804">
      <c r="Y804" s="18"/>
    </row>
    <row r="805">
      <c r="Y805" s="18"/>
    </row>
    <row r="806">
      <c r="Y806" s="18"/>
    </row>
    <row r="807">
      <c r="Y807" s="18"/>
    </row>
    <row r="808">
      <c r="Y808" s="18"/>
    </row>
    <row r="809">
      <c r="Y809" s="18"/>
    </row>
    <row r="810">
      <c r="Y810" s="18"/>
    </row>
    <row r="811">
      <c r="Y811" s="18"/>
    </row>
    <row r="812">
      <c r="Y812" s="18"/>
    </row>
    <row r="813">
      <c r="Y813" s="18"/>
    </row>
    <row r="814">
      <c r="Y814" s="18"/>
    </row>
    <row r="815">
      <c r="Y815" s="18"/>
    </row>
    <row r="816">
      <c r="Y816" s="18"/>
    </row>
    <row r="817">
      <c r="Y817" s="18"/>
    </row>
    <row r="818">
      <c r="Y818" s="18"/>
    </row>
    <row r="819">
      <c r="Y819" s="18"/>
    </row>
    <row r="820">
      <c r="Y820" s="18"/>
    </row>
    <row r="821">
      <c r="Y821" s="18"/>
    </row>
    <row r="822">
      <c r="Y822" s="18"/>
    </row>
    <row r="823">
      <c r="Y823" s="18"/>
    </row>
    <row r="824">
      <c r="Y824" s="18"/>
    </row>
    <row r="825">
      <c r="Y825" s="18"/>
    </row>
    <row r="826">
      <c r="Y826" s="18"/>
    </row>
    <row r="827">
      <c r="Y827" s="18"/>
    </row>
    <row r="828">
      <c r="Y828" s="18"/>
    </row>
    <row r="829">
      <c r="Y829" s="18"/>
    </row>
    <row r="830">
      <c r="Y830" s="18"/>
    </row>
    <row r="831">
      <c r="Y831" s="18"/>
    </row>
    <row r="832">
      <c r="Y832" s="18"/>
    </row>
    <row r="833">
      <c r="Y833" s="18"/>
    </row>
    <row r="834">
      <c r="Y834" s="18"/>
    </row>
    <row r="835">
      <c r="Y835" s="18"/>
    </row>
    <row r="836">
      <c r="Y836" s="18"/>
    </row>
    <row r="837">
      <c r="Y837" s="18"/>
    </row>
    <row r="838">
      <c r="Y838" s="18"/>
    </row>
    <row r="839">
      <c r="Y839" s="18"/>
    </row>
    <row r="840">
      <c r="Y840" s="18"/>
    </row>
    <row r="841">
      <c r="Y841" s="18"/>
    </row>
    <row r="842">
      <c r="Y842" s="18"/>
    </row>
    <row r="843">
      <c r="Y843" s="18"/>
    </row>
    <row r="844">
      <c r="Y844" s="18"/>
    </row>
    <row r="845">
      <c r="Y845" s="18"/>
    </row>
    <row r="846">
      <c r="Y846" s="18"/>
    </row>
    <row r="847">
      <c r="Y847" s="18"/>
    </row>
    <row r="848">
      <c r="Y848" s="18"/>
    </row>
    <row r="849">
      <c r="Y849" s="18"/>
    </row>
    <row r="850">
      <c r="Y850" s="18"/>
    </row>
    <row r="851">
      <c r="Y851" s="18"/>
    </row>
    <row r="852">
      <c r="Y852" s="18"/>
    </row>
    <row r="853">
      <c r="Y853" s="18"/>
    </row>
    <row r="854">
      <c r="Y854" s="18"/>
    </row>
    <row r="855">
      <c r="Y855" s="18"/>
    </row>
    <row r="856">
      <c r="Y856" s="18"/>
    </row>
    <row r="857">
      <c r="Y857" s="18"/>
    </row>
    <row r="858">
      <c r="Y858" s="18"/>
    </row>
    <row r="859">
      <c r="Y859" s="18"/>
    </row>
    <row r="860">
      <c r="Y860" s="18"/>
    </row>
    <row r="861">
      <c r="Y861" s="18"/>
    </row>
    <row r="862">
      <c r="Y862" s="18"/>
    </row>
    <row r="863">
      <c r="Y863" s="18"/>
    </row>
    <row r="864">
      <c r="Y864" s="18"/>
    </row>
    <row r="865">
      <c r="Y865" s="18"/>
    </row>
    <row r="866">
      <c r="Y866" s="18"/>
    </row>
    <row r="867">
      <c r="Y867" s="18"/>
    </row>
    <row r="868">
      <c r="Y868" s="18"/>
    </row>
    <row r="869">
      <c r="Y869" s="18"/>
    </row>
    <row r="870">
      <c r="Y870" s="18"/>
    </row>
    <row r="871">
      <c r="Y871" s="18"/>
    </row>
    <row r="872">
      <c r="Y872" s="18"/>
    </row>
    <row r="873">
      <c r="Y873" s="18"/>
    </row>
    <row r="874">
      <c r="Y874" s="18"/>
    </row>
    <row r="875">
      <c r="Y875" s="18"/>
    </row>
    <row r="876">
      <c r="Y876" s="18"/>
    </row>
    <row r="877">
      <c r="Y877" s="18"/>
    </row>
    <row r="878">
      <c r="Y878" s="18"/>
    </row>
    <row r="879">
      <c r="Y879" s="18"/>
    </row>
    <row r="880">
      <c r="Y880" s="18"/>
    </row>
    <row r="881">
      <c r="Y881" s="18"/>
    </row>
    <row r="882">
      <c r="Y882" s="18"/>
    </row>
    <row r="883">
      <c r="Y883" s="18"/>
    </row>
    <row r="884">
      <c r="Y884" s="18"/>
    </row>
    <row r="885">
      <c r="Y885" s="18"/>
    </row>
    <row r="886">
      <c r="Y886" s="18"/>
    </row>
    <row r="887">
      <c r="Y887" s="18"/>
    </row>
    <row r="888">
      <c r="Y888" s="18"/>
    </row>
    <row r="889">
      <c r="Y889" s="18"/>
    </row>
    <row r="890">
      <c r="Y890" s="18"/>
    </row>
    <row r="891">
      <c r="Y891" s="18"/>
    </row>
    <row r="892">
      <c r="Y892" s="18"/>
    </row>
    <row r="893">
      <c r="Y893" s="18"/>
    </row>
    <row r="894">
      <c r="Y894" s="18"/>
    </row>
    <row r="895">
      <c r="Y895" s="18"/>
    </row>
    <row r="896">
      <c r="Y896" s="18"/>
    </row>
    <row r="897">
      <c r="Y897" s="18"/>
    </row>
    <row r="898">
      <c r="Y898" s="18"/>
    </row>
    <row r="899">
      <c r="Y899" s="18"/>
    </row>
    <row r="900">
      <c r="Y900" s="18"/>
    </row>
    <row r="901">
      <c r="Y901" s="18"/>
    </row>
    <row r="902">
      <c r="Y902" s="18"/>
    </row>
    <row r="903">
      <c r="Y903" s="18"/>
    </row>
    <row r="904">
      <c r="Y904" s="18"/>
    </row>
    <row r="905">
      <c r="Y905" s="18"/>
    </row>
    <row r="906">
      <c r="Y906" s="18"/>
    </row>
    <row r="907">
      <c r="Y907" s="18"/>
    </row>
    <row r="908">
      <c r="Y908" s="18"/>
    </row>
    <row r="909">
      <c r="Y909" s="18"/>
    </row>
    <row r="910">
      <c r="Y910" s="18"/>
    </row>
    <row r="911">
      <c r="Y911" s="18"/>
    </row>
    <row r="912">
      <c r="Y912" s="18"/>
    </row>
    <row r="913">
      <c r="Y913" s="18"/>
    </row>
    <row r="914">
      <c r="Y914" s="18"/>
    </row>
    <row r="915">
      <c r="Y915" s="18"/>
    </row>
    <row r="916">
      <c r="Y916" s="18"/>
    </row>
    <row r="917">
      <c r="Y917" s="18"/>
    </row>
    <row r="918">
      <c r="Y918" s="18"/>
    </row>
    <row r="919">
      <c r="Y919" s="18"/>
    </row>
    <row r="920">
      <c r="Y920" s="18"/>
    </row>
    <row r="921">
      <c r="Y921" s="18"/>
    </row>
    <row r="922">
      <c r="Y922" s="18"/>
    </row>
    <row r="923">
      <c r="Y923" s="18"/>
    </row>
    <row r="924">
      <c r="Y924" s="18"/>
    </row>
    <row r="925">
      <c r="Y925" s="18"/>
    </row>
    <row r="926">
      <c r="Y926" s="18"/>
    </row>
    <row r="927">
      <c r="Y927" s="18"/>
    </row>
    <row r="928">
      <c r="Y928" s="18"/>
    </row>
    <row r="929">
      <c r="Y929" s="18"/>
    </row>
    <row r="930">
      <c r="Y930" s="18"/>
    </row>
    <row r="931">
      <c r="Y931" s="18"/>
    </row>
    <row r="932">
      <c r="Y932" s="18"/>
    </row>
    <row r="933">
      <c r="Y933" s="18"/>
    </row>
    <row r="934">
      <c r="Y934" s="18"/>
    </row>
    <row r="935">
      <c r="Y935" s="18"/>
    </row>
    <row r="936">
      <c r="Y936" s="18"/>
    </row>
    <row r="937">
      <c r="Y937" s="18"/>
    </row>
    <row r="938">
      <c r="Y938" s="18"/>
    </row>
    <row r="939">
      <c r="Y939" s="18"/>
    </row>
    <row r="940">
      <c r="Y940" s="18"/>
    </row>
    <row r="941">
      <c r="Y941" s="18"/>
    </row>
    <row r="942">
      <c r="Y942" s="18"/>
    </row>
    <row r="943">
      <c r="Y943" s="18"/>
    </row>
    <row r="944">
      <c r="Y944" s="18"/>
    </row>
    <row r="945">
      <c r="Y945" s="18"/>
    </row>
    <row r="946">
      <c r="Y946" s="18"/>
    </row>
    <row r="947">
      <c r="Y947" s="18"/>
    </row>
    <row r="948">
      <c r="Y948" s="18"/>
    </row>
    <row r="949">
      <c r="Y949" s="18"/>
    </row>
    <row r="950">
      <c r="Y950" s="18"/>
    </row>
    <row r="951">
      <c r="Y951" s="18"/>
    </row>
    <row r="952">
      <c r="Y952" s="18"/>
    </row>
    <row r="953">
      <c r="Y953" s="18"/>
    </row>
    <row r="954">
      <c r="Y954" s="18"/>
    </row>
    <row r="955">
      <c r="Y955" s="18"/>
    </row>
    <row r="956">
      <c r="Y956" s="18"/>
    </row>
    <row r="957">
      <c r="Y957" s="18"/>
    </row>
    <row r="958">
      <c r="Y958" s="18"/>
    </row>
    <row r="959">
      <c r="Y959" s="18"/>
    </row>
    <row r="960">
      <c r="Y960" s="18"/>
    </row>
    <row r="961">
      <c r="Y961" s="18"/>
    </row>
    <row r="962">
      <c r="Y962" s="18"/>
    </row>
    <row r="963">
      <c r="Y963" s="18"/>
    </row>
    <row r="964">
      <c r="Y964" s="18"/>
    </row>
    <row r="965">
      <c r="Y965" s="18"/>
    </row>
    <row r="966">
      <c r="Y966" s="18"/>
    </row>
    <row r="967">
      <c r="Y967" s="18"/>
    </row>
    <row r="968">
      <c r="Y968" s="18"/>
    </row>
    <row r="969">
      <c r="Y969" s="18"/>
    </row>
    <row r="970">
      <c r="Y970" s="18"/>
    </row>
    <row r="971">
      <c r="Y971" s="18"/>
    </row>
    <row r="972">
      <c r="Y972" s="18"/>
    </row>
    <row r="973">
      <c r="Y973" s="18"/>
    </row>
    <row r="974">
      <c r="Y974" s="18"/>
    </row>
    <row r="975">
      <c r="Y975" s="18"/>
    </row>
    <row r="976">
      <c r="Y976" s="18"/>
    </row>
    <row r="977">
      <c r="Y977" s="18"/>
    </row>
    <row r="978">
      <c r="Y978" s="18"/>
    </row>
    <row r="979">
      <c r="Y979" s="18"/>
    </row>
    <row r="980">
      <c r="Y980" s="18"/>
    </row>
    <row r="981">
      <c r="Y981" s="18"/>
    </row>
    <row r="982">
      <c r="Y982" s="18"/>
    </row>
    <row r="983">
      <c r="Y983" s="18"/>
    </row>
    <row r="984">
      <c r="Y984" s="18"/>
    </row>
    <row r="985">
      <c r="Y985" s="18"/>
    </row>
    <row r="986">
      <c r="Y986" s="18"/>
    </row>
    <row r="987">
      <c r="Y987" s="18"/>
    </row>
    <row r="988">
      <c r="Y988" s="18"/>
    </row>
  </sheetData>
  <mergeCells count="49">
    <mergeCell ref="N52:Q52"/>
    <mergeCell ref="N62:Q62"/>
    <mergeCell ref="N4:Q4"/>
    <mergeCell ref="N12:Q12"/>
    <mergeCell ref="N13:Q13"/>
    <mergeCell ref="N22:Q22"/>
    <mergeCell ref="N32:Q32"/>
    <mergeCell ref="N42:Q42"/>
    <mergeCell ref="N43:Q43"/>
    <mergeCell ref="A1:AD1"/>
    <mergeCell ref="N3:Q3"/>
    <mergeCell ref="C4:I4"/>
    <mergeCell ref="J4:K4"/>
    <mergeCell ref="S4:T4"/>
    <mergeCell ref="V4:X4"/>
    <mergeCell ref="A10:AD10"/>
    <mergeCell ref="N23:Q23"/>
    <mergeCell ref="S23:T23"/>
    <mergeCell ref="C13:I13"/>
    <mergeCell ref="J13:K13"/>
    <mergeCell ref="S13:T13"/>
    <mergeCell ref="V13:X13"/>
    <mergeCell ref="A20:AD20"/>
    <mergeCell ref="J23:K23"/>
    <mergeCell ref="V23:X23"/>
    <mergeCell ref="C33:I33"/>
    <mergeCell ref="C43:I43"/>
    <mergeCell ref="J43:K43"/>
    <mergeCell ref="C23:I23"/>
    <mergeCell ref="A30:AD30"/>
    <mergeCell ref="J33:K33"/>
    <mergeCell ref="N33:Q33"/>
    <mergeCell ref="S33:T33"/>
    <mergeCell ref="V33:X33"/>
    <mergeCell ref="A40:AD40"/>
    <mergeCell ref="C53:I53"/>
    <mergeCell ref="A60:AD60"/>
    <mergeCell ref="C63:I63"/>
    <mergeCell ref="J63:K63"/>
    <mergeCell ref="N63:Q63"/>
    <mergeCell ref="S63:T63"/>
    <mergeCell ref="V63:X63"/>
    <mergeCell ref="S43:T43"/>
    <mergeCell ref="V43:X43"/>
    <mergeCell ref="A50:AD50"/>
    <mergeCell ref="J53:K53"/>
    <mergeCell ref="N53:Q53"/>
    <mergeCell ref="S53:T53"/>
    <mergeCell ref="V53:X5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25" max="25" width="14.88"/>
  </cols>
  <sheetData>
    <row r="1">
      <c r="A1" s="19" t="s">
        <v>342</v>
      </c>
    </row>
    <row r="2">
      <c r="A2" s="20"/>
      <c r="B2" s="20"/>
      <c r="D2" s="6" t="s">
        <v>95</v>
      </c>
      <c r="F2" s="21" t="s">
        <v>96</v>
      </c>
      <c r="H2" s="21" t="s">
        <v>96</v>
      </c>
      <c r="I2" s="6" t="s">
        <v>95</v>
      </c>
      <c r="Y2" s="18"/>
    </row>
    <row r="3">
      <c r="A3" s="22" t="s">
        <v>185</v>
      </c>
      <c r="B3" s="22" t="s">
        <v>343</v>
      </c>
      <c r="C3" s="23" t="s">
        <v>344</v>
      </c>
      <c r="D3" s="24" t="s">
        <v>345</v>
      </c>
      <c r="E3" s="59"/>
      <c r="F3" s="26" t="s">
        <v>346</v>
      </c>
      <c r="G3" s="27" t="s">
        <v>100</v>
      </c>
      <c r="H3" s="26" t="s">
        <v>347</v>
      </c>
      <c r="I3" s="26" t="s">
        <v>348</v>
      </c>
      <c r="J3" s="28"/>
      <c r="K3" s="28"/>
      <c r="L3" s="28"/>
      <c r="M3" s="28"/>
      <c r="N3" s="51" t="s">
        <v>349</v>
      </c>
      <c r="R3" s="26"/>
      <c r="S3" s="26" t="s">
        <v>350</v>
      </c>
      <c r="T3" s="26" t="s">
        <v>351</v>
      </c>
      <c r="U3" s="26" t="s">
        <v>278</v>
      </c>
      <c r="V3" s="30" t="s">
        <v>352</v>
      </c>
      <c r="Y3" s="66" t="s">
        <v>353</v>
      </c>
      <c r="AA3" s="52" t="s">
        <v>354</v>
      </c>
      <c r="AB3" s="31"/>
      <c r="AC3" s="31"/>
    </row>
    <row r="4">
      <c r="A4" s="20"/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60"/>
      <c r="S4" s="38" t="s">
        <v>108</v>
      </c>
      <c r="T4" s="34"/>
      <c r="U4" s="60"/>
      <c r="V4" s="39" t="s">
        <v>109</v>
      </c>
      <c r="W4" s="33"/>
      <c r="X4" s="34"/>
      <c r="Y4" s="18"/>
    </row>
    <row r="5">
      <c r="A5" s="40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120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280</v>
      </c>
      <c r="S5" s="43" t="s">
        <v>125</v>
      </c>
      <c r="T5" s="43" t="s">
        <v>126</v>
      </c>
      <c r="U5" s="6" t="s">
        <v>196</v>
      </c>
      <c r="V5" s="43" t="s">
        <v>127</v>
      </c>
      <c r="W5" s="43" t="s">
        <v>128</v>
      </c>
      <c r="X5" s="43" t="s">
        <v>129</v>
      </c>
      <c r="Y5" s="50" t="s">
        <v>198</v>
      </c>
      <c r="AA5" s="3" t="s">
        <v>199</v>
      </c>
      <c r="AB5" s="47"/>
      <c r="AC5" s="43"/>
    </row>
    <row r="6">
      <c r="A6" s="67"/>
      <c r="B6" s="68" t="s">
        <v>355</v>
      </c>
      <c r="C6" s="47"/>
      <c r="D6" s="47"/>
      <c r="E6" s="43">
        <v>64.0</v>
      </c>
      <c r="F6" s="47"/>
      <c r="G6" s="47"/>
      <c r="H6" s="47"/>
      <c r="I6" s="47">
        <f t="shared" ref="I6:I7" si="1">16777216/(N6*O6*P6)</f>
        <v>4096</v>
      </c>
      <c r="J6" s="43">
        <v>1.0</v>
      </c>
      <c r="K6" s="43">
        <v>1.0</v>
      </c>
      <c r="L6" s="47"/>
      <c r="M6" s="47"/>
      <c r="N6" s="43">
        <v>16.0</v>
      </c>
      <c r="O6" s="43">
        <v>8.0</v>
      </c>
      <c r="P6" s="6">
        <v>32.0</v>
      </c>
      <c r="Q6" s="6">
        <v>131072.0</v>
      </c>
      <c r="R6" s="47"/>
      <c r="S6" s="47">
        <v>27.72</v>
      </c>
      <c r="T6" s="47">
        <v>28.98</v>
      </c>
      <c r="U6" s="47"/>
      <c r="V6" s="47"/>
      <c r="W6" s="47"/>
      <c r="X6" s="47"/>
      <c r="Y6" s="69">
        <f>(E6*I6*J6*S6+E6*I6*K6*T6)</f>
        <v>14863564.8</v>
      </c>
      <c r="Z6" s="43"/>
      <c r="AA6" s="70"/>
      <c r="AB6" s="70"/>
      <c r="AC6" s="47"/>
      <c r="AD6" s="47"/>
      <c r="AE6" s="47"/>
    </row>
    <row r="7">
      <c r="A7" s="61" t="s">
        <v>356</v>
      </c>
      <c r="B7" s="62" t="s">
        <v>357</v>
      </c>
      <c r="E7" s="6">
        <v>64.0</v>
      </c>
      <c r="I7" s="71">
        <f t="shared" si="1"/>
        <v>4096</v>
      </c>
      <c r="J7" s="6">
        <v>2.0</v>
      </c>
      <c r="K7" s="6">
        <v>1.0</v>
      </c>
      <c r="L7" s="6">
        <v>2.0</v>
      </c>
      <c r="M7" s="6">
        <v>2.52</v>
      </c>
      <c r="N7" s="43">
        <v>16.0</v>
      </c>
      <c r="O7" s="43">
        <v>8.0</v>
      </c>
      <c r="P7" s="6">
        <v>32.0</v>
      </c>
      <c r="Q7" s="6">
        <v>131072.0</v>
      </c>
      <c r="S7" s="10">
        <v>27.72</v>
      </c>
      <c r="T7" s="10">
        <v>28.98</v>
      </c>
      <c r="Y7" s="18">
        <f>(E7*I7*J7*S7+E7*I7*K7*T7+E7*I7*L7*M7)</f>
        <v>23451402.24</v>
      </c>
      <c r="AA7" s="50">
        <v>1.6552668E10</v>
      </c>
      <c r="AB7" s="50"/>
    </row>
    <row r="8">
      <c r="X8" s="6" t="s">
        <v>204</v>
      </c>
      <c r="Y8" s="18">
        <f>sum(Y6:Y7)</f>
        <v>38314967.04</v>
      </c>
    </row>
    <row r="9">
      <c r="Y9" s="18"/>
    </row>
    <row r="10">
      <c r="A10" s="19" t="s">
        <v>134</v>
      </c>
    </row>
    <row r="11">
      <c r="A11" s="20"/>
      <c r="B11" s="20"/>
      <c r="D11" s="6" t="s">
        <v>95</v>
      </c>
      <c r="F11" s="21" t="s">
        <v>96</v>
      </c>
      <c r="H11" s="21" t="s">
        <v>96</v>
      </c>
      <c r="I11" s="6" t="s">
        <v>95</v>
      </c>
      <c r="Y11" s="18"/>
    </row>
    <row r="12">
      <c r="A12" s="22" t="s">
        <v>185</v>
      </c>
      <c r="B12" s="22" t="s">
        <v>358</v>
      </c>
      <c r="C12" s="23" t="s">
        <v>359</v>
      </c>
      <c r="D12" s="24" t="s">
        <v>360</v>
      </c>
      <c r="E12" s="59"/>
      <c r="F12" s="26" t="s">
        <v>346</v>
      </c>
      <c r="G12" s="27" t="s">
        <v>100</v>
      </c>
      <c r="H12" s="26" t="s">
        <v>361</v>
      </c>
      <c r="I12" s="26" t="s">
        <v>362</v>
      </c>
      <c r="J12" s="28"/>
      <c r="K12" s="28"/>
      <c r="L12" s="28"/>
      <c r="M12" s="28"/>
      <c r="N12" s="51" t="s">
        <v>363</v>
      </c>
      <c r="R12" s="26"/>
      <c r="S12" s="26" t="s">
        <v>364</v>
      </c>
      <c r="T12" s="26" t="s">
        <v>365</v>
      </c>
      <c r="U12" s="26" t="s">
        <v>278</v>
      </c>
      <c r="V12" s="30" t="s">
        <v>366</v>
      </c>
      <c r="Y12" s="66" t="s">
        <v>353</v>
      </c>
      <c r="AA12" s="52" t="s">
        <v>354</v>
      </c>
      <c r="AB12" s="31"/>
      <c r="AC12" s="31"/>
    </row>
    <row r="13">
      <c r="A13" s="20"/>
      <c r="B13" s="20"/>
      <c r="C13" s="32" t="s">
        <v>106</v>
      </c>
      <c r="D13" s="33"/>
      <c r="E13" s="33"/>
      <c r="F13" s="33"/>
      <c r="G13" s="33"/>
      <c r="H13" s="33"/>
      <c r="I13" s="34"/>
      <c r="J13" s="35"/>
      <c r="K13" s="34"/>
      <c r="L13" s="36"/>
      <c r="M13" s="36"/>
      <c r="N13" s="37" t="s">
        <v>107</v>
      </c>
      <c r="O13" s="33"/>
      <c r="P13" s="33"/>
      <c r="Q13" s="34"/>
      <c r="R13" s="60"/>
      <c r="S13" s="38" t="s">
        <v>108</v>
      </c>
      <c r="T13" s="34"/>
      <c r="U13" s="60"/>
      <c r="V13" s="39" t="s">
        <v>109</v>
      </c>
      <c r="W13" s="33"/>
      <c r="X13" s="34"/>
      <c r="Y13" s="18"/>
    </row>
    <row r="14">
      <c r="A14" s="40"/>
      <c r="B14" s="40"/>
      <c r="C14" s="41" t="s">
        <v>110</v>
      </c>
      <c r="D14" s="42" t="s">
        <v>111</v>
      </c>
      <c r="E14" s="43" t="s">
        <v>112</v>
      </c>
      <c r="F14" s="44" t="s">
        <v>113</v>
      </c>
      <c r="G14" s="41" t="s">
        <v>114</v>
      </c>
      <c r="H14" s="41" t="s">
        <v>115</v>
      </c>
      <c r="I14" s="45" t="s">
        <v>116</v>
      </c>
      <c r="J14" s="43" t="s">
        <v>117</v>
      </c>
      <c r="K14" s="43" t="s">
        <v>118</v>
      </c>
      <c r="L14" s="43" t="s">
        <v>119</v>
      </c>
      <c r="M14" s="43" t="s">
        <v>120</v>
      </c>
      <c r="N14" s="44" t="s">
        <v>121</v>
      </c>
      <c r="O14" s="44" t="s">
        <v>122</v>
      </c>
      <c r="P14" s="44" t="s">
        <v>123</v>
      </c>
      <c r="Q14" s="44" t="s">
        <v>124</v>
      </c>
      <c r="R14" s="43" t="s">
        <v>280</v>
      </c>
      <c r="S14" s="43" t="s">
        <v>125</v>
      </c>
      <c r="T14" s="43" t="s">
        <v>126</v>
      </c>
      <c r="U14" s="6" t="s">
        <v>196</v>
      </c>
      <c r="V14" s="43" t="s">
        <v>127</v>
      </c>
      <c r="W14" s="43" t="s">
        <v>128</v>
      </c>
      <c r="X14" s="43" t="s">
        <v>129</v>
      </c>
      <c r="Y14" s="50" t="s">
        <v>198</v>
      </c>
      <c r="AA14" s="3" t="s">
        <v>199</v>
      </c>
      <c r="AB14" s="47"/>
      <c r="AC14" s="43"/>
    </row>
    <row r="15">
      <c r="A15" s="67"/>
      <c r="B15" s="68" t="s">
        <v>355</v>
      </c>
      <c r="C15" s="47"/>
      <c r="D15" s="47"/>
      <c r="E15" s="43">
        <v>64.0</v>
      </c>
      <c r="F15" s="47"/>
      <c r="G15" s="47"/>
      <c r="H15" s="47"/>
      <c r="I15" s="47">
        <f>16777216/(N15*O15*P15)</f>
        <v>4096</v>
      </c>
      <c r="J15" s="43">
        <v>1.0</v>
      </c>
      <c r="K15" s="43">
        <v>1.0</v>
      </c>
      <c r="L15" s="47"/>
      <c r="M15" s="47"/>
      <c r="N15" s="43">
        <v>16.0</v>
      </c>
      <c r="O15" s="43">
        <v>8.0</v>
      </c>
      <c r="P15" s="6">
        <v>32.0</v>
      </c>
      <c r="Q15" s="6">
        <v>131072.0</v>
      </c>
      <c r="R15" s="47"/>
      <c r="S15" s="47">
        <v>27.72</v>
      </c>
      <c r="T15" s="47">
        <v>28.98</v>
      </c>
      <c r="U15" s="47"/>
      <c r="V15" s="47"/>
      <c r="W15" s="47"/>
      <c r="X15" s="47"/>
      <c r="Y15" s="69">
        <f>(E15*I15*J15*S15+E15*I15*K15*T15)</f>
        <v>14863564.8</v>
      </c>
      <c r="Z15" s="43"/>
      <c r="AA15" s="70"/>
      <c r="AB15" s="70"/>
      <c r="AC15" s="47"/>
      <c r="AD15" s="47"/>
      <c r="AE15" s="47"/>
    </row>
    <row r="16">
      <c r="A16" s="61"/>
      <c r="B16" s="62"/>
      <c r="E16" s="6"/>
      <c r="I16" s="71"/>
      <c r="J16" s="72" t="s">
        <v>142</v>
      </c>
      <c r="K16" s="72" t="s">
        <v>143</v>
      </c>
      <c r="L16" s="43"/>
      <c r="M16" s="43"/>
      <c r="N16" s="6"/>
      <c r="O16" s="6"/>
      <c r="P16" s="6"/>
      <c r="Q16" s="6"/>
      <c r="Y16" s="18"/>
      <c r="AA16" s="50"/>
      <c r="AB16" s="50"/>
    </row>
    <row r="17">
      <c r="A17" s="61" t="s">
        <v>356</v>
      </c>
      <c r="B17" s="62" t="s">
        <v>367</v>
      </c>
      <c r="E17" s="6">
        <v>64.0</v>
      </c>
      <c r="I17" s="71">
        <f>16777216/(N17*O17*P17)</f>
        <v>4096</v>
      </c>
      <c r="J17" s="6">
        <v>4.0</v>
      </c>
      <c r="K17" s="6">
        <v>53.14</v>
      </c>
      <c r="N17" s="43">
        <v>16.0</v>
      </c>
      <c r="O17" s="43">
        <v>8.0</v>
      </c>
      <c r="P17" s="6">
        <v>32.0</v>
      </c>
      <c r="Q17" s="6">
        <v>131072.0</v>
      </c>
      <c r="S17" s="10">
        <v>27.72</v>
      </c>
      <c r="T17" s="10">
        <v>28.98</v>
      </c>
      <c r="Y17" s="18">
        <f>(E17*I17*J17*K17)</f>
        <v>55721328.64</v>
      </c>
      <c r="AA17" s="50">
        <v>1.6552668E10</v>
      </c>
      <c r="AB17" s="50"/>
    </row>
    <row r="18">
      <c r="X18" s="6" t="s">
        <v>204</v>
      </c>
      <c r="Y18" s="18">
        <f>Y15+Y17</f>
        <v>70584893.44</v>
      </c>
    </row>
    <row r="19">
      <c r="Y19" s="18"/>
    </row>
    <row r="20">
      <c r="A20" s="19" t="s">
        <v>368</v>
      </c>
    </row>
    <row r="21">
      <c r="A21" s="20"/>
      <c r="B21" s="20"/>
      <c r="D21" s="6" t="s">
        <v>95</v>
      </c>
      <c r="F21" s="21" t="s">
        <v>96</v>
      </c>
      <c r="H21" s="21" t="s">
        <v>96</v>
      </c>
      <c r="I21" s="6" t="s">
        <v>95</v>
      </c>
      <c r="Y21" s="18"/>
    </row>
    <row r="22">
      <c r="A22" s="22" t="s">
        <v>185</v>
      </c>
      <c r="B22" s="22" t="s">
        <v>369</v>
      </c>
      <c r="C22" s="23" t="s">
        <v>370</v>
      </c>
      <c r="D22" s="24" t="s">
        <v>371</v>
      </c>
      <c r="E22" s="59"/>
      <c r="F22" s="26" t="s">
        <v>346</v>
      </c>
      <c r="G22" s="27" t="s">
        <v>100</v>
      </c>
      <c r="H22" s="26" t="s">
        <v>372</v>
      </c>
      <c r="I22" s="26" t="s">
        <v>373</v>
      </c>
      <c r="J22" s="28"/>
      <c r="K22" s="28"/>
      <c r="L22" s="28"/>
      <c r="M22" s="28"/>
      <c r="N22" s="51" t="s">
        <v>374</v>
      </c>
      <c r="R22" s="26"/>
      <c r="S22" s="26" t="s">
        <v>375</v>
      </c>
      <c r="T22" s="26" t="s">
        <v>376</v>
      </c>
      <c r="U22" s="26" t="s">
        <v>278</v>
      </c>
      <c r="V22" s="30" t="s">
        <v>377</v>
      </c>
      <c r="Y22" s="66" t="s">
        <v>353</v>
      </c>
      <c r="AA22" s="52" t="s">
        <v>354</v>
      </c>
      <c r="AB22" s="31"/>
    </row>
    <row r="23">
      <c r="A23" s="20"/>
      <c r="B23" s="20"/>
      <c r="C23" s="32" t="s">
        <v>106</v>
      </c>
      <c r="D23" s="33"/>
      <c r="E23" s="33"/>
      <c r="F23" s="33"/>
      <c r="G23" s="33"/>
      <c r="H23" s="33"/>
      <c r="I23" s="34"/>
      <c r="J23" s="35"/>
      <c r="K23" s="34"/>
      <c r="L23" s="36"/>
      <c r="M23" s="36"/>
      <c r="N23" s="37" t="s">
        <v>107</v>
      </c>
      <c r="O23" s="33"/>
      <c r="P23" s="33"/>
      <c r="Q23" s="34"/>
      <c r="R23" s="60"/>
      <c r="S23" s="38" t="s">
        <v>108</v>
      </c>
      <c r="T23" s="34"/>
      <c r="U23" s="60"/>
      <c r="V23" s="39" t="s">
        <v>109</v>
      </c>
      <c r="W23" s="33"/>
      <c r="X23" s="34"/>
      <c r="Y23" s="18"/>
    </row>
    <row r="24">
      <c r="A24" s="40"/>
      <c r="B24" s="40"/>
      <c r="C24" s="41" t="s">
        <v>110</v>
      </c>
      <c r="D24" s="42" t="s">
        <v>111</v>
      </c>
      <c r="E24" s="43" t="s">
        <v>112</v>
      </c>
      <c r="F24" s="44" t="s">
        <v>113</v>
      </c>
      <c r="G24" s="41" t="s">
        <v>114</v>
      </c>
      <c r="H24" s="41" t="s">
        <v>115</v>
      </c>
      <c r="I24" s="45" t="s">
        <v>116</v>
      </c>
      <c r="J24" s="43" t="s">
        <v>117</v>
      </c>
      <c r="K24" s="43" t="s">
        <v>118</v>
      </c>
      <c r="L24" s="43" t="s">
        <v>119</v>
      </c>
      <c r="M24" s="43" t="s">
        <v>120</v>
      </c>
      <c r="N24" s="44" t="s">
        <v>121</v>
      </c>
      <c r="O24" s="44" t="s">
        <v>122</v>
      </c>
      <c r="P24" s="44" t="s">
        <v>123</v>
      </c>
      <c r="Q24" s="44" t="s">
        <v>124</v>
      </c>
      <c r="R24" s="43" t="s">
        <v>280</v>
      </c>
      <c r="S24" s="43" t="s">
        <v>125</v>
      </c>
      <c r="T24" s="43" t="s">
        <v>126</v>
      </c>
      <c r="U24" s="6" t="s">
        <v>196</v>
      </c>
      <c r="V24" s="43" t="s">
        <v>127</v>
      </c>
      <c r="W24" s="43" t="s">
        <v>128</v>
      </c>
      <c r="X24" s="43" t="s">
        <v>129</v>
      </c>
      <c r="Y24" s="50" t="s">
        <v>198</v>
      </c>
      <c r="AA24" s="3" t="s">
        <v>199</v>
      </c>
      <c r="AB24" s="47"/>
    </row>
    <row r="25">
      <c r="A25" s="67"/>
      <c r="B25" s="68" t="s">
        <v>355</v>
      </c>
      <c r="C25" s="47"/>
      <c r="D25" s="47"/>
      <c r="E25" s="43">
        <v>64.0</v>
      </c>
      <c r="F25" s="47"/>
      <c r="G25" s="47"/>
      <c r="H25" s="47"/>
      <c r="I25" s="47">
        <f t="shared" ref="I25:I26" si="2">16777216/(N25*O25*P25)</f>
        <v>65536</v>
      </c>
      <c r="J25" s="43">
        <v>1.0</v>
      </c>
      <c r="K25" s="43">
        <v>1.0</v>
      </c>
      <c r="L25" s="47"/>
      <c r="M25" s="47"/>
      <c r="N25" s="43">
        <v>16.0</v>
      </c>
      <c r="O25" s="43">
        <v>8.0</v>
      </c>
      <c r="P25" s="6">
        <v>2.0</v>
      </c>
      <c r="Q25" s="6">
        <v>131072.0</v>
      </c>
      <c r="R25" s="47"/>
      <c r="S25" s="47">
        <v>27.72</v>
      </c>
      <c r="T25" s="47">
        <v>28.98</v>
      </c>
      <c r="U25" s="47"/>
      <c r="V25" s="47"/>
      <c r="W25" s="47"/>
      <c r="X25" s="47"/>
      <c r="Y25" s="69">
        <f>(E25*I25*J25*S25+E25*I25*K25*T25)</f>
        <v>237817036.8</v>
      </c>
      <c r="Z25" s="43"/>
      <c r="AA25" s="70"/>
      <c r="AB25" s="70"/>
    </row>
    <row r="26">
      <c r="A26" s="61" t="s">
        <v>356</v>
      </c>
      <c r="B26" s="62" t="s">
        <v>357</v>
      </c>
      <c r="E26" s="6">
        <v>64.0</v>
      </c>
      <c r="I26" s="71">
        <f t="shared" si="2"/>
        <v>65536</v>
      </c>
      <c r="J26" s="6">
        <v>4.0</v>
      </c>
      <c r="K26" s="6">
        <v>2.0</v>
      </c>
      <c r="L26" s="6">
        <v>6.0</v>
      </c>
      <c r="M26" s="6">
        <v>2.52</v>
      </c>
      <c r="N26" s="43">
        <v>16.0</v>
      </c>
      <c r="O26" s="43">
        <v>8.0</v>
      </c>
      <c r="P26" s="6">
        <v>2.0</v>
      </c>
      <c r="Q26" s="6">
        <v>131072.0</v>
      </c>
      <c r="S26" s="10">
        <v>27.72</v>
      </c>
      <c r="T26" s="10">
        <v>28.98</v>
      </c>
      <c r="Y26" s="18">
        <f>(E26*I26*J26*S26+E26*I26*K26*T26+E26*I26*L26*M26)</f>
        <v>771584163.8</v>
      </c>
      <c r="AA26" s="50">
        <v>1.6552668E10</v>
      </c>
      <c r="AB26" s="50"/>
    </row>
    <row r="27">
      <c r="X27" s="6" t="s">
        <v>204</v>
      </c>
      <c r="Y27" s="18">
        <f>sum(Y25:Y26)</f>
        <v>1009401201</v>
      </c>
    </row>
    <row r="28">
      <c r="A28" s="19" t="s">
        <v>378</v>
      </c>
    </row>
    <row r="29">
      <c r="A29" s="20"/>
      <c r="B29" s="20"/>
      <c r="D29" s="6" t="s">
        <v>95</v>
      </c>
      <c r="F29" s="21" t="s">
        <v>96</v>
      </c>
      <c r="H29" s="21" t="s">
        <v>96</v>
      </c>
      <c r="I29" s="6" t="s">
        <v>95</v>
      </c>
      <c r="Y29" s="18"/>
    </row>
    <row r="30">
      <c r="A30" s="22" t="s">
        <v>185</v>
      </c>
      <c r="B30" s="22" t="s">
        <v>379</v>
      </c>
      <c r="C30" s="23" t="s">
        <v>380</v>
      </c>
      <c r="D30" s="24" t="s">
        <v>381</v>
      </c>
      <c r="E30" s="59"/>
      <c r="F30" s="26" t="s">
        <v>346</v>
      </c>
      <c r="G30" s="27" t="s">
        <v>100</v>
      </c>
      <c r="H30" s="26" t="s">
        <v>382</v>
      </c>
      <c r="I30" s="26" t="s">
        <v>383</v>
      </c>
      <c r="J30" s="28"/>
      <c r="K30" s="28"/>
      <c r="L30" s="28"/>
      <c r="M30" s="28"/>
      <c r="N30" s="51" t="s">
        <v>384</v>
      </c>
      <c r="R30" s="26"/>
      <c r="S30" s="26" t="s">
        <v>385</v>
      </c>
      <c r="T30" s="26" t="s">
        <v>386</v>
      </c>
      <c r="U30" s="26" t="s">
        <v>278</v>
      </c>
      <c r="V30" s="30" t="s">
        <v>387</v>
      </c>
      <c r="Y30" s="66" t="s">
        <v>353</v>
      </c>
      <c r="AA30" s="52" t="s">
        <v>354</v>
      </c>
      <c r="AB30" s="31"/>
    </row>
    <row r="31">
      <c r="A31" s="20"/>
      <c r="B31" s="20"/>
      <c r="C31" s="32" t="s">
        <v>106</v>
      </c>
      <c r="D31" s="33"/>
      <c r="E31" s="33"/>
      <c r="F31" s="33"/>
      <c r="G31" s="33"/>
      <c r="H31" s="33"/>
      <c r="I31" s="34"/>
      <c r="J31" s="35"/>
      <c r="K31" s="34"/>
      <c r="L31" s="36"/>
      <c r="M31" s="36"/>
      <c r="N31" s="37" t="s">
        <v>107</v>
      </c>
      <c r="O31" s="33"/>
      <c r="P31" s="33"/>
      <c r="Q31" s="34"/>
      <c r="R31" s="60"/>
      <c r="S31" s="38" t="s">
        <v>108</v>
      </c>
      <c r="T31" s="34"/>
      <c r="U31" s="60"/>
      <c r="V31" s="39" t="s">
        <v>109</v>
      </c>
      <c r="W31" s="33"/>
      <c r="X31" s="34"/>
      <c r="Y31" s="18"/>
    </row>
    <row r="32">
      <c r="A32" s="40"/>
      <c r="B32" s="40"/>
      <c r="C32" s="41" t="s">
        <v>110</v>
      </c>
      <c r="D32" s="42" t="s">
        <v>111</v>
      </c>
      <c r="E32" s="43" t="s">
        <v>112</v>
      </c>
      <c r="F32" s="44" t="s">
        <v>113</v>
      </c>
      <c r="G32" s="41" t="s">
        <v>114</v>
      </c>
      <c r="H32" s="41" t="s">
        <v>115</v>
      </c>
      <c r="I32" s="45" t="s">
        <v>116</v>
      </c>
      <c r="J32" s="43" t="s">
        <v>117</v>
      </c>
      <c r="K32" s="43" t="s">
        <v>118</v>
      </c>
      <c r="L32" s="43" t="s">
        <v>119</v>
      </c>
      <c r="M32" s="43" t="s">
        <v>120</v>
      </c>
      <c r="N32" s="44" t="s">
        <v>121</v>
      </c>
      <c r="O32" s="44" t="s">
        <v>122</v>
      </c>
      <c r="P32" s="44" t="s">
        <v>123</v>
      </c>
      <c r="Q32" s="44" t="s">
        <v>124</v>
      </c>
      <c r="R32" s="43" t="s">
        <v>280</v>
      </c>
      <c r="S32" s="43" t="s">
        <v>125</v>
      </c>
      <c r="T32" s="43" t="s">
        <v>126</v>
      </c>
      <c r="U32" s="6" t="s">
        <v>196</v>
      </c>
      <c r="V32" s="43" t="s">
        <v>127</v>
      </c>
      <c r="W32" s="43" t="s">
        <v>128</v>
      </c>
      <c r="X32" s="43" t="s">
        <v>129</v>
      </c>
      <c r="Y32" s="50" t="s">
        <v>198</v>
      </c>
      <c r="AA32" s="3" t="s">
        <v>199</v>
      </c>
      <c r="AB32" s="47"/>
    </row>
    <row r="33">
      <c r="A33" s="67"/>
      <c r="B33" s="68" t="s">
        <v>355</v>
      </c>
      <c r="C33" s="47"/>
      <c r="D33" s="47"/>
      <c r="E33" s="43">
        <v>64.0</v>
      </c>
      <c r="F33" s="47"/>
      <c r="G33" s="47"/>
      <c r="H33" s="47"/>
      <c r="I33" s="47">
        <f t="shared" ref="I33:I34" si="3">16777216/(N33*O33*P33)</f>
        <v>4096</v>
      </c>
      <c r="J33" s="43">
        <v>1.0</v>
      </c>
      <c r="K33" s="43">
        <v>1.0</v>
      </c>
      <c r="L33" s="47"/>
      <c r="M33" s="47"/>
      <c r="N33" s="43">
        <v>16.0</v>
      </c>
      <c r="O33" s="43">
        <v>8.0</v>
      </c>
      <c r="P33" s="6">
        <v>32.0</v>
      </c>
      <c r="Q33" s="6">
        <v>131072.0</v>
      </c>
      <c r="R33" s="47"/>
      <c r="S33" s="47">
        <v>27.72</v>
      </c>
      <c r="T33" s="47">
        <v>28.98</v>
      </c>
      <c r="U33" s="47"/>
      <c r="V33" s="47"/>
      <c r="W33" s="47"/>
      <c r="X33" s="47"/>
      <c r="Y33" s="69">
        <f>(E33*I33*J33*S33+E33*I33*K33*T33)</f>
        <v>14863564.8</v>
      </c>
      <c r="Z33" s="43"/>
      <c r="AA33" s="70"/>
      <c r="AB33" s="70"/>
    </row>
    <row r="34">
      <c r="A34" s="61" t="s">
        <v>356</v>
      </c>
      <c r="B34" s="62" t="s">
        <v>357</v>
      </c>
      <c r="E34" s="6">
        <v>64.0</v>
      </c>
      <c r="I34" s="71">
        <f t="shared" si="3"/>
        <v>4096</v>
      </c>
      <c r="J34" s="6">
        <v>3.0</v>
      </c>
      <c r="K34" s="6">
        <v>2.0</v>
      </c>
      <c r="L34" s="6">
        <v>12.0</v>
      </c>
      <c r="M34" s="6">
        <v>2.52</v>
      </c>
      <c r="N34" s="43">
        <v>16.0</v>
      </c>
      <c r="O34" s="43">
        <v>8.0</v>
      </c>
      <c r="P34" s="6">
        <v>32.0</v>
      </c>
      <c r="Q34" s="6">
        <v>131072.0</v>
      </c>
      <c r="S34" s="10">
        <v>27.72</v>
      </c>
      <c r="T34" s="10">
        <v>28.98</v>
      </c>
      <c r="Y34" s="18">
        <f>(E34*I34*J34*S34+E34*I34*K34*T34+E34*I34*L34*M34)</f>
        <v>44920995.84</v>
      </c>
      <c r="AA34" s="50">
        <v>1.6552668E10</v>
      </c>
      <c r="AB34" s="50"/>
    </row>
    <row r="35">
      <c r="X35" s="6" t="s">
        <v>204</v>
      </c>
      <c r="Y35" s="18">
        <f>sum(Y33:Y34)</f>
        <v>59784560.64</v>
      </c>
    </row>
    <row r="36">
      <c r="Y36" s="18"/>
    </row>
    <row r="37">
      <c r="A37" s="19" t="s">
        <v>388</v>
      </c>
    </row>
    <row r="38">
      <c r="A38" s="20"/>
      <c r="B38" s="20"/>
      <c r="D38" s="6" t="s">
        <v>95</v>
      </c>
      <c r="F38" s="21" t="s">
        <v>96</v>
      </c>
      <c r="H38" s="21" t="s">
        <v>96</v>
      </c>
      <c r="I38" s="6" t="s">
        <v>95</v>
      </c>
      <c r="Y38" s="18"/>
    </row>
    <row r="39">
      <c r="A39" s="22" t="s">
        <v>185</v>
      </c>
      <c r="B39" s="22" t="s">
        <v>389</v>
      </c>
      <c r="C39" s="23" t="s">
        <v>390</v>
      </c>
      <c r="D39" s="24" t="s">
        <v>391</v>
      </c>
      <c r="E39" s="59"/>
      <c r="F39" s="26" t="s">
        <v>346</v>
      </c>
      <c r="G39" s="27" t="s">
        <v>100</v>
      </c>
      <c r="H39" s="26" t="s">
        <v>392</v>
      </c>
      <c r="I39" s="26" t="s">
        <v>393</v>
      </c>
      <c r="J39" s="28"/>
      <c r="K39" s="28"/>
      <c r="L39" s="28"/>
      <c r="M39" s="28"/>
      <c r="N39" s="51" t="s">
        <v>394</v>
      </c>
      <c r="R39" s="26"/>
      <c r="S39" s="26" t="s">
        <v>395</v>
      </c>
      <c r="T39" s="26" t="s">
        <v>396</v>
      </c>
      <c r="U39" s="26" t="s">
        <v>278</v>
      </c>
      <c r="V39" s="30" t="s">
        <v>397</v>
      </c>
      <c r="Y39" s="66" t="s">
        <v>353</v>
      </c>
      <c r="AA39" s="52" t="s">
        <v>354</v>
      </c>
      <c r="AB39" s="31"/>
    </row>
    <row r="40">
      <c r="A40" s="20"/>
      <c r="B40" s="20"/>
      <c r="C40" s="32" t="s">
        <v>106</v>
      </c>
      <c r="D40" s="33"/>
      <c r="E40" s="33"/>
      <c r="F40" s="33"/>
      <c r="G40" s="33"/>
      <c r="H40" s="33"/>
      <c r="I40" s="34"/>
      <c r="J40" s="35"/>
      <c r="K40" s="34"/>
      <c r="L40" s="36"/>
      <c r="M40" s="36"/>
      <c r="N40" s="37" t="s">
        <v>107</v>
      </c>
      <c r="O40" s="33"/>
      <c r="P40" s="33"/>
      <c r="Q40" s="34"/>
      <c r="R40" s="60"/>
      <c r="S40" s="38" t="s">
        <v>108</v>
      </c>
      <c r="T40" s="34"/>
      <c r="U40" s="60"/>
      <c r="V40" s="39" t="s">
        <v>109</v>
      </c>
      <c r="W40" s="33"/>
      <c r="X40" s="34"/>
      <c r="Y40" s="18"/>
    </row>
    <row r="41">
      <c r="A41" s="40"/>
      <c r="B41" s="40"/>
      <c r="C41" s="41" t="s">
        <v>110</v>
      </c>
      <c r="D41" s="42" t="s">
        <v>111</v>
      </c>
      <c r="E41" s="43" t="s">
        <v>112</v>
      </c>
      <c r="F41" s="44" t="s">
        <v>113</v>
      </c>
      <c r="G41" s="41" t="s">
        <v>114</v>
      </c>
      <c r="H41" s="41" t="s">
        <v>115</v>
      </c>
      <c r="I41" s="45" t="s">
        <v>116</v>
      </c>
      <c r="J41" s="43" t="s">
        <v>117</v>
      </c>
      <c r="K41" s="43" t="s">
        <v>118</v>
      </c>
      <c r="L41" s="43" t="s">
        <v>119</v>
      </c>
      <c r="M41" s="43" t="s">
        <v>120</v>
      </c>
      <c r="N41" s="44" t="s">
        <v>121</v>
      </c>
      <c r="O41" s="44" t="s">
        <v>122</v>
      </c>
      <c r="P41" s="44" t="s">
        <v>123</v>
      </c>
      <c r="Q41" s="44" t="s">
        <v>124</v>
      </c>
      <c r="R41" s="43" t="s">
        <v>280</v>
      </c>
      <c r="S41" s="43" t="s">
        <v>125</v>
      </c>
      <c r="T41" s="43" t="s">
        <v>126</v>
      </c>
      <c r="U41" s="6" t="s">
        <v>196</v>
      </c>
      <c r="V41" s="43" t="s">
        <v>127</v>
      </c>
      <c r="W41" s="43" t="s">
        <v>128</v>
      </c>
      <c r="X41" s="43" t="s">
        <v>129</v>
      </c>
      <c r="Y41" s="50" t="s">
        <v>198</v>
      </c>
      <c r="AA41" s="3" t="s">
        <v>199</v>
      </c>
      <c r="AB41" s="47"/>
    </row>
    <row r="42">
      <c r="A42" s="67"/>
      <c r="B42" s="68" t="s">
        <v>355</v>
      </c>
      <c r="C42" s="47"/>
      <c r="D42" s="47"/>
      <c r="E42" s="43">
        <v>64.0</v>
      </c>
      <c r="F42" s="47"/>
      <c r="G42" s="47"/>
      <c r="H42" s="47"/>
      <c r="I42" s="47">
        <f t="shared" ref="I42:I43" si="4">16777216/(N42*O42*P42)</f>
        <v>16384</v>
      </c>
      <c r="J42" s="43">
        <v>1.0</v>
      </c>
      <c r="K42" s="43">
        <v>1.0</v>
      </c>
      <c r="L42" s="47"/>
      <c r="M42" s="47"/>
      <c r="N42" s="43">
        <v>16.0</v>
      </c>
      <c r="O42" s="43">
        <v>8.0</v>
      </c>
      <c r="P42" s="6">
        <v>8.0</v>
      </c>
      <c r="Q42" s="6">
        <v>131072.0</v>
      </c>
      <c r="R42" s="47"/>
      <c r="S42" s="47">
        <v>27.72</v>
      </c>
      <c r="T42" s="47">
        <v>28.98</v>
      </c>
      <c r="U42" s="47"/>
      <c r="V42" s="47"/>
      <c r="W42" s="47"/>
      <c r="X42" s="47"/>
      <c r="Y42" s="69">
        <f>(E42*I42*J42*S42+E42*I42*K42*T42)</f>
        <v>59454259.2</v>
      </c>
      <c r="Z42" s="43"/>
      <c r="AA42" s="70"/>
      <c r="AB42" s="70"/>
    </row>
    <row r="43">
      <c r="A43" s="61" t="s">
        <v>356</v>
      </c>
      <c r="B43" s="62" t="s">
        <v>357</v>
      </c>
      <c r="E43" s="6">
        <v>64.0</v>
      </c>
      <c r="I43" s="71">
        <f t="shared" si="4"/>
        <v>16384</v>
      </c>
      <c r="J43" s="6">
        <v>2.0</v>
      </c>
      <c r="K43" s="10">
        <f>(E43+1)/E43</f>
        <v>1.015625</v>
      </c>
      <c r="L43" s="6">
        <v>4.0</v>
      </c>
      <c r="M43" s="6">
        <v>2.52</v>
      </c>
      <c r="N43" s="43">
        <v>16.0</v>
      </c>
      <c r="O43" s="43">
        <v>8.0</v>
      </c>
      <c r="P43" s="6">
        <v>8.0</v>
      </c>
      <c r="Q43" s="6">
        <v>131072.0</v>
      </c>
      <c r="S43" s="10">
        <v>27.72</v>
      </c>
      <c r="T43" s="10">
        <v>28.98</v>
      </c>
      <c r="Y43" s="18">
        <f>(E43*I43*J43*S43+E43*I43*K43*T43+E43*I43*L43*M43)</f>
        <v>99565240.32</v>
      </c>
      <c r="AA43" s="50">
        <v>1.6552668E10</v>
      </c>
      <c r="AB43" s="50"/>
    </row>
    <row r="44">
      <c r="X44" s="6" t="s">
        <v>204</v>
      </c>
      <c r="Y44" s="18">
        <f>sum(Y42:Y43)</f>
        <v>159019499.5</v>
      </c>
    </row>
    <row r="45">
      <c r="Y45" s="18"/>
    </row>
    <row r="46">
      <c r="A46" s="19" t="s">
        <v>398</v>
      </c>
    </row>
    <row r="47">
      <c r="A47" s="20"/>
      <c r="B47" s="20"/>
      <c r="D47" s="6" t="s">
        <v>95</v>
      </c>
      <c r="F47" s="21" t="s">
        <v>96</v>
      </c>
      <c r="H47" s="21" t="s">
        <v>96</v>
      </c>
      <c r="I47" s="6" t="s">
        <v>95</v>
      </c>
      <c r="Y47" s="18"/>
    </row>
    <row r="48">
      <c r="A48" s="22" t="s">
        <v>185</v>
      </c>
      <c r="B48" s="22" t="s">
        <v>399</v>
      </c>
      <c r="C48" s="23" t="s">
        <v>400</v>
      </c>
      <c r="D48" s="24" t="s">
        <v>401</v>
      </c>
      <c r="E48" s="59"/>
      <c r="F48" s="26" t="s">
        <v>346</v>
      </c>
      <c r="G48" s="27" t="s">
        <v>100</v>
      </c>
      <c r="H48" s="26" t="s">
        <v>402</v>
      </c>
      <c r="I48" s="26" t="s">
        <v>403</v>
      </c>
      <c r="J48" s="28"/>
      <c r="K48" s="28"/>
      <c r="L48" s="28"/>
      <c r="M48" s="28"/>
      <c r="N48" s="51" t="s">
        <v>404</v>
      </c>
      <c r="R48" s="26"/>
      <c r="S48" s="26" t="s">
        <v>405</v>
      </c>
      <c r="T48" s="26" t="s">
        <v>406</v>
      </c>
      <c r="U48" s="26" t="s">
        <v>278</v>
      </c>
      <c r="V48" s="30" t="s">
        <v>407</v>
      </c>
      <c r="Y48" s="66" t="s">
        <v>353</v>
      </c>
      <c r="AA48" s="52" t="s">
        <v>354</v>
      </c>
      <c r="AB48" s="31"/>
    </row>
    <row r="49">
      <c r="A49" s="20"/>
      <c r="B49" s="20"/>
      <c r="C49" s="32" t="s">
        <v>106</v>
      </c>
      <c r="D49" s="33"/>
      <c r="E49" s="33"/>
      <c r="F49" s="33"/>
      <c r="G49" s="33"/>
      <c r="H49" s="33"/>
      <c r="I49" s="34"/>
      <c r="J49" s="35"/>
      <c r="K49" s="34"/>
      <c r="L49" s="36"/>
      <c r="M49" s="36"/>
      <c r="N49" s="37" t="s">
        <v>107</v>
      </c>
      <c r="O49" s="33"/>
      <c r="P49" s="33"/>
      <c r="Q49" s="34"/>
      <c r="R49" s="60"/>
      <c r="S49" s="38" t="s">
        <v>108</v>
      </c>
      <c r="T49" s="34"/>
      <c r="U49" s="60"/>
      <c r="V49" s="39" t="s">
        <v>109</v>
      </c>
      <c r="W49" s="33"/>
      <c r="X49" s="34"/>
      <c r="Y49" s="18"/>
    </row>
    <row r="50">
      <c r="A50" s="40"/>
      <c r="B50" s="40"/>
      <c r="C50" s="41" t="s">
        <v>110</v>
      </c>
      <c r="D50" s="42" t="s">
        <v>111</v>
      </c>
      <c r="E50" s="43" t="s">
        <v>112</v>
      </c>
      <c r="F50" s="44" t="s">
        <v>113</v>
      </c>
      <c r="G50" s="41" t="s">
        <v>114</v>
      </c>
      <c r="H50" s="41" t="s">
        <v>115</v>
      </c>
      <c r="I50" s="45" t="s">
        <v>116</v>
      </c>
      <c r="J50" s="43" t="s">
        <v>117</v>
      </c>
      <c r="K50" s="43" t="s">
        <v>118</v>
      </c>
      <c r="L50" s="43" t="s">
        <v>119</v>
      </c>
      <c r="M50" s="43" t="s">
        <v>120</v>
      </c>
      <c r="N50" s="44" t="s">
        <v>121</v>
      </c>
      <c r="O50" s="44" t="s">
        <v>122</v>
      </c>
      <c r="P50" s="44" t="s">
        <v>123</v>
      </c>
      <c r="Q50" s="44" t="s">
        <v>124</v>
      </c>
      <c r="R50" s="43" t="s">
        <v>280</v>
      </c>
      <c r="S50" s="43" t="s">
        <v>125</v>
      </c>
      <c r="T50" s="43" t="s">
        <v>126</v>
      </c>
      <c r="U50" s="6" t="s">
        <v>196</v>
      </c>
      <c r="V50" s="43" t="s">
        <v>127</v>
      </c>
      <c r="W50" s="43" t="s">
        <v>128</v>
      </c>
      <c r="X50" s="43" t="s">
        <v>129</v>
      </c>
      <c r="Y50" s="50" t="s">
        <v>198</v>
      </c>
      <c r="AA50" s="3" t="s">
        <v>199</v>
      </c>
      <c r="AB50" s="47"/>
    </row>
    <row r="51">
      <c r="A51" s="67"/>
      <c r="B51" s="68" t="s">
        <v>355</v>
      </c>
      <c r="C51" s="47"/>
      <c r="D51" s="47"/>
      <c r="E51" s="43">
        <v>64.0</v>
      </c>
      <c r="F51" s="47"/>
      <c r="G51" s="47"/>
      <c r="H51" s="47"/>
      <c r="I51" s="47">
        <f t="shared" ref="I51:I52" si="5">16777216/(N51*O51*P51)</f>
        <v>4096</v>
      </c>
      <c r="J51" s="43">
        <v>1.0</v>
      </c>
      <c r="K51" s="43">
        <v>1.0</v>
      </c>
      <c r="L51" s="47"/>
      <c r="M51" s="47"/>
      <c r="N51" s="43">
        <v>16.0</v>
      </c>
      <c r="O51" s="43">
        <v>8.0</v>
      </c>
      <c r="P51" s="6">
        <v>32.0</v>
      </c>
      <c r="Q51" s="6">
        <v>131072.0</v>
      </c>
      <c r="R51" s="47"/>
      <c r="S51" s="47">
        <v>27.72</v>
      </c>
      <c r="T51" s="47">
        <v>28.98</v>
      </c>
      <c r="U51" s="47"/>
      <c r="V51" s="47"/>
      <c r="W51" s="47"/>
      <c r="X51" s="47"/>
      <c r="Y51" s="69">
        <f>(E51*I51*J51*S51+E51*I51*K51*T51)</f>
        <v>14863564.8</v>
      </c>
      <c r="Z51" s="43"/>
      <c r="AA51" s="70"/>
      <c r="AB51" s="70"/>
    </row>
    <row r="52">
      <c r="A52" s="61" t="s">
        <v>356</v>
      </c>
      <c r="B52" s="62" t="s">
        <v>357</v>
      </c>
      <c r="E52" s="6">
        <v>64.0</v>
      </c>
      <c r="I52" s="71">
        <f t="shared" si="5"/>
        <v>4096</v>
      </c>
      <c r="J52" s="6">
        <v>2.0</v>
      </c>
      <c r="K52" s="6">
        <v>1.0</v>
      </c>
      <c r="L52" s="6">
        <v>2.0</v>
      </c>
      <c r="M52" s="6">
        <v>2.52</v>
      </c>
      <c r="N52" s="43">
        <v>16.0</v>
      </c>
      <c r="O52" s="43">
        <v>8.0</v>
      </c>
      <c r="P52" s="6">
        <v>32.0</v>
      </c>
      <c r="Q52" s="6">
        <v>131072.0</v>
      </c>
      <c r="S52" s="10">
        <v>27.72</v>
      </c>
      <c r="T52" s="10">
        <v>28.98</v>
      </c>
      <c r="Y52" s="18">
        <f>(E52*I52*J52*S52+E52*I52*K52*T52+E52*I52*L52*M52)</f>
        <v>23451402.24</v>
      </c>
      <c r="AA52" s="50">
        <v>1.6552668E10</v>
      </c>
      <c r="AB52" s="50"/>
    </row>
    <row r="53">
      <c r="X53" s="6" t="s">
        <v>204</v>
      </c>
      <c r="Y53" s="18">
        <f>sum(Y51:Y52)</f>
        <v>38314967.04</v>
      </c>
    </row>
    <row r="54">
      <c r="Y54" s="18"/>
    </row>
    <row r="55">
      <c r="Y55" s="18"/>
    </row>
    <row r="56">
      <c r="Y56" s="18"/>
    </row>
    <row r="57">
      <c r="Y57" s="18"/>
    </row>
    <row r="58">
      <c r="Y58" s="18"/>
    </row>
    <row r="59">
      <c r="Y59" s="18"/>
    </row>
    <row r="60">
      <c r="Y60" s="18"/>
    </row>
    <row r="61">
      <c r="Y61" s="18"/>
    </row>
    <row r="62">
      <c r="Y62" s="18"/>
    </row>
    <row r="63">
      <c r="Y63" s="18"/>
    </row>
    <row r="64">
      <c r="Y64" s="18"/>
    </row>
    <row r="65">
      <c r="Y65" s="18"/>
    </row>
    <row r="66">
      <c r="Y66" s="18"/>
    </row>
    <row r="67">
      <c r="Y67" s="18"/>
    </row>
    <row r="68">
      <c r="Y68" s="18"/>
    </row>
    <row r="69">
      <c r="Y69" s="18"/>
    </row>
    <row r="70">
      <c r="Y70" s="18"/>
    </row>
    <row r="71">
      <c r="Y71" s="18"/>
    </row>
    <row r="72">
      <c r="Y72" s="18"/>
    </row>
    <row r="73">
      <c r="Y73" s="18"/>
    </row>
    <row r="74">
      <c r="Y74" s="18"/>
    </row>
    <row r="75">
      <c r="Y75" s="18"/>
    </row>
    <row r="76">
      <c r="Y76" s="18"/>
    </row>
    <row r="77">
      <c r="Y77" s="18"/>
    </row>
    <row r="78">
      <c r="Y78" s="18"/>
    </row>
    <row r="79">
      <c r="Y79" s="18"/>
    </row>
    <row r="80">
      <c r="Y80" s="18"/>
    </row>
    <row r="81">
      <c r="Y81" s="18"/>
    </row>
    <row r="82">
      <c r="Y82" s="18"/>
    </row>
    <row r="83">
      <c r="Y83" s="18"/>
    </row>
    <row r="84">
      <c r="Y84" s="18"/>
    </row>
    <row r="85">
      <c r="Y85" s="18"/>
    </row>
    <row r="86">
      <c r="Y86" s="18"/>
    </row>
    <row r="87">
      <c r="Y87" s="18"/>
    </row>
    <row r="88">
      <c r="Y88" s="18"/>
    </row>
    <row r="89">
      <c r="Y89" s="18"/>
    </row>
    <row r="90">
      <c r="Y90" s="18"/>
    </row>
    <row r="91">
      <c r="Y91" s="18"/>
    </row>
    <row r="92">
      <c r="Y92" s="18"/>
    </row>
    <row r="93">
      <c r="Y93" s="18"/>
    </row>
    <row r="94">
      <c r="Y94" s="18"/>
    </row>
    <row r="95">
      <c r="Y95" s="18"/>
    </row>
    <row r="96">
      <c r="Y96" s="18"/>
    </row>
    <row r="97">
      <c r="Y97" s="18"/>
    </row>
    <row r="98">
      <c r="Y98" s="18"/>
    </row>
    <row r="99">
      <c r="Y99" s="18"/>
    </row>
    <row r="100">
      <c r="Y100" s="18"/>
    </row>
    <row r="101">
      <c r="Y101" s="18"/>
    </row>
    <row r="102">
      <c r="Y102" s="18"/>
    </row>
    <row r="103">
      <c r="Y103" s="18"/>
    </row>
    <row r="104">
      <c r="Y104" s="18"/>
    </row>
    <row r="105">
      <c r="Y105" s="18"/>
    </row>
    <row r="106">
      <c r="Y106" s="18"/>
    </row>
    <row r="107">
      <c r="Y107" s="18"/>
    </row>
    <row r="108">
      <c r="Y108" s="18"/>
    </row>
    <row r="109">
      <c r="Y109" s="18"/>
    </row>
    <row r="110">
      <c r="Y110" s="18"/>
    </row>
    <row r="111">
      <c r="Y111" s="18"/>
    </row>
    <row r="112">
      <c r="Y112" s="18"/>
    </row>
    <row r="113">
      <c r="Y113" s="18"/>
    </row>
    <row r="114">
      <c r="Y114" s="18"/>
    </row>
    <row r="115">
      <c r="Y115" s="18"/>
    </row>
    <row r="116">
      <c r="Y116" s="18"/>
    </row>
    <row r="117">
      <c r="Y117" s="18"/>
    </row>
    <row r="118">
      <c r="Y118" s="18"/>
    </row>
    <row r="119">
      <c r="Y119" s="18"/>
    </row>
    <row r="120">
      <c r="Y120" s="18"/>
    </row>
    <row r="121">
      <c r="Y121" s="18"/>
    </row>
    <row r="122">
      <c r="Y122" s="18"/>
    </row>
    <row r="123">
      <c r="Y123" s="18"/>
    </row>
    <row r="124">
      <c r="Y124" s="18"/>
    </row>
    <row r="125">
      <c r="Y125" s="18"/>
    </row>
    <row r="126">
      <c r="Y126" s="18"/>
    </row>
    <row r="127">
      <c r="Y127" s="18"/>
    </row>
    <row r="128">
      <c r="Y128" s="18"/>
    </row>
    <row r="129">
      <c r="Y129" s="18"/>
    </row>
    <row r="130">
      <c r="Y130" s="18"/>
    </row>
    <row r="131">
      <c r="Y131" s="18"/>
    </row>
    <row r="132">
      <c r="Y132" s="18"/>
    </row>
    <row r="133">
      <c r="Y133" s="18"/>
    </row>
    <row r="134">
      <c r="Y134" s="18"/>
    </row>
    <row r="135">
      <c r="Y135" s="18"/>
    </row>
    <row r="136">
      <c r="Y136" s="18"/>
    </row>
    <row r="137">
      <c r="Y137" s="18"/>
    </row>
    <row r="138">
      <c r="Y138" s="18"/>
    </row>
    <row r="139">
      <c r="Y139" s="18"/>
    </row>
    <row r="140">
      <c r="Y140" s="18"/>
    </row>
    <row r="141">
      <c r="Y141" s="18"/>
    </row>
    <row r="142">
      <c r="Y142" s="18"/>
    </row>
    <row r="143">
      <c r="Y143" s="18"/>
    </row>
    <row r="144">
      <c r="Y144" s="18"/>
    </row>
    <row r="145">
      <c r="Y145" s="18"/>
    </row>
    <row r="146">
      <c r="Y146" s="18"/>
    </row>
    <row r="147">
      <c r="Y147" s="18"/>
    </row>
    <row r="148">
      <c r="Y148" s="18"/>
    </row>
    <row r="149">
      <c r="Y149" s="18"/>
    </row>
    <row r="150">
      <c r="Y150" s="18"/>
    </row>
    <row r="151">
      <c r="Y151" s="18"/>
    </row>
    <row r="152">
      <c r="Y152" s="18"/>
    </row>
    <row r="153">
      <c r="Y153" s="18"/>
    </row>
    <row r="154">
      <c r="Y154" s="18"/>
    </row>
    <row r="155">
      <c r="Y155" s="18"/>
    </row>
    <row r="156">
      <c r="Y156" s="18"/>
    </row>
    <row r="157">
      <c r="Y157" s="18"/>
    </row>
    <row r="158">
      <c r="Y158" s="18"/>
    </row>
    <row r="159">
      <c r="Y159" s="18"/>
    </row>
    <row r="160">
      <c r="Y160" s="18"/>
    </row>
    <row r="161">
      <c r="Y161" s="18"/>
    </row>
    <row r="162">
      <c r="Y162" s="18"/>
    </row>
    <row r="163">
      <c r="Y163" s="18"/>
    </row>
    <row r="164">
      <c r="Y164" s="18"/>
    </row>
    <row r="165">
      <c r="Y165" s="18"/>
    </row>
    <row r="166">
      <c r="Y166" s="18"/>
    </row>
    <row r="167">
      <c r="Y167" s="18"/>
    </row>
    <row r="168">
      <c r="Y168" s="18"/>
    </row>
    <row r="169">
      <c r="Y169" s="18"/>
    </row>
    <row r="170">
      <c r="Y170" s="18"/>
    </row>
    <row r="171">
      <c r="Y171" s="18"/>
    </row>
    <row r="172">
      <c r="Y172" s="18"/>
    </row>
    <row r="173">
      <c r="Y173" s="18"/>
    </row>
    <row r="174">
      <c r="Y174" s="18"/>
    </row>
    <row r="175">
      <c r="Y175" s="18"/>
    </row>
    <row r="176">
      <c r="Y176" s="18"/>
    </row>
    <row r="177">
      <c r="Y177" s="18"/>
    </row>
    <row r="178">
      <c r="Y178" s="18"/>
    </row>
    <row r="179">
      <c r="Y179" s="18"/>
    </row>
    <row r="180">
      <c r="Y180" s="18"/>
    </row>
    <row r="181">
      <c r="Y181" s="18"/>
    </row>
    <row r="182">
      <c r="Y182" s="18"/>
    </row>
    <row r="183">
      <c r="Y183" s="18"/>
    </row>
    <row r="184">
      <c r="Y184" s="18"/>
    </row>
    <row r="185">
      <c r="Y185" s="18"/>
    </row>
    <row r="186">
      <c r="Y186" s="18"/>
    </row>
    <row r="187">
      <c r="Y187" s="18"/>
    </row>
    <row r="188">
      <c r="Y188" s="18"/>
    </row>
    <row r="189">
      <c r="Y189" s="18"/>
    </row>
    <row r="190">
      <c r="Y190" s="18"/>
    </row>
    <row r="191">
      <c r="Y191" s="18"/>
    </row>
    <row r="192">
      <c r="Y192" s="18"/>
    </row>
    <row r="193">
      <c r="Y193" s="18"/>
    </row>
    <row r="194">
      <c r="Y194" s="18"/>
    </row>
    <row r="195">
      <c r="Y195" s="18"/>
    </row>
    <row r="196">
      <c r="Y196" s="18"/>
    </row>
    <row r="197">
      <c r="Y197" s="18"/>
    </row>
    <row r="198">
      <c r="Y198" s="18"/>
    </row>
    <row r="199">
      <c r="Y199" s="18"/>
    </row>
    <row r="200">
      <c r="Y200" s="18"/>
    </row>
    <row r="201">
      <c r="Y201" s="18"/>
    </row>
    <row r="202">
      <c r="Y202" s="18"/>
    </row>
    <row r="203">
      <c r="Y203" s="18"/>
    </row>
    <row r="204">
      <c r="Y204" s="18"/>
    </row>
    <row r="205">
      <c r="Y205" s="18"/>
    </row>
    <row r="206">
      <c r="Y206" s="18"/>
    </row>
    <row r="207">
      <c r="Y207" s="18"/>
    </row>
    <row r="208">
      <c r="Y208" s="18"/>
    </row>
    <row r="209">
      <c r="Y209" s="18"/>
    </row>
    <row r="210">
      <c r="Y210" s="18"/>
    </row>
    <row r="211">
      <c r="Y211" s="18"/>
    </row>
    <row r="212">
      <c r="Y212" s="18"/>
    </row>
    <row r="213">
      <c r="Y213" s="18"/>
    </row>
    <row r="214">
      <c r="Y214" s="18"/>
    </row>
    <row r="215">
      <c r="Y215" s="18"/>
    </row>
    <row r="216">
      <c r="Y216" s="18"/>
    </row>
    <row r="217">
      <c r="Y217" s="18"/>
    </row>
    <row r="218">
      <c r="Y218" s="18"/>
    </row>
    <row r="219">
      <c r="Y219" s="18"/>
    </row>
    <row r="220">
      <c r="Y220" s="18"/>
    </row>
    <row r="221">
      <c r="Y221" s="18"/>
    </row>
    <row r="222">
      <c r="Y222" s="18"/>
    </row>
    <row r="223">
      <c r="Y223" s="18"/>
    </row>
    <row r="224">
      <c r="Y224" s="18"/>
    </row>
    <row r="225">
      <c r="Y225" s="18"/>
    </row>
    <row r="226">
      <c r="Y226" s="18"/>
    </row>
    <row r="227">
      <c r="Y227" s="18"/>
    </row>
    <row r="228">
      <c r="Y228" s="18"/>
    </row>
    <row r="229">
      <c r="Y229" s="18"/>
    </row>
    <row r="230">
      <c r="Y230" s="18"/>
    </row>
    <row r="231">
      <c r="Y231" s="18"/>
    </row>
    <row r="232">
      <c r="Y232" s="18"/>
    </row>
    <row r="233">
      <c r="Y233" s="18"/>
    </row>
    <row r="234">
      <c r="Y234" s="18"/>
    </row>
    <row r="235">
      <c r="Y235" s="18"/>
    </row>
    <row r="236">
      <c r="Y236" s="18"/>
    </row>
    <row r="237">
      <c r="Y237" s="18"/>
    </row>
    <row r="238">
      <c r="Y238" s="18"/>
    </row>
    <row r="239">
      <c r="Y239" s="18"/>
    </row>
    <row r="240">
      <c r="Y240" s="18"/>
    </row>
    <row r="241">
      <c r="Y241" s="18"/>
    </row>
    <row r="242">
      <c r="Y242" s="18"/>
    </row>
    <row r="243">
      <c r="Y243" s="18"/>
    </row>
    <row r="244">
      <c r="Y244" s="18"/>
    </row>
    <row r="245">
      <c r="Y245" s="18"/>
    </row>
    <row r="246">
      <c r="Y246" s="18"/>
    </row>
    <row r="247">
      <c r="Y247" s="18"/>
    </row>
    <row r="248">
      <c r="Y248" s="18"/>
    </row>
    <row r="249">
      <c r="Y249" s="18"/>
    </row>
    <row r="250">
      <c r="Y250" s="18"/>
    </row>
    <row r="251">
      <c r="Y251" s="18"/>
    </row>
    <row r="252">
      <c r="Y252" s="18"/>
    </row>
    <row r="253">
      <c r="Y253" s="18"/>
    </row>
    <row r="254">
      <c r="Y254" s="18"/>
    </row>
    <row r="255">
      <c r="Y255" s="18"/>
    </row>
    <row r="256">
      <c r="Y256" s="18"/>
    </row>
    <row r="257">
      <c r="Y257" s="18"/>
    </row>
    <row r="258">
      <c r="Y258" s="18"/>
    </row>
    <row r="259">
      <c r="Y259" s="18"/>
    </row>
    <row r="260">
      <c r="Y260" s="18"/>
    </row>
    <row r="261">
      <c r="Y261" s="18"/>
    </row>
    <row r="262">
      <c r="Y262" s="18"/>
    </row>
    <row r="263">
      <c r="Y263" s="18"/>
    </row>
    <row r="264">
      <c r="Y264" s="18"/>
    </row>
    <row r="265">
      <c r="Y265" s="18"/>
    </row>
    <row r="266">
      <c r="Y266" s="18"/>
    </row>
    <row r="267">
      <c r="Y267" s="18"/>
    </row>
    <row r="268">
      <c r="Y268" s="18"/>
    </row>
    <row r="269">
      <c r="Y269" s="18"/>
    </row>
    <row r="270">
      <c r="Y270" s="18"/>
    </row>
    <row r="271">
      <c r="Y271" s="18"/>
    </row>
    <row r="272">
      <c r="Y272" s="18"/>
    </row>
    <row r="273">
      <c r="Y273" s="18"/>
    </row>
    <row r="274">
      <c r="Y274" s="18"/>
    </row>
    <row r="275">
      <c r="Y275" s="18"/>
    </row>
    <row r="276">
      <c r="Y276" s="18"/>
    </row>
    <row r="277">
      <c r="Y277" s="18"/>
    </row>
    <row r="278">
      <c r="Y278" s="18"/>
    </row>
    <row r="279">
      <c r="Y279" s="18"/>
    </row>
    <row r="280">
      <c r="Y280" s="18"/>
    </row>
    <row r="281">
      <c r="Y281" s="18"/>
    </row>
    <row r="282">
      <c r="Y282" s="18"/>
    </row>
    <row r="283">
      <c r="Y283" s="18"/>
    </row>
    <row r="284">
      <c r="Y284" s="18"/>
    </row>
    <row r="285">
      <c r="Y285" s="18"/>
    </row>
    <row r="286">
      <c r="Y286" s="18"/>
    </row>
    <row r="287">
      <c r="Y287" s="18"/>
    </row>
    <row r="288">
      <c r="Y288" s="18"/>
    </row>
    <row r="289">
      <c r="Y289" s="18"/>
    </row>
    <row r="290">
      <c r="Y290" s="18"/>
    </row>
    <row r="291">
      <c r="Y291" s="18"/>
    </row>
    <row r="292">
      <c r="Y292" s="18"/>
    </row>
    <row r="293">
      <c r="Y293" s="18"/>
    </row>
    <row r="294">
      <c r="Y294" s="18"/>
    </row>
    <row r="295">
      <c r="Y295" s="18"/>
    </row>
    <row r="296">
      <c r="Y296" s="18"/>
    </row>
    <row r="297">
      <c r="Y297" s="18"/>
    </row>
    <row r="298">
      <c r="Y298" s="18"/>
    </row>
    <row r="299">
      <c r="Y299" s="18"/>
    </row>
    <row r="300">
      <c r="Y300" s="18"/>
    </row>
    <row r="301">
      <c r="Y301" s="18"/>
    </row>
    <row r="302">
      <c r="Y302" s="18"/>
    </row>
    <row r="303">
      <c r="Y303" s="18"/>
    </row>
    <row r="304">
      <c r="Y304" s="18"/>
    </row>
    <row r="305">
      <c r="Y305" s="18"/>
    </row>
    <row r="306">
      <c r="Y306" s="18"/>
    </row>
    <row r="307">
      <c r="Y307" s="18"/>
    </row>
    <row r="308">
      <c r="Y308" s="18"/>
    </row>
    <row r="309">
      <c r="Y309" s="18"/>
    </row>
    <row r="310">
      <c r="Y310" s="18"/>
    </row>
    <row r="311">
      <c r="Y311" s="18"/>
    </row>
    <row r="312">
      <c r="Y312" s="18"/>
    </row>
    <row r="313">
      <c r="Y313" s="18"/>
    </row>
    <row r="314">
      <c r="Y314" s="18"/>
    </row>
    <row r="315">
      <c r="Y315" s="18"/>
    </row>
    <row r="316">
      <c r="Y316" s="18"/>
    </row>
    <row r="317">
      <c r="Y317" s="18"/>
    </row>
    <row r="318">
      <c r="Y318" s="18"/>
    </row>
    <row r="319">
      <c r="Y319" s="18"/>
    </row>
    <row r="320">
      <c r="Y320" s="18"/>
    </row>
    <row r="321">
      <c r="Y321" s="18"/>
    </row>
    <row r="322">
      <c r="Y322" s="18"/>
    </row>
    <row r="323">
      <c r="Y323" s="18"/>
    </row>
    <row r="324">
      <c r="Y324" s="18"/>
    </row>
    <row r="325">
      <c r="Y325" s="18"/>
    </row>
    <row r="326">
      <c r="Y326" s="18"/>
    </row>
    <row r="327">
      <c r="Y327" s="18"/>
    </row>
    <row r="328">
      <c r="Y328" s="18"/>
    </row>
    <row r="329">
      <c r="Y329" s="18"/>
    </row>
    <row r="330">
      <c r="Y330" s="18"/>
    </row>
    <row r="331">
      <c r="Y331" s="18"/>
    </row>
    <row r="332">
      <c r="Y332" s="18"/>
    </row>
    <row r="333">
      <c r="Y333" s="18"/>
    </row>
    <row r="334">
      <c r="Y334" s="18"/>
    </row>
    <row r="335">
      <c r="Y335" s="18"/>
    </row>
    <row r="336">
      <c r="Y336" s="18"/>
    </row>
    <row r="337">
      <c r="Y337" s="18"/>
    </row>
    <row r="338">
      <c r="Y338" s="18"/>
    </row>
    <row r="339">
      <c r="Y339" s="18"/>
    </row>
    <row r="340">
      <c r="Y340" s="18"/>
    </row>
    <row r="341">
      <c r="Y341" s="18"/>
    </row>
    <row r="342">
      <c r="Y342" s="18"/>
    </row>
    <row r="343">
      <c r="Y343" s="18"/>
    </row>
    <row r="344">
      <c r="Y344" s="18"/>
    </row>
    <row r="345">
      <c r="Y345" s="18"/>
    </row>
    <row r="346">
      <c r="Y346" s="18"/>
    </row>
    <row r="347">
      <c r="Y347" s="18"/>
    </row>
    <row r="348">
      <c r="Y348" s="18"/>
    </row>
    <row r="349">
      <c r="Y349" s="18"/>
    </row>
    <row r="350">
      <c r="Y350" s="18"/>
    </row>
    <row r="351">
      <c r="Y351" s="18"/>
    </row>
    <row r="352">
      <c r="Y352" s="18"/>
    </row>
    <row r="353">
      <c r="Y353" s="18"/>
    </row>
    <row r="354">
      <c r="Y354" s="18"/>
    </row>
    <row r="355">
      <c r="Y355" s="18"/>
    </row>
    <row r="356">
      <c r="Y356" s="18"/>
    </row>
    <row r="357">
      <c r="Y357" s="18"/>
    </row>
    <row r="358">
      <c r="Y358" s="18"/>
    </row>
    <row r="359">
      <c r="Y359" s="18"/>
    </row>
    <row r="360">
      <c r="Y360" s="18"/>
    </row>
    <row r="361">
      <c r="Y361" s="18"/>
    </row>
    <row r="362">
      <c r="Y362" s="18"/>
    </row>
    <row r="363">
      <c r="Y363" s="18"/>
    </row>
    <row r="364">
      <c r="Y364" s="18"/>
    </row>
    <row r="365">
      <c r="Y365" s="18"/>
    </row>
    <row r="366">
      <c r="Y366" s="18"/>
    </row>
    <row r="367">
      <c r="Y367" s="18"/>
    </row>
    <row r="368">
      <c r="Y368" s="18"/>
    </row>
    <row r="369">
      <c r="Y369" s="18"/>
    </row>
    <row r="370">
      <c r="Y370" s="18"/>
    </row>
    <row r="371">
      <c r="Y371" s="18"/>
    </row>
    <row r="372">
      <c r="Y372" s="18"/>
    </row>
    <row r="373">
      <c r="Y373" s="18"/>
    </row>
    <row r="374">
      <c r="Y374" s="18"/>
    </row>
    <row r="375">
      <c r="Y375" s="18"/>
    </row>
    <row r="376">
      <c r="Y376" s="18"/>
    </row>
    <row r="377">
      <c r="Y377" s="18"/>
    </row>
    <row r="378">
      <c r="Y378" s="18"/>
    </row>
    <row r="379">
      <c r="Y379" s="18"/>
    </row>
    <row r="380">
      <c r="Y380" s="18"/>
    </row>
    <row r="381">
      <c r="Y381" s="18"/>
    </row>
    <row r="382">
      <c r="Y382" s="18"/>
    </row>
    <row r="383">
      <c r="Y383" s="18"/>
    </row>
    <row r="384">
      <c r="Y384" s="18"/>
    </row>
    <row r="385">
      <c r="Y385" s="18"/>
    </row>
    <row r="386">
      <c r="Y386" s="18"/>
    </row>
    <row r="387">
      <c r="Y387" s="18"/>
    </row>
    <row r="388">
      <c r="Y388" s="18"/>
    </row>
    <row r="389">
      <c r="Y389" s="18"/>
    </row>
    <row r="390">
      <c r="Y390" s="18"/>
    </row>
    <row r="391">
      <c r="Y391" s="18"/>
    </row>
    <row r="392">
      <c r="Y392" s="18"/>
    </row>
    <row r="393">
      <c r="Y393" s="18"/>
    </row>
    <row r="394">
      <c r="Y394" s="18"/>
    </row>
    <row r="395">
      <c r="Y395" s="18"/>
    </row>
    <row r="396">
      <c r="Y396" s="18"/>
    </row>
    <row r="397">
      <c r="Y397" s="18"/>
    </row>
    <row r="398">
      <c r="Y398" s="18"/>
    </row>
    <row r="399">
      <c r="Y399" s="18"/>
    </row>
    <row r="400">
      <c r="Y400" s="18"/>
    </row>
    <row r="401">
      <c r="Y401" s="18"/>
    </row>
    <row r="402">
      <c r="Y402" s="18"/>
    </row>
    <row r="403">
      <c r="Y403" s="18"/>
    </row>
    <row r="404">
      <c r="Y404" s="18"/>
    </row>
    <row r="405">
      <c r="Y405" s="18"/>
    </row>
    <row r="406">
      <c r="Y406" s="18"/>
    </row>
    <row r="407">
      <c r="Y407" s="18"/>
    </row>
    <row r="408">
      <c r="Y408" s="18"/>
    </row>
    <row r="409">
      <c r="Y409" s="18"/>
    </row>
    <row r="410">
      <c r="Y410" s="18"/>
    </row>
    <row r="411">
      <c r="Y411" s="18"/>
    </row>
    <row r="412">
      <c r="Y412" s="18"/>
    </row>
    <row r="413">
      <c r="Y413" s="18"/>
    </row>
    <row r="414">
      <c r="Y414" s="18"/>
    </row>
    <row r="415">
      <c r="Y415" s="18"/>
    </row>
    <row r="416">
      <c r="Y416" s="18"/>
    </row>
    <row r="417">
      <c r="Y417" s="18"/>
    </row>
    <row r="418">
      <c r="Y418" s="18"/>
    </row>
    <row r="419">
      <c r="Y419" s="18"/>
    </row>
    <row r="420">
      <c r="Y420" s="18"/>
    </row>
    <row r="421">
      <c r="Y421" s="18"/>
    </row>
    <row r="422">
      <c r="Y422" s="18"/>
    </row>
    <row r="423">
      <c r="Y423" s="18"/>
    </row>
    <row r="424">
      <c r="Y424" s="18"/>
    </row>
    <row r="425">
      <c r="Y425" s="18"/>
    </row>
    <row r="426">
      <c r="Y426" s="18"/>
    </row>
    <row r="427">
      <c r="Y427" s="18"/>
    </row>
    <row r="428">
      <c r="Y428" s="18"/>
    </row>
    <row r="429">
      <c r="Y429" s="18"/>
    </row>
    <row r="430">
      <c r="Y430" s="18"/>
    </row>
    <row r="431">
      <c r="Y431" s="18"/>
    </row>
    <row r="432">
      <c r="Y432" s="18"/>
    </row>
    <row r="433">
      <c r="Y433" s="18"/>
    </row>
    <row r="434">
      <c r="Y434" s="18"/>
    </row>
    <row r="435">
      <c r="Y435" s="18"/>
    </row>
    <row r="436">
      <c r="Y436" s="18"/>
    </row>
    <row r="437">
      <c r="Y437" s="18"/>
    </row>
    <row r="438">
      <c r="Y438" s="18"/>
    </row>
    <row r="439">
      <c r="Y439" s="18"/>
    </row>
    <row r="440">
      <c r="Y440" s="18"/>
    </row>
    <row r="441">
      <c r="Y441" s="18"/>
    </row>
    <row r="442">
      <c r="Y442" s="18"/>
    </row>
    <row r="443">
      <c r="Y443" s="18"/>
    </row>
    <row r="444">
      <c r="Y444" s="18"/>
    </row>
    <row r="445">
      <c r="Y445" s="18"/>
    </row>
    <row r="446">
      <c r="Y446" s="18"/>
    </row>
    <row r="447">
      <c r="Y447" s="18"/>
    </row>
    <row r="448">
      <c r="Y448" s="18"/>
    </row>
    <row r="449">
      <c r="Y449" s="18"/>
    </row>
    <row r="450">
      <c r="Y450" s="18"/>
    </row>
    <row r="451">
      <c r="Y451" s="18"/>
    </row>
    <row r="452">
      <c r="Y452" s="18"/>
    </row>
    <row r="453">
      <c r="Y453" s="18"/>
    </row>
    <row r="454">
      <c r="Y454" s="18"/>
    </row>
    <row r="455">
      <c r="Y455" s="18"/>
    </row>
    <row r="456">
      <c r="Y456" s="18"/>
    </row>
    <row r="457">
      <c r="Y457" s="18"/>
    </row>
    <row r="458">
      <c r="Y458" s="18"/>
    </row>
    <row r="459">
      <c r="Y459" s="18"/>
    </row>
    <row r="460">
      <c r="Y460" s="18"/>
    </row>
    <row r="461">
      <c r="Y461" s="18"/>
    </row>
    <row r="462">
      <c r="Y462" s="18"/>
    </row>
    <row r="463">
      <c r="Y463" s="18"/>
    </row>
    <row r="464">
      <c r="Y464" s="18"/>
    </row>
    <row r="465">
      <c r="Y465" s="18"/>
    </row>
    <row r="466">
      <c r="Y466" s="18"/>
    </row>
    <row r="467">
      <c r="Y467" s="18"/>
    </row>
    <row r="468">
      <c r="Y468" s="18"/>
    </row>
    <row r="469">
      <c r="Y469" s="18"/>
    </row>
    <row r="470">
      <c r="Y470" s="18"/>
    </row>
    <row r="471">
      <c r="Y471" s="18"/>
    </row>
    <row r="472">
      <c r="Y472" s="18"/>
    </row>
    <row r="473">
      <c r="Y473" s="18"/>
    </row>
    <row r="474">
      <c r="Y474" s="18"/>
    </row>
    <row r="475">
      <c r="Y475" s="18"/>
    </row>
    <row r="476">
      <c r="Y476" s="18"/>
    </row>
    <row r="477">
      <c r="Y477" s="18"/>
    </row>
    <row r="478">
      <c r="Y478" s="18"/>
    </row>
    <row r="479">
      <c r="Y479" s="18"/>
    </row>
    <row r="480">
      <c r="Y480" s="18"/>
    </row>
    <row r="481">
      <c r="Y481" s="18"/>
    </row>
    <row r="482">
      <c r="Y482" s="18"/>
    </row>
    <row r="483">
      <c r="Y483" s="18"/>
    </row>
    <row r="484">
      <c r="Y484" s="18"/>
    </row>
    <row r="485">
      <c r="Y485" s="18"/>
    </row>
    <row r="486">
      <c r="Y486" s="18"/>
    </row>
    <row r="487">
      <c r="Y487" s="18"/>
    </row>
    <row r="488">
      <c r="Y488" s="18"/>
    </row>
    <row r="489">
      <c r="Y489" s="18"/>
    </row>
    <row r="490">
      <c r="Y490" s="18"/>
    </row>
    <row r="491">
      <c r="Y491" s="18"/>
    </row>
    <row r="492">
      <c r="Y492" s="18"/>
    </row>
    <row r="493">
      <c r="Y493" s="18"/>
    </row>
    <row r="494">
      <c r="Y494" s="18"/>
    </row>
    <row r="495">
      <c r="Y495" s="18"/>
    </row>
    <row r="496">
      <c r="Y496" s="18"/>
    </row>
    <row r="497">
      <c r="Y497" s="18"/>
    </row>
    <row r="498">
      <c r="Y498" s="18"/>
    </row>
    <row r="499">
      <c r="Y499" s="18"/>
    </row>
    <row r="500">
      <c r="Y500" s="18"/>
    </row>
    <row r="501">
      <c r="Y501" s="18"/>
    </row>
    <row r="502">
      <c r="Y502" s="18"/>
    </row>
    <row r="503">
      <c r="Y503" s="18"/>
    </row>
    <row r="504">
      <c r="Y504" s="18"/>
    </row>
    <row r="505">
      <c r="Y505" s="18"/>
    </row>
    <row r="506">
      <c r="Y506" s="18"/>
    </row>
    <row r="507">
      <c r="Y507" s="18"/>
    </row>
    <row r="508">
      <c r="Y508" s="18"/>
    </row>
    <row r="509">
      <c r="Y509" s="18"/>
    </row>
    <row r="510">
      <c r="Y510" s="18"/>
    </row>
    <row r="511">
      <c r="Y511" s="18"/>
    </row>
    <row r="512">
      <c r="Y512" s="18"/>
    </row>
    <row r="513">
      <c r="Y513" s="18"/>
    </row>
    <row r="514">
      <c r="Y514" s="18"/>
    </row>
    <row r="515">
      <c r="Y515" s="18"/>
    </row>
    <row r="516">
      <c r="Y516" s="18"/>
    </row>
    <row r="517">
      <c r="Y517" s="18"/>
    </row>
    <row r="518">
      <c r="Y518" s="18"/>
    </row>
    <row r="519">
      <c r="Y519" s="18"/>
    </row>
    <row r="520">
      <c r="Y520" s="18"/>
    </row>
    <row r="521">
      <c r="Y521" s="18"/>
    </row>
    <row r="522">
      <c r="Y522" s="18"/>
    </row>
    <row r="523">
      <c r="Y523" s="18"/>
    </row>
    <row r="524">
      <c r="Y524" s="18"/>
    </row>
    <row r="525">
      <c r="Y525" s="18"/>
    </row>
    <row r="526">
      <c r="Y526" s="18"/>
    </row>
    <row r="527">
      <c r="Y527" s="18"/>
    </row>
    <row r="528">
      <c r="Y528" s="18"/>
    </row>
    <row r="529">
      <c r="Y529" s="18"/>
    </row>
    <row r="530">
      <c r="Y530" s="18"/>
    </row>
    <row r="531">
      <c r="Y531" s="18"/>
    </row>
    <row r="532">
      <c r="Y532" s="18"/>
    </row>
    <row r="533">
      <c r="Y533" s="18"/>
    </row>
    <row r="534">
      <c r="Y534" s="18"/>
    </row>
    <row r="535">
      <c r="Y535" s="18"/>
    </row>
    <row r="536">
      <c r="Y536" s="18"/>
    </row>
    <row r="537">
      <c r="Y537" s="18"/>
    </row>
    <row r="538">
      <c r="Y538" s="18"/>
    </row>
    <row r="539">
      <c r="Y539" s="18"/>
    </row>
    <row r="540">
      <c r="Y540" s="18"/>
    </row>
    <row r="541">
      <c r="Y541" s="18"/>
    </row>
    <row r="542">
      <c r="Y542" s="18"/>
    </row>
    <row r="543">
      <c r="Y543" s="18"/>
    </row>
    <row r="544">
      <c r="Y544" s="18"/>
    </row>
    <row r="545">
      <c r="Y545" s="18"/>
    </row>
    <row r="546">
      <c r="Y546" s="18"/>
    </row>
    <row r="547">
      <c r="Y547" s="18"/>
    </row>
    <row r="548">
      <c r="Y548" s="18"/>
    </row>
    <row r="549">
      <c r="Y549" s="18"/>
    </row>
    <row r="550">
      <c r="Y550" s="18"/>
    </row>
    <row r="551">
      <c r="Y551" s="18"/>
    </row>
    <row r="552">
      <c r="Y552" s="18"/>
    </row>
    <row r="553">
      <c r="Y553" s="18"/>
    </row>
    <row r="554">
      <c r="Y554" s="18"/>
    </row>
    <row r="555">
      <c r="Y555" s="18"/>
    </row>
    <row r="556">
      <c r="Y556" s="18"/>
    </row>
    <row r="557">
      <c r="Y557" s="18"/>
    </row>
    <row r="558">
      <c r="Y558" s="18"/>
    </row>
    <row r="559">
      <c r="Y559" s="18"/>
    </row>
    <row r="560">
      <c r="Y560" s="18"/>
    </row>
    <row r="561">
      <c r="Y561" s="18"/>
    </row>
    <row r="562">
      <c r="Y562" s="18"/>
    </row>
    <row r="563">
      <c r="Y563" s="18"/>
    </row>
    <row r="564">
      <c r="Y564" s="18"/>
    </row>
    <row r="565">
      <c r="Y565" s="18"/>
    </row>
    <row r="566">
      <c r="Y566" s="18"/>
    </row>
    <row r="567">
      <c r="Y567" s="18"/>
    </row>
    <row r="568">
      <c r="Y568" s="18"/>
    </row>
    <row r="569">
      <c r="Y569" s="18"/>
    </row>
    <row r="570">
      <c r="Y570" s="18"/>
    </row>
    <row r="571">
      <c r="Y571" s="18"/>
    </row>
    <row r="572">
      <c r="Y572" s="18"/>
    </row>
    <row r="573">
      <c r="Y573" s="18"/>
    </row>
    <row r="574">
      <c r="Y574" s="18"/>
    </row>
    <row r="575">
      <c r="Y575" s="18"/>
    </row>
    <row r="576">
      <c r="Y576" s="18"/>
    </row>
    <row r="577">
      <c r="Y577" s="18"/>
    </row>
    <row r="578">
      <c r="Y578" s="18"/>
    </row>
    <row r="579">
      <c r="Y579" s="18"/>
    </row>
    <row r="580">
      <c r="Y580" s="18"/>
    </row>
    <row r="581">
      <c r="Y581" s="18"/>
    </row>
    <row r="582">
      <c r="Y582" s="18"/>
    </row>
    <row r="583">
      <c r="Y583" s="18"/>
    </row>
    <row r="584">
      <c r="Y584" s="18"/>
    </row>
    <row r="585">
      <c r="Y585" s="18"/>
    </row>
    <row r="586">
      <c r="Y586" s="18"/>
    </row>
    <row r="587">
      <c r="Y587" s="18"/>
    </row>
    <row r="588">
      <c r="Y588" s="18"/>
    </row>
    <row r="589">
      <c r="Y589" s="18"/>
    </row>
    <row r="590">
      <c r="Y590" s="18"/>
    </row>
    <row r="591">
      <c r="Y591" s="18"/>
    </row>
    <row r="592">
      <c r="Y592" s="18"/>
    </row>
    <row r="593">
      <c r="Y593" s="18"/>
    </row>
    <row r="594">
      <c r="Y594" s="18"/>
    </row>
    <row r="595">
      <c r="Y595" s="18"/>
    </row>
    <row r="596">
      <c r="Y596" s="18"/>
    </row>
    <row r="597">
      <c r="Y597" s="18"/>
    </row>
    <row r="598">
      <c r="Y598" s="18"/>
    </row>
    <row r="599">
      <c r="Y599" s="18"/>
    </row>
    <row r="600">
      <c r="Y600" s="18"/>
    </row>
    <row r="601">
      <c r="Y601" s="18"/>
    </row>
    <row r="602">
      <c r="Y602" s="18"/>
    </row>
    <row r="603">
      <c r="Y603" s="18"/>
    </row>
    <row r="604">
      <c r="Y604" s="18"/>
    </row>
    <row r="605">
      <c r="Y605" s="18"/>
    </row>
    <row r="606">
      <c r="Y606" s="18"/>
    </row>
    <row r="607">
      <c r="Y607" s="18"/>
    </row>
    <row r="608">
      <c r="Y608" s="18"/>
    </row>
    <row r="609">
      <c r="Y609" s="18"/>
    </row>
    <row r="610">
      <c r="Y610" s="18"/>
    </row>
    <row r="611">
      <c r="Y611" s="18"/>
    </row>
    <row r="612">
      <c r="Y612" s="18"/>
    </row>
    <row r="613">
      <c r="Y613" s="18"/>
    </row>
    <row r="614">
      <c r="Y614" s="18"/>
    </row>
    <row r="615">
      <c r="Y615" s="18"/>
    </row>
    <row r="616">
      <c r="Y616" s="18"/>
    </row>
    <row r="617">
      <c r="Y617" s="18"/>
    </row>
    <row r="618">
      <c r="Y618" s="18"/>
    </row>
    <row r="619">
      <c r="Y619" s="18"/>
    </row>
    <row r="620">
      <c r="Y620" s="18"/>
    </row>
    <row r="621">
      <c r="Y621" s="18"/>
    </row>
    <row r="622">
      <c r="Y622" s="18"/>
    </row>
    <row r="623">
      <c r="Y623" s="18"/>
    </row>
    <row r="624">
      <c r="Y624" s="18"/>
    </row>
    <row r="625">
      <c r="Y625" s="18"/>
    </row>
    <row r="626">
      <c r="Y626" s="18"/>
    </row>
    <row r="627">
      <c r="Y627" s="18"/>
    </row>
    <row r="628">
      <c r="Y628" s="18"/>
    </row>
    <row r="629">
      <c r="Y629" s="18"/>
    </row>
    <row r="630">
      <c r="Y630" s="18"/>
    </row>
    <row r="631">
      <c r="Y631" s="18"/>
    </row>
    <row r="632">
      <c r="Y632" s="18"/>
    </row>
    <row r="633">
      <c r="Y633" s="18"/>
    </row>
    <row r="634">
      <c r="Y634" s="18"/>
    </row>
    <row r="635">
      <c r="Y635" s="18"/>
    </row>
    <row r="636">
      <c r="Y636" s="18"/>
    </row>
    <row r="637">
      <c r="Y637" s="18"/>
    </row>
    <row r="638">
      <c r="Y638" s="18"/>
    </row>
    <row r="639">
      <c r="Y639" s="18"/>
    </row>
    <row r="640">
      <c r="Y640" s="18"/>
    </row>
    <row r="641">
      <c r="Y641" s="18"/>
    </row>
    <row r="642">
      <c r="Y642" s="18"/>
    </row>
    <row r="643">
      <c r="Y643" s="18"/>
    </row>
    <row r="644">
      <c r="Y644" s="18"/>
    </row>
    <row r="645">
      <c r="Y645" s="18"/>
    </row>
    <row r="646">
      <c r="Y646" s="18"/>
    </row>
    <row r="647">
      <c r="Y647" s="18"/>
    </row>
    <row r="648">
      <c r="Y648" s="18"/>
    </row>
    <row r="649">
      <c r="Y649" s="18"/>
    </row>
    <row r="650">
      <c r="Y650" s="18"/>
    </row>
    <row r="651">
      <c r="Y651" s="18"/>
    </row>
    <row r="652">
      <c r="Y652" s="18"/>
    </row>
    <row r="653">
      <c r="Y653" s="18"/>
    </row>
    <row r="654">
      <c r="Y654" s="18"/>
    </row>
    <row r="655">
      <c r="Y655" s="18"/>
    </row>
    <row r="656">
      <c r="Y656" s="18"/>
    </row>
    <row r="657">
      <c r="Y657" s="18"/>
    </row>
    <row r="658">
      <c r="Y658" s="18"/>
    </row>
    <row r="659">
      <c r="Y659" s="18"/>
    </row>
    <row r="660">
      <c r="Y660" s="18"/>
    </row>
    <row r="661">
      <c r="Y661" s="18"/>
    </row>
    <row r="662">
      <c r="Y662" s="18"/>
    </row>
    <row r="663">
      <c r="Y663" s="18"/>
    </row>
    <row r="664">
      <c r="Y664" s="18"/>
    </row>
    <row r="665">
      <c r="Y665" s="18"/>
    </row>
    <row r="666">
      <c r="Y666" s="18"/>
    </row>
    <row r="667">
      <c r="Y667" s="18"/>
    </row>
    <row r="668">
      <c r="Y668" s="18"/>
    </row>
    <row r="669">
      <c r="Y669" s="18"/>
    </row>
    <row r="670">
      <c r="Y670" s="18"/>
    </row>
    <row r="671">
      <c r="Y671" s="18"/>
    </row>
    <row r="672">
      <c r="Y672" s="18"/>
    </row>
    <row r="673">
      <c r="Y673" s="18"/>
    </row>
    <row r="674">
      <c r="Y674" s="18"/>
    </row>
    <row r="675">
      <c r="Y675" s="18"/>
    </row>
    <row r="676">
      <c r="Y676" s="18"/>
    </row>
    <row r="677">
      <c r="Y677" s="18"/>
    </row>
    <row r="678">
      <c r="Y678" s="18"/>
    </row>
    <row r="679">
      <c r="Y679" s="18"/>
    </row>
    <row r="680">
      <c r="Y680" s="18"/>
    </row>
    <row r="681">
      <c r="Y681" s="18"/>
    </row>
    <row r="682">
      <c r="Y682" s="18"/>
    </row>
    <row r="683">
      <c r="Y683" s="18"/>
    </row>
    <row r="684">
      <c r="Y684" s="18"/>
    </row>
    <row r="685">
      <c r="Y685" s="18"/>
    </row>
    <row r="686">
      <c r="Y686" s="18"/>
    </row>
    <row r="687">
      <c r="Y687" s="18"/>
    </row>
    <row r="688">
      <c r="Y688" s="18"/>
    </row>
    <row r="689">
      <c r="Y689" s="18"/>
    </row>
    <row r="690">
      <c r="Y690" s="18"/>
    </row>
    <row r="691">
      <c r="Y691" s="18"/>
    </row>
    <row r="692">
      <c r="Y692" s="18"/>
    </row>
    <row r="693">
      <c r="Y693" s="18"/>
    </row>
    <row r="694">
      <c r="Y694" s="18"/>
    </row>
    <row r="695">
      <c r="Y695" s="18"/>
    </row>
    <row r="696">
      <c r="Y696" s="18"/>
    </row>
    <row r="697">
      <c r="Y697" s="18"/>
    </row>
    <row r="698">
      <c r="Y698" s="18"/>
    </row>
    <row r="699">
      <c r="Y699" s="18"/>
    </row>
    <row r="700">
      <c r="Y700" s="18"/>
    </row>
    <row r="701">
      <c r="Y701" s="18"/>
    </row>
    <row r="702">
      <c r="Y702" s="18"/>
    </row>
    <row r="703">
      <c r="Y703" s="18"/>
    </row>
    <row r="704">
      <c r="Y704" s="18"/>
    </row>
    <row r="705">
      <c r="Y705" s="18"/>
    </row>
    <row r="706">
      <c r="Y706" s="18"/>
    </row>
    <row r="707">
      <c r="Y707" s="18"/>
    </row>
    <row r="708">
      <c r="Y708" s="18"/>
    </row>
    <row r="709">
      <c r="Y709" s="18"/>
    </row>
    <row r="710">
      <c r="Y710" s="18"/>
    </row>
    <row r="711">
      <c r="Y711" s="18"/>
    </row>
    <row r="712">
      <c r="Y712" s="18"/>
    </row>
    <row r="713">
      <c r="Y713" s="18"/>
    </row>
    <row r="714">
      <c r="Y714" s="18"/>
    </row>
    <row r="715">
      <c r="Y715" s="18"/>
    </row>
    <row r="716">
      <c r="Y716" s="18"/>
    </row>
    <row r="717">
      <c r="Y717" s="18"/>
    </row>
    <row r="718">
      <c r="Y718" s="18"/>
    </row>
    <row r="719">
      <c r="Y719" s="18"/>
    </row>
    <row r="720">
      <c r="Y720" s="18"/>
    </row>
    <row r="721">
      <c r="Y721" s="18"/>
    </row>
    <row r="722">
      <c r="Y722" s="18"/>
    </row>
    <row r="723">
      <c r="Y723" s="18"/>
    </row>
    <row r="724">
      <c r="Y724" s="18"/>
    </row>
    <row r="725">
      <c r="Y725" s="18"/>
    </row>
    <row r="726">
      <c r="Y726" s="18"/>
    </row>
    <row r="727">
      <c r="Y727" s="18"/>
    </row>
    <row r="728">
      <c r="Y728" s="18"/>
    </row>
    <row r="729">
      <c r="Y729" s="18"/>
    </row>
    <row r="730">
      <c r="Y730" s="18"/>
    </row>
    <row r="731">
      <c r="Y731" s="18"/>
    </row>
    <row r="732">
      <c r="Y732" s="18"/>
    </row>
    <row r="733">
      <c r="Y733" s="18"/>
    </row>
    <row r="734">
      <c r="Y734" s="18"/>
    </row>
    <row r="735">
      <c r="Y735" s="18"/>
    </row>
    <row r="736">
      <c r="Y736" s="18"/>
    </row>
    <row r="737">
      <c r="Y737" s="18"/>
    </row>
    <row r="738">
      <c r="Y738" s="18"/>
    </row>
    <row r="739">
      <c r="Y739" s="18"/>
    </row>
    <row r="740">
      <c r="Y740" s="18"/>
    </row>
    <row r="741">
      <c r="Y741" s="18"/>
    </row>
    <row r="742">
      <c r="Y742" s="18"/>
    </row>
    <row r="743">
      <c r="Y743" s="18"/>
    </row>
    <row r="744">
      <c r="Y744" s="18"/>
    </row>
    <row r="745">
      <c r="Y745" s="18"/>
    </row>
    <row r="746">
      <c r="Y746" s="18"/>
    </row>
    <row r="747">
      <c r="Y747" s="18"/>
    </row>
    <row r="748">
      <c r="Y748" s="18"/>
    </row>
    <row r="749">
      <c r="Y749" s="18"/>
    </row>
    <row r="750">
      <c r="Y750" s="18"/>
    </row>
    <row r="751">
      <c r="Y751" s="18"/>
    </row>
    <row r="752">
      <c r="Y752" s="18"/>
    </row>
    <row r="753">
      <c r="Y753" s="18"/>
    </row>
    <row r="754">
      <c r="Y754" s="18"/>
    </row>
    <row r="755">
      <c r="Y755" s="18"/>
    </row>
    <row r="756">
      <c r="Y756" s="18"/>
    </row>
    <row r="757">
      <c r="Y757" s="18"/>
    </row>
    <row r="758">
      <c r="Y758" s="18"/>
    </row>
    <row r="759">
      <c r="Y759" s="18"/>
    </row>
    <row r="760">
      <c r="Y760" s="18"/>
    </row>
    <row r="761">
      <c r="Y761" s="18"/>
    </row>
    <row r="762">
      <c r="Y762" s="18"/>
    </row>
    <row r="763">
      <c r="Y763" s="18"/>
    </row>
    <row r="764">
      <c r="Y764" s="18"/>
    </row>
    <row r="765">
      <c r="Y765" s="18"/>
    </row>
    <row r="766">
      <c r="Y766" s="18"/>
    </row>
    <row r="767">
      <c r="Y767" s="18"/>
    </row>
    <row r="768">
      <c r="Y768" s="18"/>
    </row>
    <row r="769">
      <c r="Y769" s="18"/>
    </row>
    <row r="770">
      <c r="Y770" s="18"/>
    </row>
    <row r="771">
      <c r="Y771" s="18"/>
    </row>
    <row r="772">
      <c r="Y772" s="18"/>
    </row>
    <row r="773">
      <c r="Y773" s="18"/>
    </row>
    <row r="774">
      <c r="Y774" s="18"/>
    </row>
    <row r="775">
      <c r="Y775" s="18"/>
    </row>
    <row r="776">
      <c r="Y776" s="18"/>
    </row>
    <row r="777">
      <c r="Y777" s="18"/>
    </row>
    <row r="778">
      <c r="Y778" s="18"/>
    </row>
    <row r="779">
      <c r="Y779" s="18"/>
    </row>
    <row r="780">
      <c r="Y780" s="18"/>
    </row>
    <row r="781">
      <c r="Y781" s="18"/>
    </row>
    <row r="782">
      <c r="Y782" s="18"/>
    </row>
    <row r="783">
      <c r="Y783" s="18"/>
    </row>
    <row r="784">
      <c r="Y784" s="18"/>
    </row>
    <row r="785">
      <c r="Y785" s="18"/>
    </row>
    <row r="786">
      <c r="Y786" s="18"/>
    </row>
    <row r="787">
      <c r="Y787" s="18"/>
    </row>
    <row r="788">
      <c r="Y788" s="18"/>
    </row>
    <row r="789">
      <c r="Y789" s="18"/>
    </row>
    <row r="790">
      <c r="Y790" s="18"/>
    </row>
    <row r="791">
      <c r="Y791" s="18"/>
    </row>
    <row r="792">
      <c r="Y792" s="18"/>
    </row>
    <row r="793">
      <c r="Y793" s="18"/>
    </row>
    <row r="794">
      <c r="Y794" s="18"/>
    </row>
    <row r="795">
      <c r="Y795" s="18"/>
    </row>
    <row r="796">
      <c r="Y796" s="18"/>
    </row>
    <row r="797">
      <c r="Y797" s="18"/>
    </row>
    <row r="798">
      <c r="Y798" s="18"/>
    </row>
    <row r="799">
      <c r="Y799" s="18"/>
    </row>
    <row r="800">
      <c r="Y800" s="18"/>
    </row>
    <row r="801">
      <c r="Y801" s="18"/>
    </row>
    <row r="802">
      <c r="Y802" s="18"/>
    </row>
    <row r="803">
      <c r="Y803" s="18"/>
    </row>
    <row r="804">
      <c r="Y804" s="18"/>
    </row>
    <row r="805">
      <c r="Y805" s="18"/>
    </row>
    <row r="806">
      <c r="Y806" s="18"/>
    </row>
    <row r="807">
      <c r="Y807" s="18"/>
    </row>
    <row r="808">
      <c r="Y808" s="18"/>
    </row>
    <row r="809">
      <c r="Y809" s="18"/>
    </row>
    <row r="810">
      <c r="Y810" s="18"/>
    </row>
    <row r="811">
      <c r="Y811" s="18"/>
    </row>
    <row r="812">
      <c r="Y812" s="18"/>
    </row>
    <row r="813">
      <c r="Y813" s="18"/>
    </row>
    <row r="814">
      <c r="Y814" s="18"/>
    </row>
    <row r="815">
      <c r="Y815" s="18"/>
    </row>
    <row r="816">
      <c r="Y816" s="18"/>
    </row>
    <row r="817">
      <c r="Y817" s="18"/>
    </row>
    <row r="818">
      <c r="Y818" s="18"/>
    </row>
    <row r="819">
      <c r="Y819" s="18"/>
    </row>
    <row r="820">
      <c r="Y820" s="18"/>
    </row>
    <row r="821">
      <c r="Y821" s="18"/>
    </row>
    <row r="822">
      <c r="Y822" s="18"/>
    </row>
    <row r="823">
      <c r="Y823" s="18"/>
    </row>
    <row r="824">
      <c r="Y824" s="18"/>
    </row>
    <row r="825">
      <c r="Y825" s="18"/>
    </row>
    <row r="826">
      <c r="Y826" s="18"/>
    </row>
    <row r="827">
      <c r="Y827" s="18"/>
    </row>
    <row r="828">
      <c r="Y828" s="18"/>
    </row>
    <row r="829">
      <c r="Y829" s="18"/>
    </row>
    <row r="830">
      <c r="Y830" s="18"/>
    </row>
    <row r="831">
      <c r="Y831" s="18"/>
    </row>
    <row r="832">
      <c r="Y832" s="18"/>
    </row>
    <row r="833">
      <c r="Y833" s="18"/>
    </row>
    <row r="834">
      <c r="Y834" s="18"/>
    </row>
    <row r="835">
      <c r="Y835" s="18"/>
    </row>
    <row r="836">
      <c r="Y836" s="18"/>
    </row>
    <row r="837">
      <c r="Y837" s="18"/>
    </row>
    <row r="838">
      <c r="Y838" s="18"/>
    </row>
    <row r="839">
      <c r="Y839" s="18"/>
    </row>
    <row r="840">
      <c r="Y840" s="18"/>
    </row>
    <row r="841">
      <c r="Y841" s="18"/>
    </row>
    <row r="842">
      <c r="Y842" s="18"/>
    </row>
    <row r="843">
      <c r="Y843" s="18"/>
    </row>
    <row r="844">
      <c r="Y844" s="18"/>
    </row>
    <row r="845">
      <c r="Y845" s="18"/>
    </row>
    <row r="846">
      <c r="Y846" s="18"/>
    </row>
    <row r="847">
      <c r="Y847" s="18"/>
    </row>
    <row r="848">
      <c r="Y848" s="18"/>
    </row>
    <row r="849">
      <c r="Y849" s="18"/>
    </row>
    <row r="850">
      <c r="Y850" s="18"/>
    </row>
    <row r="851">
      <c r="Y851" s="18"/>
    </row>
    <row r="852">
      <c r="Y852" s="18"/>
    </row>
    <row r="853">
      <c r="Y853" s="18"/>
    </row>
    <row r="854">
      <c r="Y854" s="18"/>
    </row>
    <row r="855">
      <c r="Y855" s="18"/>
    </row>
    <row r="856">
      <c r="Y856" s="18"/>
    </row>
    <row r="857">
      <c r="Y857" s="18"/>
    </row>
    <row r="858">
      <c r="Y858" s="18"/>
    </row>
    <row r="859">
      <c r="Y859" s="18"/>
    </row>
    <row r="860">
      <c r="Y860" s="18"/>
    </row>
    <row r="861">
      <c r="Y861" s="18"/>
    </row>
    <row r="862">
      <c r="Y862" s="18"/>
    </row>
    <row r="863">
      <c r="Y863" s="18"/>
    </row>
    <row r="864">
      <c r="Y864" s="18"/>
    </row>
    <row r="865">
      <c r="Y865" s="18"/>
    </row>
    <row r="866">
      <c r="Y866" s="18"/>
    </row>
    <row r="867">
      <c r="Y867" s="18"/>
    </row>
    <row r="868">
      <c r="Y868" s="18"/>
    </row>
    <row r="869">
      <c r="Y869" s="18"/>
    </row>
    <row r="870">
      <c r="Y870" s="18"/>
    </row>
    <row r="871">
      <c r="Y871" s="18"/>
    </row>
    <row r="872">
      <c r="Y872" s="18"/>
    </row>
    <row r="873">
      <c r="Y873" s="18"/>
    </row>
    <row r="874">
      <c r="Y874" s="18"/>
    </row>
    <row r="875">
      <c r="Y875" s="18"/>
    </row>
    <row r="876">
      <c r="Y876" s="18"/>
    </row>
    <row r="877">
      <c r="Y877" s="18"/>
    </row>
    <row r="878">
      <c r="Y878" s="18"/>
    </row>
    <row r="879">
      <c r="Y879" s="18"/>
    </row>
    <row r="880">
      <c r="Y880" s="18"/>
    </row>
    <row r="881">
      <c r="Y881" s="18"/>
    </row>
    <row r="882">
      <c r="Y882" s="18"/>
    </row>
    <row r="883">
      <c r="Y883" s="18"/>
    </row>
    <row r="884">
      <c r="Y884" s="18"/>
    </row>
    <row r="885">
      <c r="Y885" s="18"/>
    </row>
    <row r="886">
      <c r="Y886" s="18"/>
    </row>
    <row r="887">
      <c r="Y887" s="18"/>
    </row>
    <row r="888">
      <c r="Y888" s="18"/>
    </row>
    <row r="889">
      <c r="Y889" s="18"/>
    </row>
    <row r="890">
      <c r="Y890" s="18"/>
    </row>
    <row r="891">
      <c r="Y891" s="18"/>
    </row>
    <row r="892">
      <c r="Y892" s="18"/>
    </row>
    <row r="893">
      <c r="Y893" s="18"/>
    </row>
    <row r="894">
      <c r="Y894" s="18"/>
    </row>
    <row r="895">
      <c r="Y895" s="18"/>
    </row>
    <row r="896">
      <c r="Y896" s="18"/>
    </row>
    <row r="897">
      <c r="Y897" s="18"/>
    </row>
    <row r="898">
      <c r="Y898" s="18"/>
    </row>
    <row r="899">
      <c r="Y899" s="18"/>
    </row>
    <row r="900">
      <c r="Y900" s="18"/>
    </row>
    <row r="901">
      <c r="Y901" s="18"/>
    </row>
    <row r="902">
      <c r="Y902" s="18"/>
    </row>
    <row r="903">
      <c r="Y903" s="18"/>
    </row>
    <row r="904">
      <c r="Y904" s="18"/>
    </row>
    <row r="905">
      <c r="Y905" s="18"/>
    </row>
    <row r="906">
      <c r="Y906" s="18"/>
    </row>
    <row r="907">
      <c r="Y907" s="18"/>
    </row>
    <row r="908">
      <c r="Y908" s="18"/>
    </row>
    <row r="909">
      <c r="Y909" s="18"/>
    </row>
    <row r="910">
      <c r="Y910" s="18"/>
    </row>
    <row r="911">
      <c r="Y911" s="18"/>
    </row>
    <row r="912">
      <c r="Y912" s="18"/>
    </row>
    <row r="913">
      <c r="Y913" s="18"/>
    </row>
    <row r="914">
      <c r="Y914" s="18"/>
    </row>
    <row r="915">
      <c r="Y915" s="18"/>
    </row>
    <row r="916">
      <c r="Y916" s="18"/>
    </row>
    <row r="917">
      <c r="Y917" s="18"/>
    </row>
    <row r="918">
      <c r="Y918" s="18"/>
    </row>
    <row r="919">
      <c r="Y919" s="18"/>
    </row>
    <row r="920">
      <c r="Y920" s="18"/>
    </row>
    <row r="921">
      <c r="Y921" s="18"/>
    </row>
    <row r="922">
      <c r="Y922" s="18"/>
    </row>
    <row r="923">
      <c r="Y923" s="18"/>
    </row>
    <row r="924">
      <c r="Y924" s="18"/>
    </row>
    <row r="925">
      <c r="Y925" s="18"/>
    </row>
    <row r="926">
      <c r="Y926" s="18"/>
    </row>
    <row r="927">
      <c r="Y927" s="18"/>
    </row>
    <row r="928">
      <c r="Y928" s="18"/>
    </row>
    <row r="929">
      <c r="Y929" s="18"/>
    </row>
    <row r="930">
      <c r="Y930" s="18"/>
    </row>
    <row r="931">
      <c r="Y931" s="18"/>
    </row>
    <row r="932">
      <c r="Y932" s="18"/>
    </row>
    <row r="933">
      <c r="Y933" s="18"/>
    </row>
    <row r="934">
      <c r="Y934" s="18"/>
    </row>
    <row r="935">
      <c r="Y935" s="18"/>
    </row>
    <row r="936">
      <c r="Y936" s="18"/>
    </row>
    <row r="937">
      <c r="Y937" s="18"/>
    </row>
    <row r="938">
      <c r="Y938" s="18"/>
    </row>
    <row r="939">
      <c r="Y939" s="18"/>
    </row>
    <row r="940">
      <c r="Y940" s="18"/>
    </row>
    <row r="941">
      <c r="Y941" s="18"/>
    </row>
    <row r="942">
      <c r="Y942" s="18"/>
    </row>
    <row r="943">
      <c r="Y943" s="18"/>
    </row>
    <row r="944">
      <c r="Y944" s="18"/>
    </row>
    <row r="945">
      <c r="Y945" s="18"/>
    </row>
    <row r="946">
      <c r="Y946" s="18"/>
    </row>
    <row r="947">
      <c r="Y947" s="18"/>
    </row>
    <row r="948">
      <c r="Y948" s="18"/>
    </row>
    <row r="949">
      <c r="Y949" s="18"/>
    </row>
    <row r="950">
      <c r="Y950" s="18"/>
    </row>
    <row r="951">
      <c r="Y951" s="18"/>
    </row>
    <row r="952">
      <c r="Y952" s="18"/>
    </row>
    <row r="953">
      <c r="Y953" s="18"/>
    </row>
    <row r="954">
      <c r="Y954" s="18"/>
    </row>
    <row r="955">
      <c r="Y955" s="18"/>
    </row>
    <row r="956">
      <c r="Y956" s="18"/>
    </row>
    <row r="957">
      <c r="Y957" s="18"/>
    </row>
    <row r="958">
      <c r="Y958" s="18"/>
    </row>
    <row r="959">
      <c r="Y959" s="18"/>
    </row>
    <row r="960">
      <c r="Y960" s="18"/>
    </row>
    <row r="961">
      <c r="Y961" s="18"/>
    </row>
    <row r="962">
      <c r="Y962" s="18"/>
    </row>
    <row r="963">
      <c r="Y963" s="18"/>
    </row>
    <row r="964">
      <c r="Y964" s="18"/>
    </row>
    <row r="965">
      <c r="Y965" s="18"/>
    </row>
    <row r="966">
      <c r="Y966" s="18"/>
    </row>
    <row r="967">
      <c r="Y967" s="18"/>
    </row>
    <row r="968">
      <c r="Y968" s="18"/>
    </row>
    <row r="969">
      <c r="Y969" s="18"/>
    </row>
    <row r="970">
      <c r="Y970" s="18"/>
    </row>
    <row r="971">
      <c r="Y971" s="18"/>
    </row>
    <row r="972">
      <c r="Y972" s="18"/>
    </row>
    <row r="973">
      <c r="Y973" s="18"/>
    </row>
    <row r="974">
      <c r="Y974" s="18"/>
    </row>
    <row r="975">
      <c r="Y975" s="18"/>
    </row>
    <row r="976">
      <c r="Y976" s="18"/>
    </row>
    <row r="977">
      <c r="Y977" s="18"/>
    </row>
    <row r="978">
      <c r="Y978" s="18"/>
    </row>
    <row r="979">
      <c r="Y979" s="18"/>
    </row>
    <row r="980">
      <c r="Y980" s="18"/>
    </row>
    <row r="981">
      <c r="Y981" s="18"/>
    </row>
    <row r="982">
      <c r="Y982" s="18"/>
    </row>
    <row r="983">
      <c r="Y983" s="18"/>
    </row>
    <row r="984">
      <c r="Y984" s="18"/>
    </row>
    <row r="985">
      <c r="Y985" s="18"/>
    </row>
    <row r="986">
      <c r="Y986" s="18"/>
    </row>
    <row r="987">
      <c r="Y987" s="18"/>
    </row>
    <row r="988">
      <c r="Y988" s="18"/>
    </row>
    <row r="989">
      <c r="Y989" s="18"/>
    </row>
    <row r="990">
      <c r="Y990" s="18"/>
    </row>
    <row r="991">
      <c r="Y991" s="18"/>
    </row>
    <row r="992">
      <c r="Y992" s="18"/>
    </row>
    <row r="993">
      <c r="Y993" s="18"/>
    </row>
    <row r="994">
      <c r="Y994" s="18"/>
    </row>
    <row r="995">
      <c r="Y995" s="18"/>
    </row>
    <row r="996">
      <c r="Y996" s="18"/>
    </row>
  </sheetData>
  <mergeCells count="42">
    <mergeCell ref="A1:AB1"/>
    <mergeCell ref="N3:Q3"/>
    <mergeCell ref="C4:I4"/>
    <mergeCell ref="J4:K4"/>
    <mergeCell ref="S4:T4"/>
    <mergeCell ref="V4:X4"/>
    <mergeCell ref="A10:AB10"/>
    <mergeCell ref="N23:Q23"/>
    <mergeCell ref="S23:T23"/>
    <mergeCell ref="C13:I13"/>
    <mergeCell ref="J13:K13"/>
    <mergeCell ref="S13:T13"/>
    <mergeCell ref="V13:X13"/>
    <mergeCell ref="A20:AB20"/>
    <mergeCell ref="J23:K23"/>
    <mergeCell ref="V23:X23"/>
    <mergeCell ref="C31:I31"/>
    <mergeCell ref="C40:I40"/>
    <mergeCell ref="J40:K40"/>
    <mergeCell ref="C49:I49"/>
    <mergeCell ref="J49:K49"/>
    <mergeCell ref="S40:T40"/>
    <mergeCell ref="V40:X40"/>
    <mergeCell ref="A46:AB46"/>
    <mergeCell ref="C23:I23"/>
    <mergeCell ref="A28:AB28"/>
    <mergeCell ref="J31:K31"/>
    <mergeCell ref="N31:Q31"/>
    <mergeCell ref="S31:T31"/>
    <mergeCell ref="V31:X31"/>
    <mergeCell ref="A37:AB37"/>
    <mergeCell ref="N48:Q48"/>
    <mergeCell ref="N49:Q49"/>
    <mergeCell ref="S49:T49"/>
    <mergeCell ref="V49:X49"/>
    <mergeCell ref="N4:Q4"/>
    <mergeCell ref="N12:Q12"/>
    <mergeCell ref="N13:Q13"/>
    <mergeCell ref="N22:Q22"/>
    <mergeCell ref="N30:Q30"/>
    <mergeCell ref="N39:Q39"/>
    <mergeCell ref="N40:Q4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</cols>
  <sheetData>
    <row r="1">
      <c r="A1" s="19" t="s">
        <v>342</v>
      </c>
    </row>
    <row r="2">
      <c r="A2" s="20"/>
      <c r="B2" s="20"/>
      <c r="D2" s="6" t="s">
        <v>95</v>
      </c>
      <c r="F2" s="21" t="s">
        <v>96</v>
      </c>
      <c r="H2" s="21" t="s">
        <v>96</v>
      </c>
      <c r="I2" s="6" t="s">
        <v>95</v>
      </c>
      <c r="Y2" s="18"/>
    </row>
    <row r="3">
      <c r="A3" s="22" t="s">
        <v>408</v>
      </c>
      <c r="B3" s="22" t="s">
        <v>409</v>
      </c>
      <c r="C3" s="23" t="s">
        <v>410</v>
      </c>
      <c r="D3" s="24" t="s">
        <v>411</v>
      </c>
      <c r="E3" s="59" t="s">
        <v>412</v>
      </c>
      <c r="F3" s="26" t="s">
        <v>413</v>
      </c>
      <c r="G3" s="27" t="s">
        <v>100</v>
      </c>
      <c r="H3" s="26" t="s">
        <v>414</v>
      </c>
      <c r="I3" s="26" t="s">
        <v>415</v>
      </c>
      <c r="J3" s="28"/>
      <c r="K3" s="28"/>
      <c r="L3" s="28"/>
      <c r="M3" s="28"/>
      <c r="N3" s="51" t="s">
        <v>416</v>
      </c>
      <c r="R3" s="26"/>
      <c r="S3" s="26" t="s">
        <v>417</v>
      </c>
      <c r="T3" s="26" t="s">
        <v>418</v>
      </c>
      <c r="U3" s="26" t="s">
        <v>278</v>
      </c>
      <c r="V3" s="30" t="s">
        <v>419</v>
      </c>
      <c r="Y3" s="66" t="s">
        <v>353</v>
      </c>
      <c r="AA3" s="52" t="s">
        <v>420</v>
      </c>
      <c r="AB3" s="31"/>
      <c r="AC3" s="31"/>
    </row>
    <row r="4">
      <c r="A4" s="20"/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60"/>
      <c r="S4" s="38" t="s">
        <v>108</v>
      </c>
      <c r="T4" s="34"/>
      <c r="U4" s="60"/>
      <c r="V4" s="39" t="s">
        <v>109</v>
      </c>
      <c r="W4" s="33"/>
      <c r="X4" s="34"/>
      <c r="Y4" s="18"/>
    </row>
    <row r="5">
      <c r="A5" s="40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120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280</v>
      </c>
      <c r="S5" s="43" t="s">
        <v>125</v>
      </c>
      <c r="T5" s="43" t="s">
        <v>126</v>
      </c>
      <c r="U5" s="6" t="s">
        <v>196</v>
      </c>
      <c r="V5" s="43" t="s">
        <v>127</v>
      </c>
      <c r="W5" s="43" t="s">
        <v>128</v>
      </c>
      <c r="X5" s="43" t="s">
        <v>129</v>
      </c>
      <c r="Y5" s="50" t="s">
        <v>198</v>
      </c>
      <c r="AA5" s="6" t="s">
        <v>199</v>
      </c>
      <c r="AB5" s="47"/>
      <c r="AC5" s="43"/>
    </row>
    <row r="6">
      <c r="A6" s="61"/>
      <c r="B6" s="62" t="s">
        <v>421</v>
      </c>
      <c r="E6" s="6">
        <v>64.0</v>
      </c>
      <c r="F6" s="73">
        <v>1.048576E9</v>
      </c>
      <c r="I6" s="10">
        <f>(F6/Q6)/(N6)</f>
        <v>500</v>
      </c>
      <c r="N6" s="6">
        <v>16.0</v>
      </c>
      <c r="O6" s="6">
        <v>8.0</v>
      </c>
      <c r="P6" s="6">
        <v>32.0</v>
      </c>
      <c r="Q6" s="6">
        <v>131072.0</v>
      </c>
      <c r="V6" s="6">
        <v>10.0</v>
      </c>
      <c r="W6" s="6">
        <f>Q6</f>
        <v>131072</v>
      </c>
      <c r="X6" s="6">
        <v>32000.0</v>
      </c>
      <c r="Y6" s="18">
        <f>I6*(V6*W6/(X6*10^6)*10^9)</f>
        <v>20480000</v>
      </c>
      <c r="AA6" s="50">
        <v>1.60314E8</v>
      </c>
    </row>
  </sheetData>
  <mergeCells count="7">
    <mergeCell ref="A1:AB1"/>
    <mergeCell ref="N3:Q3"/>
    <mergeCell ref="C4:I4"/>
    <mergeCell ref="J4:K4"/>
    <mergeCell ref="N4:Q4"/>
    <mergeCell ref="S4:T4"/>
    <mergeCell ref="V4:X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25"/>
  </cols>
  <sheetData>
    <row r="1">
      <c r="A1" s="19" t="s">
        <v>342</v>
      </c>
    </row>
    <row r="3">
      <c r="A3" s="22" t="s">
        <v>408</v>
      </c>
      <c r="B3" s="22" t="s">
        <v>409</v>
      </c>
      <c r="C3" s="23" t="s">
        <v>422</v>
      </c>
      <c r="D3" s="24" t="s">
        <v>423</v>
      </c>
      <c r="E3" s="59" t="s">
        <v>412</v>
      </c>
      <c r="F3" s="74" t="s">
        <v>424</v>
      </c>
      <c r="G3" s="27" t="s">
        <v>100</v>
      </c>
      <c r="H3" s="26" t="s">
        <v>425</v>
      </c>
      <c r="I3" s="26" t="s">
        <v>426</v>
      </c>
      <c r="J3" s="28"/>
      <c r="K3" s="28"/>
      <c r="L3" s="28"/>
      <c r="M3" s="28"/>
      <c r="N3" s="51" t="s">
        <v>427</v>
      </c>
      <c r="R3" s="26"/>
      <c r="S3" s="26" t="s">
        <v>428</v>
      </c>
      <c r="T3" s="26" t="s">
        <v>429</v>
      </c>
      <c r="U3" s="26" t="s">
        <v>278</v>
      </c>
      <c r="V3" s="30" t="s">
        <v>430</v>
      </c>
      <c r="Y3" s="66" t="s">
        <v>353</v>
      </c>
      <c r="AA3" s="52"/>
      <c r="AB3" s="31"/>
      <c r="AC3" s="31"/>
    </row>
    <row r="4">
      <c r="A4" s="20"/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60"/>
      <c r="S4" s="38" t="s">
        <v>108</v>
      </c>
      <c r="T4" s="34"/>
      <c r="U4" s="60"/>
      <c r="V4" s="39" t="s">
        <v>109</v>
      </c>
      <c r="W4" s="33"/>
      <c r="X4" s="34"/>
      <c r="Y4" s="18"/>
    </row>
    <row r="5">
      <c r="A5" s="40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120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280</v>
      </c>
      <c r="S5" s="43" t="s">
        <v>125</v>
      </c>
      <c r="T5" s="43" t="s">
        <v>126</v>
      </c>
      <c r="U5" s="6" t="s">
        <v>196</v>
      </c>
      <c r="V5" s="43" t="s">
        <v>127</v>
      </c>
      <c r="W5" s="43" t="s">
        <v>128</v>
      </c>
      <c r="X5" s="43" t="s">
        <v>129</v>
      </c>
      <c r="Y5" s="50" t="s">
        <v>198</v>
      </c>
      <c r="AA5" s="6" t="s">
        <v>199</v>
      </c>
      <c r="AB5" s="47"/>
      <c r="AC5" s="43"/>
    </row>
    <row r="6">
      <c r="A6" s="61"/>
      <c r="B6" s="62" t="s">
        <v>431</v>
      </c>
      <c r="E6" s="6">
        <v>64.0</v>
      </c>
      <c r="F6" s="6">
        <f>1125000*256</f>
        <v>288000000</v>
      </c>
      <c r="I6" s="10">
        <f>ROUNDUP(F6/(N6*O6*P6*Q6))</f>
        <v>1</v>
      </c>
      <c r="J6" s="10">
        <f>4*E6/E6</f>
        <v>4</v>
      </c>
      <c r="K6" s="10">
        <f>3*E6/E6</f>
        <v>3</v>
      </c>
      <c r="L6" s="10">
        <f>1.3*E6*LOG(E6,2)/E6</f>
        <v>7.8</v>
      </c>
      <c r="M6" s="6">
        <v>2.52</v>
      </c>
      <c r="N6" s="6">
        <v>16.0</v>
      </c>
      <c r="O6" s="6">
        <v>8.0</v>
      </c>
      <c r="P6" s="6">
        <v>32.0</v>
      </c>
      <c r="Q6" s="6">
        <v>131072.0</v>
      </c>
      <c r="S6" s="10">
        <v>27.72</v>
      </c>
      <c r="T6" s="10">
        <v>28.98</v>
      </c>
      <c r="Y6" s="18">
        <f>E6*I6*J6*S6+E6*I6*K6*T6+E6*I6*L6*M6</f>
        <v>13918.464</v>
      </c>
      <c r="AA6" s="50">
        <f>736399000/28</f>
        <v>26299964.29</v>
      </c>
    </row>
    <row r="8">
      <c r="A8" s="19" t="s">
        <v>134</v>
      </c>
    </row>
    <row r="10">
      <c r="A10" s="22" t="s">
        <v>408</v>
      </c>
      <c r="B10" s="22" t="s">
        <v>409</v>
      </c>
      <c r="C10" s="23" t="s">
        <v>432</v>
      </c>
      <c r="D10" s="24" t="s">
        <v>433</v>
      </c>
      <c r="E10" s="59" t="s">
        <v>412</v>
      </c>
      <c r="F10" s="74" t="s">
        <v>424</v>
      </c>
      <c r="G10" s="27" t="s">
        <v>100</v>
      </c>
      <c r="H10" s="26" t="s">
        <v>434</v>
      </c>
      <c r="I10" s="26" t="s">
        <v>435</v>
      </c>
      <c r="J10" s="28"/>
      <c r="K10" s="28"/>
      <c r="L10" s="28"/>
      <c r="M10" s="28"/>
      <c r="N10" s="51" t="s">
        <v>436</v>
      </c>
      <c r="R10" s="26"/>
      <c r="S10" s="26" t="s">
        <v>437</v>
      </c>
      <c r="T10" s="26" t="s">
        <v>438</v>
      </c>
      <c r="U10" s="26" t="s">
        <v>278</v>
      </c>
      <c r="V10" s="30" t="s">
        <v>439</v>
      </c>
      <c r="Y10" s="66" t="s">
        <v>353</v>
      </c>
      <c r="AA10" s="52"/>
      <c r="AB10" s="31"/>
      <c r="AC10" s="31"/>
    </row>
    <row r="11">
      <c r="A11" s="20"/>
      <c r="B11" s="20"/>
      <c r="C11" s="32" t="s">
        <v>106</v>
      </c>
      <c r="D11" s="33"/>
      <c r="E11" s="33"/>
      <c r="F11" s="33"/>
      <c r="G11" s="33"/>
      <c r="H11" s="33"/>
      <c r="I11" s="34"/>
      <c r="J11" s="35"/>
      <c r="K11" s="34"/>
      <c r="L11" s="36"/>
      <c r="M11" s="36"/>
      <c r="N11" s="37" t="s">
        <v>107</v>
      </c>
      <c r="O11" s="33"/>
      <c r="P11" s="33"/>
      <c r="Q11" s="34"/>
      <c r="R11" s="60"/>
      <c r="S11" s="38" t="s">
        <v>108</v>
      </c>
      <c r="T11" s="34"/>
      <c r="U11" s="60"/>
      <c r="V11" s="39" t="s">
        <v>109</v>
      </c>
      <c r="W11" s="33"/>
      <c r="X11" s="34"/>
      <c r="Y11" s="18"/>
    </row>
    <row r="12">
      <c r="A12" s="40"/>
      <c r="B12" s="40"/>
      <c r="C12" s="41" t="s">
        <v>110</v>
      </c>
      <c r="D12" s="42" t="s">
        <v>111</v>
      </c>
      <c r="E12" s="43" t="s">
        <v>112</v>
      </c>
      <c r="F12" s="44" t="s">
        <v>113</v>
      </c>
      <c r="G12" s="41" t="s">
        <v>114</v>
      </c>
      <c r="H12" s="41" t="s">
        <v>115</v>
      </c>
      <c r="I12" s="45" t="s">
        <v>116</v>
      </c>
      <c r="J12" s="56" t="s">
        <v>142</v>
      </c>
      <c r="K12" s="56" t="s">
        <v>143</v>
      </c>
      <c r="L12" s="43"/>
      <c r="M12" s="43"/>
      <c r="N12" s="44" t="s">
        <v>121</v>
      </c>
      <c r="O12" s="44" t="s">
        <v>122</v>
      </c>
      <c r="P12" s="44" t="s">
        <v>123</v>
      </c>
      <c r="Q12" s="44" t="s">
        <v>124</v>
      </c>
      <c r="R12" s="43" t="s">
        <v>280</v>
      </c>
      <c r="S12" s="43" t="s">
        <v>125</v>
      </c>
      <c r="T12" s="43" t="s">
        <v>126</v>
      </c>
      <c r="U12" s="6" t="s">
        <v>196</v>
      </c>
      <c r="V12" s="43" t="s">
        <v>127</v>
      </c>
      <c r="W12" s="43" t="s">
        <v>128</v>
      </c>
      <c r="X12" s="43" t="s">
        <v>129</v>
      </c>
      <c r="Y12" s="50" t="s">
        <v>198</v>
      </c>
      <c r="AA12" s="6" t="s">
        <v>199</v>
      </c>
      <c r="AB12" s="47"/>
      <c r="AC12" s="43"/>
    </row>
    <row r="13">
      <c r="A13" s="61"/>
      <c r="B13" s="62" t="s">
        <v>431</v>
      </c>
      <c r="E13" s="6">
        <v>64.0</v>
      </c>
      <c r="F13" s="6">
        <f>1125000*256</f>
        <v>288000000</v>
      </c>
      <c r="I13" s="10">
        <f>ROUNDUP(F13/(N13*O13*P13*Q13))</f>
        <v>1</v>
      </c>
      <c r="J13" s="6">
        <v>8.0</v>
      </c>
      <c r="K13" s="6">
        <v>53.14</v>
      </c>
      <c r="N13" s="6">
        <v>16.0</v>
      </c>
      <c r="O13" s="6">
        <v>8.0</v>
      </c>
      <c r="P13" s="6">
        <v>32.0</v>
      </c>
      <c r="Q13" s="6">
        <v>131072.0</v>
      </c>
      <c r="S13" s="10">
        <v>27.72</v>
      </c>
      <c r="T13" s="10">
        <v>28.98</v>
      </c>
      <c r="Y13" s="18">
        <f>E13*I13*J13*K13</f>
        <v>27207.68</v>
      </c>
      <c r="AA13" s="50">
        <v>122571.0</v>
      </c>
    </row>
    <row r="16">
      <c r="A16" s="19" t="s">
        <v>368</v>
      </c>
    </row>
    <row r="18">
      <c r="A18" s="22" t="s">
        <v>408</v>
      </c>
      <c r="B18" s="22" t="s">
        <v>409</v>
      </c>
      <c r="C18" s="23" t="s">
        <v>440</v>
      </c>
      <c r="D18" s="24" t="s">
        <v>441</v>
      </c>
      <c r="E18" s="59" t="s">
        <v>412</v>
      </c>
      <c r="F18" s="74" t="s">
        <v>424</v>
      </c>
      <c r="G18" s="27" t="s">
        <v>100</v>
      </c>
      <c r="H18" s="26" t="s">
        <v>442</v>
      </c>
      <c r="I18" s="26" t="s">
        <v>443</v>
      </c>
      <c r="J18" s="28"/>
      <c r="K18" s="28"/>
      <c r="L18" s="28"/>
      <c r="M18" s="28"/>
      <c r="N18" s="51" t="s">
        <v>444</v>
      </c>
      <c r="R18" s="26"/>
      <c r="S18" s="26" t="s">
        <v>445</v>
      </c>
      <c r="T18" s="26" t="s">
        <v>446</v>
      </c>
      <c r="U18" s="26" t="s">
        <v>278</v>
      </c>
      <c r="V18" s="30" t="s">
        <v>447</v>
      </c>
      <c r="Y18" s="66" t="s">
        <v>353</v>
      </c>
      <c r="AA18" s="52"/>
      <c r="AB18" s="31"/>
    </row>
    <row r="19">
      <c r="A19" s="20"/>
      <c r="B19" s="20"/>
      <c r="C19" s="32" t="s">
        <v>106</v>
      </c>
      <c r="D19" s="33"/>
      <c r="E19" s="33"/>
      <c r="F19" s="33"/>
      <c r="G19" s="33"/>
      <c r="H19" s="33"/>
      <c r="I19" s="34"/>
      <c r="J19" s="35"/>
      <c r="K19" s="34"/>
      <c r="L19" s="36"/>
      <c r="M19" s="36"/>
      <c r="N19" s="37" t="s">
        <v>107</v>
      </c>
      <c r="O19" s="33"/>
      <c r="P19" s="33"/>
      <c r="Q19" s="34"/>
      <c r="R19" s="60"/>
      <c r="S19" s="38" t="s">
        <v>108</v>
      </c>
      <c r="T19" s="34"/>
      <c r="U19" s="60"/>
      <c r="V19" s="39" t="s">
        <v>109</v>
      </c>
      <c r="W19" s="33"/>
      <c r="X19" s="34"/>
      <c r="Y19" s="18"/>
    </row>
    <row r="20">
      <c r="A20" s="40"/>
      <c r="B20" s="40"/>
      <c r="C20" s="41" t="s">
        <v>110</v>
      </c>
      <c r="D20" s="42" t="s">
        <v>111</v>
      </c>
      <c r="E20" s="43" t="s">
        <v>112</v>
      </c>
      <c r="F20" s="44" t="s">
        <v>113</v>
      </c>
      <c r="G20" s="41" t="s">
        <v>114</v>
      </c>
      <c r="H20" s="41" t="s">
        <v>115</v>
      </c>
      <c r="I20" s="45" t="s">
        <v>116</v>
      </c>
      <c r="J20" s="43" t="s">
        <v>117</v>
      </c>
      <c r="K20" s="43" t="s">
        <v>118</v>
      </c>
      <c r="L20" s="43" t="s">
        <v>119</v>
      </c>
      <c r="M20" s="43" t="s">
        <v>120</v>
      </c>
      <c r="N20" s="44" t="s">
        <v>121</v>
      </c>
      <c r="O20" s="44" t="s">
        <v>122</v>
      </c>
      <c r="P20" s="44" t="s">
        <v>123</v>
      </c>
      <c r="Q20" s="44" t="s">
        <v>124</v>
      </c>
      <c r="R20" s="43" t="s">
        <v>280</v>
      </c>
      <c r="S20" s="43" t="s">
        <v>125</v>
      </c>
      <c r="T20" s="43" t="s">
        <v>126</v>
      </c>
      <c r="U20" s="6" t="s">
        <v>196</v>
      </c>
      <c r="V20" s="43" t="s">
        <v>127</v>
      </c>
      <c r="W20" s="43" t="s">
        <v>128</v>
      </c>
      <c r="X20" s="43" t="s">
        <v>129</v>
      </c>
      <c r="Y20" s="50" t="s">
        <v>198</v>
      </c>
      <c r="AA20" s="6" t="s">
        <v>199</v>
      </c>
      <c r="AB20" s="47"/>
    </row>
    <row r="21">
      <c r="A21" s="61"/>
      <c r="B21" s="62" t="s">
        <v>431</v>
      </c>
      <c r="E21" s="6">
        <v>64.0</v>
      </c>
      <c r="F21" s="6">
        <f>1125000*256</f>
        <v>288000000</v>
      </c>
      <c r="I21" s="10">
        <f>ROUNDUP(F21/(N21*O21*P21*Q21))</f>
        <v>9</v>
      </c>
      <c r="J21" s="10">
        <f>(17*E21+18)/64</f>
        <v>17.28125</v>
      </c>
      <c r="K21" s="10">
        <f>(10*E21+6)/E21</f>
        <v>10.09375</v>
      </c>
      <c r="L21" s="10">
        <f>(21*E21+21)/E21</f>
        <v>21.328125</v>
      </c>
      <c r="M21" s="6">
        <v>2.52</v>
      </c>
      <c r="N21" s="6">
        <v>16.0</v>
      </c>
      <c r="O21" s="6">
        <v>8.0</v>
      </c>
      <c r="P21" s="6">
        <v>2.0</v>
      </c>
      <c r="Q21" s="6">
        <v>131072.0</v>
      </c>
      <c r="S21" s="10">
        <v>27.72</v>
      </c>
      <c r="T21" s="10">
        <v>28.98</v>
      </c>
      <c r="Y21" s="18">
        <f>E21*I21*J21*S21+E21*I21*K21*T21+E21*I21*L21*M21</f>
        <v>475372.8</v>
      </c>
      <c r="AA21" s="50">
        <f>736399000/28</f>
        <v>26299964.29</v>
      </c>
    </row>
    <row r="24">
      <c r="A24" s="19" t="s">
        <v>378</v>
      </c>
    </row>
    <row r="26">
      <c r="A26" s="22" t="s">
        <v>408</v>
      </c>
      <c r="B26" s="22" t="s">
        <v>409</v>
      </c>
      <c r="C26" s="23" t="s">
        <v>448</v>
      </c>
      <c r="D26" s="24" t="s">
        <v>449</v>
      </c>
      <c r="E26" s="59" t="s">
        <v>412</v>
      </c>
      <c r="F26" s="74" t="s">
        <v>424</v>
      </c>
      <c r="G26" s="27" t="s">
        <v>100</v>
      </c>
      <c r="H26" s="26" t="s">
        <v>450</v>
      </c>
      <c r="I26" s="26" t="s">
        <v>451</v>
      </c>
      <c r="J26" s="28"/>
      <c r="K26" s="28"/>
      <c r="L26" s="28"/>
      <c r="M26" s="28"/>
      <c r="N26" s="51" t="s">
        <v>452</v>
      </c>
      <c r="R26" s="26"/>
      <c r="S26" s="26" t="s">
        <v>453</v>
      </c>
      <c r="T26" s="26" t="s">
        <v>454</v>
      </c>
      <c r="U26" s="26" t="s">
        <v>278</v>
      </c>
      <c r="V26" s="30" t="s">
        <v>455</v>
      </c>
      <c r="Y26" s="66" t="s">
        <v>353</v>
      </c>
      <c r="AA26" s="52"/>
      <c r="AB26" s="31"/>
    </row>
    <row r="27">
      <c r="A27" s="20"/>
      <c r="B27" s="20"/>
      <c r="C27" s="32" t="s">
        <v>106</v>
      </c>
      <c r="D27" s="33"/>
      <c r="E27" s="33"/>
      <c r="F27" s="33"/>
      <c r="G27" s="33"/>
      <c r="H27" s="33"/>
      <c r="I27" s="34"/>
      <c r="J27" s="35"/>
      <c r="K27" s="34"/>
      <c r="L27" s="36"/>
      <c r="M27" s="36"/>
      <c r="N27" s="37" t="s">
        <v>107</v>
      </c>
      <c r="O27" s="33"/>
      <c r="P27" s="33"/>
      <c r="Q27" s="34"/>
      <c r="R27" s="60"/>
      <c r="S27" s="38" t="s">
        <v>108</v>
      </c>
      <c r="T27" s="34"/>
      <c r="U27" s="60"/>
      <c r="V27" s="39" t="s">
        <v>109</v>
      </c>
      <c r="W27" s="33"/>
      <c r="X27" s="34"/>
      <c r="Y27" s="18"/>
    </row>
    <row r="28">
      <c r="A28" s="40"/>
      <c r="B28" s="40"/>
      <c r="C28" s="41" t="s">
        <v>110</v>
      </c>
      <c r="D28" s="42" t="s">
        <v>111</v>
      </c>
      <c r="E28" s="43" t="s">
        <v>112</v>
      </c>
      <c r="F28" s="44" t="s">
        <v>113</v>
      </c>
      <c r="G28" s="41" t="s">
        <v>114</v>
      </c>
      <c r="H28" s="41" t="s">
        <v>115</v>
      </c>
      <c r="I28" s="45" t="s">
        <v>116</v>
      </c>
      <c r="J28" s="43" t="s">
        <v>117</v>
      </c>
      <c r="K28" s="43" t="s">
        <v>118</v>
      </c>
      <c r="L28" s="43" t="s">
        <v>119</v>
      </c>
      <c r="M28" s="43" t="s">
        <v>120</v>
      </c>
      <c r="N28" s="44" t="s">
        <v>121</v>
      </c>
      <c r="O28" s="44" t="s">
        <v>122</v>
      </c>
      <c r="P28" s="44" t="s">
        <v>123</v>
      </c>
      <c r="Q28" s="44" t="s">
        <v>124</v>
      </c>
      <c r="R28" s="43" t="s">
        <v>280</v>
      </c>
      <c r="S28" s="43" t="s">
        <v>125</v>
      </c>
      <c r="T28" s="43" t="s">
        <v>126</v>
      </c>
      <c r="U28" s="6" t="s">
        <v>196</v>
      </c>
      <c r="V28" s="43" t="s">
        <v>127</v>
      </c>
      <c r="W28" s="43" t="s">
        <v>128</v>
      </c>
      <c r="X28" s="43" t="s">
        <v>129</v>
      </c>
      <c r="Y28" s="50" t="s">
        <v>198</v>
      </c>
      <c r="AA28" s="6" t="s">
        <v>199</v>
      </c>
      <c r="AB28" s="47"/>
    </row>
    <row r="29">
      <c r="A29" s="61"/>
      <c r="B29" s="62" t="s">
        <v>431</v>
      </c>
      <c r="E29" s="6">
        <v>64.0</v>
      </c>
      <c r="F29" s="6">
        <f>1125000*256</f>
        <v>288000000</v>
      </c>
      <c r="I29" s="10">
        <f>ROUNDUP(F29/(N29*O29*P29*Q29))</f>
        <v>1</v>
      </c>
      <c r="J29" s="10">
        <f>(9*E29+12)/E29</f>
        <v>9.1875</v>
      </c>
      <c r="K29" s="10">
        <f>(6*E29+11)/E29</f>
        <v>6.171875</v>
      </c>
      <c r="L29" s="10">
        <f>(20*E29+1)/E29</f>
        <v>20.015625</v>
      </c>
      <c r="M29" s="6">
        <v>2.52</v>
      </c>
      <c r="N29" s="6">
        <v>16.0</v>
      </c>
      <c r="O29" s="6">
        <v>8.0</v>
      </c>
      <c r="P29" s="6">
        <v>32.0</v>
      </c>
      <c r="Q29" s="6">
        <v>131072.0</v>
      </c>
      <c r="S29" s="10">
        <v>27.72</v>
      </c>
      <c r="T29" s="10">
        <v>28.98</v>
      </c>
      <c r="Y29" s="18">
        <f>E29*I29*J29*S29+E29*I29*K29*T29+E29*I29*L29*M29</f>
        <v>30974.58</v>
      </c>
      <c r="AA29" s="50">
        <f>736399000/28</f>
        <v>26299964.29</v>
      </c>
    </row>
    <row r="31">
      <c r="A31" s="19" t="s">
        <v>388</v>
      </c>
    </row>
    <row r="33">
      <c r="A33" s="22" t="s">
        <v>408</v>
      </c>
      <c r="B33" s="22" t="s">
        <v>409</v>
      </c>
      <c r="C33" s="23" t="s">
        <v>456</v>
      </c>
      <c r="D33" s="24" t="s">
        <v>457</v>
      </c>
      <c r="E33" s="59" t="s">
        <v>412</v>
      </c>
      <c r="F33" s="74" t="s">
        <v>424</v>
      </c>
      <c r="G33" s="27" t="s">
        <v>100</v>
      </c>
      <c r="H33" s="26" t="s">
        <v>458</v>
      </c>
      <c r="I33" s="26" t="s">
        <v>459</v>
      </c>
      <c r="J33" s="28"/>
      <c r="K33" s="28"/>
      <c r="L33" s="28"/>
      <c r="M33" s="28"/>
      <c r="N33" s="51" t="s">
        <v>460</v>
      </c>
      <c r="R33" s="26"/>
      <c r="S33" s="26" t="s">
        <v>461</v>
      </c>
      <c r="T33" s="26" t="s">
        <v>462</v>
      </c>
      <c r="U33" s="26" t="s">
        <v>278</v>
      </c>
      <c r="V33" s="30" t="s">
        <v>463</v>
      </c>
      <c r="Y33" s="66" t="s">
        <v>353</v>
      </c>
      <c r="AA33" s="52"/>
      <c r="AB33" s="31"/>
    </row>
    <row r="34">
      <c r="A34" s="20"/>
      <c r="B34" s="20"/>
      <c r="C34" s="32" t="s">
        <v>106</v>
      </c>
      <c r="D34" s="33"/>
      <c r="E34" s="33"/>
      <c r="F34" s="33"/>
      <c r="G34" s="33"/>
      <c r="H34" s="33"/>
      <c r="I34" s="34"/>
      <c r="J34" s="35"/>
      <c r="K34" s="34"/>
      <c r="L34" s="36"/>
      <c r="M34" s="36"/>
      <c r="N34" s="37" t="s">
        <v>107</v>
      </c>
      <c r="O34" s="33"/>
      <c r="P34" s="33"/>
      <c r="Q34" s="34"/>
      <c r="R34" s="60"/>
      <c r="S34" s="38" t="s">
        <v>108</v>
      </c>
      <c r="T34" s="34"/>
      <c r="U34" s="60"/>
      <c r="V34" s="39" t="s">
        <v>109</v>
      </c>
      <c r="W34" s="33"/>
      <c r="X34" s="34"/>
      <c r="Y34" s="18"/>
    </row>
    <row r="35">
      <c r="A35" s="40"/>
      <c r="B35" s="40"/>
      <c r="C35" s="41" t="s">
        <v>110</v>
      </c>
      <c r="D35" s="42" t="s">
        <v>111</v>
      </c>
      <c r="E35" s="43" t="s">
        <v>112</v>
      </c>
      <c r="F35" s="44" t="s">
        <v>113</v>
      </c>
      <c r="G35" s="41" t="s">
        <v>114</v>
      </c>
      <c r="H35" s="41" t="s">
        <v>115</v>
      </c>
      <c r="I35" s="45" t="s">
        <v>116</v>
      </c>
      <c r="J35" s="43" t="s">
        <v>117</v>
      </c>
      <c r="K35" s="43" t="s">
        <v>118</v>
      </c>
      <c r="L35" s="43" t="s">
        <v>119</v>
      </c>
      <c r="M35" s="43" t="s">
        <v>120</v>
      </c>
      <c r="N35" s="44" t="s">
        <v>121</v>
      </c>
      <c r="O35" s="44" t="s">
        <v>122</v>
      </c>
      <c r="P35" s="44" t="s">
        <v>123</v>
      </c>
      <c r="Q35" s="44" t="s">
        <v>124</v>
      </c>
      <c r="R35" s="43" t="s">
        <v>280</v>
      </c>
      <c r="S35" s="43" t="s">
        <v>125</v>
      </c>
      <c r="T35" s="43" t="s">
        <v>126</v>
      </c>
      <c r="U35" s="6" t="s">
        <v>196</v>
      </c>
      <c r="V35" s="43" t="s">
        <v>127</v>
      </c>
      <c r="W35" s="43" t="s">
        <v>128</v>
      </c>
      <c r="X35" s="43" t="s">
        <v>129</v>
      </c>
      <c r="Y35" s="50" t="s">
        <v>198</v>
      </c>
      <c r="AA35" s="6" t="s">
        <v>199</v>
      </c>
      <c r="AB35" s="47"/>
    </row>
    <row r="36">
      <c r="A36" s="61"/>
      <c r="B36" s="62" t="s">
        <v>431</v>
      </c>
      <c r="E36" s="6">
        <v>64.0</v>
      </c>
      <c r="F36" s="50">
        <f>1125000*256</f>
        <v>288000000</v>
      </c>
      <c r="I36" s="10">
        <f>ROUNDUP(F36/(N36*O36*P36*Q36))</f>
        <v>3</v>
      </c>
      <c r="J36" s="10">
        <f>(6*E36+19)/E36</f>
        <v>6.296875</v>
      </c>
      <c r="K36" s="10">
        <f>(4*E36+18)/E36</f>
        <v>4.28125</v>
      </c>
      <c r="L36" s="10">
        <f>(8*E36+20)/E36</f>
        <v>8.3125</v>
      </c>
      <c r="M36" s="6">
        <v>2.52</v>
      </c>
      <c r="N36" s="6">
        <v>16.0</v>
      </c>
      <c r="O36" s="6">
        <v>8.0</v>
      </c>
      <c r="P36" s="6">
        <v>8.0</v>
      </c>
      <c r="Q36" s="6">
        <v>131072.0</v>
      </c>
      <c r="S36" s="10">
        <v>27.72</v>
      </c>
      <c r="T36" s="10">
        <v>28.98</v>
      </c>
      <c r="Y36" s="18">
        <f>E36*I36*J36*S36+E36*I36*K36*T36+E36*I36*L36*M36</f>
        <v>61356.96</v>
      </c>
      <c r="AA36" s="50">
        <f>736399000/28</f>
        <v>26299964.29</v>
      </c>
    </row>
    <row r="38">
      <c r="A38" s="19" t="s">
        <v>398</v>
      </c>
    </row>
    <row r="40">
      <c r="A40" s="22" t="s">
        <v>408</v>
      </c>
      <c r="B40" s="22" t="s">
        <v>409</v>
      </c>
      <c r="C40" s="23" t="s">
        <v>464</v>
      </c>
      <c r="D40" s="24" t="s">
        <v>465</v>
      </c>
      <c r="E40" s="59" t="s">
        <v>412</v>
      </c>
      <c r="F40" s="74" t="s">
        <v>424</v>
      </c>
      <c r="G40" s="27" t="s">
        <v>100</v>
      </c>
      <c r="H40" s="26" t="s">
        <v>466</v>
      </c>
      <c r="I40" s="26" t="s">
        <v>467</v>
      </c>
      <c r="J40" s="28"/>
      <c r="K40" s="28"/>
      <c r="L40" s="28"/>
      <c r="M40" s="28"/>
      <c r="N40" s="51" t="s">
        <v>468</v>
      </c>
      <c r="R40" s="26"/>
      <c r="S40" s="26" t="s">
        <v>469</v>
      </c>
      <c r="T40" s="26" t="s">
        <v>470</v>
      </c>
      <c r="U40" s="26" t="s">
        <v>278</v>
      </c>
      <c r="V40" s="30" t="s">
        <v>471</v>
      </c>
      <c r="Y40" s="66" t="s">
        <v>353</v>
      </c>
      <c r="AA40" s="52"/>
      <c r="AB40" s="31"/>
    </row>
    <row r="41">
      <c r="A41" s="20"/>
      <c r="B41" s="20"/>
      <c r="C41" s="32" t="s">
        <v>106</v>
      </c>
      <c r="D41" s="33"/>
      <c r="E41" s="33"/>
      <c r="F41" s="33"/>
      <c r="G41" s="33"/>
      <c r="H41" s="33"/>
      <c r="I41" s="34"/>
      <c r="J41" s="35"/>
      <c r="K41" s="34"/>
      <c r="L41" s="36"/>
      <c r="M41" s="36"/>
      <c r="N41" s="37" t="s">
        <v>107</v>
      </c>
      <c r="O41" s="33"/>
      <c r="P41" s="33"/>
      <c r="Q41" s="34"/>
      <c r="R41" s="60"/>
      <c r="S41" s="38" t="s">
        <v>108</v>
      </c>
      <c r="T41" s="34"/>
      <c r="U41" s="60"/>
      <c r="V41" s="39" t="s">
        <v>109</v>
      </c>
      <c r="W41" s="33"/>
      <c r="X41" s="34"/>
      <c r="Y41" s="18"/>
    </row>
    <row r="42">
      <c r="A42" s="40"/>
      <c r="B42" s="40"/>
      <c r="C42" s="41" t="s">
        <v>110</v>
      </c>
      <c r="D42" s="42" t="s">
        <v>111</v>
      </c>
      <c r="E42" s="43" t="s">
        <v>112</v>
      </c>
      <c r="F42" s="44" t="s">
        <v>113</v>
      </c>
      <c r="G42" s="41" t="s">
        <v>114</v>
      </c>
      <c r="H42" s="41" t="s">
        <v>115</v>
      </c>
      <c r="I42" s="45" t="s">
        <v>116</v>
      </c>
      <c r="J42" s="43" t="s">
        <v>117</v>
      </c>
      <c r="K42" s="43" t="s">
        <v>118</v>
      </c>
      <c r="L42" s="43" t="s">
        <v>119</v>
      </c>
      <c r="M42" s="43" t="s">
        <v>120</v>
      </c>
      <c r="N42" s="44" t="s">
        <v>121</v>
      </c>
      <c r="O42" s="44" t="s">
        <v>122</v>
      </c>
      <c r="P42" s="44" t="s">
        <v>123</v>
      </c>
      <c r="Q42" s="44" t="s">
        <v>124</v>
      </c>
      <c r="R42" s="43" t="s">
        <v>280</v>
      </c>
      <c r="S42" s="43" t="s">
        <v>125</v>
      </c>
      <c r="T42" s="43" t="s">
        <v>126</v>
      </c>
      <c r="U42" s="6" t="s">
        <v>196</v>
      </c>
      <c r="V42" s="43" t="s">
        <v>127</v>
      </c>
      <c r="W42" s="43" t="s">
        <v>128</v>
      </c>
      <c r="X42" s="43" t="s">
        <v>129</v>
      </c>
      <c r="Y42" s="50" t="s">
        <v>198</v>
      </c>
      <c r="AA42" s="6" t="s">
        <v>199</v>
      </c>
      <c r="AB42" s="47"/>
    </row>
    <row r="43">
      <c r="A43" s="61"/>
      <c r="B43" s="62" t="s">
        <v>431</v>
      </c>
      <c r="E43" s="6">
        <v>64.0</v>
      </c>
      <c r="F43" s="6">
        <f>1125000*256</f>
        <v>288000000</v>
      </c>
      <c r="I43" s="10">
        <f>ROUNDUP(F43/(N43*O43*P43*Q43))</f>
        <v>1</v>
      </c>
      <c r="J43" s="10">
        <f>(4*E43+14)/E43</f>
        <v>4.21875</v>
      </c>
      <c r="K43" s="10">
        <f>(2*E43+26)/E43</f>
        <v>2.40625</v>
      </c>
      <c r="L43" s="10">
        <f>(6*E43+26)/E43</f>
        <v>6.40625</v>
      </c>
      <c r="M43" s="6">
        <v>2.52</v>
      </c>
      <c r="N43" s="6">
        <v>16.0</v>
      </c>
      <c r="O43" s="6">
        <v>8.0</v>
      </c>
      <c r="P43" s="6">
        <v>32.0</v>
      </c>
      <c r="Q43" s="6">
        <v>131072.0</v>
      </c>
      <c r="S43" s="10">
        <v>27.72</v>
      </c>
      <c r="T43" s="10">
        <v>28.98</v>
      </c>
      <c r="Y43" s="18">
        <f>E43*I43*J43*S43+E43*I43*K43*T43+E43*I43*L43*M43</f>
        <v>12980.52</v>
      </c>
      <c r="AA43" s="50">
        <f>736399000/28</f>
        <v>26299964.29</v>
      </c>
    </row>
  </sheetData>
  <mergeCells count="42">
    <mergeCell ref="N4:Q4"/>
    <mergeCell ref="N10:Q10"/>
    <mergeCell ref="N11:Q11"/>
    <mergeCell ref="N18:Q18"/>
    <mergeCell ref="N26:Q26"/>
    <mergeCell ref="N33:Q33"/>
    <mergeCell ref="N34:Q34"/>
    <mergeCell ref="N40:Q40"/>
    <mergeCell ref="A1:AB1"/>
    <mergeCell ref="N3:Q3"/>
    <mergeCell ref="C4:I4"/>
    <mergeCell ref="J4:K4"/>
    <mergeCell ref="S4:T4"/>
    <mergeCell ref="V4:X4"/>
    <mergeCell ref="A8:AB8"/>
    <mergeCell ref="N19:Q19"/>
    <mergeCell ref="S19:T19"/>
    <mergeCell ref="C11:I11"/>
    <mergeCell ref="J11:K11"/>
    <mergeCell ref="S11:T11"/>
    <mergeCell ref="V11:X11"/>
    <mergeCell ref="A16:AB16"/>
    <mergeCell ref="J19:K19"/>
    <mergeCell ref="V19:X19"/>
    <mergeCell ref="C19:I19"/>
    <mergeCell ref="A24:AB24"/>
    <mergeCell ref="J27:K27"/>
    <mergeCell ref="N27:Q27"/>
    <mergeCell ref="S27:T27"/>
    <mergeCell ref="V27:X27"/>
    <mergeCell ref="A31:AB31"/>
    <mergeCell ref="J41:K41"/>
    <mergeCell ref="N41:Q41"/>
    <mergeCell ref="S41:T41"/>
    <mergeCell ref="V41:X41"/>
    <mergeCell ref="C27:I27"/>
    <mergeCell ref="C34:I34"/>
    <mergeCell ref="J34:K34"/>
    <mergeCell ref="S34:T34"/>
    <mergeCell ref="V34:X34"/>
    <mergeCell ref="A38:AB38"/>
    <mergeCell ref="C41:I4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31.13"/>
    <col customWidth="1" min="3" max="3" width="21.13"/>
    <col customWidth="1" min="4" max="4" width="13.25"/>
    <col customWidth="1" min="5" max="5" width="6.13"/>
    <col customWidth="1" min="6" max="6" width="12.25"/>
    <col customWidth="1" min="7" max="7" width="12.38"/>
    <col customWidth="1" min="8" max="8" width="12.5"/>
    <col customWidth="1" min="9" max="9" width="12.13"/>
    <col customWidth="1" min="10" max="10" width="6.38"/>
    <col customWidth="1" min="11" max="11" width="13.13"/>
    <col customWidth="1" min="12" max="12" width="6.25"/>
    <col customWidth="1" min="13" max="13" width="10.63"/>
    <col customWidth="1" min="14" max="14" width="9.13"/>
    <col customWidth="1" min="15" max="15" width="12.75"/>
    <col customWidth="1" min="16" max="16" width="7.13"/>
    <col customWidth="1" min="17" max="17" width="6.5"/>
    <col customWidth="1" min="18" max="18" width="22.5"/>
    <col customWidth="1" min="19" max="20" width="11.63"/>
    <col customWidth="1" min="21" max="22" width="12.63"/>
    <col customWidth="1" min="23" max="23" width="7.63"/>
    <col customWidth="1" min="24" max="24" width="5.63"/>
    <col customWidth="1" min="25" max="25" width="14.13"/>
    <col customWidth="1" min="27" max="27" width="10.25"/>
    <col customWidth="1" min="29" max="29" width="7.63"/>
    <col customWidth="1" min="31" max="31" width="8.0"/>
  </cols>
  <sheetData>
    <row r="1">
      <c r="A1" s="19" t="s">
        <v>94</v>
      </c>
    </row>
    <row r="2">
      <c r="A2" s="20"/>
      <c r="B2" s="20"/>
      <c r="D2" s="6" t="s">
        <v>95</v>
      </c>
      <c r="F2" s="21" t="s">
        <v>96</v>
      </c>
      <c r="H2" s="21" t="s">
        <v>96</v>
      </c>
      <c r="I2" s="6" t="s">
        <v>95</v>
      </c>
      <c r="Y2" s="18"/>
      <c r="AA2" s="18"/>
    </row>
    <row r="3">
      <c r="A3" s="22" t="s">
        <v>185</v>
      </c>
      <c r="B3" s="22" t="s">
        <v>472</v>
      </c>
      <c r="C3" s="23" t="s">
        <v>473</v>
      </c>
      <c r="D3" s="24" t="s">
        <v>474</v>
      </c>
      <c r="E3" s="25"/>
      <c r="F3" s="26" t="s">
        <v>475</v>
      </c>
      <c r="G3" s="27" t="s">
        <v>100</v>
      </c>
      <c r="H3" s="26" t="s">
        <v>476</v>
      </c>
      <c r="I3" s="26" t="s">
        <v>477</v>
      </c>
      <c r="J3" s="28"/>
      <c r="K3" s="28"/>
      <c r="L3" s="28"/>
      <c r="M3" s="28"/>
      <c r="N3" s="51" t="s">
        <v>478</v>
      </c>
      <c r="R3" s="26" t="s">
        <v>479</v>
      </c>
      <c r="S3" s="26" t="s">
        <v>480</v>
      </c>
      <c r="T3" s="26"/>
      <c r="U3" s="30"/>
      <c r="V3" s="30" t="s">
        <v>481</v>
      </c>
      <c r="Y3" s="18"/>
      <c r="AA3" s="18"/>
      <c r="AB3" s="31"/>
      <c r="AC3" s="31"/>
    </row>
    <row r="4">
      <c r="A4" s="20"/>
      <c r="B4" s="20"/>
      <c r="C4" s="32" t="s">
        <v>106</v>
      </c>
      <c r="D4" s="33"/>
      <c r="E4" s="33"/>
      <c r="F4" s="33"/>
      <c r="G4" s="33"/>
      <c r="H4" s="33"/>
      <c r="I4" s="34"/>
      <c r="J4" s="35"/>
      <c r="K4" s="34"/>
      <c r="L4" s="36"/>
      <c r="M4" s="36"/>
      <c r="N4" s="37" t="s">
        <v>107</v>
      </c>
      <c r="O4" s="33"/>
      <c r="P4" s="33"/>
      <c r="Q4" s="34"/>
      <c r="R4" s="38" t="s">
        <v>108</v>
      </c>
      <c r="S4" s="33"/>
      <c r="T4" s="33"/>
      <c r="U4" s="34"/>
      <c r="V4" s="39" t="s">
        <v>109</v>
      </c>
      <c r="W4" s="33"/>
      <c r="X4" s="34"/>
      <c r="Y4" s="18"/>
      <c r="AA4" s="18"/>
    </row>
    <row r="5">
      <c r="A5" s="40"/>
      <c r="B5" s="40"/>
      <c r="C5" s="41" t="s">
        <v>110</v>
      </c>
      <c r="D5" s="42" t="s">
        <v>111</v>
      </c>
      <c r="E5" s="43" t="s">
        <v>112</v>
      </c>
      <c r="F5" s="44" t="s">
        <v>113</v>
      </c>
      <c r="G5" s="41" t="s">
        <v>114</v>
      </c>
      <c r="H5" s="41" t="s">
        <v>115</v>
      </c>
      <c r="I5" s="45" t="s">
        <v>116</v>
      </c>
      <c r="J5" s="43" t="s">
        <v>117</v>
      </c>
      <c r="K5" s="43" t="s">
        <v>118</v>
      </c>
      <c r="L5" s="43" t="s">
        <v>119</v>
      </c>
      <c r="M5" s="43" t="s">
        <v>120</v>
      </c>
      <c r="N5" s="44" t="s">
        <v>121</v>
      </c>
      <c r="O5" s="44" t="s">
        <v>122</v>
      </c>
      <c r="P5" s="44" t="s">
        <v>123</v>
      </c>
      <c r="Q5" s="44" t="s">
        <v>124</v>
      </c>
      <c r="R5" s="43" t="s">
        <v>125</v>
      </c>
      <c r="S5" s="43" t="s">
        <v>126</v>
      </c>
      <c r="T5" s="6" t="s">
        <v>196</v>
      </c>
      <c r="U5" s="43" t="s">
        <v>197</v>
      </c>
      <c r="V5" s="43" t="s">
        <v>127</v>
      </c>
      <c r="W5" s="43" t="s">
        <v>128</v>
      </c>
      <c r="X5" s="43" t="s">
        <v>129</v>
      </c>
      <c r="Y5" s="50" t="s">
        <v>198</v>
      </c>
      <c r="AA5" s="46" t="s">
        <v>199</v>
      </c>
      <c r="AB5" s="47"/>
      <c r="AC5" s="43" t="s">
        <v>132</v>
      </c>
    </row>
    <row r="6">
      <c r="A6" s="52" t="s">
        <v>482</v>
      </c>
      <c r="B6" s="48" t="s">
        <v>201</v>
      </c>
      <c r="E6" s="6">
        <v>32.0</v>
      </c>
      <c r="I6" s="6">
        <v>2.0</v>
      </c>
      <c r="N6" s="6">
        <v>16.0</v>
      </c>
      <c r="O6" s="6">
        <v>8.0</v>
      </c>
      <c r="P6" s="6">
        <v>32.0</v>
      </c>
      <c r="Q6" s="6">
        <v>131072.0</v>
      </c>
      <c r="R6" s="10">
        <v>27.72</v>
      </c>
      <c r="S6" s="10">
        <v>28.98</v>
      </c>
      <c r="T6" s="6">
        <v>2.52</v>
      </c>
      <c r="U6" s="6">
        <v>4096.0</v>
      </c>
      <c r="Y6" s="18">
        <f>I6*E6*T6*U6</f>
        <v>660602.88</v>
      </c>
      <c r="AA6" s="50">
        <v>1.7625E8</v>
      </c>
    </row>
    <row r="7">
      <c r="B7" s="48" t="s">
        <v>202</v>
      </c>
      <c r="E7" s="6">
        <v>32.0</v>
      </c>
      <c r="F7" s="6">
        <v>1.6777216E8</v>
      </c>
      <c r="I7" s="10">
        <f>F7/(N7*O7*P7*Q7)</f>
        <v>0.3125</v>
      </c>
      <c r="J7" s="10">
        <f>2*E7*E7/E7</f>
        <v>64</v>
      </c>
      <c r="K7" s="10">
        <f>E7*E7/E7</f>
        <v>32</v>
      </c>
      <c r="L7" s="10">
        <f>5*E7*E7/E7</f>
        <v>160</v>
      </c>
      <c r="M7" s="6">
        <v>2.52</v>
      </c>
      <c r="N7" s="6">
        <v>16.0</v>
      </c>
      <c r="O7" s="6">
        <v>8.0</v>
      </c>
      <c r="P7" s="6">
        <v>32.0</v>
      </c>
      <c r="Q7" s="6">
        <v>131072.0</v>
      </c>
      <c r="R7" s="10">
        <v>27.72</v>
      </c>
      <c r="S7" s="10">
        <v>28.98</v>
      </c>
      <c r="Y7" s="18">
        <f>E7*I7*J7*R7+E7*I7*K7*S7+E7*I7*L7*M7</f>
        <v>31046.4</v>
      </c>
      <c r="AA7" s="18"/>
    </row>
    <row r="8">
      <c r="B8" s="53" t="s">
        <v>203</v>
      </c>
      <c r="F8" s="6">
        <v>1.6777216E8</v>
      </c>
      <c r="I8" s="10">
        <f>(F8/Q8/(N8*O8))</f>
        <v>10</v>
      </c>
      <c r="N8" s="6">
        <v>16.0</v>
      </c>
      <c r="O8" s="6">
        <v>8.0</v>
      </c>
      <c r="P8" s="6">
        <v>32.0</v>
      </c>
      <c r="Q8" s="6">
        <v>131072.0</v>
      </c>
      <c r="U8" s="6"/>
      <c r="V8" s="6">
        <v>10.0</v>
      </c>
      <c r="W8" s="6">
        <v>131072.0</v>
      </c>
      <c r="X8" s="6">
        <v>32000.0</v>
      </c>
      <c r="Y8" s="18">
        <f>(V8*W8/(X8*10^6)*10^9)*I8</f>
        <v>409600</v>
      </c>
      <c r="AA8" s="18"/>
    </row>
    <row r="9">
      <c r="Y9" s="18">
        <f>sum(Y6:Y8) * 3</f>
        <v>3303747.84</v>
      </c>
      <c r="AA9" s="18">
        <f>AA6/Y9</f>
        <v>53.34850253</v>
      </c>
    </row>
    <row r="10">
      <c r="Y10" s="18"/>
      <c r="AA10" s="18"/>
    </row>
    <row r="11">
      <c r="A11" s="19" t="s">
        <v>134</v>
      </c>
    </row>
    <row r="12">
      <c r="A12" s="20"/>
      <c r="B12" s="20"/>
      <c r="D12" s="6" t="s">
        <v>95</v>
      </c>
      <c r="F12" s="21" t="s">
        <v>96</v>
      </c>
      <c r="H12" s="21" t="s">
        <v>96</v>
      </c>
      <c r="I12" s="6" t="s">
        <v>95</v>
      </c>
      <c r="Y12" s="18"/>
      <c r="AA12" s="18"/>
    </row>
    <row r="13">
      <c r="A13" s="22" t="s">
        <v>185</v>
      </c>
      <c r="B13" s="22" t="s">
        <v>483</v>
      </c>
      <c r="C13" s="23" t="s">
        <v>484</v>
      </c>
      <c r="D13" s="24" t="s">
        <v>485</v>
      </c>
      <c r="E13" s="25"/>
      <c r="F13" s="26" t="s">
        <v>475</v>
      </c>
      <c r="G13" s="27" t="s">
        <v>100</v>
      </c>
      <c r="H13" s="26" t="s">
        <v>486</v>
      </c>
      <c r="I13" s="26" t="s">
        <v>487</v>
      </c>
      <c r="J13" s="28"/>
      <c r="K13" s="28"/>
      <c r="L13" s="28"/>
      <c r="M13" s="28"/>
      <c r="N13" s="51" t="s">
        <v>488</v>
      </c>
      <c r="R13" s="26" t="s">
        <v>489</v>
      </c>
      <c r="S13" s="26" t="s">
        <v>490</v>
      </c>
      <c r="T13" s="26"/>
      <c r="U13" s="30"/>
      <c r="V13" s="30" t="s">
        <v>491</v>
      </c>
      <c r="Y13" s="18"/>
      <c r="AA13" s="18"/>
      <c r="AB13" s="31"/>
      <c r="AC13" s="31"/>
    </row>
    <row r="14">
      <c r="A14" s="20"/>
      <c r="B14" s="20"/>
      <c r="C14" s="32" t="s">
        <v>106</v>
      </c>
      <c r="D14" s="33"/>
      <c r="E14" s="33"/>
      <c r="F14" s="33"/>
      <c r="G14" s="33"/>
      <c r="H14" s="33"/>
      <c r="I14" s="34"/>
      <c r="J14" s="35"/>
      <c r="K14" s="34"/>
      <c r="L14" s="36"/>
      <c r="M14" s="36"/>
      <c r="N14" s="37" t="s">
        <v>107</v>
      </c>
      <c r="O14" s="33"/>
      <c r="P14" s="33"/>
      <c r="Q14" s="34"/>
      <c r="R14" s="38" t="s">
        <v>108</v>
      </c>
      <c r="S14" s="33"/>
      <c r="T14" s="33"/>
      <c r="U14" s="34"/>
      <c r="V14" s="39" t="s">
        <v>109</v>
      </c>
      <c r="W14" s="33"/>
      <c r="X14" s="34"/>
      <c r="Y14" s="18"/>
      <c r="AA14" s="18"/>
    </row>
    <row r="15">
      <c r="A15" s="40"/>
      <c r="B15" s="40"/>
      <c r="C15" s="41" t="s">
        <v>110</v>
      </c>
      <c r="D15" s="42" t="s">
        <v>111</v>
      </c>
      <c r="E15" s="43" t="s">
        <v>112</v>
      </c>
      <c r="F15" s="44" t="s">
        <v>113</v>
      </c>
      <c r="G15" s="41" t="s">
        <v>114</v>
      </c>
      <c r="H15" s="41" t="s">
        <v>115</v>
      </c>
      <c r="I15" s="45" t="s">
        <v>116</v>
      </c>
      <c r="J15" s="43" t="s">
        <v>117</v>
      </c>
      <c r="K15" s="43" t="s">
        <v>118</v>
      </c>
      <c r="L15" s="43" t="s">
        <v>119</v>
      </c>
      <c r="M15" s="43" t="s">
        <v>120</v>
      </c>
      <c r="N15" s="44" t="s">
        <v>121</v>
      </c>
      <c r="O15" s="44" t="s">
        <v>122</v>
      </c>
      <c r="P15" s="44" t="s">
        <v>123</v>
      </c>
      <c r="Q15" s="44" t="s">
        <v>124</v>
      </c>
      <c r="R15" s="43" t="s">
        <v>125</v>
      </c>
      <c r="S15" s="43" t="s">
        <v>126</v>
      </c>
      <c r="T15" s="6" t="s">
        <v>196</v>
      </c>
      <c r="U15" s="43" t="s">
        <v>197</v>
      </c>
      <c r="V15" s="43" t="s">
        <v>127</v>
      </c>
      <c r="W15" s="43" t="s">
        <v>128</v>
      </c>
      <c r="X15" s="43" t="s">
        <v>129</v>
      </c>
      <c r="Y15" s="50" t="s">
        <v>198</v>
      </c>
      <c r="AA15" s="46" t="s">
        <v>199</v>
      </c>
      <c r="AB15" s="47"/>
      <c r="AC15" s="43" t="s">
        <v>132</v>
      </c>
    </row>
    <row r="16">
      <c r="A16" s="52" t="s">
        <v>492</v>
      </c>
      <c r="B16" s="48" t="s">
        <v>201</v>
      </c>
      <c r="E16" s="6">
        <v>32.0</v>
      </c>
      <c r="I16" s="6">
        <v>2.0</v>
      </c>
      <c r="N16" s="6">
        <v>16.0</v>
      </c>
      <c r="O16" s="6">
        <v>8.0</v>
      </c>
      <c r="P16" s="6">
        <v>32.0</v>
      </c>
      <c r="Q16" s="6">
        <v>131072.0</v>
      </c>
      <c r="R16" s="10">
        <v>27.72</v>
      </c>
      <c r="S16" s="10">
        <v>28.98</v>
      </c>
      <c r="T16" s="6">
        <v>2.52</v>
      </c>
      <c r="U16" s="6">
        <v>4096.0</v>
      </c>
      <c r="Y16" s="18">
        <f>I16*E16*T16*U16</f>
        <v>660602.88</v>
      </c>
      <c r="AA16" s="50">
        <v>1.7625E8</v>
      </c>
    </row>
    <row r="17">
      <c r="B17" s="48"/>
      <c r="E17" s="6"/>
      <c r="F17" s="6"/>
      <c r="J17" s="56" t="s">
        <v>142</v>
      </c>
      <c r="K17" s="56" t="s">
        <v>143</v>
      </c>
      <c r="M17" s="6"/>
      <c r="Y17" s="18"/>
      <c r="AA17" s="18"/>
    </row>
    <row r="18">
      <c r="B18" s="48" t="s">
        <v>215</v>
      </c>
      <c r="E18" s="6">
        <v>32.0</v>
      </c>
      <c r="F18" s="6">
        <v>1.6777216E8</v>
      </c>
      <c r="I18" s="10">
        <f>F18/(N18*O18*P18*Q18)</f>
        <v>0.3125</v>
      </c>
      <c r="J18" s="10">
        <f>(11*E18*E18-5*E18-1)/E18</f>
        <v>346.96875</v>
      </c>
      <c r="K18" s="6">
        <v>53.14</v>
      </c>
      <c r="N18" s="6">
        <v>16.0</v>
      </c>
      <c r="O18" s="6">
        <v>8.0</v>
      </c>
      <c r="P18" s="6">
        <v>32.0</v>
      </c>
      <c r="Q18" s="6">
        <v>131072.0</v>
      </c>
      <c r="R18" s="10">
        <v>27.72</v>
      </c>
      <c r="S18" s="10">
        <v>28.98</v>
      </c>
      <c r="Y18" s="18">
        <f>E18*I18*J18*K18</f>
        <v>184379.1938</v>
      </c>
      <c r="AA18" s="18"/>
    </row>
    <row r="19">
      <c r="B19" s="53" t="s">
        <v>203</v>
      </c>
      <c r="F19" s="6">
        <v>1.6777216E8</v>
      </c>
      <c r="I19" s="10">
        <f>(F19/Q19/(N19*O19))</f>
        <v>10</v>
      </c>
      <c r="N19" s="6">
        <v>16.0</v>
      </c>
      <c r="O19" s="6">
        <v>8.0</v>
      </c>
      <c r="P19" s="6">
        <v>32.0</v>
      </c>
      <c r="Q19" s="6">
        <v>131072.0</v>
      </c>
      <c r="U19" s="6"/>
      <c r="V19" s="6">
        <v>10.0</v>
      </c>
      <c r="W19" s="6">
        <v>131072.0</v>
      </c>
      <c r="X19" s="6">
        <v>32000.0</v>
      </c>
      <c r="Y19" s="18">
        <f>(V19*W19/(X19*10^6)*10^9)*I19</f>
        <v>409600</v>
      </c>
      <c r="AA19" s="18"/>
    </row>
    <row r="20">
      <c r="Y20" s="18">
        <f>sum(Y16:Y19) * 3</f>
        <v>3763746.221</v>
      </c>
      <c r="AA20" s="18">
        <f>AA16/Y20</f>
        <v>46.82834326</v>
      </c>
    </row>
    <row r="21">
      <c r="Y21" s="18"/>
      <c r="AA21" s="18"/>
    </row>
    <row r="22">
      <c r="A22" s="75" t="s">
        <v>493</v>
      </c>
      <c r="AE22" s="76"/>
    </row>
    <row r="23">
      <c r="A23" s="76"/>
      <c r="B23" s="76"/>
      <c r="C23" s="76"/>
      <c r="D23" s="76" t="s">
        <v>95</v>
      </c>
      <c r="E23" s="76"/>
      <c r="F23" s="77" t="s">
        <v>96</v>
      </c>
      <c r="G23" s="76"/>
      <c r="H23" s="77" t="s">
        <v>96</v>
      </c>
      <c r="I23" s="76" t="s">
        <v>95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8"/>
      <c r="Z23" s="76"/>
      <c r="AA23" s="78"/>
      <c r="AB23" s="76"/>
      <c r="AC23" s="76"/>
      <c r="AD23" s="76"/>
      <c r="AE23" s="76"/>
    </row>
    <row r="24">
      <c r="A24" s="79" t="s">
        <v>185</v>
      </c>
      <c r="B24" s="80" t="s">
        <v>494</v>
      </c>
      <c r="C24" s="81" t="s">
        <v>495</v>
      </c>
      <c r="D24" s="82" t="s">
        <v>496</v>
      </c>
      <c r="E24" s="83"/>
      <c r="F24" s="84" t="s">
        <v>475</v>
      </c>
      <c r="G24" s="85" t="s">
        <v>100</v>
      </c>
      <c r="H24" s="86" t="s">
        <v>497</v>
      </c>
      <c r="I24" s="87" t="s">
        <v>498</v>
      </c>
      <c r="J24" s="83"/>
      <c r="K24" s="83"/>
      <c r="L24" s="83"/>
      <c r="M24" s="83"/>
      <c r="N24" s="88" t="s">
        <v>499</v>
      </c>
      <c r="O24" s="89"/>
      <c r="P24" s="89"/>
      <c r="Q24" s="89"/>
      <c r="R24" s="86" t="s">
        <v>500</v>
      </c>
      <c r="S24" s="84" t="s">
        <v>501</v>
      </c>
      <c r="T24" s="84"/>
      <c r="U24" s="83"/>
      <c r="V24" s="90" t="s">
        <v>502</v>
      </c>
      <c r="W24" s="83"/>
      <c r="X24" s="83"/>
      <c r="Y24" s="78"/>
      <c r="Z24" s="76"/>
      <c r="AA24" s="78"/>
      <c r="AB24" s="76"/>
      <c r="AC24" s="76"/>
      <c r="AD24" s="76"/>
      <c r="AE24" s="76"/>
    </row>
    <row r="25">
      <c r="A25" s="76"/>
      <c r="B25" s="91"/>
      <c r="C25" s="92" t="s">
        <v>106</v>
      </c>
      <c r="D25" s="89"/>
      <c r="E25" s="89"/>
      <c r="F25" s="89"/>
      <c r="G25" s="89"/>
      <c r="H25" s="89"/>
      <c r="I25" s="93"/>
      <c r="J25" s="94"/>
      <c r="K25" s="93"/>
      <c r="L25" s="95"/>
      <c r="M25" s="95"/>
      <c r="N25" s="96" t="s">
        <v>107</v>
      </c>
      <c r="O25" s="89"/>
      <c r="P25" s="89"/>
      <c r="Q25" s="93"/>
      <c r="R25" s="97" t="s">
        <v>108</v>
      </c>
      <c r="S25" s="89"/>
      <c r="T25" s="89"/>
      <c r="U25" s="93"/>
      <c r="V25" s="98" t="s">
        <v>109</v>
      </c>
      <c r="W25" s="89"/>
      <c r="X25" s="93"/>
      <c r="Y25" s="78"/>
      <c r="Z25" s="76"/>
      <c r="AA25" s="78"/>
      <c r="AB25" s="76"/>
      <c r="AC25" s="76"/>
      <c r="AD25" s="76"/>
      <c r="AE25" s="76"/>
    </row>
    <row r="26">
      <c r="A26" s="76"/>
      <c r="B26" s="76"/>
      <c r="C26" s="99" t="s">
        <v>110</v>
      </c>
      <c r="D26" s="100" t="s">
        <v>111</v>
      </c>
      <c r="E26" s="76" t="s">
        <v>112</v>
      </c>
      <c r="F26" s="101" t="s">
        <v>113</v>
      </c>
      <c r="G26" s="102" t="s">
        <v>114</v>
      </c>
      <c r="H26" s="99" t="s">
        <v>115</v>
      </c>
      <c r="I26" s="103" t="s">
        <v>116</v>
      </c>
      <c r="J26" s="76" t="s">
        <v>117</v>
      </c>
      <c r="K26" s="76" t="s">
        <v>118</v>
      </c>
      <c r="L26" s="76" t="s">
        <v>119</v>
      </c>
      <c r="M26" s="76" t="s">
        <v>120</v>
      </c>
      <c r="N26" s="101" t="s">
        <v>121</v>
      </c>
      <c r="O26" s="101" t="s">
        <v>122</v>
      </c>
      <c r="P26" s="101" t="s">
        <v>123</v>
      </c>
      <c r="Q26" s="101" t="s">
        <v>124</v>
      </c>
      <c r="R26" s="76" t="s">
        <v>125</v>
      </c>
      <c r="S26" s="76" t="s">
        <v>126</v>
      </c>
      <c r="T26" s="76" t="s">
        <v>196</v>
      </c>
      <c r="U26" s="76" t="s">
        <v>197</v>
      </c>
      <c r="V26" s="76" t="s">
        <v>127</v>
      </c>
      <c r="W26" s="76" t="s">
        <v>128</v>
      </c>
      <c r="X26" s="76" t="s">
        <v>129</v>
      </c>
      <c r="Y26" s="78" t="s">
        <v>198</v>
      </c>
      <c r="Z26" s="76"/>
      <c r="AA26" s="104" t="s">
        <v>199</v>
      </c>
      <c r="AB26" s="76"/>
      <c r="AC26" s="76" t="s">
        <v>132</v>
      </c>
      <c r="AD26" s="76"/>
      <c r="AE26" s="76"/>
    </row>
    <row r="27">
      <c r="A27" s="105" t="s">
        <v>503</v>
      </c>
      <c r="B27" s="106" t="s">
        <v>201</v>
      </c>
      <c r="C27" s="76"/>
      <c r="D27" s="76"/>
      <c r="E27" s="107">
        <v>32.0</v>
      </c>
      <c r="F27" s="76"/>
      <c r="G27" s="76"/>
      <c r="H27" s="76"/>
      <c r="I27" s="107">
        <v>2.0</v>
      </c>
      <c r="J27" s="76"/>
      <c r="K27" s="76"/>
      <c r="L27" s="76"/>
      <c r="M27" s="76"/>
      <c r="N27" s="107">
        <v>16.0</v>
      </c>
      <c r="O27" s="6">
        <v>8.0</v>
      </c>
      <c r="P27" s="6">
        <v>32.0</v>
      </c>
      <c r="Q27" s="6">
        <v>131072.0</v>
      </c>
      <c r="R27" s="107">
        <v>27.72</v>
      </c>
      <c r="S27" s="107">
        <v>28.98</v>
      </c>
      <c r="T27" s="107">
        <v>2.52</v>
      </c>
      <c r="U27" s="107">
        <v>4096.0</v>
      </c>
      <c r="V27" s="76"/>
      <c r="W27" s="76"/>
      <c r="X27" s="76"/>
      <c r="Y27" s="108">
        <f>I27*E27*T27*U27</f>
        <v>660602.88</v>
      </c>
      <c r="Z27" s="76"/>
      <c r="AA27" s="108">
        <v>1.7625E8</v>
      </c>
      <c r="AB27" s="76"/>
      <c r="AC27" s="76"/>
      <c r="AD27" s="76"/>
      <c r="AE27" s="76"/>
    </row>
    <row r="28">
      <c r="A28" s="76"/>
      <c r="B28" s="109" t="s">
        <v>202</v>
      </c>
      <c r="C28" s="76"/>
      <c r="D28" s="76"/>
      <c r="E28" s="107">
        <v>32.0</v>
      </c>
      <c r="F28" s="107">
        <v>1.6777216E8</v>
      </c>
      <c r="G28" s="76"/>
      <c r="H28" s="76"/>
      <c r="I28" s="107">
        <f>F28/(N28*O28*P28*Q28)</f>
        <v>0.3125</v>
      </c>
      <c r="J28" s="107">
        <f>1.3*E28*E28/E28</f>
        <v>41.6</v>
      </c>
      <c r="K28" s="107">
        <f>0.7*E28*E28/E28</f>
        <v>22.4</v>
      </c>
      <c r="L28" s="107">
        <f>1.6*E28*E28/E28</f>
        <v>51.2</v>
      </c>
      <c r="M28" s="110">
        <v>2.52</v>
      </c>
      <c r="N28" s="107">
        <v>16.0</v>
      </c>
      <c r="O28" s="6">
        <v>8.0</v>
      </c>
      <c r="P28" s="6">
        <v>32.0</v>
      </c>
      <c r="Q28" s="6">
        <v>131072.0</v>
      </c>
      <c r="R28" s="107">
        <v>27.72</v>
      </c>
      <c r="S28" s="107">
        <v>28.98</v>
      </c>
      <c r="T28" s="76"/>
      <c r="U28" s="76"/>
      <c r="V28" s="76"/>
      <c r="W28" s="76"/>
      <c r="X28" s="76"/>
      <c r="Y28" s="108">
        <f>E28*I28*J28*R28+E28*I28*K28*S28+E28*I28*L28*M28</f>
        <v>19313.28</v>
      </c>
      <c r="Z28" s="76"/>
      <c r="AA28" s="78"/>
      <c r="AB28" s="76"/>
      <c r="AC28" s="76"/>
      <c r="AD28" s="76"/>
      <c r="AE28" s="76"/>
    </row>
    <row r="29">
      <c r="A29" s="76"/>
      <c r="B29" s="111" t="s">
        <v>203</v>
      </c>
      <c r="C29" s="76"/>
      <c r="D29" s="76"/>
      <c r="E29" s="76"/>
      <c r="F29" s="107">
        <v>1.6777216E8</v>
      </c>
      <c r="G29" s="76"/>
      <c r="H29" s="76"/>
      <c r="I29" s="107">
        <f>(F29/Q29/(N29*O29))</f>
        <v>10</v>
      </c>
      <c r="J29" s="76"/>
      <c r="K29" s="76"/>
      <c r="L29" s="76"/>
      <c r="M29" s="76"/>
      <c r="N29" s="107">
        <v>16.0</v>
      </c>
      <c r="O29" s="6">
        <v>8.0</v>
      </c>
      <c r="P29" s="6">
        <v>32.0</v>
      </c>
      <c r="Q29" s="6">
        <v>131072.0</v>
      </c>
      <c r="R29" s="76"/>
      <c r="S29" s="76"/>
      <c r="T29" s="76"/>
      <c r="U29" s="76"/>
      <c r="V29" s="107">
        <v>10.0</v>
      </c>
      <c r="W29" s="110">
        <v>131072.0</v>
      </c>
      <c r="X29" s="107">
        <v>32000.0</v>
      </c>
      <c r="Y29" s="108">
        <f>(V29*W29/(X29*10^6)*10^9)*I29</f>
        <v>409600</v>
      </c>
      <c r="Z29" s="76"/>
      <c r="AA29" s="78"/>
      <c r="AB29" s="76"/>
      <c r="AC29" s="76"/>
      <c r="AD29" s="76"/>
      <c r="AE29" s="7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108">
        <f>sum(Y27:Y29) * 3</f>
        <v>3268548.48</v>
      </c>
      <c r="Z30" s="76"/>
      <c r="AA30" s="108">
        <f>AA27/Y30</f>
        <v>53.92301845</v>
      </c>
      <c r="AB30" s="76"/>
      <c r="AC30" s="76"/>
      <c r="AD30" s="76"/>
      <c r="AE30" s="7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8"/>
      <c r="Z31" s="76"/>
      <c r="AA31" s="78"/>
      <c r="AB31" s="76"/>
      <c r="AC31" s="76"/>
      <c r="AD31" s="76"/>
      <c r="AE31" s="76"/>
    </row>
    <row r="32">
      <c r="A32" s="19" t="s">
        <v>226</v>
      </c>
    </row>
    <row r="33">
      <c r="A33" s="20"/>
      <c r="B33" s="20"/>
      <c r="D33" s="6" t="s">
        <v>95</v>
      </c>
      <c r="F33" s="21" t="s">
        <v>96</v>
      </c>
      <c r="H33" s="21" t="s">
        <v>96</v>
      </c>
      <c r="I33" s="6" t="s">
        <v>95</v>
      </c>
      <c r="Y33" s="18"/>
      <c r="AA33" s="18"/>
    </row>
    <row r="34">
      <c r="A34" s="22" t="s">
        <v>185</v>
      </c>
      <c r="B34" s="22" t="s">
        <v>504</v>
      </c>
      <c r="C34" s="23" t="s">
        <v>505</v>
      </c>
      <c r="D34" s="24" t="s">
        <v>506</v>
      </c>
      <c r="E34" s="25"/>
      <c r="F34" s="26" t="s">
        <v>475</v>
      </c>
      <c r="G34" s="27" t="s">
        <v>100</v>
      </c>
      <c r="H34" s="26" t="s">
        <v>507</v>
      </c>
      <c r="I34" s="26" t="s">
        <v>508</v>
      </c>
      <c r="J34" s="28"/>
      <c r="K34" s="28"/>
      <c r="L34" s="28"/>
      <c r="M34" s="28"/>
      <c r="N34" s="51" t="s">
        <v>509</v>
      </c>
      <c r="R34" s="26" t="s">
        <v>510</v>
      </c>
      <c r="S34" s="26" t="s">
        <v>511</v>
      </c>
      <c r="T34" s="26"/>
      <c r="U34" s="30"/>
      <c r="V34" s="30" t="s">
        <v>512</v>
      </c>
      <c r="Y34" s="18"/>
      <c r="AA34" s="18"/>
      <c r="AB34" s="31"/>
      <c r="AC34" s="31"/>
    </row>
    <row r="35">
      <c r="A35" s="20"/>
      <c r="B35" s="20"/>
      <c r="C35" s="32" t="s">
        <v>106</v>
      </c>
      <c r="D35" s="33"/>
      <c r="E35" s="33"/>
      <c r="F35" s="33"/>
      <c r="G35" s="33"/>
      <c r="H35" s="33"/>
      <c r="I35" s="34"/>
      <c r="J35" s="35"/>
      <c r="K35" s="34"/>
      <c r="L35" s="36"/>
      <c r="M35" s="36"/>
      <c r="N35" s="37" t="s">
        <v>107</v>
      </c>
      <c r="O35" s="33"/>
      <c r="P35" s="33"/>
      <c r="Q35" s="34"/>
      <c r="R35" s="38" t="s">
        <v>108</v>
      </c>
      <c r="S35" s="33"/>
      <c r="T35" s="33"/>
      <c r="U35" s="34"/>
      <c r="V35" s="39" t="s">
        <v>109</v>
      </c>
      <c r="W35" s="33"/>
      <c r="X35" s="34"/>
      <c r="Y35" s="18"/>
      <c r="AA35" s="18"/>
    </row>
    <row r="36">
      <c r="A36" s="40"/>
      <c r="B36" s="40"/>
      <c r="C36" s="41" t="s">
        <v>110</v>
      </c>
      <c r="D36" s="42" t="s">
        <v>111</v>
      </c>
      <c r="E36" s="43" t="s">
        <v>112</v>
      </c>
      <c r="F36" s="44" t="s">
        <v>113</v>
      </c>
      <c r="G36" s="41" t="s">
        <v>114</v>
      </c>
      <c r="H36" s="41" t="s">
        <v>115</v>
      </c>
      <c r="I36" s="45" t="s">
        <v>116</v>
      </c>
      <c r="J36" s="43" t="s">
        <v>117</v>
      </c>
      <c r="K36" s="43" t="s">
        <v>118</v>
      </c>
      <c r="L36" s="43" t="s">
        <v>119</v>
      </c>
      <c r="M36" s="43" t="s">
        <v>120</v>
      </c>
      <c r="N36" s="44" t="s">
        <v>121</v>
      </c>
      <c r="O36" s="44" t="s">
        <v>122</v>
      </c>
      <c r="P36" s="44" t="s">
        <v>123</v>
      </c>
      <c r="Q36" s="44" t="s">
        <v>124</v>
      </c>
      <c r="R36" s="43" t="s">
        <v>125</v>
      </c>
      <c r="S36" s="43" t="s">
        <v>126</v>
      </c>
      <c r="T36" s="6" t="s">
        <v>196</v>
      </c>
      <c r="U36" s="43" t="s">
        <v>197</v>
      </c>
      <c r="V36" s="43" t="s">
        <v>127</v>
      </c>
      <c r="W36" s="43" t="s">
        <v>128</v>
      </c>
      <c r="X36" s="43" t="s">
        <v>129</v>
      </c>
      <c r="Y36" s="50" t="s">
        <v>198</v>
      </c>
      <c r="AA36" s="46" t="s">
        <v>199</v>
      </c>
      <c r="AB36" s="47"/>
      <c r="AC36" s="43" t="s">
        <v>132</v>
      </c>
    </row>
    <row r="37">
      <c r="A37" s="52" t="s">
        <v>513</v>
      </c>
      <c r="B37" s="48" t="s">
        <v>201</v>
      </c>
      <c r="E37" s="6">
        <v>32.0</v>
      </c>
      <c r="I37" s="6">
        <v>2.0</v>
      </c>
      <c r="N37" s="6">
        <v>16.0</v>
      </c>
      <c r="O37" s="6">
        <v>8.0</v>
      </c>
      <c r="P37" s="6">
        <v>2.0</v>
      </c>
      <c r="Q37" s="6">
        <v>131072.0</v>
      </c>
      <c r="R37" s="10">
        <v>27.72</v>
      </c>
      <c r="S37" s="10">
        <v>28.98</v>
      </c>
      <c r="T37" s="6">
        <v>2.52</v>
      </c>
      <c r="U37" s="6">
        <v>4096.0</v>
      </c>
      <c r="Y37" s="18">
        <f>I37*E37*T37*U37</f>
        <v>660602.88</v>
      </c>
      <c r="AA37" s="50">
        <v>1.7625E8</v>
      </c>
    </row>
    <row r="38">
      <c r="B38" s="48" t="s">
        <v>202</v>
      </c>
      <c r="E38" s="6">
        <v>32.0</v>
      </c>
      <c r="F38" s="6">
        <v>1.6777216E8</v>
      </c>
      <c r="I38" s="10">
        <f>F38/(N38*O38*P38*Q38)</f>
        <v>5</v>
      </c>
      <c r="J38" s="10">
        <f>15.2*E38*E38/E38</f>
        <v>486.4</v>
      </c>
      <c r="K38" s="10">
        <f>8.62*E38*E38/E38</f>
        <v>275.84</v>
      </c>
      <c r="L38" s="10">
        <f>17.1*E38*E38/E38</f>
        <v>547.2</v>
      </c>
      <c r="M38" s="6">
        <v>2.52</v>
      </c>
      <c r="N38" s="6">
        <v>16.0</v>
      </c>
      <c r="O38" s="6">
        <v>8.0</v>
      </c>
      <c r="P38" s="6">
        <v>2.0</v>
      </c>
      <c r="Q38" s="6">
        <v>131072.0</v>
      </c>
      <c r="R38" s="10">
        <v>27.72</v>
      </c>
      <c r="S38" s="10">
        <v>28.98</v>
      </c>
      <c r="Y38" s="18">
        <f>E38*I38*J38*R38+E38*I38*K38*S38+E38*I38*L38*M38</f>
        <v>3656927.232</v>
      </c>
      <c r="AA38" s="18"/>
    </row>
    <row r="39">
      <c r="B39" s="53" t="s">
        <v>203</v>
      </c>
      <c r="F39" s="6">
        <v>1.6777216E8</v>
      </c>
      <c r="I39" s="10">
        <f>(F39/Q39/(N39*O39))</f>
        <v>10</v>
      </c>
      <c r="N39" s="6">
        <v>16.0</v>
      </c>
      <c r="O39" s="6">
        <v>8.0</v>
      </c>
      <c r="P39" s="6">
        <v>2.0</v>
      </c>
      <c r="Q39" s="6">
        <v>131072.0</v>
      </c>
      <c r="U39" s="6"/>
      <c r="V39" s="6">
        <v>10.0</v>
      </c>
      <c r="W39" s="6">
        <v>131072.0</v>
      </c>
      <c r="X39" s="6">
        <v>32000.0</v>
      </c>
      <c r="Y39" s="18">
        <f>(V39*W39/(X39*10^6)*10^9)*I39</f>
        <v>409600</v>
      </c>
      <c r="AA39" s="18"/>
    </row>
    <row r="40">
      <c r="Y40" s="18">
        <f>sum(Y37:Y39) * 3</f>
        <v>14181390.34</v>
      </c>
      <c r="AA40" s="18">
        <f>AA37/Y40</f>
        <v>12.42825956</v>
      </c>
    </row>
    <row r="41">
      <c r="Y41" s="18"/>
      <c r="AA41" s="18"/>
    </row>
    <row r="42">
      <c r="A42" s="19" t="s">
        <v>237</v>
      </c>
    </row>
    <row r="43">
      <c r="A43" s="20"/>
      <c r="B43" s="20"/>
      <c r="D43" s="6" t="s">
        <v>95</v>
      </c>
      <c r="F43" s="21" t="s">
        <v>96</v>
      </c>
      <c r="H43" s="21" t="s">
        <v>96</v>
      </c>
      <c r="I43" s="6" t="s">
        <v>95</v>
      </c>
      <c r="Y43" s="18"/>
      <c r="AA43" s="18"/>
    </row>
    <row r="44">
      <c r="A44" s="22" t="s">
        <v>185</v>
      </c>
      <c r="B44" s="22" t="s">
        <v>514</v>
      </c>
      <c r="C44" s="23" t="s">
        <v>515</v>
      </c>
      <c r="D44" s="24" t="s">
        <v>516</v>
      </c>
      <c r="E44" s="25"/>
      <c r="F44" s="26" t="s">
        <v>475</v>
      </c>
      <c r="G44" s="27" t="s">
        <v>100</v>
      </c>
      <c r="H44" s="26" t="s">
        <v>517</v>
      </c>
      <c r="I44" s="26" t="s">
        <v>518</v>
      </c>
      <c r="J44" s="28"/>
      <c r="K44" s="28"/>
      <c r="L44" s="28"/>
      <c r="M44" s="28"/>
      <c r="N44" s="51" t="s">
        <v>519</v>
      </c>
      <c r="R44" s="26" t="s">
        <v>520</v>
      </c>
      <c r="S44" s="26" t="s">
        <v>521</v>
      </c>
      <c r="T44" s="26"/>
      <c r="U44" s="30"/>
      <c r="V44" s="30" t="s">
        <v>522</v>
      </c>
      <c r="Y44" s="18"/>
      <c r="AA44" s="18"/>
      <c r="AB44" s="31"/>
      <c r="AC44" s="31"/>
    </row>
    <row r="45">
      <c r="A45" s="20"/>
      <c r="B45" s="20"/>
      <c r="C45" s="32" t="s">
        <v>106</v>
      </c>
      <c r="D45" s="33"/>
      <c r="E45" s="33"/>
      <c r="F45" s="33"/>
      <c r="G45" s="33"/>
      <c r="H45" s="33"/>
      <c r="I45" s="34"/>
      <c r="J45" s="35"/>
      <c r="K45" s="34"/>
      <c r="L45" s="36"/>
      <c r="M45" s="36"/>
      <c r="N45" s="37" t="s">
        <v>107</v>
      </c>
      <c r="O45" s="33"/>
      <c r="P45" s="33"/>
      <c r="Q45" s="34"/>
      <c r="R45" s="38" t="s">
        <v>108</v>
      </c>
      <c r="S45" s="33"/>
      <c r="T45" s="33"/>
      <c r="U45" s="34"/>
      <c r="V45" s="39" t="s">
        <v>109</v>
      </c>
      <c r="W45" s="33"/>
      <c r="X45" s="34"/>
      <c r="Y45" s="18"/>
      <c r="AA45" s="18"/>
    </row>
    <row r="46">
      <c r="A46" s="40"/>
      <c r="B46" s="40"/>
      <c r="C46" s="41" t="s">
        <v>110</v>
      </c>
      <c r="D46" s="42" t="s">
        <v>111</v>
      </c>
      <c r="E46" s="43" t="s">
        <v>112</v>
      </c>
      <c r="F46" s="44" t="s">
        <v>113</v>
      </c>
      <c r="G46" s="41" t="s">
        <v>114</v>
      </c>
      <c r="H46" s="41" t="s">
        <v>115</v>
      </c>
      <c r="I46" s="45" t="s">
        <v>116</v>
      </c>
      <c r="J46" s="43" t="s">
        <v>117</v>
      </c>
      <c r="K46" s="43" t="s">
        <v>118</v>
      </c>
      <c r="L46" s="43" t="s">
        <v>119</v>
      </c>
      <c r="M46" s="43" t="s">
        <v>120</v>
      </c>
      <c r="N46" s="44" t="s">
        <v>121</v>
      </c>
      <c r="O46" s="44" t="s">
        <v>122</v>
      </c>
      <c r="P46" s="44" t="s">
        <v>123</v>
      </c>
      <c r="Q46" s="44" t="s">
        <v>124</v>
      </c>
      <c r="R46" s="43" t="s">
        <v>125</v>
      </c>
      <c r="S46" s="43" t="s">
        <v>126</v>
      </c>
      <c r="T46" s="6" t="s">
        <v>196</v>
      </c>
      <c r="U46" s="43" t="s">
        <v>197</v>
      </c>
      <c r="V46" s="43" t="s">
        <v>127</v>
      </c>
      <c r="W46" s="43" t="s">
        <v>128</v>
      </c>
      <c r="X46" s="43" t="s">
        <v>129</v>
      </c>
      <c r="Y46" s="50" t="s">
        <v>198</v>
      </c>
      <c r="AA46" s="46" t="s">
        <v>199</v>
      </c>
      <c r="AB46" s="47"/>
      <c r="AC46" s="43" t="s">
        <v>132</v>
      </c>
    </row>
    <row r="47">
      <c r="A47" s="52" t="s">
        <v>523</v>
      </c>
      <c r="B47" s="48" t="s">
        <v>201</v>
      </c>
      <c r="E47" s="6">
        <v>32.0</v>
      </c>
      <c r="I47" s="6">
        <v>2.0</v>
      </c>
      <c r="N47" s="6">
        <v>16.0</v>
      </c>
      <c r="O47" s="6">
        <v>8.0</v>
      </c>
      <c r="P47" s="6">
        <v>32.0</v>
      </c>
      <c r="Q47" s="6">
        <v>131072.0</v>
      </c>
      <c r="R47" s="10">
        <v>27.72</v>
      </c>
      <c r="S47" s="10">
        <v>28.98</v>
      </c>
      <c r="T47" s="6">
        <v>2.52</v>
      </c>
      <c r="U47" s="6">
        <v>4096.0</v>
      </c>
      <c r="Y47" s="18">
        <f>I47*E47*T47*U47</f>
        <v>660602.88</v>
      </c>
      <c r="AA47" s="50">
        <v>1.7625E8</v>
      </c>
    </row>
    <row r="48">
      <c r="B48" s="48" t="s">
        <v>202</v>
      </c>
      <c r="E48" s="6">
        <v>32.0</v>
      </c>
      <c r="F48" s="6">
        <v>1.6777216E8</v>
      </c>
      <c r="I48" s="10">
        <f>F48/(N48*O48*P48*Q48)</f>
        <v>0.3125</v>
      </c>
      <c r="J48" s="10">
        <f>7.6*E48*E48/E48</f>
        <v>243.2</v>
      </c>
      <c r="K48" s="10">
        <f>4.33*E48*E48/E48</f>
        <v>138.56</v>
      </c>
      <c r="L48" s="10">
        <f>16*E48*E48/E48</f>
        <v>512</v>
      </c>
      <c r="M48" s="6">
        <v>2.52</v>
      </c>
      <c r="N48" s="6">
        <v>16.0</v>
      </c>
      <c r="O48" s="6">
        <v>8.0</v>
      </c>
      <c r="P48" s="6">
        <v>32.0</v>
      </c>
      <c r="Q48" s="6">
        <v>131072.0</v>
      </c>
      <c r="R48" s="10">
        <v>27.72</v>
      </c>
      <c r="S48" s="10">
        <v>28.98</v>
      </c>
      <c r="Y48" s="18">
        <f>E48*I48*J48*R48+E48*I48*K48*S48+E48*I48*L48*M48</f>
        <v>120472.128</v>
      </c>
      <c r="AA48" s="18"/>
    </row>
    <row r="49">
      <c r="B49" s="53" t="s">
        <v>203</v>
      </c>
      <c r="F49" s="6">
        <v>1.6777216E8</v>
      </c>
      <c r="I49" s="10">
        <f>(F49/Q49/(N49*O49))</f>
        <v>10</v>
      </c>
      <c r="N49" s="6">
        <v>16.0</v>
      </c>
      <c r="O49" s="6">
        <v>8.0</v>
      </c>
      <c r="P49" s="6">
        <v>32.0</v>
      </c>
      <c r="Q49" s="6">
        <v>131072.0</v>
      </c>
      <c r="U49" s="6"/>
      <c r="V49" s="6">
        <v>10.0</v>
      </c>
      <c r="W49" s="6">
        <v>131072.0</v>
      </c>
      <c r="X49" s="6">
        <v>32000.0</v>
      </c>
      <c r="Y49" s="18">
        <f>(V49*W49/(X49*10^6)*10^9)*I49</f>
        <v>409600</v>
      </c>
      <c r="AA49" s="18"/>
    </row>
    <row r="50">
      <c r="Y50" s="18">
        <f>sum(Y47:Y49) * 3</f>
        <v>3572025.024</v>
      </c>
      <c r="AA50" s="18">
        <f>AA47/Y50</f>
        <v>49.34175959</v>
      </c>
    </row>
    <row r="51">
      <c r="A51" s="19" t="s">
        <v>248</v>
      </c>
    </row>
    <row r="52">
      <c r="A52" s="20"/>
      <c r="B52" s="20"/>
      <c r="D52" s="6" t="s">
        <v>95</v>
      </c>
      <c r="F52" s="21" t="s">
        <v>96</v>
      </c>
      <c r="H52" s="21" t="s">
        <v>96</v>
      </c>
      <c r="I52" s="6" t="s">
        <v>95</v>
      </c>
      <c r="Y52" s="18"/>
      <c r="AA52" s="18"/>
    </row>
    <row r="53">
      <c r="A53" s="22" t="s">
        <v>185</v>
      </c>
      <c r="B53" s="22" t="s">
        <v>524</v>
      </c>
      <c r="C53" s="23" t="s">
        <v>525</v>
      </c>
      <c r="D53" s="24" t="s">
        <v>526</v>
      </c>
      <c r="E53" s="25"/>
      <c r="F53" s="26" t="s">
        <v>475</v>
      </c>
      <c r="G53" s="27" t="s">
        <v>100</v>
      </c>
      <c r="H53" s="26" t="s">
        <v>527</v>
      </c>
      <c r="I53" s="26" t="s">
        <v>528</v>
      </c>
      <c r="J53" s="28"/>
      <c r="K53" s="28"/>
      <c r="L53" s="28"/>
      <c r="M53" s="28"/>
      <c r="N53" s="51" t="s">
        <v>529</v>
      </c>
      <c r="R53" s="26" t="s">
        <v>530</v>
      </c>
      <c r="S53" s="26" t="s">
        <v>531</v>
      </c>
      <c r="T53" s="26"/>
      <c r="U53" s="30"/>
      <c r="V53" s="30" t="s">
        <v>532</v>
      </c>
      <c r="Y53" s="18"/>
      <c r="AA53" s="18"/>
      <c r="AB53" s="31"/>
      <c r="AC53" s="31"/>
    </row>
    <row r="54">
      <c r="A54" s="20"/>
      <c r="B54" s="20"/>
      <c r="C54" s="32" t="s">
        <v>106</v>
      </c>
      <c r="D54" s="33"/>
      <c r="E54" s="33"/>
      <c r="F54" s="33"/>
      <c r="G54" s="33"/>
      <c r="H54" s="33"/>
      <c r="I54" s="34"/>
      <c r="J54" s="35"/>
      <c r="K54" s="34"/>
      <c r="L54" s="36"/>
      <c r="M54" s="36"/>
      <c r="N54" s="37" t="s">
        <v>107</v>
      </c>
      <c r="O54" s="33"/>
      <c r="P54" s="33"/>
      <c r="Q54" s="34"/>
      <c r="R54" s="38" t="s">
        <v>108</v>
      </c>
      <c r="S54" s="33"/>
      <c r="T54" s="33"/>
      <c r="U54" s="34"/>
      <c r="V54" s="39" t="s">
        <v>109</v>
      </c>
      <c r="W54" s="33"/>
      <c r="X54" s="34"/>
      <c r="Y54" s="18"/>
      <c r="AA54" s="18"/>
    </row>
    <row r="55">
      <c r="A55" s="40"/>
      <c r="B55" s="40"/>
      <c r="C55" s="41" t="s">
        <v>110</v>
      </c>
      <c r="D55" s="42" t="s">
        <v>111</v>
      </c>
      <c r="E55" s="43" t="s">
        <v>112</v>
      </c>
      <c r="F55" s="44" t="s">
        <v>113</v>
      </c>
      <c r="G55" s="41" t="s">
        <v>114</v>
      </c>
      <c r="H55" s="41" t="s">
        <v>115</v>
      </c>
      <c r="I55" s="45" t="s">
        <v>116</v>
      </c>
      <c r="J55" s="43" t="s">
        <v>117</v>
      </c>
      <c r="K55" s="43" t="s">
        <v>118</v>
      </c>
      <c r="L55" s="43" t="s">
        <v>119</v>
      </c>
      <c r="M55" s="43" t="s">
        <v>120</v>
      </c>
      <c r="N55" s="44" t="s">
        <v>121</v>
      </c>
      <c r="O55" s="44" t="s">
        <v>122</v>
      </c>
      <c r="P55" s="44" t="s">
        <v>123</v>
      </c>
      <c r="Q55" s="44" t="s">
        <v>124</v>
      </c>
      <c r="R55" s="43" t="s">
        <v>125</v>
      </c>
      <c r="S55" s="43" t="s">
        <v>126</v>
      </c>
      <c r="T55" s="6" t="s">
        <v>196</v>
      </c>
      <c r="U55" s="43" t="s">
        <v>197</v>
      </c>
      <c r="V55" s="43" t="s">
        <v>127</v>
      </c>
      <c r="W55" s="43" t="s">
        <v>128</v>
      </c>
      <c r="X55" s="43" t="s">
        <v>129</v>
      </c>
      <c r="Y55" s="50" t="s">
        <v>198</v>
      </c>
      <c r="AA55" s="46" t="s">
        <v>199</v>
      </c>
      <c r="AB55" s="47"/>
      <c r="AC55" s="43" t="s">
        <v>132</v>
      </c>
    </row>
    <row r="56">
      <c r="A56" s="52" t="s">
        <v>533</v>
      </c>
      <c r="B56" s="48" t="s">
        <v>201</v>
      </c>
      <c r="E56" s="6">
        <v>32.0</v>
      </c>
      <c r="I56" s="6">
        <v>2.0</v>
      </c>
      <c r="N56" s="6">
        <v>16.0</v>
      </c>
      <c r="O56" s="6">
        <v>8.0</v>
      </c>
      <c r="P56" s="6">
        <v>8.0</v>
      </c>
      <c r="Q56" s="6">
        <v>131072.0</v>
      </c>
      <c r="R56" s="10">
        <v>27.72</v>
      </c>
      <c r="S56" s="10">
        <v>28.98</v>
      </c>
      <c r="T56" s="6">
        <v>2.52</v>
      </c>
      <c r="U56" s="6">
        <v>4096.0</v>
      </c>
      <c r="Y56" s="18">
        <f>I56*E56*T56*U56</f>
        <v>660602.88</v>
      </c>
      <c r="AA56" s="50">
        <v>1.7625E8</v>
      </c>
    </row>
    <row r="57">
      <c r="B57" s="48" t="s">
        <v>202</v>
      </c>
      <c r="E57" s="6">
        <v>32.0</v>
      </c>
      <c r="F57" s="6">
        <v>1.6777216E8</v>
      </c>
      <c r="I57" s="10">
        <f>F57/(N57*O57*P57*Q57)</f>
        <v>1.25</v>
      </c>
      <c r="J57" s="10">
        <f>5.12*E57*E57/E57</f>
        <v>163.84</v>
      </c>
      <c r="K57" s="10">
        <f>2.73*E57*E57/E57</f>
        <v>87.36</v>
      </c>
      <c r="L57" s="10">
        <f>5.17*E57*E57/E57</f>
        <v>165.44</v>
      </c>
      <c r="M57" s="6">
        <v>2.52</v>
      </c>
      <c r="N57" s="6">
        <v>16.0</v>
      </c>
      <c r="O57" s="6">
        <v>8.0</v>
      </c>
      <c r="P57" s="6">
        <v>8.0</v>
      </c>
      <c r="Q57" s="6">
        <v>131072.0</v>
      </c>
      <c r="R57" s="10">
        <v>27.72</v>
      </c>
      <c r="S57" s="10">
        <v>28.98</v>
      </c>
      <c r="Y57" s="18">
        <f>E57*I57*J57*R57+E57*I57*K57*S57+E57*I57*L57*M57</f>
        <v>299609.856</v>
      </c>
      <c r="AA57" s="18"/>
    </row>
    <row r="58">
      <c r="B58" s="53" t="s">
        <v>203</v>
      </c>
      <c r="F58" s="6">
        <v>1.6777216E8</v>
      </c>
      <c r="I58" s="10">
        <f>(F58/Q58/(N58*O58))</f>
        <v>10</v>
      </c>
      <c r="N58" s="6">
        <v>16.0</v>
      </c>
      <c r="O58" s="6">
        <v>8.0</v>
      </c>
      <c r="P58" s="6">
        <v>8.0</v>
      </c>
      <c r="Q58" s="6">
        <v>131072.0</v>
      </c>
      <c r="U58" s="6"/>
      <c r="V58" s="6">
        <v>10.0</v>
      </c>
      <c r="W58" s="6">
        <v>131072.0</v>
      </c>
      <c r="X58" s="6">
        <v>32000.0</v>
      </c>
      <c r="Y58" s="18">
        <f>(V58*W58/(X58*10^6)*10^9)*I58</f>
        <v>409600</v>
      </c>
      <c r="AA58" s="18"/>
    </row>
    <row r="59">
      <c r="Y59" s="18">
        <f>sum(Y56:Y58) * 3</f>
        <v>4109438.208</v>
      </c>
      <c r="AA59" s="18">
        <f>AA56/Y59</f>
        <v>42.88907415</v>
      </c>
    </row>
    <row r="60">
      <c r="A60" s="19" t="s">
        <v>259</v>
      </c>
    </row>
    <row r="61">
      <c r="A61" s="20"/>
      <c r="B61" s="20"/>
      <c r="D61" s="6" t="s">
        <v>95</v>
      </c>
      <c r="F61" s="21" t="s">
        <v>96</v>
      </c>
      <c r="H61" s="21" t="s">
        <v>96</v>
      </c>
      <c r="I61" s="6" t="s">
        <v>95</v>
      </c>
      <c r="Y61" s="18"/>
      <c r="AA61" s="18"/>
    </row>
    <row r="62">
      <c r="A62" s="22" t="s">
        <v>185</v>
      </c>
      <c r="B62" s="22" t="s">
        <v>534</v>
      </c>
      <c r="C62" s="23" t="s">
        <v>535</v>
      </c>
      <c r="D62" s="24" t="s">
        <v>536</v>
      </c>
      <c r="E62" s="25"/>
      <c r="F62" s="26" t="s">
        <v>475</v>
      </c>
      <c r="G62" s="27" t="s">
        <v>100</v>
      </c>
      <c r="H62" s="26" t="s">
        <v>537</v>
      </c>
      <c r="I62" s="26" t="s">
        <v>538</v>
      </c>
      <c r="J62" s="28"/>
      <c r="K62" s="28"/>
      <c r="L62" s="28"/>
      <c r="M62" s="28"/>
      <c r="N62" s="51" t="s">
        <v>539</v>
      </c>
      <c r="R62" s="26" t="s">
        <v>540</v>
      </c>
      <c r="S62" s="26" t="s">
        <v>541</v>
      </c>
      <c r="T62" s="26"/>
      <c r="U62" s="30"/>
      <c r="V62" s="30" t="s">
        <v>542</v>
      </c>
      <c r="Y62" s="18"/>
      <c r="AA62" s="18"/>
      <c r="AB62" s="31"/>
      <c r="AC62" s="31"/>
    </row>
    <row r="63">
      <c r="A63" s="20"/>
      <c r="B63" s="20"/>
      <c r="C63" s="32" t="s">
        <v>106</v>
      </c>
      <c r="D63" s="33"/>
      <c r="E63" s="33"/>
      <c r="F63" s="33"/>
      <c r="G63" s="33"/>
      <c r="H63" s="33"/>
      <c r="I63" s="34"/>
      <c r="J63" s="35"/>
      <c r="K63" s="34"/>
      <c r="L63" s="36"/>
      <c r="M63" s="36"/>
      <c r="N63" s="37" t="s">
        <v>107</v>
      </c>
      <c r="O63" s="33"/>
      <c r="P63" s="33"/>
      <c r="Q63" s="34"/>
      <c r="R63" s="38" t="s">
        <v>108</v>
      </c>
      <c r="S63" s="33"/>
      <c r="T63" s="33"/>
      <c r="U63" s="34"/>
      <c r="V63" s="39" t="s">
        <v>109</v>
      </c>
      <c r="W63" s="33"/>
      <c r="X63" s="34"/>
      <c r="Y63" s="18"/>
      <c r="AA63" s="18"/>
    </row>
    <row r="64">
      <c r="A64" s="40"/>
      <c r="B64" s="40"/>
      <c r="C64" s="41" t="s">
        <v>110</v>
      </c>
      <c r="D64" s="42" t="s">
        <v>111</v>
      </c>
      <c r="E64" s="43" t="s">
        <v>112</v>
      </c>
      <c r="F64" s="44" t="s">
        <v>113</v>
      </c>
      <c r="G64" s="41" t="s">
        <v>114</v>
      </c>
      <c r="H64" s="41" t="s">
        <v>115</v>
      </c>
      <c r="I64" s="45" t="s">
        <v>116</v>
      </c>
      <c r="J64" s="43" t="s">
        <v>117</v>
      </c>
      <c r="K64" s="43" t="s">
        <v>118</v>
      </c>
      <c r="L64" s="43" t="s">
        <v>119</v>
      </c>
      <c r="M64" s="43" t="s">
        <v>120</v>
      </c>
      <c r="N64" s="44" t="s">
        <v>121</v>
      </c>
      <c r="O64" s="44" t="s">
        <v>122</v>
      </c>
      <c r="P64" s="44" t="s">
        <v>123</v>
      </c>
      <c r="Q64" s="44" t="s">
        <v>124</v>
      </c>
      <c r="R64" s="43" t="s">
        <v>125</v>
      </c>
      <c r="S64" s="43" t="s">
        <v>126</v>
      </c>
      <c r="T64" s="6" t="s">
        <v>196</v>
      </c>
      <c r="U64" s="43" t="s">
        <v>197</v>
      </c>
      <c r="V64" s="43" t="s">
        <v>127</v>
      </c>
      <c r="W64" s="43" t="s">
        <v>128</v>
      </c>
      <c r="X64" s="43" t="s">
        <v>129</v>
      </c>
      <c r="Y64" s="50" t="s">
        <v>198</v>
      </c>
      <c r="AA64" s="46" t="s">
        <v>199</v>
      </c>
      <c r="AB64" s="47"/>
      <c r="AC64" s="43" t="s">
        <v>132</v>
      </c>
    </row>
    <row r="65">
      <c r="A65" s="52" t="s">
        <v>543</v>
      </c>
      <c r="B65" s="48" t="s">
        <v>201</v>
      </c>
      <c r="E65" s="6">
        <v>32.0</v>
      </c>
      <c r="I65" s="6">
        <v>2.0</v>
      </c>
      <c r="N65" s="6">
        <v>16.0</v>
      </c>
      <c r="O65" s="6">
        <v>8.0</v>
      </c>
      <c r="P65" s="6">
        <v>32.0</v>
      </c>
      <c r="Q65" s="6">
        <v>131072.0</v>
      </c>
      <c r="R65" s="10">
        <v>27.72</v>
      </c>
      <c r="S65" s="10">
        <v>28.98</v>
      </c>
      <c r="T65" s="6">
        <v>2.52</v>
      </c>
      <c r="U65" s="6">
        <v>4096.0</v>
      </c>
      <c r="Y65" s="18">
        <f>I65*E65*T65*U65</f>
        <v>660602.88</v>
      </c>
      <c r="AA65" s="50">
        <v>1.7625E8</v>
      </c>
    </row>
    <row r="66">
      <c r="B66" s="48" t="s">
        <v>202</v>
      </c>
      <c r="E66" s="6">
        <v>32.0</v>
      </c>
      <c r="F66" s="6">
        <v>1.6777216E8</v>
      </c>
      <c r="I66" s="10">
        <f>F66/(N66*O66*P66*Q66)</f>
        <v>0.3125</v>
      </c>
      <c r="J66" s="10">
        <f>3.32*E66*E66/E66</f>
        <v>106.24</v>
      </c>
      <c r="K66" s="10">
        <f>1.8*E66*E66/E66</f>
        <v>57.6</v>
      </c>
      <c r="L66" s="10">
        <f>4.3*E66*E66/E66</f>
        <v>137.6</v>
      </c>
      <c r="M66" s="6">
        <v>2.52</v>
      </c>
      <c r="N66" s="6">
        <v>16.0</v>
      </c>
      <c r="O66" s="6">
        <v>8.0</v>
      </c>
      <c r="P66" s="6">
        <v>32.0</v>
      </c>
      <c r="Q66" s="6">
        <v>131072.0</v>
      </c>
      <c r="R66" s="10">
        <v>27.72</v>
      </c>
      <c r="S66" s="10">
        <v>28.98</v>
      </c>
      <c r="Y66" s="18">
        <f>E66*I66*J66*R66+E66*I66*K66*S66+E66*I66*L66*M66</f>
        <v>49609.728</v>
      </c>
      <c r="AA66" s="18"/>
    </row>
    <row r="67">
      <c r="B67" s="53" t="s">
        <v>203</v>
      </c>
      <c r="F67" s="6">
        <v>1.6777216E8</v>
      </c>
      <c r="I67" s="10">
        <f>(F67/Q67/(N67*O67))</f>
        <v>10</v>
      </c>
      <c r="N67" s="6">
        <v>16.0</v>
      </c>
      <c r="O67" s="6">
        <v>8.0</v>
      </c>
      <c r="P67" s="6">
        <v>32.0</v>
      </c>
      <c r="Q67" s="6">
        <v>131072.0</v>
      </c>
      <c r="U67" s="6"/>
      <c r="V67" s="6">
        <v>10.0</v>
      </c>
      <c r="W67" s="6">
        <v>131072.0</v>
      </c>
      <c r="X67" s="6">
        <v>32000.0</v>
      </c>
      <c r="Y67" s="18">
        <f>(V67*W67/(X67*10^6)*10^9)*I67</f>
        <v>409600</v>
      </c>
      <c r="AA67" s="18"/>
    </row>
    <row r="68">
      <c r="Y68" s="18">
        <f>sum(Y65:Y67) * 3</f>
        <v>3359437.824</v>
      </c>
      <c r="AA68" s="18">
        <f>AA65/Y68</f>
        <v>52.46413514</v>
      </c>
    </row>
    <row r="69">
      <c r="Y69" s="18"/>
      <c r="AA69" s="18"/>
    </row>
    <row r="70">
      <c r="Y70" s="18"/>
      <c r="AA70" s="18"/>
    </row>
    <row r="71">
      <c r="Y71" s="18"/>
      <c r="AA71" s="18"/>
    </row>
    <row r="72">
      <c r="Y72" s="18"/>
      <c r="AA72" s="18"/>
    </row>
    <row r="73">
      <c r="Y73" s="18"/>
      <c r="AA73" s="18"/>
    </row>
    <row r="74">
      <c r="Y74" s="18"/>
      <c r="AA74" s="18"/>
    </row>
    <row r="75">
      <c r="Y75" s="18"/>
      <c r="AA75" s="18"/>
    </row>
    <row r="76">
      <c r="Y76" s="18"/>
      <c r="AA76" s="18"/>
    </row>
    <row r="77">
      <c r="Y77" s="18"/>
      <c r="AA77" s="18"/>
    </row>
    <row r="78">
      <c r="Y78" s="18"/>
      <c r="AA78" s="18"/>
    </row>
    <row r="79">
      <c r="Y79" s="18"/>
      <c r="AA79" s="18"/>
    </row>
    <row r="80">
      <c r="Y80" s="18"/>
      <c r="AA80" s="18"/>
    </row>
    <row r="81">
      <c r="Y81" s="18"/>
      <c r="AA81" s="18"/>
    </row>
    <row r="82">
      <c r="Y82" s="18"/>
      <c r="AA82" s="18"/>
    </row>
    <row r="83">
      <c r="Y83" s="18"/>
      <c r="AA83" s="18"/>
    </row>
    <row r="84">
      <c r="Y84" s="18"/>
      <c r="AA84" s="18"/>
    </row>
    <row r="85">
      <c r="Y85" s="18"/>
      <c r="AA85" s="18"/>
    </row>
    <row r="86">
      <c r="Y86" s="18"/>
      <c r="AA86" s="18"/>
    </row>
    <row r="87">
      <c r="Y87" s="18"/>
      <c r="AA87" s="18"/>
    </row>
    <row r="88">
      <c r="Y88" s="18"/>
      <c r="AA88" s="18"/>
    </row>
    <row r="89">
      <c r="Y89" s="18"/>
      <c r="AA89" s="18"/>
    </row>
    <row r="90">
      <c r="Y90" s="18"/>
      <c r="AA90" s="18"/>
    </row>
    <row r="91">
      <c r="Y91" s="18"/>
      <c r="AA91" s="18"/>
    </row>
    <row r="92">
      <c r="Y92" s="18"/>
      <c r="AA92" s="18"/>
    </row>
    <row r="93">
      <c r="Y93" s="18"/>
      <c r="AA93" s="18"/>
    </row>
    <row r="94">
      <c r="Y94" s="18"/>
      <c r="AA94" s="18"/>
    </row>
    <row r="95">
      <c r="Y95" s="18"/>
      <c r="AA95" s="18"/>
    </row>
    <row r="96">
      <c r="Y96" s="18"/>
      <c r="AA96" s="18"/>
    </row>
    <row r="97">
      <c r="Y97" s="18"/>
      <c r="AA97" s="18"/>
    </row>
    <row r="98">
      <c r="Y98" s="18"/>
      <c r="AA98" s="18"/>
    </row>
    <row r="99">
      <c r="Y99" s="18"/>
      <c r="AA99" s="18"/>
    </row>
    <row r="100">
      <c r="Y100" s="18"/>
      <c r="AA100" s="18"/>
    </row>
    <row r="101">
      <c r="Y101" s="18"/>
      <c r="AA101" s="18"/>
    </row>
    <row r="102">
      <c r="Y102" s="18"/>
      <c r="AA102" s="18"/>
    </row>
    <row r="103">
      <c r="Y103" s="18"/>
      <c r="AA103" s="18"/>
    </row>
    <row r="104">
      <c r="Y104" s="18"/>
      <c r="AA104" s="18"/>
    </row>
    <row r="105">
      <c r="Y105" s="18"/>
      <c r="AA105" s="18"/>
    </row>
    <row r="106">
      <c r="Y106" s="18"/>
      <c r="AA106" s="18"/>
    </row>
    <row r="107">
      <c r="Y107" s="18"/>
      <c r="AA107" s="18"/>
    </row>
    <row r="108">
      <c r="Y108" s="18"/>
      <c r="AA108" s="18"/>
    </row>
    <row r="109">
      <c r="Y109" s="18"/>
      <c r="AA109" s="18"/>
    </row>
    <row r="110">
      <c r="Y110" s="18"/>
      <c r="AA110" s="18"/>
    </row>
    <row r="111">
      <c r="Y111" s="18"/>
      <c r="AA111" s="18"/>
    </row>
    <row r="112">
      <c r="Y112" s="18"/>
      <c r="AA112" s="18"/>
    </row>
    <row r="113">
      <c r="Y113" s="18"/>
      <c r="AA113" s="18"/>
    </row>
    <row r="114">
      <c r="Y114" s="18"/>
      <c r="AA114" s="18"/>
    </row>
    <row r="115">
      <c r="Y115" s="18"/>
      <c r="AA115" s="18"/>
    </row>
    <row r="116">
      <c r="Y116" s="18"/>
      <c r="AA116" s="18"/>
    </row>
    <row r="117">
      <c r="Y117" s="18"/>
      <c r="AA117" s="18"/>
    </row>
    <row r="118">
      <c r="Y118" s="18"/>
      <c r="AA118" s="18"/>
    </row>
    <row r="119">
      <c r="Y119" s="18"/>
      <c r="AA119" s="18"/>
    </row>
    <row r="120">
      <c r="Y120" s="18"/>
      <c r="AA120" s="18"/>
    </row>
    <row r="121">
      <c r="Y121" s="18"/>
      <c r="AA121" s="18"/>
    </row>
    <row r="122">
      <c r="Y122" s="18"/>
      <c r="AA122" s="18"/>
    </row>
    <row r="123">
      <c r="Y123" s="18"/>
      <c r="AA123" s="18"/>
    </row>
    <row r="124">
      <c r="Y124" s="18"/>
      <c r="AA124" s="18"/>
    </row>
    <row r="125">
      <c r="Y125" s="18"/>
      <c r="AA125" s="18"/>
    </row>
    <row r="126">
      <c r="Y126" s="18"/>
      <c r="AA126" s="18"/>
    </row>
    <row r="127">
      <c r="Y127" s="18"/>
      <c r="AA127" s="18"/>
    </row>
    <row r="128">
      <c r="Y128" s="18"/>
      <c r="AA128" s="18"/>
    </row>
    <row r="129">
      <c r="Y129" s="18"/>
      <c r="AA129" s="18"/>
    </row>
    <row r="130">
      <c r="Y130" s="18"/>
      <c r="AA130" s="18"/>
    </row>
    <row r="131">
      <c r="Y131" s="18"/>
      <c r="AA131" s="18"/>
    </row>
    <row r="132">
      <c r="Y132" s="18"/>
      <c r="AA132" s="18"/>
    </row>
    <row r="133">
      <c r="Y133" s="18"/>
      <c r="AA133" s="18"/>
    </row>
    <row r="134">
      <c r="Y134" s="18"/>
      <c r="AA134" s="18"/>
    </row>
    <row r="135">
      <c r="Y135" s="18"/>
      <c r="AA135" s="18"/>
    </row>
    <row r="136">
      <c r="Y136" s="18"/>
      <c r="AA136" s="18"/>
    </row>
    <row r="137">
      <c r="Y137" s="18"/>
      <c r="AA137" s="18"/>
    </row>
    <row r="138">
      <c r="Y138" s="18"/>
      <c r="AA138" s="18"/>
    </row>
    <row r="139">
      <c r="Y139" s="18"/>
      <c r="AA139" s="18"/>
    </row>
    <row r="140">
      <c r="Y140" s="18"/>
      <c r="AA140" s="18"/>
    </row>
    <row r="141">
      <c r="Y141" s="18"/>
      <c r="AA141" s="18"/>
    </row>
    <row r="142">
      <c r="Y142" s="18"/>
      <c r="AA142" s="18"/>
    </row>
    <row r="143">
      <c r="Y143" s="18"/>
      <c r="AA143" s="18"/>
    </row>
    <row r="144">
      <c r="Y144" s="18"/>
      <c r="AA144" s="18"/>
    </row>
    <row r="145">
      <c r="Y145" s="18"/>
      <c r="AA145" s="18"/>
    </row>
    <row r="146">
      <c r="Y146" s="18"/>
      <c r="AA146" s="18"/>
    </row>
    <row r="147">
      <c r="Y147" s="18"/>
      <c r="AA147" s="18"/>
    </row>
    <row r="148">
      <c r="Y148" s="18"/>
      <c r="AA148" s="18"/>
    </row>
    <row r="149">
      <c r="Y149" s="18"/>
      <c r="AA149" s="18"/>
    </row>
    <row r="150">
      <c r="Y150" s="18"/>
      <c r="AA150" s="18"/>
    </row>
    <row r="151">
      <c r="Y151" s="18"/>
      <c r="AA151" s="18"/>
    </row>
    <row r="152">
      <c r="Y152" s="18"/>
      <c r="AA152" s="18"/>
    </row>
    <row r="153">
      <c r="Y153" s="18"/>
      <c r="AA153" s="18"/>
    </row>
    <row r="154">
      <c r="Y154" s="18"/>
      <c r="AA154" s="18"/>
    </row>
    <row r="155">
      <c r="Y155" s="18"/>
      <c r="AA155" s="18"/>
    </row>
    <row r="156">
      <c r="Y156" s="18"/>
      <c r="AA156" s="18"/>
    </row>
    <row r="157">
      <c r="Y157" s="18"/>
      <c r="AA157" s="18"/>
    </row>
    <row r="158">
      <c r="Y158" s="18"/>
      <c r="AA158" s="18"/>
    </row>
    <row r="159">
      <c r="Y159" s="18"/>
      <c r="AA159" s="18"/>
    </row>
    <row r="160">
      <c r="Y160" s="18"/>
      <c r="AA160" s="18"/>
    </row>
    <row r="161">
      <c r="Y161" s="18"/>
      <c r="AA161" s="18"/>
    </row>
    <row r="162">
      <c r="Y162" s="18"/>
      <c r="AA162" s="18"/>
    </row>
    <row r="163">
      <c r="Y163" s="18"/>
      <c r="AA163" s="18"/>
    </row>
    <row r="164">
      <c r="Y164" s="18"/>
      <c r="AA164" s="18"/>
    </row>
    <row r="165">
      <c r="Y165" s="18"/>
      <c r="AA165" s="18"/>
    </row>
    <row r="166">
      <c r="Y166" s="18"/>
      <c r="AA166" s="18"/>
    </row>
    <row r="167">
      <c r="Y167" s="18"/>
      <c r="AA167" s="18"/>
    </row>
    <row r="168">
      <c r="Y168" s="18"/>
      <c r="AA168" s="18"/>
    </row>
    <row r="169">
      <c r="Y169" s="18"/>
      <c r="AA169" s="18"/>
    </row>
    <row r="170">
      <c r="Y170" s="18"/>
      <c r="AA170" s="18"/>
    </row>
    <row r="171">
      <c r="Y171" s="18"/>
      <c r="AA171" s="18"/>
    </row>
    <row r="172">
      <c r="Y172" s="18"/>
      <c r="AA172" s="18"/>
    </row>
    <row r="173">
      <c r="Y173" s="18"/>
      <c r="AA173" s="18"/>
    </row>
    <row r="174">
      <c r="Y174" s="18"/>
      <c r="AA174" s="18"/>
    </row>
    <row r="175">
      <c r="Y175" s="18"/>
      <c r="AA175" s="18"/>
    </row>
    <row r="176">
      <c r="Y176" s="18"/>
      <c r="AA176" s="18"/>
    </row>
    <row r="177">
      <c r="Y177" s="18"/>
      <c r="AA177" s="18"/>
    </row>
    <row r="178">
      <c r="Y178" s="18"/>
      <c r="AA178" s="18"/>
    </row>
    <row r="179">
      <c r="Y179" s="18"/>
      <c r="AA179" s="18"/>
    </row>
    <row r="180">
      <c r="Y180" s="18"/>
      <c r="AA180" s="18"/>
    </row>
    <row r="181">
      <c r="Y181" s="18"/>
      <c r="AA181" s="18"/>
    </row>
    <row r="182">
      <c r="Y182" s="18"/>
      <c r="AA182" s="18"/>
    </row>
    <row r="183">
      <c r="Y183" s="18"/>
      <c r="AA183" s="18"/>
    </row>
    <row r="184">
      <c r="Y184" s="18"/>
      <c r="AA184" s="18"/>
    </row>
    <row r="185">
      <c r="Y185" s="18"/>
      <c r="AA185" s="18"/>
    </row>
    <row r="186">
      <c r="Y186" s="18"/>
      <c r="AA186" s="18"/>
    </row>
    <row r="187">
      <c r="Y187" s="18"/>
      <c r="AA187" s="18"/>
    </row>
    <row r="188">
      <c r="Y188" s="18"/>
      <c r="AA188" s="18"/>
    </row>
    <row r="189">
      <c r="Y189" s="18"/>
      <c r="AA189" s="18"/>
    </row>
    <row r="190">
      <c r="Y190" s="18"/>
      <c r="AA190" s="18"/>
    </row>
    <row r="191">
      <c r="Y191" s="18"/>
      <c r="AA191" s="18"/>
    </row>
    <row r="192">
      <c r="Y192" s="18"/>
      <c r="AA192" s="18"/>
    </row>
    <row r="193">
      <c r="Y193" s="18"/>
      <c r="AA193" s="18"/>
    </row>
    <row r="194">
      <c r="Y194" s="18"/>
      <c r="AA194" s="18"/>
    </row>
    <row r="195">
      <c r="Y195" s="18"/>
      <c r="AA195" s="18"/>
    </row>
    <row r="196">
      <c r="Y196" s="18"/>
      <c r="AA196" s="18"/>
    </row>
    <row r="197">
      <c r="Y197" s="18"/>
      <c r="AA197" s="18"/>
    </row>
    <row r="198">
      <c r="Y198" s="18"/>
      <c r="AA198" s="18"/>
    </row>
    <row r="199">
      <c r="Y199" s="18"/>
      <c r="AA199" s="18"/>
    </row>
    <row r="200">
      <c r="Y200" s="18"/>
      <c r="AA200" s="18"/>
    </row>
    <row r="201">
      <c r="Y201" s="18"/>
      <c r="AA201" s="18"/>
    </row>
    <row r="202">
      <c r="Y202" s="18"/>
      <c r="AA202" s="18"/>
    </row>
    <row r="203">
      <c r="Y203" s="18"/>
      <c r="AA203" s="18"/>
    </row>
    <row r="204">
      <c r="Y204" s="18"/>
      <c r="AA204" s="18"/>
    </row>
    <row r="205">
      <c r="Y205" s="18"/>
      <c r="AA205" s="18"/>
    </row>
    <row r="206">
      <c r="Y206" s="18"/>
      <c r="AA206" s="18"/>
    </row>
    <row r="207">
      <c r="Y207" s="18"/>
      <c r="AA207" s="18"/>
    </row>
    <row r="208">
      <c r="Y208" s="18"/>
      <c r="AA208" s="18"/>
    </row>
    <row r="209">
      <c r="Y209" s="18"/>
      <c r="AA209" s="18"/>
    </row>
    <row r="210">
      <c r="Y210" s="18"/>
      <c r="AA210" s="18"/>
    </row>
    <row r="211">
      <c r="Y211" s="18"/>
      <c r="AA211" s="18"/>
    </row>
    <row r="212">
      <c r="Y212" s="18"/>
      <c r="AA212" s="18"/>
    </row>
    <row r="213">
      <c r="Y213" s="18"/>
      <c r="AA213" s="18"/>
    </row>
    <row r="214">
      <c r="Y214" s="18"/>
      <c r="AA214" s="18"/>
    </row>
    <row r="215">
      <c r="Y215" s="18"/>
      <c r="AA215" s="18"/>
    </row>
    <row r="216">
      <c r="Y216" s="18"/>
      <c r="AA216" s="18"/>
    </row>
    <row r="217">
      <c r="Y217" s="18"/>
      <c r="AA217" s="18"/>
    </row>
    <row r="218">
      <c r="Y218" s="18"/>
      <c r="AA218" s="18"/>
    </row>
    <row r="219">
      <c r="Y219" s="18"/>
      <c r="AA219" s="18"/>
    </row>
    <row r="220">
      <c r="Y220" s="18"/>
      <c r="AA220" s="18"/>
    </row>
    <row r="221">
      <c r="Y221" s="18"/>
      <c r="AA221" s="18"/>
    </row>
    <row r="222">
      <c r="Y222" s="18"/>
      <c r="AA222" s="18"/>
    </row>
    <row r="223">
      <c r="Y223" s="18"/>
      <c r="AA223" s="18"/>
    </row>
    <row r="224">
      <c r="Y224" s="18"/>
      <c r="AA224" s="18"/>
    </row>
    <row r="225">
      <c r="Y225" s="18"/>
      <c r="AA225" s="18"/>
    </row>
    <row r="226">
      <c r="Y226" s="18"/>
      <c r="AA226" s="18"/>
    </row>
    <row r="227">
      <c r="Y227" s="18"/>
      <c r="AA227" s="18"/>
    </row>
    <row r="228">
      <c r="Y228" s="18"/>
      <c r="AA228" s="18"/>
    </row>
    <row r="229">
      <c r="Y229" s="18"/>
      <c r="AA229" s="18"/>
    </row>
    <row r="230">
      <c r="Y230" s="18"/>
      <c r="AA230" s="18"/>
    </row>
    <row r="231">
      <c r="Y231" s="18"/>
      <c r="AA231" s="18"/>
    </row>
    <row r="232">
      <c r="Y232" s="18"/>
      <c r="AA232" s="18"/>
    </row>
    <row r="233">
      <c r="Y233" s="18"/>
      <c r="AA233" s="18"/>
    </row>
    <row r="234">
      <c r="Y234" s="18"/>
      <c r="AA234" s="18"/>
    </row>
    <row r="235">
      <c r="Y235" s="18"/>
      <c r="AA235" s="18"/>
    </row>
    <row r="236">
      <c r="Y236" s="18"/>
      <c r="AA236" s="18"/>
    </row>
    <row r="237">
      <c r="Y237" s="18"/>
      <c r="AA237" s="18"/>
    </row>
    <row r="238">
      <c r="Y238" s="18"/>
      <c r="AA238" s="18"/>
    </row>
    <row r="239">
      <c r="Y239" s="18"/>
      <c r="AA239" s="18"/>
    </row>
    <row r="240">
      <c r="Y240" s="18"/>
      <c r="AA240" s="18"/>
    </row>
    <row r="241">
      <c r="Y241" s="18"/>
      <c r="AA241" s="18"/>
    </row>
    <row r="242">
      <c r="Y242" s="18"/>
      <c r="AA242" s="18"/>
    </row>
    <row r="243">
      <c r="Y243" s="18"/>
      <c r="AA243" s="18"/>
    </row>
    <row r="244">
      <c r="Y244" s="18"/>
      <c r="AA244" s="18"/>
    </row>
    <row r="245">
      <c r="Y245" s="18"/>
      <c r="AA245" s="18"/>
    </row>
    <row r="246">
      <c r="Y246" s="18"/>
      <c r="AA246" s="18"/>
    </row>
    <row r="247">
      <c r="Y247" s="18"/>
      <c r="AA247" s="18"/>
    </row>
    <row r="248">
      <c r="Y248" s="18"/>
      <c r="AA248" s="18"/>
    </row>
    <row r="249">
      <c r="Y249" s="18"/>
      <c r="AA249" s="18"/>
    </row>
    <row r="250">
      <c r="Y250" s="18"/>
      <c r="AA250" s="18"/>
    </row>
    <row r="251">
      <c r="Y251" s="18"/>
      <c r="AA251" s="18"/>
    </row>
    <row r="252">
      <c r="Y252" s="18"/>
      <c r="AA252" s="18"/>
    </row>
    <row r="253">
      <c r="Y253" s="18"/>
      <c r="AA253" s="18"/>
    </row>
    <row r="254">
      <c r="Y254" s="18"/>
      <c r="AA254" s="18"/>
    </row>
    <row r="255">
      <c r="Y255" s="18"/>
      <c r="AA255" s="18"/>
    </row>
    <row r="256">
      <c r="Y256" s="18"/>
      <c r="AA256" s="18"/>
    </row>
    <row r="257">
      <c r="Y257" s="18"/>
      <c r="AA257" s="18"/>
    </row>
    <row r="258">
      <c r="Y258" s="18"/>
      <c r="AA258" s="18"/>
    </row>
    <row r="259">
      <c r="Y259" s="18"/>
      <c r="AA259" s="18"/>
    </row>
    <row r="260">
      <c r="Y260" s="18"/>
      <c r="AA260" s="18"/>
    </row>
    <row r="261">
      <c r="Y261" s="18"/>
      <c r="AA261" s="18"/>
    </row>
    <row r="262">
      <c r="Y262" s="18"/>
      <c r="AA262" s="18"/>
    </row>
    <row r="263">
      <c r="Y263" s="18"/>
      <c r="AA263" s="18"/>
    </row>
    <row r="264">
      <c r="Y264" s="18"/>
      <c r="AA264" s="18"/>
    </row>
    <row r="265">
      <c r="Y265" s="18"/>
      <c r="AA265" s="18"/>
    </row>
    <row r="266">
      <c r="Y266" s="18"/>
      <c r="AA266" s="18"/>
    </row>
    <row r="267">
      <c r="Y267" s="18"/>
      <c r="AA267" s="18"/>
    </row>
    <row r="268">
      <c r="Y268" s="18"/>
      <c r="AA268" s="18"/>
    </row>
    <row r="269">
      <c r="Y269" s="18"/>
      <c r="AA269" s="18"/>
    </row>
    <row r="270">
      <c r="Y270" s="18"/>
      <c r="AA270" s="18"/>
    </row>
    <row r="271">
      <c r="Y271" s="18"/>
      <c r="AA271" s="18"/>
    </row>
    <row r="272">
      <c r="Y272" s="18"/>
      <c r="AA272" s="18"/>
    </row>
    <row r="273">
      <c r="Y273" s="18"/>
      <c r="AA273" s="18"/>
    </row>
    <row r="274">
      <c r="Y274" s="18"/>
      <c r="AA274" s="18"/>
    </row>
    <row r="275">
      <c r="Y275" s="18"/>
      <c r="AA275" s="18"/>
    </row>
    <row r="276">
      <c r="Y276" s="18"/>
      <c r="AA276" s="18"/>
    </row>
    <row r="277">
      <c r="Y277" s="18"/>
      <c r="AA277" s="18"/>
    </row>
    <row r="278">
      <c r="Y278" s="18"/>
      <c r="AA278" s="18"/>
    </row>
    <row r="279">
      <c r="Y279" s="18"/>
      <c r="AA279" s="18"/>
    </row>
    <row r="280">
      <c r="Y280" s="18"/>
      <c r="AA280" s="18"/>
    </row>
    <row r="281">
      <c r="Y281" s="18"/>
      <c r="AA281" s="18"/>
    </row>
    <row r="282">
      <c r="Y282" s="18"/>
      <c r="AA282" s="18"/>
    </row>
    <row r="283">
      <c r="Y283" s="18"/>
      <c r="AA283" s="18"/>
    </row>
    <row r="284">
      <c r="Y284" s="18"/>
      <c r="AA284" s="18"/>
    </row>
    <row r="285">
      <c r="Y285" s="18"/>
      <c r="AA285" s="18"/>
    </row>
    <row r="286">
      <c r="Y286" s="18"/>
      <c r="AA286" s="18"/>
    </row>
    <row r="287">
      <c r="Y287" s="18"/>
      <c r="AA287" s="18"/>
    </row>
    <row r="288">
      <c r="Y288" s="18"/>
      <c r="AA288" s="18"/>
    </row>
    <row r="289">
      <c r="Y289" s="18"/>
      <c r="AA289" s="18"/>
    </row>
    <row r="290">
      <c r="Y290" s="18"/>
      <c r="AA290" s="18"/>
    </row>
    <row r="291">
      <c r="Y291" s="18"/>
      <c r="AA291" s="18"/>
    </row>
    <row r="292">
      <c r="Y292" s="18"/>
      <c r="AA292" s="18"/>
    </row>
    <row r="293">
      <c r="Y293" s="18"/>
      <c r="AA293" s="18"/>
    </row>
    <row r="294">
      <c r="Y294" s="18"/>
      <c r="AA294" s="18"/>
    </row>
    <row r="295">
      <c r="Y295" s="18"/>
      <c r="AA295" s="18"/>
    </row>
    <row r="296">
      <c r="Y296" s="18"/>
      <c r="AA296" s="18"/>
    </row>
    <row r="297">
      <c r="Y297" s="18"/>
      <c r="AA297" s="18"/>
    </row>
    <row r="298">
      <c r="Y298" s="18"/>
      <c r="AA298" s="18"/>
    </row>
    <row r="299">
      <c r="Y299" s="18"/>
      <c r="AA299" s="18"/>
    </row>
    <row r="300">
      <c r="Y300" s="18"/>
      <c r="AA300" s="18"/>
    </row>
    <row r="301">
      <c r="Y301" s="18"/>
      <c r="AA301" s="18"/>
    </row>
    <row r="302">
      <c r="Y302" s="18"/>
      <c r="AA302" s="18"/>
    </row>
    <row r="303">
      <c r="Y303" s="18"/>
      <c r="AA303" s="18"/>
    </row>
    <row r="304">
      <c r="Y304" s="18"/>
      <c r="AA304" s="18"/>
    </row>
    <row r="305">
      <c r="Y305" s="18"/>
      <c r="AA305" s="18"/>
    </row>
    <row r="306">
      <c r="Y306" s="18"/>
      <c r="AA306" s="18"/>
    </row>
    <row r="307">
      <c r="Y307" s="18"/>
      <c r="AA307" s="18"/>
    </row>
    <row r="308">
      <c r="Y308" s="18"/>
      <c r="AA308" s="18"/>
    </row>
    <row r="309">
      <c r="Y309" s="18"/>
      <c r="AA309" s="18"/>
    </row>
    <row r="310">
      <c r="Y310" s="18"/>
      <c r="AA310" s="18"/>
    </row>
    <row r="311">
      <c r="Y311" s="18"/>
      <c r="AA311" s="18"/>
    </row>
    <row r="312">
      <c r="Y312" s="18"/>
      <c r="AA312" s="18"/>
    </row>
    <row r="313">
      <c r="Y313" s="18"/>
      <c r="AA313" s="18"/>
    </row>
    <row r="314">
      <c r="Y314" s="18"/>
      <c r="AA314" s="18"/>
    </row>
    <row r="315">
      <c r="Y315" s="18"/>
      <c r="AA315" s="18"/>
    </row>
    <row r="316">
      <c r="Y316" s="18"/>
      <c r="AA316" s="18"/>
    </row>
    <row r="317">
      <c r="Y317" s="18"/>
      <c r="AA317" s="18"/>
    </row>
    <row r="318">
      <c r="Y318" s="18"/>
      <c r="AA318" s="18"/>
    </row>
    <row r="319">
      <c r="Y319" s="18"/>
      <c r="AA319" s="18"/>
    </row>
    <row r="320">
      <c r="Y320" s="18"/>
      <c r="AA320" s="18"/>
    </row>
    <row r="321">
      <c r="Y321" s="18"/>
      <c r="AA321" s="18"/>
    </row>
    <row r="322">
      <c r="Y322" s="18"/>
      <c r="AA322" s="18"/>
    </row>
    <row r="323">
      <c r="Y323" s="18"/>
      <c r="AA323" s="18"/>
    </row>
    <row r="324">
      <c r="Y324" s="18"/>
      <c r="AA324" s="18"/>
    </row>
    <row r="325">
      <c r="Y325" s="18"/>
      <c r="AA325" s="18"/>
    </row>
    <row r="326">
      <c r="Y326" s="18"/>
      <c r="AA326" s="18"/>
    </row>
    <row r="327">
      <c r="Y327" s="18"/>
      <c r="AA327" s="18"/>
    </row>
    <row r="328">
      <c r="Y328" s="18"/>
      <c r="AA328" s="18"/>
    </row>
    <row r="329">
      <c r="Y329" s="18"/>
      <c r="AA329" s="18"/>
    </row>
    <row r="330">
      <c r="Y330" s="18"/>
      <c r="AA330" s="18"/>
    </row>
    <row r="331">
      <c r="Y331" s="18"/>
      <c r="AA331" s="18"/>
    </row>
    <row r="332">
      <c r="Y332" s="18"/>
      <c r="AA332" s="18"/>
    </row>
    <row r="333">
      <c r="Y333" s="18"/>
      <c r="AA333" s="18"/>
    </row>
    <row r="334">
      <c r="Y334" s="18"/>
      <c r="AA334" s="18"/>
    </row>
    <row r="335">
      <c r="Y335" s="18"/>
      <c r="AA335" s="18"/>
    </row>
    <row r="336">
      <c r="Y336" s="18"/>
      <c r="AA336" s="18"/>
    </row>
    <row r="337">
      <c r="Y337" s="18"/>
      <c r="AA337" s="18"/>
    </row>
    <row r="338">
      <c r="Y338" s="18"/>
      <c r="AA338" s="18"/>
    </row>
    <row r="339">
      <c r="Y339" s="18"/>
      <c r="AA339" s="18"/>
    </row>
    <row r="340">
      <c r="Y340" s="18"/>
      <c r="AA340" s="18"/>
    </row>
    <row r="341">
      <c r="Y341" s="18"/>
      <c r="AA341" s="18"/>
    </row>
    <row r="342">
      <c r="Y342" s="18"/>
      <c r="AA342" s="18"/>
    </row>
    <row r="343">
      <c r="Y343" s="18"/>
      <c r="AA343" s="18"/>
    </row>
    <row r="344">
      <c r="Y344" s="18"/>
      <c r="AA344" s="18"/>
    </row>
    <row r="345">
      <c r="Y345" s="18"/>
      <c r="AA345" s="18"/>
    </row>
    <row r="346">
      <c r="Y346" s="18"/>
      <c r="AA346" s="18"/>
    </row>
    <row r="347">
      <c r="Y347" s="18"/>
      <c r="AA347" s="18"/>
    </row>
    <row r="348">
      <c r="Y348" s="18"/>
      <c r="AA348" s="18"/>
    </row>
    <row r="349">
      <c r="Y349" s="18"/>
      <c r="AA349" s="18"/>
    </row>
    <row r="350">
      <c r="Y350" s="18"/>
      <c r="AA350" s="18"/>
    </row>
    <row r="351">
      <c r="Y351" s="18"/>
      <c r="AA351" s="18"/>
    </row>
    <row r="352">
      <c r="Y352" s="18"/>
      <c r="AA352" s="18"/>
    </row>
    <row r="353">
      <c r="Y353" s="18"/>
      <c r="AA353" s="18"/>
    </row>
    <row r="354">
      <c r="Y354" s="18"/>
      <c r="AA354" s="18"/>
    </row>
    <row r="355">
      <c r="Y355" s="18"/>
      <c r="AA355" s="18"/>
    </row>
    <row r="356">
      <c r="Y356" s="18"/>
      <c r="AA356" s="18"/>
    </row>
    <row r="357">
      <c r="Y357" s="18"/>
      <c r="AA357" s="18"/>
    </row>
    <row r="358">
      <c r="Y358" s="18"/>
      <c r="AA358" s="18"/>
    </row>
    <row r="359">
      <c r="Y359" s="18"/>
      <c r="AA359" s="18"/>
    </row>
    <row r="360">
      <c r="Y360" s="18"/>
      <c r="AA360" s="18"/>
    </row>
    <row r="361">
      <c r="Y361" s="18"/>
      <c r="AA361" s="18"/>
    </row>
    <row r="362">
      <c r="Y362" s="18"/>
      <c r="AA362" s="18"/>
    </row>
    <row r="363">
      <c r="Y363" s="18"/>
      <c r="AA363" s="18"/>
    </row>
    <row r="364">
      <c r="Y364" s="18"/>
      <c r="AA364" s="18"/>
    </row>
    <row r="365">
      <c r="Y365" s="18"/>
      <c r="AA365" s="18"/>
    </row>
    <row r="366">
      <c r="Y366" s="18"/>
      <c r="AA366" s="18"/>
    </row>
    <row r="367">
      <c r="Y367" s="18"/>
      <c r="AA367" s="18"/>
    </row>
    <row r="368">
      <c r="Y368" s="18"/>
      <c r="AA368" s="18"/>
    </row>
    <row r="369">
      <c r="Y369" s="18"/>
      <c r="AA369" s="18"/>
    </row>
    <row r="370">
      <c r="Y370" s="18"/>
      <c r="AA370" s="18"/>
    </row>
    <row r="371">
      <c r="Y371" s="18"/>
      <c r="AA371" s="18"/>
    </row>
    <row r="372">
      <c r="Y372" s="18"/>
      <c r="AA372" s="18"/>
    </row>
    <row r="373">
      <c r="Y373" s="18"/>
      <c r="AA373" s="18"/>
    </row>
    <row r="374">
      <c r="Y374" s="18"/>
      <c r="AA374" s="18"/>
    </row>
    <row r="375">
      <c r="Y375" s="18"/>
      <c r="AA375" s="18"/>
    </row>
    <row r="376">
      <c r="Y376" s="18"/>
      <c r="AA376" s="18"/>
    </row>
    <row r="377">
      <c r="Y377" s="18"/>
      <c r="AA377" s="18"/>
    </row>
    <row r="378">
      <c r="Y378" s="18"/>
      <c r="AA378" s="18"/>
    </row>
    <row r="379">
      <c r="Y379" s="18"/>
      <c r="AA379" s="18"/>
    </row>
    <row r="380">
      <c r="Y380" s="18"/>
      <c r="AA380" s="18"/>
    </row>
    <row r="381">
      <c r="Y381" s="18"/>
      <c r="AA381" s="18"/>
    </row>
    <row r="382">
      <c r="Y382" s="18"/>
      <c r="AA382" s="18"/>
    </row>
    <row r="383">
      <c r="Y383" s="18"/>
      <c r="AA383" s="18"/>
    </row>
    <row r="384">
      <c r="Y384" s="18"/>
      <c r="AA384" s="18"/>
    </row>
    <row r="385">
      <c r="Y385" s="18"/>
      <c r="AA385" s="18"/>
    </row>
    <row r="386">
      <c r="Y386" s="18"/>
      <c r="AA386" s="18"/>
    </row>
    <row r="387">
      <c r="Y387" s="18"/>
      <c r="AA387" s="18"/>
    </row>
    <row r="388">
      <c r="Y388" s="18"/>
      <c r="AA388" s="18"/>
    </row>
    <row r="389">
      <c r="Y389" s="18"/>
      <c r="AA389" s="18"/>
    </row>
    <row r="390">
      <c r="Y390" s="18"/>
      <c r="AA390" s="18"/>
    </row>
    <row r="391">
      <c r="Y391" s="18"/>
      <c r="AA391" s="18"/>
    </row>
    <row r="392">
      <c r="Y392" s="18"/>
      <c r="AA392" s="18"/>
    </row>
    <row r="393">
      <c r="Y393" s="18"/>
      <c r="AA393" s="18"/>
    </row>
    <row r="394">
      <c r="Y394" s="18"/>
      <c r="AA394" s="18"/>
    </row>
    <row r="395">
      <c r="Y395" s="18"/>
      <c r="AA395" s="18"/>
    </row>
    <row r="396">
      <c r="Y396" s="18"/>
      <c r="AA396" s="18"/>
    </row>
    <row r="397">
      <c r="Y397" s="18"/>
      <c r="AA397" s="18"/>
    </row>
    <row r="398">
      <c r="Y398" s="18"/>
      <c r="AA398" s="18"/>
    </row>
    <row r="399">
      <c r="Y399" s="18"/>
      <c r="AA399" s="18"/>
    </row>
    <row r="400">
      <c r="Y400" s="18"/>
      <c r="AA400" s="18"/>
    </row>
    <row r="401">
      <c r="Y401" s="18"/>
      <c r="AA401" s="18"/>
    </row>
    <row r="402">
      <c r="Y402" s="18"/>
      <c r="AA402" s="18"/>
    </row>
    <row r="403">
      <c r="Y403" s="18"/>
      <c r="AA403" s="18"/>
    </row>
    <row r="404">
      <c r="Y404" s="18"/>
      <c r="AA404" s="18"/>
    </row>
    <row r="405">
      <c r="Y405" s="18"/>
      <c r="AA405" s="18"/>
    </row>
    <row r="406">
      <c r="Y406" s="18"/>
      <c r="AA406" s="18"/>
    </row>
    <row r="407">
      <c r="Y407" s="18"/>
      <c r="AA407" s="18"/>
    </row>
    <row r="408">
      <c r="Y408" s="18"/>
      <c r="AA408" s="18"/>
    </row>
    <row r="409">
      <c r="Y409" s="18"/>
      <c r="AA409" s="18"/>
    </row>
    <row r="410">
      <c r="Y410" s="18"/>
      <c r="AA410" s="18"/>
    </row>
    <row r="411">
      <c r="Y411" s="18"/>
      <c r="AA411" s="18"/>
    </row>
    <row r="412">
      <c r="Y412" s="18"/>
      <c r="AA412" s="18"/>
    </row>
    <row r="413">
      <c r="Y413" s="18"/>
      <c r="AA413" s="18"/>
    </row>
    <row r="414">
      <c r="Y414" s="18"/>
      <c r="AA414" s="18"/>
    </row>
    <row r="415">
      <c r="Y415" s="18"/>
      <c r="AA415" s="18"/>
    </row>
    <row r="416">
      <c r="Y416" s="18"/>
      <c r="AA416" s="18"/>
    </row>
    <row r="417">
      <c r="Y417" s="18"/>
      <c r="AA417" s="18"/>
    </row>
    <row r="418">
      <c r="Y418" s="18"/>
      <c r="AA418" s="18"/>
    </row>
    <row r="419">
      <c r="Y419" s="18"/>
      <c r="AA419" s="18"/>
    </row>
    <row r="420">
      <c r="Y420" s="18"/>
      <c r="AA420" s="18"/>
    </row>
    <row r="421">
      <c r="Y421" s="18"/>
      <c r="AA421" s="18"/>
    </row>
    <row r="422">
      <c r="Y422" s="18"/>
      <c r="AA422" s="18"/>
    </row>
    <row r="423">
      <c r="Y423" s="18"/>
      <c r="AA423" s="18"/>
    </row>
    <row r="424">
      <c r="Y424" s="18"/>
      <c r="AA424" s="18"/>
    </row>
    <row r="425">
      <c r="Y425" s="18"/>
      <c r="AA425" s="18"/>
    </row>
    <row r="426">
      <c r="Y426" s="18"/>
      <c r="AA426" s="18"/>
    </row>
    <row r="427">
      <c r="Y427" s="18"/>
      <c r="AA427" s="18"/>
    </row>
    <row r="428">
      <c r="Y428" s="18"/>
      <c r="AA428" s="18"/>
    </row>
    <row r="429">
      <c r="Y429" s="18"/>
      <c r="AA429" s="18"/>
    </row>
    <row r="430">
      <c r="Y430" s="18"/>
      <c r="AA430" s="18"/>
    </row>
    <row r="431">
      <c r="Y431" s="18"/>
      <c r="AA431" s="18"/>
    </row>
    <row r="432">
      <c r="Y432" s="18"/>
      <c r="AA432" s="18"/>
    </row>
    <row r="433">
      <c r="Y433" s="18"/>
      <c r="AA433" s="18"/>
    </row>
    <row r="434">
      <c r="Y434" s="18"/>
      <c r="AA434" s="18"/>
    </row>
    <row r="435">
      <c r="Y435" s="18"/>
      <c r="AA435" s="18"/>
    </row>
    <row r="436">
      <c r="Y436" s="18"/>
      <c r="AA436" s="18"/>
    </row>
    <row r="437">
      <c r="Y437" s="18"/>
      <c r="AA437" s="18"/>
    </row>
    <row r="438">
      <c r="Y438" s="18"/>
      <c r="AA438" s="18"/>
    </row>
    <row r="439">
      <c r="Y439" s="18"/>
      <c r="AA439" s="18"/>
    </row>
    <row r="440">
      <c r="Y440" s="18"/>
      <c r="AA440" s="18"/>
    </row>
    <row r="441">
      <c r="Y441" s="18"/>
      <c r="AA441" s="18"/>
    </row>
    <row r="442">
      <c r="Y442" s="18"/>
      <c r="AA442" s="18"/>
    </row>
    <row r="443">
      <c r="Y443" s="18"/>
      <c r="AA443" s="18"/>
    </row>
    <row r="444">
      <c r="Y444" s="18"/>
      <c r="AA444" s="18"/>
    </row>
    <row r="445">
      <c r="Y445" s="18"/>
      <c r="AA445" s="18"/>
    </row>
    <row r="446">
      <c r="Y446" s="18"/>
      <c r="AA446" s="18"/>
    </row>
    <row r="447">
      <c r="Y447" s="18"/>
      <c r="AA447" s="18"/>
    </row>
    <row r="448">
      <c r="Y448" s="18"/>
      <c r="AA448" s="18"/>
    </row>
    <row r="449">
      <c r="Y449" s="18"/>
      <c r="AA449" s="18"/>
    </row>
    <row r="450">
      <c r="Y450" s="18"/>
      <c r="AA450" s="18"/>
    </row>
    <row r="451">
      <c r="Y451" s="18"/>
      <c r="AA451" s="18"/>
    </row>
    <row r="452">
      <c r="Y452" s="18"/>
      <c r="AA452" s="18"/>
    </row>
    <row r="453">
      <c r="Y453" s="18"/>
      <c r="AA453" s="18"/>
    </row>
    <row r="454">
      <c r="Y454" s="18"/>
      <c r="AA454" s="18"/>
    </row>
    <row r="455">
      <c r="Y455" s="18"/>
      <c r="AA455" s="18"/>
    </row>
    <row r="456">
      <c r="Y456" s="18"/>
      <c r="AA456" s="18"/>
    </row>
    <row r="457">
      <c r="Y457" s="18"/>
      <c r="AA457" s="18"/>
    </row>
    <row r="458">
      <c r="Y458" s="18"/>
      <c r="AA458" s="18"/>
    </row>
    <row r="459">
      <c r="Y459" s="18"/>
      <c r="AA459" s="18"/>
    </row>
    <row r="460">
      <c r="Y460" s="18"/>
      <c r="AA460" s="18"/>
    </row>
    <row r="461">
      <c r="Y461" s="18"/>
      <c r="AA461" s="18"/>
    </row>
    <row r="462">
      <c r="Y462" s="18"/>
      <c r="AA462" s="18"/>
    </row>
    <row r="463">
      <c r="Y463" s="18"/>
      <c r="AA463" s="18"/>
    </row>
    <row r="464">
      <c r="Y464" s="18"/>
      <c r="AA464" s="18"/>
    </row>
    <row r="465">
      <c r="Y465" s="18"/>
      <c r="AA465" s="18"/>
    </row>
    <row r="466">
      <c r="Y466" s="18"/>
      <c r="AA466" s="18"/>
    </row>
    <row r="467">
      <c r="Y467" s="18"/>
      <c r="AA467" s="18"/>
    </row>
    <row r="468">
      <c r="Y468" s="18"/>
      <c r="AA468" s="18"/>
    </row>
    <row r="469">
      <c r="Y469" s="18"/>
      <c r="AA469" s="18"/>
    </row>
    <row r="470">
      <c r="Y470" s="18"/>
      <c r="AA470" s="18"/>
    </row>
    <row r="471">
      <c r="Y471" s="18"/>
      <c r="AA471" s="18"/>
    </row>
    <row r="472">
      <c r="Y472" s="18"/>
      <c r="AA472" s="18"/>
    </row>
    <row r="473">
      <c r="Y473" s="18"/>
      <c r="AA473" s="18"/>
    </row>
    <row r="474">
      <c r="Y474" s="18"/>
      <c r="AA474" s="18"/>
    </row>
    <row r="475">
      <c r="Y475" s="18"/>
      <c r="AA475" s="18"/>
    </row>
    <row r="476">
      <c r="Y476" s="18"/>
      <c r="AA476" s="18"/>
    </row>
    <row r="477">
      <c r="Y477" s="18"/>
      <c r="AA477" s="18"/>
    </row>
    <row r="478">
      <c r="Y478" s="18"/>
      <c r="AA478" s="18"/>
    </row>
    <row r="479">
      <c r="Y479" s="18"/>
      <c r="AA479" s="18"/>
    </row>
    <row r="480">
      <c r="Y480" s="18"/>
      <c r="AA480" s="18"/>
    </row>
    <row r="481">
      <c r="Y481" s="18"/>
      <c r="AA481" s="18"/>
    </row>
    <row r="482">
      <c r="Y482" s="18"/>
      <c r="AA482" s="18"/>
    </row>
    <row r="483">
      <c r="Y483" s="18"/>
      <c r="AA483" s="18"/>
    </row>
    <row r="484">
      <c r="Y484" s="18"/>
      <c r="AA484" s="18"/>
    </row>
    <row r="485">
      <c r="Y485" s="18"/>
      <c r="AA485" s="18"/>
    </row>
    <row r="486">
      <c r="Y486" s="18"/>
      <c r="AA486" s="18"/>
    </row>
    <row r="487">
      <c r="Y487" s="18"/>
      <c r="AA487" s="18"/>
    </row>
    <row r="488">
      <c r="Y488" s="18"/>
      <c r="AA488" s="18"/>
    </row>
    <row r="489">
      <c r="Y489" s="18"/>
      <c r="AA489" s="18"/>
    </row>
    <row r="490">
      <c r="Y490" s="18"/>
      <c r="AA490" s="18"/>
    </row>
    <row r="491">
      <c r="Y491" s="18"/>
      <c r="AA491" s="18"/>
    </row>
    <row r="492">
      <c r="Y492" s="18"/>
      <c r="AA492" s="18"/>
    </row>
    <row r="493">
      <c r="Y493" s="18"/>
      <c r="AA493" s="18"/>
    </row>
    <row r="494">
      <c r="Y494" s="18"/>
      <c r="AA494" s="18"/>
    </row>
    <row r="495">
      <c r="Y495" s="18"/>
      <c r="AA495" s="18"/>
    </row>
    <row r="496">
      <c r="Y496" s="18"/>
      <c r="AA496" s="18"/>
    </row>
    <row r="497">
      <c r="Y497" s="18"/>
      <c r="AA497" s="18"/>
    </row>
    <row r="498">
      <c r="Y498" s="18"/>
      <c r="AA498" s="18"/>
    </row>
    <row r="499">
      <c r="Y499" s="18"/>
      <c r="AA499" s="18"/>
    </row>
    <row r="500">
      <c r="Y500" s="18"/>
      <c r="AA500" s="18"/>
    </row>
    <row r="501">
      <c r="Y501" s="18"/>
      <c r="AA501" s="18"/>
    </row>
    <row r="502">
      <c r="Y502" s="18"/>
      <c r="AA502" s="18"/>
    </row>
    <row r="503">
      <c r="Y503" s="18"/>
      <c r="AA503" s="18"/>
    </row>
    <row r="504">
      <c r="Y504" s="18"/>
      <c r="AA504" s="18"/>
    </row>
    <row r="505">
      <c r="Y505" s="18"/>
      <c r="AA505" s="18"/>
    </row>
    <row r="506">
      <c r="Y506" s="18"/>
      <c r="AA506" s="18"/>
    </row>
    <row r="507">
      <c r="Y507" s="18"/>
      <c r="AA507" s="18"/>
    </row>
    <row r="508">
      <c r="Y508" s="18"/>
      <c r="AA508" s="18"/>
    </row>
    <row r="509">
      <c r="Y509" s="18"/>
      <c r="AA509" s="18"/>
    </row>
    <row r="510">
      <c r="Y510" s="18"/>
      <c r="AA510" s="18"/>
    </row>
    <row r="511">
      <c r="Y511" s="18"/>
      <c r="AA511" s="18"/>
    </row>
    <row r="512">
      <c r="Y512" s="18"/>
      <c r="AA512" s="18"/>
    </row>
    <row r="513">
      <c r="Y513" s="18"/>
      <c r="AA513" s="18"/>
    </row>
    <row r="514">
      <c r="Y514" s="18"/>
      <c r="AA514" s="18"/>
    </row>
    <row r="515">
      <c r="Y515" s="18"/>
      <c r="AA515" s="18"/>
    </row>
    <row r="516">
      <c r="Y516" s="18"/>
      <c r="AA516" s="18"/>
    </row>
    <row r="517">
      <c r="Y517" s="18"/>
      <c r="AA517" s="18"/>
    </row>
    <row r="518">
      <c r="Y518" s="18"/>
      <c r="AA518" s="18"/>
    </row>
    <row r="519">
      <c r="Y519" s="18"/>
      <c r="AA519" s="18"/>
    </row>
    <row r="520">
      <c r="Y520" s="18"/>
      <c r="AA520" s="18"/>
    </row>
    <row r="521">
      <c r="Y521" s="18"/>
      <c r="AA521" s="18"/>
    </row>
    <row r="522">
      <c r="Y522" s="18"/>
      <c r="AA522" s="18"/>
    </row>
    <row r="523">
      <c r="Y523" s="18"/>
      <c r="AA523" s="18"/>
    </row>
    <row r="524">
      <c r="Y524" s="18"/>
      <c r="AA524" s="18"/>
    </row>
    <row r="525">
      <c r="Y525" s="18"/>
      <c r="AA525" s="18"/>
    </row>
    <row r="526">
      <c r="Y526" s="18"/>
      <c r="AA526" s="18"/>
    </row>
    <row r="527">
      <c r="Y527" s="18"/>
      <c r="AA527" s="18"/>
    </row>
    <row r="528">
      <c r="Y528" s="18"/>
      <c r="AA528" s="18"/>
    </row>
    <row r="529">
      <c r="Y529" s="18"/>
      <c r="AA529" s="18"/>
    </row>
    <row r="530">
      <c r="Y530" s="18"/>
      <c r="AA530" s="18"/>
    </row>
    <row r="531">
      <c r="Y531" s="18"/>
      <c r="AA531" s="18"/>
    </row>
    <row r="532">
      <c r="Y532" s="18"/>
      <c r="AA532" s="18"/>
    </row>
    <row r="533">
      <c r="Y533" s="18"/>
      <c r="AA533" s="18"/>
    </row>
    <row r="534">
      <c r="Y534" s="18"/>
      <c r="AA534" s="18"/>
    </row>
    <row r="535">
      <c r="Y535" s="18"/>
      <c r="AA535" s="18"/>
    </row>
    <row r="536">
      <c r="Y536" s="18"/>
      <c r="AA536" s="18"/>
    </row>
    <row r="537">
      <c r="Y537" s="18"/>
      <c r="AA537" s="18"/>
    </row>
    <row r="538">
      <c r="Y538" s="18"/>
      <c r="AA538" s="18"/>
    </row>
    <row r="539">
      <c r="Y539" s="18"/>
      <c r="AA539" s="18"/>
    </row>
    <row r="540">
      <c r="Y540" s="18"/>
      <c r="AA540" s="18"/>
    </row>
    <row r="541">
      <c r="Y541" s="18"/>
      <c r="AA541" s="18"/>
    </row>
    <row r="542">
      <c r="Y542" s="18"/>
      <c r="AA542" s="18"/>
    </row>
    <row r="543">
      <c r="Y543" s="18"/>
      <c r="AA543" s="18"/>
    </row>
    <row r="544">
      <c r="Y544" s="18"/>
      <c r="AA544" s="18"/>
    </row>
    <row r="545">
      <c r="Y545" s="18"/>
      <c r="AA545" s="18"/>
    </row>
    <row r="546">
      <c r="Y546" s="18"/>
      <c r="AA546" s="18"/>
    </row>
    <row r="547">
      <c r="Y547" s="18"/>
      <c r="AA547" s="18"/>
    </row>
    <row r="548">
      <c r="Y548" s="18"/>
      <c r="AA548" s="18"/>
    </row>
    <row r="549">
      <c r="Y549" s="18"/>
      <c r="AA549" s="18"/>
    </row>
    <row r="550">
      <c r="Y550" s="18"/>
      <c r="AA550" s="18"/>
    </row>
    <row r="551">
      <c r="Y551" s="18"/>
      <c r="AA551" s="18"/>
    </row>
    <row r="552">
      <c r="Y552" s="18"/>
      <c r="AA552" s="18"/>
    </row>
    <row r="553">
      <c r="Y553" s="18"/>
      <c r="AA553" s="18"/>
    </row>
    <row r="554">
      <c r="Y554" s="18"/>
      <c r="AA554" s="18"/>
    </row>
    <row r="555">
      <c r="Y555" s="18"/>
      <c r="AA555" s="18"/>
    </row>
    <row r="556">
      <c r="Y556" s="18"/>
      <c r="AA556" s="18"/>
    </row>
    <row r="557">
      <c r="Y557" s="18"/>
      <c r="AA557" s="18"/>
    </row>
    <row r="558">
      <c r="Y558" s="18"/>
      <c r="AA558" s="18"/>
    </row>
    <row r="559">
      <c r="Y559" s="18"/>
      <c r="AA559" s="18"/>
    </row>
    <row r="560">
      <c r="Y560" s="18"/>
      <c r="AA560" s="18"/>
    </row>
    <row r="561">
      <c r="Y561" s="18"/>
      <c r="AA561" s="18"/>
    </row>
    <row r="562">
      <c r="Y562" s="18"/>
      <c r="AA562" s="18"/>
    </row>
    <row r="563">
      <c r="Y563" s="18"/>
      <c r="AA563" s="18"/>
    </row>
    <row r="564">
      <c r="Y564" s="18"/>
      <c r="AA564" s="18"/>
    </row>
    <row r="565">
      <c r="Y565" s="18"/>
      <c r="AA565" s="18"/>
    </row>
    <row r="566">
      <c r="Y566" s="18"/>
      <c r="AA566" s="18"/>
    </row>
    <row r="567">
      <c r="Y567" s="18"/>
      <c r="AA567" s="18"/>
    </row>
    <row r="568">
      <c r="Y568" s="18"/>
      <c r="AA568" s="18"/>
    </row>
    <row r="569">
      <c r="Y569" s="18"/>
      <c r="AA569" s="18"/>
    </row>
    <row r="570">
      <c r="Y570" s="18"/>
      <c r="AA570" s="18"/>
    </row>
    <row r="571">
      <c r="Y571" s="18"/>
      <c r="AA571" s="18"/>
    </row>
    <row r="572">
      <c r="Y572" s="18"/>
      <c r="AA572" s="18"/>
    </row>
    <row r="573">
      <c r="Y573" s="18"/>
      <c r="AA573" s="18"/>
    </row>
    <row r="574">
      <c r="Y574" s="18"/>
      <c r="AA574" s="18"/>
    </row>
    <row r="575">
      <c r="Y575" s="18"/>
      <c r="AA575" s="18"/>
    </row>
    <row r="576">
      <c r="Y576" s="18"/>
      <c r="AA576" s="18"/>
    </row>
    <row r="577">
      <c r="Y577" s="18"/>
      <c r="AA577" s="18"/>
    </row>
    <row r="578">
      <c r="Y578" s="18"/>
      <c r="AA578" s="18"/>
    </row>
    <row r="579">
      <c r="Y579" s="18"/>
      <c r="AA579" s="18"/>
    </row>
    <row r="580">
      <c r="Y580" s="18"/>
      <c r="AA580" s="18"/>
    </row>
    <row r="581">
      <c r="Y581" s="18"/>
      <c r="AA581" s="18"/>
    </row>
    <row r="582">
      <c r="Y582" s="18"/>
      <c r="AA582" s="18"/>
    </row>
    <row r="583">
      <c r="Y583" s="18"/>
      <c r="AA583" s="18"/>
    </row>
    <row r="584">
      <c r="Y584" s="18"/>
      <c r="AA584" s="18"/>
    </row>
    <row r="585">
      <c r="Y585" s="18"/>
      <c r="AA585" s="18"/>
    </row>
    <row r="586">
      <c r="Y586" s="18"/>
      <c r="AA586" s="18"/>
    </row>
    <row r="587">
      <c r="Y587" s="18"/>
      <c r="AA587" s="18"/>
    </row>
    <row r="588">
      <c r="Y588" s="18"/>
      <c r="AA588" s="18"/>
    </row>
    <row r="589">
      <c r="Y589" s="18"/>
      <c r="AA589" s="18"/>
    </row>
    <row r="590">
      <c r="Y590" s="18"/>
      <c r="AA590" s="18"/>
    </row>
    <row r="591">
      <c r="Y591" s="18"/>
      <c r="AA591" s="18"/>
    </row>
    <row r="592">
      <c r="Y592" s="18"/>
      <c r="AA592" s="18"/>
    </row>
    <row r="593">
      <c r="Y593" s="18"/>
      <c r="AA593" s="18"/>
    </row>
    <row r="594">
      <c r="Y594" s="18"/>
      <c r="AA594" s="18"/>
    </row>
    <row r="595">
      <c r="Y595" s="18"/>
      <c r="AA595" s="18"/>
    </row>
    <row r="596">
      <c r="Y596" s="18"/>
      <c r="AA596" s="18"/>
    </row>
    <row r="597">
      <c r="Y597" s="18"/>
      <c r="AA597" s="18"/>
    </row>
    <row r="598">
      <c r="Y598" s="18"/>
      <c r="AA598" s="18"/>
    </row>
    <row r="599">
      <c r="Y599" s="18"/>
      <c r="AA599" s="18"/>
    </row>
    <row r="600">
      <c r="Y600" s="18"/>
      <c r="AA600" s="18"/>
    </row>
    <row r="601">
      <c r="Y601" s="18"/>
      <c r="AA601" s="18"/>
    </row>
    <row r="602">
      <c r="Y602" s="18"/>
      <c r="AA602" s="18"/>
    </row>
    <row r="603">
      <c r="Y603" s="18"/>
      <c r="AA603" s="18"/>
    </row>
    <row r="604">
      <c r="Y604" s="18"/>
      <c r="AA604" s="18"/>
    </row>
    <row r="605">
      <c r="Y605" s="18"/>
      <c r="AA605" s="18"/>
    </row>
    <row r="606">
      <c r="Y606" s="18"/>
      <c r="AA606" s="18"/>
    </row>
    <row r="607">
      <c r="Y607" s="18"/>
      <c r="AA607" s="18"/>
    </row>
    <row r="608">
      <c r="Y608" s="18"/>
      <c r="AA608" s="18"/>
    </row>
    <row r="609">
      <c r="Y609" s="18"/>
      <c r="AA609" s="18"/>
    </row>
    <row r="610">
      <c r="Y610" s="18"/>
      <c r="AA610" s="18"/>
    </row>
    <row r="611">
      <c r="Y611" s="18"/>
      <c r="AA611" s="18"/>
    </row>
    <row r="612">
      <c r="Y612" s="18"/>
      <c r="AA612" s="18"/>
    </row>
    <row r="613">
      <c r="Y613" s="18"/>
      <c r="AA613" s="18"/>
    </row>
    <row r="614">
      <c r="Y614" s="18"/>
      <c r="AA614" s="18"/>
    </row>
    <row r="615">
      <c r="Y615" s="18"/>
      <c r="AA615" s="18"/>
    </row>
    <row r="616">
      <c r="Y616" s="18"/>
      <c r="AA616" s="18"/>
    </row>
    <row r="617">
      <c r="Y617" s="18"/>
      <c r="AA617" s="18"/>
    </row>
    <row r="618">
      <c r="Y618" s="18"/>
      <c r="AA618" s="18"/>
    </row>
    <row r="619">
      <c r="Y619" s="18"/>
      <c r="AA619" s="18"/>
    </row>
    <row r="620">
      <c r="Y620" s="18"/>
      <c r="AA620" s="18"/>
    </row>
    <row r="621">
      <c r="Y621" s="18"/>
      <c r="AA621" s="18"/>
    </row>
    <row r="622">
      <c r="Y622" s="18"/>
      <c r="AA622" s="18"/>
    </row>
    <row r="623">
      <c r="Y623" s="18"/>
      <c r="AA623" s="18"/>
    </row>
    <row r="624">
      <c r="Y624" s="18"/>
      <c r="AA624" s="18"/>
    </row>
    <row r="625">
      <c r="Y625" s="18"/>
      <c r="AA625" s="18"/>
    </row>
    <row r="626">
      <c r="Y626" s="18"/>
      <c r="AA626" s="18"/>
    </row>
    <row r="627">
      <c r="Y627" s="18"/>
      <c r="AA627" s="18"/>
    </row>
    <row r="628">
      <c r="Y628" s="18"/>
      <c r="AA628" s="18"/>
    </row>
    <row r="629">
      <c r="Y629" s="18"/>
      <c r="AA629" s="18"/>
    </row>
    <row r="630">
      <c r="Y630" s="18"/>
      <c r="AA630" s="18"/>
    </row>
    <row r="631">
      <c r="Y631" s="18"/>
      <c r="AA631" s="18"/>
    </row>
    <row r="632">
      <c r="Y632" s="18"/>
      <c r="AA632" s="18"/>
    </row>
    <row r="633">
      <c r="Y633" s="18"/>
      <c r="AA633" s="18"/>
    </row>
    <row r="634">
      <c r="Y634" s="18"/>
      <c r="AA634" s="18"/>
    </row>
    <row r="635">
      <c r="Y635" s="18"/>
      <c r="AA635" s="18"/>
    </row>
    <row r="636">
      <c r="Y636" s="18"/>
      <c r="AA636" s="18"/>
    </row>
    <row r="637">
      <c r="Y637" s="18"/>
      <c r="AA637" s="18"/>
    </row>
    <row r="638">
      <c r="Y638" s="18"/>
      <c r="AA638" s="18"/>
    </row>
    <row r="639">
      <c r="Y639" s="18"/>
      <c r="AA639" s="18"/>
    </row>
    <row r="640">
      <c r="Y640" s="18"/>
      <c r="AA640" s="18"/>
    </row>
    <row r="641">
      <c r="Y641" s="18"/>
      <c r="AA641" s="18"/>
    </row>
    <row r="642">
      <c r="Y642" s="18"/>
      <c r="AA642" s="18"/>
    </row>
    <row r="643">
      <c r="Y643" s="18"/>
      <c r="AA643" s="18"/>
    </row>
    <row r="644">
      <c r="Y644" s="18"/>
      <c r="AA644" s="18"/>
    </row>
    <row r="645">
      <c r="Y645" s="18"/>
      <c r="AA645" s="18"/>
    </row>
    <row r="646">
      <c r="Y646" s="18"/>
      <c r="AA646" s="18"/>
    </row>
    <row r="647">
      <c r="Y647" s="18"/>
      <c r="AA647" s="18"/>
    </row>
    <row r="648">
      <c r="Y648" s="18"/>
      <c r="AA648" s="18"/>
    </row>
    <row r="649">
      <c r="Y649" s="18"/>
      <c r="AA649" s="18"/>
    </row>
    <row r="650">
      <c r="Y650" s="18"/>
      <c r="AA650" s="18"/>
    </row>
    <row r="651">
      <c r="Y651" s="18"/>
      <c r="AA651" s="18"/>
    </row>
    <row r="652">
      <c r="Y652" s="18"/>
      <c r="AA652" s="18"/>
    </row>
    <row r="653">
      <c r="Y653" s="18"/>
      <c r="AA653" s="18"/>
    </row>
    <row r="654">
      <c r="Y654" s="18"/>
      <c r="AA654" s="18"/>
    </row>
    <row r="655">
      <c r="Y655" s="18"/>
      <c r="AA655" s="18"/>
    </row>
    <row r="656">
      <c r="Y656" s="18"/>
      <c r="AA656" s="18"/>
    </row>
    <row r="657">
      <c r="Y657" s="18"/>
      <c r="AA657" s="18"/>
    </row>
    <row r="658">
      <c r="Y658" s="18"/>
      <c r="AA658" s="18"/>
    </row>
    <row r="659">
      <c r="Y659" s="18"/>
      <c r="AA659" s="18"/>
    </row>
    <row r="660">
      <c r="Y660" s="18"/>
      <c r="AA660" s="18"/>
    </row>
    <row r="661">
      <c r="Y661" s="18"/>
      <c r="AA661" s="18"/>
    </row>
    <row r="662">
      <c r="Y662" s="18"/>
      <c r="AA662" s="18"/>
    </row>
    <row r="663">
      <c r="Y663" s="18"/>
      <c r="AA663" s="18"/>
    </row>
    <row r="664">
      <c r="Y664" s="18"/>
      <c r="AA664" s="18"/>
    </row>
    <row r="665">
      <c r="Y665" s="18"/>
      <c r="AA665" s="18"/>
    </row>
    <row r="666">
      <c r="Y666" s="18"/>
      <c r="AA666" s="18"/>
    </row>
    <row r="667">
      <c r="Y667" s="18"/>
      <c r="AA667" s="18"/>
    </row>
    <row r="668">
      <c r="Y668" s="18"/>
      <c r="AA668" s="18"/>
    </row>
    <row r="669">
      <c r="Y669" s="18"/>
      <c r="AA669" s="18"/>
    </row>
    <row r="670">
      <c r="Y670" s="18"/>
      <c r="AA670" s="18"/>
    </row>
    <row r="671">
      <c r="Y671" s="18"/>
      <c r="AA671" s="18"/>
    </row>
    <row r="672">
      <c r="Y672" s="18"/>
      <c r="AA672" s="18"/>
    </row>
    <row r="673">
      <c r="Y673" s="18"/>
      <c r="AA673" s="18"/>
    </row>
    <row r="674">
      <c r="Y674" s="18"/>
      <c r="AA674" s="18"/>
    </row>
    <row r="675">
      <c r="Y675" s="18"/>
      <c r="AA675" s="18"/>
    </row>
    <row r="676">
      <c r="Y676" s="18"/>
      <c r="AA676" s="18"/>
    </row>
    <row r="677">
      <c r="Y677" s="18"/>
      <c r="AA677" s="18"/>
    </row>
    <row r="678">
      <c r="Y678" s="18"/>
      <c r="AA678" s="18"/>
    </row>
    <row r="679">
      <c r="Y679" s="18"/>
      <c r="AA679" s="18"/>
    </row>
    <row r="680">
      <c r="Y680" s="18"/>
      <c r="AA680" s="18"/>
    </row>
    <row r="681">
      <c r="Y681" s="18"/>
      <c r="AA681" s="18"/>
    </row>
    <row r="682">
      <c r="Y682" s="18"/>
      <c r="AA682" s="18"/>
    </row>
    <row r="683">
      <c r="Y683" s="18"/>
      <c r="AA683" s="18"/>
    </row>
    <row r="684">
      <c r="Y684" s="18"/>
      <c r="AA684" s="18"/>
    </row>
    <row r="685">
      <c r="Y685" s="18"/>
      <c r="AA685" s="18"/>
    </row>
    <row r="686">
      <c r="Y686" s="18"/>
      <c r="AA686" s="18"/>
    </row>
    <row r="687">
      <c r="Y687" s="18"/>
      <c r="AA687" s="18"/>
    </row>
    <row r="688">
      <c r="Y688" s="18"/>
      <c r="AA688" s="18"/>
    </row>
    <row r="689">
      <c r="Y689" s="18"/>
      <c r="AA689" s="18"/>
    </row>
    <row r="690">
      <c r="Y690" s="18"/>
      <c r="AA690" s="18"/>
    </row>
    <row r="691">
      <c r="Y691" s="18"/>
      <c r="AA691" s="18"/>
    </row>
    <row r="692">
      <c r="Y692" s="18"/>
      <c r="AA692" s="18"/>
    </row>
    <row r="693">
      <c r="Y693" s="18"/>
      <c r="AA693" s="18"/>
    </row>
    <row r="694">
      <c r="Y694" s="18"/>
      <c r="AA694" s="18"/>
    </row>
    <row r="695">
      <c r="Y695" s="18"/>
      <c r="AA695" s="18"/>
    </row>
    <row r="696">
      <c r="Y696" s="18"/>
      <c r="AA696" s="18"/>
    </row>
    <row r="697">
      <c r="Y697" s="18"/>
      <c r="AA697" s="18"/>
    </row>
    <row r="698">
      <c r="Y698" s="18"/>
      <c r="AA698" s="18"/>
    </row>
    <row r="699">
      <c r="Y699" s="18"/>
      <c r="AA699" s="18"/>
    </row>
    <row r="700">
      <c r="Y700" s="18"/>
      <c r="AA700" s="18"/>
    </row>
    <row r="701">
      <c r="Y701" s="18"/>
      <c r="AA701" s="18"/>
    </row>
    <row r="702">
      <c r="Y702" s="18"/>
      <c r="AA702" s="18"/>
    </row>
    <row r="703">
      <c r="Y703" s="18"/>
      <c r="AA703" s="18"/>
    </row>
    <row r="704">
      <c r="Y704" s="18"/>
      <c r="AA704" s="18"/>
    </row>
    <row r="705">
      <c r="Y705" s="18"/>
      <c r="AA705" s="18"/>
    </row>
    <row r="706">
      <c r="Y706" s="18"/>
      <c r="AA706" s="18"/>
    </row>
    <row r="707">
      <c r="Y707" s="18"/>
      <c r="AA707" s="18"/>
    </row>
    <row r="708">
      <c r="Y708" s="18"/>
      <c r="AA708" s="18"/>
    </row>
    <row r="709">
      <c r="Y709" s="18"/>
      <c r="AA709" s="18"/>
    </row>
    <row r="710">
      <c r="Y710" s="18"/>
      <c r="AA710" s="18"/>
    </row>
    <row r="711">
      <c r="Y711" s="18"/>
      <c r="AA711" s="18"/>
    </row>
    <row r="712">
      <c r="Y712" s="18"/>
      <c r="AA712" s="18"/>
    </row>
    <row r="713">
      <c r="Y713" s="18"/>
      <c r="AA713" s="18"/>
    </row>
    <row r="714">
      <c r="Y714" s="18"/>
      <c r="AA714" s="18"/>
    </row>
    <row r="715">
      <c r="Y715" s="18"/>
      <c r="AA715" s="18"/>
    </row>
    <row r="716">
      <c r="Y716" s="18"/>
      <c r="AA716" s="18"/>
    </row>
    <row r="717">
      <c r="Y717" s="18"/>
      <c r="AA717" s="18"/>
    </row>
    <row r="718">
      <c r="Y718" s="18"/>
      <c r="AA718" s="18"/>
    </row>
    <row r="719">
      <c r="Y719" s="18"/>
      <c r="AA719" s="18"/>
    </row>
    <row r="720">
      <c r="Y720" s="18"/>
      <c r="AA720" s="18"/>
    </row>
    <row r="721">
      <c r="Y721" s="18"/>
      <c r="AA721" s="18"/>
    </row>
    <row r="722">
      <c r="Y722" s="18"/>
      <c r="AA722" s="18"/>
    </row>
    <row r="723">
      <c r="Y723" s="18"/>
      <c r="AA723" s="18"/>
    </row>
    <row r="724">
      <c r="Y724" s="18"/>
      <c r="AA724" s="18"/>
    </row>
    <row r="725">
      <c r="Y725" s="18"/>
      <c r="AA725" s="18"/>
    </row>
    <row r="726">
      <c r="Y726" s="18"/>
      <c r="AA726" s="18"/>
    </row>
    <row r="727">
      <c r="Y727" s="18"/>
      <c r="AA727" s="18"/>
    </row>
    <row r="728">
      <c r="Y728" s="18"/>
      <c r="AA728" s="18"/>
    </row>
    <row r="729">
      <c r="Y729" s="18"/>
      <c r="AA729" s="18"/>
    </row>
    <row r="730">
      <c r="Y730" s="18"/>
      <c r="AA730" s="18"/>
    </row>
    <row r="731">
      <c r="Y731" s="18"/>
      <c r="AA731" s="18"/>
    </row>
    <row r="732">
      <c r="Y732" s="18"/>
      <c r="AA732" s="18"/>
    </row>
    <row r="733">
      <c r="Y733" s="18"/>
      <c r="AA733" s="18"/>
    </row>
    <row r="734">
      <c r="Y734" s="18"/>
      <c r="AA734" s="18"/>
    </row>
    <row r="735">
      <c r="Y735" s="18"/>
      <c r="AA735" s="18"/>
    </row>
    <row r="736">
      <c r="Y736" s="18"/>
      <c r="AA736" s="18"/>
    </row>
    <row r="737">
      <c r="Y737" s="18"/>
      <c r="AA737" s="18"/>
    </row>
    <row r="738">
      <c r="Y738" s="18"/>
      <c r="AA738" s="18"/>
    </row>
    <row r="739">
      <c r="Y739" s="18"/>
      <c r="AA739" s="18"/>
    </row>
    <row r="740">
      <c r="Y740" s="18"/>
      <c r="AA740" s="18"/>
    </row>
    <row r="741">
      <c r="Y741" s="18"/>
      <c r="AA741" s="18"/>
    </row>
    <row r="742">
      <c r="Y742" s="18"/>
      <c r="AA742" s="18"/>
    </row>
    <row r="743">
      <c r="Y743" s="18"/>
      <c r="AA743" s="18"/>
    </row>
    <row r="744">
      <c r="Y744" s="18"/>
      <c r="AA744" s="18"/>
    </row>
    <row r="745">
      <c r="Y745" s="18"/>
      <c r="AA745" s="18"/>
    </row>
    <row r="746">
      <c r="Y746" s="18"/>
      <c r="AA746" s="18"/>
    </row>
    <row r="747">
      <c r="Y747" s="18"/>
      <c r="AA747" s="18"/>
    </row>
    <row r="748">
      <c r="Y748" s="18"/>
      <c r="AA748" s="18"/>
    </row>
    <row r="749">
      <c r="Y749" s="18"/>
      <c r="AA749" s="18"/>
    </row>
    <row r="750">
      <c r="Y750" s="18"/>
      <c r="AA750" s="18"/>
    </row>
    <row r="751">
      <c r="Y751" s="18"/>
      <c r="AA751" s="18"/>
    </row>
    <row r="752">
      <c r="Y752" s="18"/>
      <c r="AA752" s="18"/>
    </row>
    <row r="753">
      <c r="Y753" s="18"/>
      <c r="AA753" s="18"/>
    </row>
    <row r="754">
      <c r="Y754" s="18"/>
      <c r="AA754" s="18"/>
    </row>
    <row r="755">
      <c r="Y755" s="18"/>
      <c r="AA755" s="18"/>
    </row>
    <row r="756">
      <c r="Y756" s="18"/>
      <c r="AA756" s="18"/>
    </row>
    <row r="757">
      <c r="Y757" s="18"/>
      <c r="AA757" s="18"/>
    </row>
    <row r="758">
      <c r="Y758" s="18"/>
      <c r="AA758" s="18"/>
    </row>
    <row r="759">
      <c r="Y759" s="18"/>
      <c r="AA759" s="18"/>
    </row>
    <row r="760">
      <c r="Y760" s="18"/>
      <c r="AA760" s="18"/>
    </row>
    <row r="761">
      <c r="Y761" s="18"/>
      <c r="AA761" s="18"/>
    </row>
    <row r="762">
      <c r="Y762" s="18"/>
      <c r="AA762" s="18"/>
    </row>
    <row r="763">
      <c r="Y763" s="18"/>
      <c r="AA763" s="18"/>
    </row>
    <row r="764">
      <c r="Y764" s="18"/>
      <c r="AA764" s="18"/>
    </row>
    <row r="765">
      <c r="Y765" s="18"/>
      <c r="AA765" s="18"/>
    </row>
    <row r="766">
      <c r="Y766" s="18"/>
      <c r="AA766" s="18"/>
    </row>
    <row r="767">
      <c r="Y767" s="18"/>
      <c r="AA767" s="18"/>
    </row>
    <row r="768">
      <c r="Y768" s="18"/>
      <c r="AA768" s="18"/>
    </row>
    <row r="769">
      <c r="Y769" s="18"/>
      <c r="AA769" s="18"/>
    </row>
    <row r="770">
      <c r="Y770" s="18"/>
      <c r="AA770" s="18"/>
    </row>
    <row r="771">
      <c r="Y771" s="18"/>
      <c r="AA771" s="18"/>
    </row>
    <row r="772">
      <c r="Y772" s="18"/>
      <c r="AA772" s="18"/>
    </row>
    <row r="773">
      <c r="Y773" s="18"/>
      <c r="AA773" s="18"/>
    </row>
    <row r="774">
      <c r="Y774" s="18"/>
      <c r="AA774" s="18"/>
    </row>
    <row r="775">
      <c r="Y775" s="18"/>
      <c r="AA775" s="18"/>
    </row>
    <row r="776">
      <c r="Y776" s="18"/>
      <c r="AA776" s="18"/>
    </row>
    <row r="777">
      <c r="Y777" s="18"/>
      <c r="AA777" s="18"/>
    </row>
    <row r="778">
      <c r="Y778" s="18"/>
      <c r="AA778" s="18"/>
    </row>
    <row r="779">
      <c r="Y779" s="18"/>
      <c r="AA779" s="18"/>
    </row>
    <row r="780">
      <c r="Y780" s="18"/>
      <c r="AA780" s="18"/>
    </row>
    <row r="781">
      <c r="Y781" s="18"/>
      <c r="AA781" s="18"/>
    </row>
    <row r="782">
      <c r="Y782" s="18"/>
      <c r="AA782" s="18"/>
    </row>
    <row r="783">
      <c r="Y783" s="18"/>
      <c r="AA783" s="18"/>
    </row>
    <row r="784">
      <c r="Y784" s="18"/>
      <c r="AA784" s="18"/>
    </row>
    <row r="785">
      <c r="Y785" s="18"/>
      <c r="AA785" s="18"/>
    </row>
    <row r="786">
      <c r="Y786" s="18"/>
      <c r="AA786" s="18"/>
    </row>
    <row r="787">
      <c r="Y787" s="18"/>
      <c r="AA787" s="18"/>
    </row>
    <row r="788">
      <c r="Y788" s="18"/>
      <c r="AA788" s="18"/>
    </row>
    <row r="789">
      <c r="Y789" s="18"/>
      <c r="AA789" s="18"/>
    </row>
    <row r="790">
      <c r="Y790" s="18"/>
      <c r="AA790" s="18"/>
    </row>
    <row r="791">
      <c r="Y791" s="18"/>
      <c r="AA791" s="18"/>
    </row>
    <row r="792">
      <c r="Y792" s="18"/>
      <c r="AA792" s="18"/>
    </row>
    <row r="793">
      <c r="Y793" s="18"/>
      <c r="AA793" s="18"/>
    </row>
    <row r="794">
      <c r="Y794" s="18"/>
      <c r="AA794" s="18"/>
    </row>
    <row r="795">
      <c r="Y795" s="18"/>
      <c r="AA795" s="18"/>
    </row>
    <row r="796">
      <c r="Y796" s="18"/>
      <c r="AA796" s="18"/>
    </row>
    <row r="797">
      <c r="Y797" s="18"/>
      <c r="AA797" s="18"/>
    </row>
    <row r="798">
      <c r="Y798" s="18"/>
      <c r="AA798" s="18"/>
    </row>
    <row r="799">
      <c r="Y799" s="18"/>
      <c r="AA799" s="18"/>
    </row>
    <row r="800">
      <c r="Y800" s="18"/>
      <c r="AA800" s="18"/>
    </row>
    <row r="801">
      <c r="Y801" s="18"/>
      <c r="AA801" s="18"/>
    </row>
    <row r="802">
      <c r="Y802" s="18"/>
      <c r="AA802" s="18"/>
    </row>
    <row r="803">
      <c r="Y803" s="18"/>
      <c r="AA803" s="18"/>
    </row>
    <row r="804">
      <c r="Y804" s="18"/>
      <c r="AA804" s="18"/>
    </row>
    <row r="805">
      <c r="Y805" s="18"/>
      <c r="AA805" s="18"/>
    </row>
    <row r="806">
      <c r="Y806" s="18"/>
      <c r="AA806" s="18"/>
    </row>
    <row r="807">
      <c r="Y807" s="18"/>
      <c r="AA807" s="18"/>
    </row>
    <row r="808">
      <c r="Y808" s="18"/>
      <c r="AA808" s="18"/>
    </row>
    <row r="809">
      <c r="Y809" s="18"/>
      <c r="AA809" s="18"/>
    </row>
    <row r="810">
      <c r="Y810" s="18"/>
      <c r="AA810" s="18"/>
    </row>
    <row r="811">
      <c r="Y811" s="18"/>
      <c r="AA811" s="18"/>
    </row>
    <row r="812">
      <c r="Y812" s="18"/>
      <c r="AA812" s="18"/>
    </row>
    <row r="813">
      <c r="Y813" s="18"/>
      <c r="AA813" s="18"/>
    </row>
    <row r="814">
      <c r="Y814" s="18"/>
      <c r="AA814" s="18"/>
    </row>
    <row r="815">
      <c r="Y815" s="18"/>
      <c r="AA815" s="18"/>
    </row>
    <row r="816">
      <c r="Y816" s="18"/>
      <c r="AA816" s="18"/>
    </row>
    <row r="817">
      <c r="Y817" s="18"/>
      <c r="AA817" s="18"/>
    </row>
    <row r="818">
      <c r="Y818" s="18"/>
      <c r="AA818" s="18"/>
    </row>
    <row r="819">
      <c r="Y819" s="18"/>
      <c r="AA819" s="18"/>
    </row>
    <row r="820">
      <c r="Y820" s="18"/>
      <c r="AA820" s="18"/>
    </row>
    <row r="821">
      <c r="Y821" s="18"/>
      <c r="AA821" s="18"/>
    </row>
    <row r="822">
      <c r="Y822" s="18"/>
      <c r="AA822" s="18"/>
    </row>
    <row r="823">
      <c r="Y823" s="18"/>
      <c r="AA823" s="18"/>
    </row>
    <row r="824">
      <c r="Y824" s="18"/>
      <c r="AA824" s="18"/>
    </row>
    <row r="825">
      <c r="Y825" s="18"/>
      <c r="AA825" s="18"/>
    </row>
    <row r="826">
      <c r="Y826" s="18"/>
      <c r="AA826" s="18"/>
    </row>
    <row r="827">
      <c r="Y827" s="18"/>
      <c r="AA827" s="18"/>
    </row>
    <row r="828">
      <c r="Y828" s="18"/>
      <c r="AA828" s="18"/>
    </row>
    <row r="829">
      <c r="Y829" s="18"/>
      <c r="AA829" s="18"/>
    </row>
    <row r="830">
      <c r="Y830" s="18"/>
      <c r="AA830" s="18"/>
    </row>
    <row r="831">
      <c r="Y831" s="18"/>
      <c r="AA831" s="18"/>
    </row>
    <row r="832">
      <c r="Y832" s="18"/>
      <c r="AA832" s="18"/>
    </row>
    <row r="833">
      <c r="Y833" s="18"/>
      <c r="AA833" s="18"/>
    </row>
    <row r="834">
      <c r="Y834" s="18"/>
      <c r="AA834" s="18"/>
    </row>
    <row r="835">
      <c r="Y835" s="18"/>
      <c r="AA835" s="18"/>
    </row>
    <row r="836">
      <c r="Y836" s="18"/>
      <c r="AA836" s="18"/>
    </row>
    <row r="837">
      <c r="Y837" s="18"/>
      <c r="AA837" s="18"/>
    </row>
    <row r="838">
      <c r="Y838" s="18"/>
      <c r="AA838" s="18"/>
    </row>
    <row r="839">
      <c r="Y839" s="18"/>
      <c r="AA839" s="18"/>
    </row>
    <row r="840">
      <c r="Y840" s="18"/>
      <c r="AA840" s="18"/>
    </row>
    <row r="841">
      <c r="Y841" s="18"/>
      <c r="AA841" s="18"/>
    </row>
    <row r="842">
      <c r="Y842" s="18"/>
      <c r="AA842" s="18"/>
    </row>
    <row r="843">
      <c r="Y843" s="18"/>
      <c r="AA843" s="18"/>
    </row>
    <row r="844">
      <c r="Y844" s="18"/>
      <c r="AA844" s="18"/>
    </row>
    <row r="845">
      <c r="Y845" s="18"/>
      <c r="AA845" s="18"/>
    </row>
    <row r="846">
      <c r="Y846" s="18"/>
      <c r="AA846" s="18"/>
    </row>
    <row r="847">
      <c r="Y847" s="18"/>
      <c r="AA847" s="18"/>
    </row>
    <row r="848">
      <c r="Y848" s="18"/>
      <c r="AA848" s="18"/>
    </row>
    <row r="849">
      <c r="Y849" s="18"/>
      <c r="AA849" s="18"/>
    </row>
    <row r="850">
      <c r="Y850" s="18"/>
      <c r="AA850" s="18"/>
    </row>
    <row r="851">
      <c r="Y851" s="18"/>
      <c r="AA851" s="18"/>
    </row>
    <row r="852">
      <c r="Y852" s="18"/>
      <c r="AA852" s="18"/>
    </row>
    <row r="853">
      <c r="Y853" s="18"/>
      <c r="AA853" s="18"/>
    </row>
    <row r="854">
      <c r="Y854" s="18"/>
      <c r="AA854" s="18"/>
    </row>
    <row r="855">
      <c r="Y855" s="18"/>
      <c r="AA855" s="18"/>
    </row>
    <row r="856">
      <c r="Y856" s="18"/>
      <c r="AA856" s="18"/>
    </row>
    <row r="857">
      <c r="Y857" s="18"/>
      <c r="AA857" s="18"/>
    </row>
    <row r="858">
      <c r="Y858" s="18"/>
      <c r="AA858" s="18"/>
    </row>
    <row r="859">
      <c r="Y859" s="18"/>
      <c r="AA859" s="18"/>
    </row>
    <row r="860">
      <c r="Y860" s="18"/>
      <c r="AA860" s="18"/>
    </row>
    <row r="861">
      <c r="Y861" s="18"/>
      <c r="AA861" s="18"/>
    </row>
    <row r="862">
      <c r="Y862" s="18"/>
      <c r="AA862" s="18"/>
    </row>
    <row r="863">
      <c r="Y863" s="18"/>
      <c r="AA863" s="18"/>
    </row>
    <row r="864">
      <c r="Y864" s="18"/>
      <c r="AA864" s="18"/>
    </row>
    <row r="865">
      <c r="Y865" s="18"/>
      <c r="AA865" s="18"/>
    </row>
    <row r="866">
      <c r="Y866" s="18"/>
      <c r="AA866" s="18"/>
    </row>
    <row r="867">
      <c r="Y867" s="18"/>
      <c r="AA867" s="18"/>
    </row>
    <row r="868">
      <c r="Y868" s="18"/>
      <c r="AA868" s="18"/>
    </row>
    <row r="869">
      <c r="Y869" s="18"/>
      <c r="AA869" s="18"/>
    </row>
    <row r="870">
      <c r="Y870" s="18"/>
      <c r="AA870" s="18"/>
    </row>
    <row r="871">
      <c r="Y871" s="18"/>
      <c r="AA871" s="18"/>
    </row>
    <row r="872">
      <c r="Y872" s="18"/>
      <c r="AA872" s="18"/>
    </row>
    <row r="873">
      <c r="Y873" s="18"/>
      <c r="AA873" s="18"/>
    </row>
    <row r="874">
      <c r="Y874" s="18"/>
      <c r="AA874" s="18"/>
    </row>
    <row r="875">
      <c r="Y875" s="18"/>
      <c r="AA875" s="18"/>
    </row>
    <row r="876">
      <c r="Y876" s="18"/>
      <c r="AA876" s="18"/>
    </row>
    <row r="877">
      <c r="Y877" s="18"/>
      <c r="AA877" s="18"/>
    </row>
    <row r="878">
      <c r="Y878" s="18"/>
      <c r="AA878" s="18"/>
    </row>
    <row r="879">
      <c r="Y879" s="18"/>
      <c r="AA879" s="18"/>
    </row>
    <row r="880">
      <c r="Y880" s="18"/>
      <c r="AA880" s="18"/>
    </row>
    <row r="881">
      <c r="Y881" s="18"/>
      <c r="AA881" s="18"/>
    </row>
    <row r="882">
      <c r="Y882" s="18"/>
      <c r="AA882" s="18"/>
    </row>
    <row r="883">
      <c r="Y883" s="18"/>
      <c r="AA883" s="18"/>
    </row>
    <row r="884">
      <c r="Y884" s="18"/>
      <c r="AA884" s="18"/>
    </row>
    <row r="885">
      <c r="Y885" s="18"/>
      <c r="AA885" s="18"/>
    </row>
    <row r="886">
      <c r="Y886" s="18"/>
      <c r="AA886" s="18"/>
    </row>
    <row r="887">
      <c r="Y887" s="18"/>
      <c r="AA887" s="18"/>
    </row>
    <row r="888">
      <c r="Y888" s="18"/>
      <c r="AA888" s="18"/>
    </row>
    <row r="889">
      <c r="Y889" s="18"/>
      <c r="AA889" s="18"/>
    </row>
    <row r="890">
      <c r="Y890" s="18"/>
      <c r="AA890" s="18"/>
    </row>
    <row r="891">
      <c r="Y891" s="18"/>
      <c r="AA891" s="18"/>
    </row>
    <row r="892">
      <c r="Y892" s="18"/>
      <c r="AA892" s="18"/>
    </row>
    <row r="893">
      <c r="Y893" s="18"/>
      <c r="AA893" s="18"/>
    </row>
    <row r="894">
      <c r="Y894" s="18"/>
      <c r="AA894" s="18"/>
    </row>
    <row r="895">
      <c r="Y895" s="18"/>
      <c r="AA895" s="18"/>
    </row>
    <row r="896">
      <c r="Y896" s="18"/>
      <c r="AA896" s="18"/>
    </row>
    <row r="897">
      <c r="Y897" s="18"/>
      <c r="AA897" s="18"/>
    </row>
    <row r="898">
      <c r="Y898" s="18"/>
      <c r="AA898" s="18"/>
    </row>
    <row r="899">
      <c r="Y899" s="18"/>
      <c r="AA899" s="18"/>
    </row>
    <row r="900">
      <c r="Y900" s="18"/>
      <c r="AA900" s="18"/>
    </row>
    <row r="901">
      <c r="Y901" s="18"/>
      <c r="AA901" s="18"/>
    </row>
    <row r="902">
      <c r="Y902" s="18"/>
      <c r="AA902" s="18"/>
    </row>
    <row r="903">
      <c r="Y903" s="18"/>
      <c r="AA903" s="18"/>
    </row>
    <row r="904">
      <c r="Y904" s="18"/>
      <c r="AA904" s="18"/>
    </row>
    <row r="905">
      <c r="Y905" s="18"/>
      <c r="AA905" s="18"/>
    </row>
    <row r="906">
      <c r="Y906" s="18"/>
      <c r="AA906" s="18"/>
    </row>
    <row r="907">
      <c r="Y907" s="18"/>
      <c r="AA907" s="18"/>
    </row>
    <row r="908">
      <c r="Y908" s="18"/>
      <c r="AA908" s="18"/>
    </row>
    <row r="909">
      <c r="Y909" s="18"/>
      <c r="AA909" s="18"/>
    </row>
    <row r="910">
      <c r="Y910" s="18"/>
      <c r="AA910" s="18"/>
    </row>
    <row r="911">
      <c r="Y911" s="18"/>
      <c r="AA911" s="18"/>
    </row>
    <row r="912">
      <c r="Y912" s="18"/>
      <c r="AA912" s="18"/>
    </row>
    <row r="913">
      <c r="Y913" s="18"/>
      <c r="AA913" s="18"/>
    </row>
    <row r="914">
      <c r="Y914" s="18"/>
      <c r="AA914" s="18"/>
    </row>
    <row r="915">
      <c r="Y915" s="18"/>
      <c r="AA915" s="18"/>
    </row>
    <row r="916">
      <c r="Y916" s="18"/>
      <c r="AA916" s="18"/>
    </row>
    <row r="917">
      <c r="Y917" s="18"/>
      <c r="AA917" s="18"/>
    </row>
    <row r="918">
      <c r="Y918" s="18"/>
      <c r="AA918" s="18"/>
    </row>
    <row r="919">
      <c r="Y919" s="18"/>
      <c r="AA919" s="18"/>
    </row>
    <row r="920">
      <c r="Y920" s="18"/>
      <c r="AA920" s="18"/>
    </row>
    <row r="921">
      <c r="Y921" s="18"/>
      <c r="AA921" s="18"/>
    </row>
    <row r="922">
      <c r="Y922" s="18"/>
      <c r="AA922" s="18"/>
    </row>
    <row r="923">
      <c r="Y923" s="18"/>
      <c r="AA923" s="18"/>
    </row>
    <row r="924">
      <c r="Y924" s="18"/>
      <c r="AA924" s="18"/>
    </row>
    <row r="925">
      <c r="Y925" s="18"/>
      <c r="AA925" s="18"/>
    </row>
    <row r="926">
      <c r="Y926" s="18"/>
      <c r="AA926" s="18"/>
    </row>
    <row r="927">
      <c r="Y927" s="18"/>
      <c r="AA927" s="18"/>
    </row>
    <row r="928">
      <c r="Y928" s="18"/>
      <c r="AA928" s="18"/>
    </row>
    <row r="929">
      <c r="Y929" s="18"/>
      <c r="AA929" s="18"/>
    </row>
    <row r="930">
      <c r="Y930" s="18"/>
      <c r="AA930" s="18"/>
    </row>
    <row r="931">
      <c r="Y931" s="18"/>
      <c r="AA931" s="18"/>
    </row>
    <row r="932">
      <c r="Y932" s="18"/>
      <c r="AA932" s="18"/>
    </row>
    <row r="933">
      <c r="Y933" s="18"/>
      <c r="AA933" s="18"/>
    </row>
    <row r="934">
      <c r="Y934" s="18"/>
      <c r="AA934" s="18"/>
    </row>
    <row r="935">
      <c r="Y935" s="18"/>
      <c r="AA935" s="18"/>
    </row>
    <row r="936">
      <c r="Y936" s="18"/>
      <c r="AA936" s="18"/>
    </row>
    <row r="937">
      <c r="Y937" s="18"/>
      <c r="AA937" s="18"/>
    </row>
    <row r="938">
      <c r="Y938" s="18"/>
      <c r="AA938" s="18"/>
    </row>
    <row r="939">
      <c r="Y939" s="18"/>
      <c r="AA939" s="18"/>
    </row>
    <row r="940">
      <c r="Y940" s="18"/>
      <c r="AA940" s="18"/>
    </row>
    <row r="941">
      <c r="Y941" s="18"/>
      <c r="AA941" s="18"/>
    </row>
    <row r="942">
      <c r="Y942" s="18"/>
      <c r="AA942" s="18"/>
    </row>
    <row r="943">
      <c r="Y943" s="18"/>
      <c r="AA943" s="18"/>
    </row>
    <row r="944">
      <c r="Y944" s="18"/>
      <c r="AA944" s="18"/>
    </row>
    <row r="945">
      <c r="Y945" s="18"/>
      <c r="AA945" s="18"/>
    </row>
    <row r="946">
      <c r="Y946" s="18"/>
      <c r="AA946" s="18"/>
    </row>
    <row r="947">
      <c r="Y947" s="18"/>
      <c r="AA947" s="18"/>
    </row>
    <row r="948">
      <c r="Y948" s="18"/>
      <c r="AA948" s="18"/>
    </row>
    <row r="949">
      <c r="Y949" s="18"/>
      <c r="AA949" s="18"/>
    </row>
    <row r="950">
      <c r="Y950" s="18"/>
      <c r="AA950" s="18"/>
    </row>
    <row r="951">
      <c r="Y951" s="18"/>
      <c r="AA951" s="18"/>
    </row>
    <row r="952">
      <c r="Y952" s="18"/>
      <c r="AA952" s="18"/>
    </row>
    <row r="953">
      <c r="Y953" s="18"/>
      <c r="AA953" s="18"/>
    </row>
    <row r="954">
      <c r="Y954" s="18"/>
      <c r="AA954" s="18"/>
    </row>
    <row r="955">
      <c r="Y955" s="18"/>
      <c r="AA955" s="18"/>
    </row>
    <row r="956">
      <c r="Y956" s="18"/>
      <c r="AA956" s="18"/>
    </row>
    <row r="957">
      <c r="Y957" s="18"/>
      <c r="AA957" s="18"/>
    </row>
    <row r="958">
      <c r="Y958" s="18"/>
      <c r="AA958" s="18"/>
    </row>
    <row r="959">
      <c r="Y959" s="18"/>
      <c r="AA959" s="18"/>
    </row>
    <row r="960">
      <c r="Y960" s="18"/>
      <c r="AA960" s="18"/>
    </row>
    <row r="961">
      <c r="Y961" s="18"/>
      <c r="AA961" s="18"/>
    </row>
    <row r="962">
      <c r="Y962" s="18"/>
      <c r="AA962" s="18"/>
    </row>
    <row r="963">
      <c r="Y963" s="18"/>
      <c r="AA963" s="18"/>
    </row>
    <row r="964">
      <c r="Y964" s="18"/>
      <c r="AA964" s="18"/>
    </row>
    <row r="965">
      <c r="Y965" s="18"/>
      <c r="AA965" s="18"/>
    </row>
    <row r="966">
      <c r="Y966" s="18"/>
      <c r="AA966" s="18"/>
    </row>
    <row r="967">
      <c r="Y967" s="18"/>
      <c r="AA967" s="18"/>
    </row>
    <row r="968">
      <c r="Y968" s="18"/>
      <c r="AA968" s="18"/>
    </row>
    <row r="969">
      <c r="Y969" s="18"/>
      <c r="AA969" s="18"/>
    </row>
    <row r="970">
      <c r="Y970" s="18"/>
      <c r="AA970" s="18"/>
    </row>
    <row r="971">
      <c r="Y971" s="18"/>
      <c r="AA971" s="18"/>
    </row>
    <row r="972">
      <c r="Y972" s="18"/>
      <c r="AA972" s="18"/>
    </row>
    <row r="973">
      <c r="Y973" s="18"/>
      <c r="AA973" s="18"/>
    </row>
    <row r="974">
      <c r="Y974" s="18"/>
      <c r="AA974" s="18"/>
    </row>
    <row r="975">
      <c r="Y975" s="18"/>
      <c r="AA975" s="18"/>
    </row>
    <row r="976">
      <c r="Y976" s="18"/>
      <c r="AA976" s="18"/>
    </row>
    <row r="977">
      <c r="Y977" s="18"/>
      <c r="AA977" s="18"/>
    </row>
    <row r="978">
      <c r="Y978" s="18"/>
      <c r="AA978" s="18"/>
    </row>
    <row r="979">
      <c r="Y979" s="18"/>
      <c r="AA979" s="18"/>
    </row>
    <row r="980">
      <c r="Y980" s="18"/>
      <c r="AA980" s="18"/>
    </row>
    <row r="981">
      <c r="Y981" s="18"/>
      <c r="AA981" s="18"/>
    </row>
    <row r="982">
      <c r="Y982" s="18"/>
      <c r="AA982" s="18"/>
    </row>
    <row r="983">
      <c r="Y983" s="18"/>
      <c r="AA983" s="18"/>
    </row>
    <row r="984">
      <c r="Y984" s="18"/>
      <c r="AA984" s="18"/>
    </row>
    <row r="985">
      <c r="Y985" s="18"/>
      <c r="AA985" s="18"/>
    </row>
    <row r="986">
      <c r="Y986" s="18"/>
      <c r="AA986" s="18"/>
    </row>
    <row r="987">
      <c r="Y987" s="18"/>
      <c r="AA987" s="18"/>
    </row>
    <row r="988">
      <c r="Y988" s="18"/>
      <c r="AA988" s="18"/>
    </row>
    <row r="989">
      <c r="Y989" s="18"/>
      <c r="AA989" s="18"/>
    </row>
    <row r="990">
      <c r="Y990" s="18"/>
      <c r="AA990" s="18"/>
    </row>
    <row r="991">
      <c r="Y991" s="18"/>
      <c r="AA991" s="18"/>
    </row>
    <row r="992">
      <c r="Y992" s="18"/>
      <c r="AA992" s="18"/>
    </row>
    <row r="993">
      <c r="Y993" s="18"/>
      <c r="AA993" s="18"/>
    </row>
    <row r="994">
      <c r="Y994" s="18"/>
      <c r="AA994" s="18"/>
    </row>
    <row r="995">
      <c r="Y995" s="18"/>
      <c r="AA995" s="18"/>
    </row>
  </sheetData>
  <mergeCells count="49">
    <mergeCell ref="N62:Q62"/>
    <mergeCell ref="N63:Q63"/>
    <mergeCell ref="R63:U63"/>
    <mergeCell ref="V63:X63"/>
    <mergeCell ref="N53:Q53"/>
    <mergeCell ref="N54:Q54"/>
    <mergeCell ref="R54:U54"/>
    <mergeCell ref="V54:X54"/>
    <mergeCell ref="A60:AD60"/>
    <mergeCell ref="C63:I63"/>
    <mergeCell ref="J63:K63"/>
    <mergeCell ref="A1:AD1"/>
    <mergeCell ref="N3:Q3"/>
    <mergeCell ref="C4:I4"/>
    <mergeCell ref="J4:K4"/>
    <mergeCell ref="R4:U4"/>
    <mergeCell ref="V4:X4"/>
    <mergeCell ref="A11:AD11"/>
    <mergeCell ref="N25:Q25"/>
    <mergeCell ref="R25:U25"/>
    <mergeCell ref="C14:I14"/>
    <mergeCell ref="J14:K14"/>
    <mergeCell ref="R14:U14"/>
    <mergeCell ref="V14:X14"/>
    <mergeCell ref="A22:AD22"/>
    <mergeCell ref="J25:K25"/>
    <mergeCell ref="V25:X25"/>
    <mergeCell ref="C35:I35"/>
    <mergeCell ref="C45:I45"/>
    <mergeCell ref="J45:K45"/>
    <mergeCell ref="C54:I54"/>
    <mergeCell ref="J54:K54"/>
    <mergeCell ref="R45:U45"/>
    <mergeCell ref="V45:X45"/>
    <mergeCell ref="A51:AD51"/>
    <mergeCell ref="C25:I25"/>
    <mergeCell ref="A32:AD32"/>
    <mergeCell ref="J35:K35"/>
    <mergeCell ref="N35:Q35"/>
    <mergeCell ref="R35:U35"/>
    <mergeCell ref="V35:X35"/>
    <mergeCell ref="A42:AD42"/>
    <mergeCell ref="N4:Q4"/>
    <mergeCell ref="N13:Q13"/>
    <mergeCell ref="N14:Q14"/>
    <mergeCell ref="N24:Q24"/>
    <mergeCell ref="N34:Q34"/>
    <mergeCell ref="N44:Q44"/>
    <mergeCell ref="N45:Q4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1.88"/>
    <col customWidth="1" min="4" max="4" width="19.63"/>
    <col customWidth="1" min="7" max="7" width="12.0"/>
    <col customWidth="1" min="10" max="10" width="6.38"/>
    <col customWidth="1" min="11" max="11" width="13.13"/>
    <col customWidth="1" min="12" max="12" width="6.25"/>
    <col customWidth="1" min="13" max="13" width="10.63"/>
    <col customWidth="1" min="22" max="22" width="12.63"/>
    <col customWidth="1" min="23" max="23" width="8.38"/>
    <col customWidth="1" min="24" max="24" width="9.63"/>
    <col customWidth="1" min="25" max="25" width="23.0"/>
  </cols>
  <sheetData>
    <row r="1">
      <c r="A1" s="19" t="s">
        <v>342</v>
      </c>
    </row>
    <row r="2">
      <c r="A2" s="112" t="s">
        <v>544</v>
      </c>
      <c r="B2" s="113" t="s">
        <v>545</v>
      </c>
      <c r="C2" s="23" t="s">
        <v>546</v>
      </c>
      <c r="D2" s="24" t="s">
        <v>547</v>
      </c>
      <c r="E2" s="26" t="s">
        <v>548</v>
      </c>
      <c r="F2" s="26" t="s">
        <v>549</v>
      </c>
      <c r="G2" s="27" t="s">
        <v>550</v>
      </c>
      <c r="H2" s="26" t="s">
        <v>551</v>
      </c>
      <c r="I2" s="26" t="s">
        <v>552</v>
      </c>
      <c r="J2" s="28"/>
      <c r="K2" s="28"/>
      <c r="L2" s="29"/>
      <c r="M2" s="29"/>
      <c r="N2" s="29"/>
      <c r="O2" s="29"/>
      <c r="P2" s="29"/>
      <c r="Q2" s="29"/>
      <c r="R2" s="26"/>
      <c r="S2" s="26" t="s">
        <v>553</v>
      </c>
      <c r="T2" s="26" t="s">
        <v>554</v>
      </c>
      <c r="U2" s="52" t="s">
        <v>555</v>
      </c>
      <c r="V2" s="30" t="s">
        <v>556</v>
      </c>
      <c r="W2" s="52" t="s">
        <v>557</v>
      </c>
      <c r="X2" s="114"/>
      <c r="Y2" s="115" t="s">
        <v>558</v>
      </c>
      <c r="Z2" s="31"/>
      <c r="AA2" s="31"/>
      <c r="AB2" s="31"/>
      <c r="AC2" s="31"/>
      <c r="AH2" s="31"/>
      <c r="AI2" s="31"/>
      <c r="AJ2" s="31"/>
    </row>
    <row r="3">
      <c r="A3" s="20"/>
      <c r="B3" s="20"/>
      <c r="C3" s="32" t="s">
        <v>106</v>
      </c>
      <c r="D3" s="33"/>
      <c r="E3" s="33"/>
      <c r="F3" s="33"/>
      <c r="G3" s="33"/>
      <c r="H3" s="33"/>
      <c r="I3" s="34"/>
      <c r="J3" s="35"/>
      <c r="K3" s="34"/>
      <c r="L3" s="116"/>
      <c r="M3" s="116"/>
      <c r="N3" s="37" t="s">
        <v>107</v>
      </c>
      <c r="O3" s="33"/>
      <c r="P3" s="33"/>
      <c r="Q3" s="33"/>
      <c r="R3" s="34"/>
      <c r="S3" s="38" t="s">
        <v>108</v>
      </c>
      <c r="T3" s="33"/>
      <c r="U3" s="34"/>
      <c r="V3" s="39" t="s">
        <v>559</v>
      </c>
      <c r="W3" s="33"/>
      <c r="X3" s="34"/>
      <c r="Y3" s="3" t="s">
        <v>130</v>
      </c>
      <c r="Z3" s="3" t="s">
        <v>131</v>
      </c>
      <c r="AC3" s="117"/>
    </row>
    <row r="4">
      <c r="A4" s="40"/>
      <c r="B4" s="40"/>
      <c r="C4" s="41" t="s">
        <v>110</v>
      </c>
      <c r="D4" s="42" t="s">
        <v>111</v>
      </c>
      <c r="E4" s="43" t="s">
        <v>112</v>
      </c>
      <c r="F4" s="44" t="s">
        <v>113</v>
      </c>
      <c r="G4" s="41" t="s">
        <v>114</v>
      </c>
      <c r="H4" s="41" t="s">
        <v>115</v>
      </c>
      <c r="I4" s="45" t="s">
        <v>116</v>
      </c>
      <c r="J4" s="43" t="s">
        <v>117</v>
      </c>
      <c r="K4" s="43" t="s">
        <v>118</v>
      </c>
      <c r="L4" s="44" t="s">
        <v>119</v>
      </c>
      <c r="M4" s="44" t="s">
        <v>560</v>
      </c>
      <c r="N4" s="44" t="s">
        <v>121</v>
      </c>
      <c r="O4" s="44" t="s">
        <v>122</v>
      </c>
      <c r="P4" s="44" t="s">
        <v>123</v>
      </c>
      <c r="Q4" s="44" t="s">
        <v>124</v>
      </c>
      <c r="R4" s="43" t="s">
        <v>280</v>
      </c>
      <c r="S4" s="43" t="s">
        <v>125</v>
      </c>
      <c r="T4" s="43" t="s">
        <v>126</v>
      </c>
      <c r="U4" s="6" t="s">
        <v>196</v>
      </c>
      <c r="V4" s="43" t="s">
        <v>127</v>
      </c>
      <c r="W4" s="43" t="s">
        <v>128</v>
      </c>
      <c r="X4" s="43" t="s">
        <v>129</v>
      </c>
      <c r="Y4" s="47"/>
      <c r="Z4" s="47"/>
      <c r="AA4" s="47"/>
      <c r="AB4" s="47"/>
      <c r="AC4" s="117"/>
      <c r="AH4" s="47"/>
      <c r="AI4" s="47"/>
      <c r="AJ4" s="47"/>
    </row>
    <row r="5">
      <c r="A5" s="118" t="s">
        <v>561</v>
      </c>
      <c r="B5" s="53" t="s">
        <v>562</v>
      </c>
      <c r="C5" s="6">
        <v>1.0</v>
      </c>
      <c r="D5" s="119">
        <f>5522431/(N5*O5*P5)</f>
        <v>10785.99805</v>
      </c>
      <c r="E5" s="6">
        <v>32.0</v>
      </c>
      <c r="F5" s="119">
        <v>110710.0</v>
      </c>
      <c r="G5" s="119">
        <v>110710.0</v>
      </c>
      <c r="H5" s="6">
        <v>1.0</v>
      </c>
      <c r="I5" s="10">
        <f t="shared" ref="I5:I7" si="1">ROUNDUP(F5/(N5*O5*P5*Q5))</f>
        <v>1</v>
      </c>
      <c r="J5" s="6">
        <v>1.0</v>
      </c>
      <c r="K5" s="6">
        <v>1.0</v>
      </c>
      <c r="L5" s="6"/>
      <c r="M5" s="6"/>
      <c r="N5" s="6">
        <v>16.0</v>
      </c>
      <c r="O5" s="6">
        <v>8.0</v>
      </c>
      <c r="P5" s="6">
        <v>4.0</v>
      </c>
      <c r="Q5" s="6">
        <v>131072.0</v>
      </c>
      <c r="R5" s="6">
        <v>4096.0</v>
      </c>
      <c r="S5" s="10">
        <v>27.72</v>
      </c>
      <c r="T5" s="10">
        <v>28.98</v>
      </c>
      <c r="U5" s="10">
        <v>2.52</v>
      </c>
      <c r="X5" s="120"/>
      <c r="Y5" s="120">
        <f>D5*E5*J5*S5+D5*E5*K5*T5</f>
        <v>19570114.86</v>
      </c>
      <c r="Z5" s="119">
        <f>2927502770000 / 28</f>
        <v>104553670357</v>
      </c>
      <c r="AA5" s="119"/>
    </row>
    <row r="6">
      <c r="B6" s="62" t="s">
        <v>563</v>
      </c>
      <c r="C6" s="6">
        <v>1.0</v>
      </c>
      <c r="D6" s="119">
        <v>110710.0</v>
      </c>
      <c r="E6" s="6">
        <v>32.0</v>
      </c>
      <c r="F6" s="119">
        <v>110710.0</v>
      </c>
      <c r="G6" s="119">
        <v>110710.0</v>
      </c>
      <c r="H6" s="6">
        <v>1.0</v>
      </c>
      <c r="I6" s="10">
        <f t="shared" si="1"/>
        <v>1</v>
      </c>
      <c r="J6" s="6">
        <v>2.0</v>
      </c>
      <c r="K6" s="6">
        <v>1.0</v>
      </c>
      <c r="L6" s="6">
        <v>3.0</v>
      </c>
      <c r="M6" s="6">
        <v>2.52</v>
      </c>
      <c r="N6" s="6">
        <v>16.0</v>
      </c>
      <c r="O6" s="6">
        <v>8.0</v>
      </c>
      <c r="P6" s="6">
        <v>4.0</v>
      </c>
      <c r="Q6" s="6">
        <v>131072.0</v>
      </c>
      <c r="R6" s="6" t="s">
        <v>564</v>
      </c>
      <c r="S6" s="10">
        <v>27.72</v>
      </c>
      <c r="T6" s="10">
        <v>28.98</v>
      </c>
      <c r="U6" s="6" t="s">
        <v>564</v>
      </c>
      <c r="X6" s="120"/>
      <c r="Y6" s="120">
        <f>D6*E6*J6*S6+D6*E6*K6*T6+D6*E6*L6*M6</f>
        <v>325859385.6</v>
      </c>
    </row>
    <row r="7">
      <c r="B7" s="121" t="s">
        <v>565</v>
      </c>
      <c r="C7" s="6">
        <v>1.0</v>
      </c>
      <c r="D7" s="119">
        <f>5522431/(N7*O7*P7)</f>
        <v>10785.99805</v>
      </c>
      <c r="E7" s="122" t="s">
        <v>564</v>
      </c>
      <c r="F7" s="119">
        <v>110710.0</v>
      </c>
      <c r="G7" s="119">
        <v>110710.0</v>
      </c>
      <c r="H7" s="6">
        <v>1.0</v>
      </c>
      <c r="I7" s="10">
        <f t="shared" si="1"/>
        <v>1</v>
      </c>
      <c r="J7" s="123" t="s">
        <v>564</v>
      </c>
      <c r="K7" s="123" t="s">
        <v>564</v>
      </c>
      <c r="L7" s="6"/>
      <c r="M7" s="6"/>
      <c r="N7" s="6">
        <v>16.0</v>
      </c>
      <c r="O7" s="6">
        <v>8.0</v>
      </c>
      <c r="P7" s="6">
        <v>4.0</v>
      </c>
      <c r="Q7" s="6">
        <v>131072.0</v>
      </c>
      <c r="R7" s="6" t="s">
        <v>564</v>
      </c>
      <c r="V7" s="55" t="s">
        <v>566</v>
      </c>
      <c r="Y7" s="124">
        <f>1.01 * 0.63 * MIN(Q7/64,F7/64) *D7</f>
        <v>11872143.5</v>
      </c>
    </row>
    <row r="8">
      <c r="A8" s="20"/>
      <c r="B8" s="20"/>
      <c r="X8" s="6" t="s">
        <v>204</v>
      </c>
      <c r="Y8" s="120">
        <f>sum(Y5:Y7)</f>
        <v>357301644</v>
      </c>
      <c r="Z8" s="10">
        <f>Z5/Y8</f>
        <v>292.6201772</v>
      </c>
    </row>
    <row r="9">
      <c r="A9" s="20"/>
      <c r="B9" s="20"/>
    </row>
    <row r="10">
      <c r="A10" s="19" t="s">
        <v>134</v>
      </c>
    </row>
    <row r="11">
      <c r="A11" s="112" t="s">
        <v>544</v>
      </c>
      <c r="B11" s="113" t="s">
        <v>567</v>
      </c>
      <c r="C11" s="23" t="s">
        <v>568</v>
      </c>
      <c r="D11" s="24" t="s">
        <v>547</v>
      </c>
      <c r="E11" s="26" t="s">
        <v>548</v>
      </c>
      <c r="F11" s="26" t="s">
        <v>569</v>
      </c>
      <c r="G11" s="27" t="s">
        <v>550</v>
      </c>
      <c r="H11" s="26" t="s">
        <v>570</v>
      </c>
      <c r="I11" s="26" t="s">
        <v>571</v>
      </c>
      <c r="J11" s="28"/>
      <c r="K11" s="28"/>
      <c r="L11" s="29"/>
      <c r="M11" s="29"/>
      <c r="N11" s="29"/>
      <c r="O11" s="29"/>
      <c r="P11" s="29"/>
      <c r="Q11" s="29"/>
      <c r="R11" s="26"/>
      <c r="S11" s="26" t="s">
        <v>572</v>
      </c>
      <c r="T11" s="26" t="s">
        <v>573</v>
      </c>
      <c r="U11" s="52" t="s">
        <v>574</v>
      </c>
      <c r="V11" s="30" t="s">
        <v>575</v>
      </c>
      <c r="W11" s="52" t="s">
        <v>557</v>
      </c>
      <c r="X11" s="114"/>
      <c r="Y11" s="115" t="s">
        <v>576</v>
      </c>
      <c r="Z11" s="31"/>
      <c r="AA11" s="31"/>
      <c r="AB11" s="31"/>
      <c r="AC11" s="31"/>
      <c r="AH11" s="31"/>
      <c r="AI11" s="31"/>
      <c r="AJ11" s="31"/>
    </row>
    <row r="12">
      <c r="A12" s="20"/>
      <c r="B12" s="20"/>
      <c r="C12" s="32" t="s">
        <v>106</v>
      </c>
      <c r="D12" s="33"/>
      <c r="E12" s="33"/>
      <c r="F12" s="33"/>
      <c r="G12" s="33"/>
      <c r="H12" s="33"/>
      <c r="I12" s="34"/>
      <c r="J12" s="35"/>
      <c r="K12" s="34"/>
      <c r="L12" s="116"/>
      <c r="M12" s="116"/>
      <c r="N12" s="37" t="s">
        <v>107</v>
      </c>
      <c r="O12" s="33"/>
      <c r="P12" s="33"/>
      <c r="Q12" s="33"/>
      <c r="R12" s="34"/>
      <c r="S12" s="38" t="s">
        <v>108</v>
      </c>
      <c r="T12" s="33"/>
      <c r="U12" s="34"/>
      <c r="V12" s="39" t="s">
        <v>559</v>
      </c>
      <c r="W12" s="33"/>
      <c r="X12" s="34"/>
      <c r="Y12" s="3" t="s">
        <v>130</v>
      </c>
      <c r="Z12" s="3" t="s">
        <v>131</v>
      </c>
      <c r="AC12" s="117"/>
    </row>
    <row r="13">
      <c r="A13" s="40"/>
      <c r="B13" s="40"/>
      <c r="C13" s="41" t="s">
        <v>110</v>
      </c>
      <c r="D13" s="42" t="s">
        <v>111</v>
      </c>
      <c r="E13" s="43" t="s">
        <v>112</v>
      </c>
      <c r="F13" s="44" t="s">
        <v>113</v>
      </c>
      <c r="G13" s="41" t="s">
        <v>114</v>
      </c>
      <c r="H13" s="41" t="s">
        <v>115</v>
      </c>
      <c r="I13" s="45" t="s">
        <v>116</v>
      </c>
      <c r="J13" s="43" t="s">
        <v>117</v>
      </c>
      <c r="K13" s="43" t="s">
        <v>118</v>
      </c>
      <c r="L13" s="44" t="s">
        <v>119</v>
      </c>
      <c r="M13" s="44"/>
      <c r="N13" s="44" t="s">
        <v>121</v>
      </c>
      <c r="O13" s="44" t="s">
        <v>122</v>
      </c>
      <c r="P13" s="44" t="s">
        <v>123</v>
      </c>
      <c r="Q13" s="44" t="s">
        <v>124</v>
      </c>
      <c r="R13" s="43" t="s">
        <v>280</v>
      </c>
      <c r="S13" s="43" t="s">
        <v>125</v>
      </c>
      <c r="T13" s="43" t="s">
        <v>126</v>
      </c>
      <c r="U13" s="6" t="s">
        <v>196</v>
      </c>
      <c r="V13" s="43" t="s">
        <v>127</v>
      </c>
      <c r="W13" s="43" t="s">
        <v>128</v>
      </c>
      <c r="X13" s="43" t="s">
        <v>129</v>
      </c>
      <c r="Y13" s="47"/>
      <c r="Z13" s="47"/>
      <c r="AA13" s="47"/>
      <c r="AB13" s="47"/>
      <c r="AC13" s="117"/>
      <c r="AH13" s="47"/>
      <c r="AI13" s="47"/>
      <c r="AJ13" s="47"/>
    </row>
    <row r="14">
      <c r="A14" s="118" t="s">
        <v>577</v>
      </c>
      <c r="B14" s="53" t="s">
        <v>562</v>
      </c>
      <c r="C14" s="6">
        <v>1.0</v>
      </c>
      <c r="D14" s="119">
        <f>5522431/(N14*O14*P14)</f>
        <v>1348.249756</v>
      </c>
      <c r="E14" s="6">
        <v>32.0</v>
      </c>
      <c r="F14" s="119">
        <v>110710.0</v>
      </c>
      <c r="G14" s="119">
        <v>110710.0</v>
      </c>
      <c r="H14" s="6">
        <v>1.0</v>
      </c>
      <c r="I14" s="10">
        <f>ROUNDUP(F14/(N14*O14*P14*Q14))</f>
        <v>1</v>
      </c>
      <c r="J14" s="6">
        <v>1.0</v>
      </c>
      <c r="K14" s="6">
        <v>1.0</v>
      </c>
      <c r="L14" s="6"/>
      <c r="M14" s="6"/>
      <c r="N14" s="6">
        <v>16.0</v>
      </c>
      <c r="O14" s="6">
        <v>8.0</v>
      </c>
      <c r="P14" s="6">
        <v>32.0</v>
      </c>
      <c r="Q14" s="6">
        <v>131072.0</v>
      </c>
      <c r="R14" s="6">
        <v>4096.0</v>
      </c>
      <c r="S14" s="10">
        <v>27.72</v>
      </c>
      <c r="T14" s="10">
        <v>28.98</v>
      </c>
      <c r="U14" s="10">
        <v>2.52</v>
      </c>
      <c r="X14" s="120"/>
      <c r="Y14" s="120">
        <f>D14*E14*J14*S14+D14*E14*K14*T14</f>
        <v>2446264.357</v>
      </c>
      <c r="Z14" s="119">
        <f>2927502770000 / 28</f>
        <v>104553670357</v>
      </c>
      <c r="AA14" s="119"/>
    </row>
    <row r="15">
      <c r="B15" s="62"/>
      <c r="C15" s="6"/>
      <c r="D15" s="119"/>
      <c r="E15" s="6"/>
      <c r="F15" s="119"/>
      <c r="G15" s="119"/>
      <c r="H15" s="6"/>
      <c r="J15" s="56" t="s">
        <v>142</v>
      </c>
      <c r="K15" s="56" t="s">
        <v>143</v>
      </c>
      <c r="L15" s="6"/>
      <c r="M15" s="6"/>
      <c r="N15" s="6"/>
      <c r="O15" s="6"/>
      <c r="Q15" s="6"/>
      <c r="R15" s="6"/>
      <c r="U15" s="6"/>
      <c r="X15" s="120"/>
      <c r="Y15" s="120"/>
    </row>
    <row r="16">
      <c r="B16" s="62" t="s">
        <v>578</v>
      </c>
      <c r="C16" s="6">
        <v>1.0</v>
      </c>
      <c r="D16" s="119">
        <v>110710.0</v>
      </c>
      <c r="E16" s="6">
        <v>32.0</v>
      </c>
      <c r="F16" s="119">
        <v>110710.0</v>
      </c>
      <c r="G16" s="119">
        <v>110710.0</v>
      </c>
      <c r="H16" s="6">
        <v>1.0</v>
      </c>
      <c r="I16" s="10">
        <f t="shared" ref="I16:I17" si="2">ROUNDUP(F16/(N16*O16*P16*Q16))</f>
        <v>1</v>
      </c>
      <c r="J16" s="6">
        <v>4.0</v>
      </c>
      <c r="K16" s="6">
        <v>53.14</v>
      </c>
      <c r="N16" s="6">
        <v>16.0</v>
      </c>
      <c r="O16" s="6">
        <v>8.0</v>
      </c>
      <c r="P16" s="6">
        <v>32.0</v>
      </c>
      <c r="Q16" s="6">
        <v>131072.0</v>
      </c>
      <c r="R16" s="6" t="s">
        <v>564</v>
      </c>
      <c r="S16" s="10">
        <v>27.72</v>
      </c>
      <c r="T16" s="10">
        <v>28.98</v>
      </c>
      <c r="U16" s="6" t="s">
        <v>564</v>
      </c>
      <c r="X16" s="120"/>
      <c r="Y16" s="120">
        <f>D16*E16*J16*K16</f>
        <v>753040563.2</v>
      </c>
    </row>
    <row r="17">
      <c r="B17" s="121" t="s">
        <v>565</v>
      </c>
      <c r="C17" s="6">
        <v>1.0</v>
      </c>
      <c r="D17" s="119">
        <f>5522431/(N17*O17*P17)</f>
        <v>1348.249756</v>
      </c>
      <c r="E17" s="122" t="s">
        <v>564</v>
      </c>
      <c r="F17" s="119">
        <v>110710.0</v>
      </c>
      <c r="G17" s="119">
        <v>110710.0</v>
      </c>
      <c r="H17" s="6">
        <v>1.0</v>
      </c>
      <c r="I17" s="10">
        <f t="shared" si="2"/>
        <v>1</v>
      </c>
      <c r="J17" s="123" t="s">
        <v>564</v>
      </c>
      <c r="K17" s="123" t="s">
        <v>564</v>
      </c>
      <c r="L17" s="6"/>
      <c r="M17" s="6"/>
      <c r="N17" s="6">
        <v>16.0</v>
      </c>
      <c r="O17" s="6">
        <v>8.0</v>
      </c>
      <c r="P17" s="6">
        <v>32.0</v>
      </c>
      <c r="Q17" s="6">
        <v>131072.0</v>
      </c>
      <c r="R17" s="6" t="s">
        <v>564</v>
      </c>
      <c r="V17" s="55" t="s">
        <v>566</v>
      </c>
      <c r="Y17" s="124">
        <f>1.01 * 0.63 * MIN(Q17/64,F17/64) *D17</f>
        <v>1484017.937</v>
      </c>
    </row>
    <row r="18">
      <c r="A18" s="20"/>
      <c r="B18" s="20"/>
      <c r="X18" s="6" t="s">
        <v>204</v>
      </c>
      <c r="Y18" s="120">
        <f>sum(Y14:Y17)</f>
        <v>756970845.5</v>
      </c>
      <c r="Z18" s="10">
        <f>Z14/Y18</f>
        <v>138.1211324</v>
      </c>
    </row>
    <row r="19">
      <c r="A19" s="20"/>
      <c r="B19" s="20"/>
    </row>
    <row r="20">
      <c r="A20" s="19" t="s">
        <v>368</v>
      </c>
    </row>
    <row r="21">
      <c r="A21" s="112" t="s">
        <v>544</v>
      </c>
      <c r="B21" s="113" t="s">
        <v>579</v>
      </c>
      <c r="C21" s="23" t="s">
        <v>580</v>
      </c>
      <c r="D21" s="24" t="s">
        <v>547</v>
      </c>
      <c r="E21" s="26" t="s">
        <v>548</v>
      </c>
      <c r="F21" s="26" t="s">
        <v>581</v>
      </c>
      <c r="G21" s="27" t="s">
        <v>550</v>
      </c>
      <c r="H21" s="26" t="s">
        <v>582</v>
      </c>
      <c r="I21" s="26" t="s">
        <v>583</v>
      </c>
      <c r="J21" s="28"/>
      <c r="K21" s="28"/>
      <c r="L21" s="29"/>
      <c r="M21" s="29"/>
      <c r="N21" s="29"/>
      <c r="O21" s="29"/>
      <c r="P21" s="29"/>
      <c r="Q21" s="29"/>
      <c r="R21" s="26"/>
      <c r="S21" s="26" t="s">
        <v>584</v>
      </c>
      <c r="T21" s="26" t="s">
        <v>585</v>
      </c>
      <c r="U21" s="52" t="s">
        <v>586</v>
      </c>
      <c r="V21" s="30" t="s">
        <v>587</v>
      </c>
      <c r="W21" s="52" t="s">
        <v>557</v>
      </c>
      <c r="X21" s="114"/>
      <c r="Y21" s="115" t="s">
        <v>588</v>
      </c>
      <c r="Z21" s="31"/>
      <c r="AA21" s="31"/>
      <c r="AB21" s="31"/>
      <c r="AC21" s="31"/>
    </row>
    <row r="22">
      <c r="A22" s="20"/>
      <c r="B22" s="20"/>
      <c r="C22" s="32" t="s">
        <v>106</v>
      </c>
      <c r="D22" s="33"/>
      <c r="E22" s="33"/>
      <c r="F22" s="33"/>
      <c r="G22" s="33"/>
      <c r="H22" s="33"/>
      <c r="I22" s="34"/>
      <c r="J22" s="35"/>
      <c r="K22" s="34"/>
      <c r="L22" s="116"/>
      <c r="M22" s="116"/>
      <c r="N22" s="37" t="s">
        <v>107</v>
      </c>
      <c r="O22" s="33"/>
      <c r="P22" s="33"/>
      <c r="Q22" s="33"/>
      <c r="R22" s="34"/>
      <c r="S22" s="38" t="s">
        <v>108</v>
      </c>
      <c r="T22" s="33"/>
      <c r="U22" s="34"/>
      <c r="V22" s="39" t="s">
        <v>559</v>
      </c>
      <c r="W22" s="33"/>
      <c r="X22" s="34"/>
      <c r="Y22" s="3" t="s">
        <v>130</v>
      </c>
      <c r="Z22" s="3" t="s">
        <v>131</v>
      </c>
      <c r="AC22" s="117"/>
    </row>
    <row r="23">
      <c r="A23" s="40"/>
      <c r="B23" s="40"/>
      <c r="C23" s="41" t="s">
        <v>110</v>
      </c>
      <c r="D23" s="42" t="s">
        <v>111</v>
      </c>
      <c r="E23" s="43" t="s">
        <v>112</v>
      </c>
      <c r="F23" s="44" t="s">
        <v>113</v>
      </c>
      <c r="G23" s="41" t="s">
        <v>114</v>
      </c>
      <c r="H23" s="41" t="s">
        <v>115</v>
      </c>
      <c r="I23" s="45" t="s">
        <v>116</v>
      </c>
      <c r="J23" s="43" t="s">
        <v>117</v>
      </c>
      <c r="K23" s="43" t="s">
        <v>118</v>
      </c>
      <c r="L23" s="44" t="s">
        <v>119</v>
      </c>
      <c r="M23" s="44" t="s">
        <v>560</v>
      </c>
      <c r="N23" s="44" t="s">
        <v>121</v>
      </c>
      <c r="O23" s="44" t="s">
        <v>122</v>
      </c>
      <c r="P23" s="44" t="s">
        <v>123</v>
      </c>
      <c r="Q23" s="44" t="s">
        <v>124</v>
      </c>
      <c r="R23" s="43" t="s">
        <v>280</v>
      </c>
      <c r="S23" s="43" t="s">
        <v>125</v>
      </c>
      <c r="T23" s="43" t="s">
        <v>126</v>
      </c>
      <c r="U23" s="6" t="s">
        <v>196</v>
      </c>
      <c r="V23" s="43" t="s">
        <v>127</v>
      </c>
      <c r="W23" s="43" t="s">
        <v>128</v>
      </c>
      <c r="X23" s="43" t="s">
        <v>129</v>
      </c>
      <c r="Y23" s="47"/>
      <c r="Z23" s="47"/>
      <c r="AA23" s="47"/>
      <c r="AB23" s="47"/>
      <c r="AC23" s="117"/>
    </row>
    <row r="24">
      <c r="A24" s="118" t="s">
        <v>589</v>
      </c>
      <c r="B24" s="53" t="s">
        <v>562</v>
      </c>
      <c r="C24" s="6">
        <v>1.0</v>
      </c>
      <c r="D24" s="119">
        <f>5522431/(N24*O24*P24)</f>
        <v>21571.99609</v>
      </c>
      <c r="E24" s="6">
        <v>32.0</v>
      </c>
      <c r="F24" s="119">
        <v>110710.0</v>
      </c>
      <c r="G24" s="119">
        <v>110710.0</v>
      </c>
      <c r="H24" s="6">
        <v>1.0</v>
      </c>
      <c r="I24" s="10">
        <f t="shared" ref="I24:I26" si="3">ROUNDUP(F24/(N24*O24*P24*Q24))</f>
        <v>1</v>
      </c>
      <c r="J24" s="6">
        <v>1.0</v>
      </c>
      <c r="K24" s="6">
        <v>1.0</v>
      </c>
      <c r="L24" s="6"/>
      <c r="M24" s="6"/>
      <c r="N24" s="6">
        <v>16.0</v>
      </c>
      <c r="O24" s="6">
        <v>8.0</v>
      </c>
      <c r="P24" s="6">
        <v>2.0</v>
      </c>
      <c r="Q24" s="6">
        <v>131072.0</v>
      </c>
      <c r="R24" s="6">
        <v>4096.0</v>
      </c>
      <c r="S24" s="10">
        <v>27.72</v>
      </c>
      <c r="T24" s="10">
        <v>28.98</v>
      </c>
      <c r="U24" s="10">
        <v>2.52</v>
      </c>
      <c r="X24" s="120"/>
      <c r="Y24" s="120">
        <f>D24*E24*J24*S24+D24*E24*K24*T24</f>
        <v>39140229.71</v>
      </c>
      <c r="Z24" s="119">
        <f>2927502770000 / 28</f>
        <v>104553670357</v>
      </c>
      <c r="AA24" s="119"/>
    </row>
    <row r="25">
      <c r="B25" s="62" t="s">
        <v>563</v>
      </c>
      <c r="C25" s="6">
        <v>1.0</v>
      </c>
      <c r="D25" s="119">
        <v>110710.0</v>
      </c>
      <c r="E25" s="6">
        <v>32.0</v>
      </c>
      <c r="F25" s="119">
        <v>110710.0</v>
      </c>
      <c r="G25" s="119">
        <v>110710.0</v>
      </c>
      <c r="H25" s="6">
        <v>1.0</v>
      </c>
      <c r="I25" s="10">
        <f t="shared" si="3"/>
        <v>1</v>
      </c>
      <c r="J25" s="6">
        <v>4.0</v>
      </c>
      <c r="K25" s="6">
        <v>2.0</v>
      </c>
      <c r="L25" s="6">
        <v>6.0</v>
      </c>
      <c r="M25" s="6">
        <v>2.52</v>
      </c>
      <c r="N25" s="6">
        <v>16.0</v>
      </c>
      <c r="O25" s="6">
        <v>8.0</v>
      </c>
      <c r="P25" s="6">
        <v>2.0</v>
      </c>
      <c r="Q25" s="6">
        <v>131072.0</v>
      </c>
      <c r="R25" s="6" t="s">
        <v>564</v>
      </c>
      <c r="S25" s="10">
        <v>27.72</v>
      </c>
      <c r="T25" s="10">
        <v>28.98</v>
      </c>
      <c r="U25" s="6" t="s">
        <v>564</v>
      </c>
      <c r="X25" s="120"/>
      <c r="Y25" s="120">
        <f>D25*E25*J25*S25+D25*E25*K25*T25+D25*E25*L25*M25</f>
        <v>651718771.2</v>
      </c>
    </row>
    <row r="26">
      <c r="B26" s="121" t="s">
        <v>565</v>
      </c>
      <c r="C26" s="6">
        <v>1.0</v>
      </c>
      <c r="D26" s="119">
        <f>5522431/(N26*O26*P26)</f>
        <v>21571.99609</v>
      </c>
      <c r="E26" s="122" t="s">
        <v>564</v>
      </c>
      <c r="F26" s="119">
        <v>110710.0</v>
      </c>
      <c r="G26" s="119">
        <v>110710.0</v>
      </c>
      <c r="H26" s="6">
        <v>1.0</v>
      </c>
      <c r="I26" s="10">
        <f t="shared" si="3"/>
        <v>1</v>
      </c>
      <c r="J26" s="123" t="s">
        <v>564</v>
      </c>
      <c r="K26" s="123" t="s">
        <v>564</v>
      </c>
      <c r="L26" s="6"/>
      <c r="M26" s="6"/>
      <c r="N26" s="6">
        <v>16.0</v>
      </c>
      <c r="O26" s="6">
        <v>8.0</v>
      </c>
      <c r="P26" s="6">
        <v>2.0</v>
      </c>
      <c r="Q26" s="6">
        <v>131072.0</v>
      </c>
      <c r="R26" s="6" t="s">
        <v>564</v>
      </c>
      <c r="V26" s="55" t="s">
        <v>566</v>
      </c>
      <c r="Y26" s="124">
        <f>1.01 * 0.63 * MIN(Q26/64,F26/64) *D26</f>
        <v>23744287</v>
      </c>
    </row>
    <row r="27">
      <c r="A27" s="20"/>
      <c r="B27" s="20"/>
      <c r="X27" s="6" t="s">
        <v>204</v>
      </c>
      <c r="Y27" s="120">
        <f>sum(Y24:Y26)</f>
        <v>714603287.9</v>
      </c>
      <c r="Z27" s="10">
        <f>Z24/Y27</f>
        <v>146.3100886</v>
      </c>
    </row>
    <row r="28">
      <c r="A28" s="20"/>
      <c r="B28" s="20"/>
    </row>
    <row r="29">
      <c r="A29" s="19" t="s">
        <v>378</v>
      </c>
    </row>
    <row r="30">
      <c r="A30" s="112" t="s">
        <v>544</v>
      </c>
      <c r="B30" s="113" t="s">
        <v>590</v>
      </c>
      <c r="C30" s="23" t="s">
        <v>591</v>
      </c>
      <c r="D30" s="24" t="s">
        <v>547</v>
      </c>
      <c r="E30" s="26" t="s">
        <v>548</v>
      </c>
      <c r="F30" s="26" t="s">
        <v>592</v>
      </c>
      <c r="G30" s="27" t="s">
        <v>550</v>
      </c>
      <c r="H30" s="26" t="s">
        <v>593</v>
      </c>
      <c r="I30" s="26" t="s">
        <v>594</v>
      </c>
      <c r="J30" s="28"/>
      <c r="K30" s="28"/>
      <c r="L30" s="29"/>
      <c r="M30" s="29"/>
      <c r="N30" s="29"/>
      <c r="O30" s="29"/>
      <c r="P30" s="29"/>
      <c r="Q30" s="29"/>
      <c r="R30" s="26"/>
      <c r="S30" s="26" t="s">
        <v>595</v>
      </c>
      <c r="T30" s="26" t="s">
        <v>596</v>
      </c>
      <c r="U30" s="52" t="s">
        <v>597</v>
      </c>
      <c r="V30" s="30" t="s">
        <v>598</v>
      </c>
      <c r="W30" s="52" t="s">
        <v>557</v>
      </c>
      <c r="X30" s="114"/>
      <c r="Y30" s="115" t="s">
        <v>599</v>
      </c>
      <c r="Z30" s="31"/>
      <c r="AA30" s="31"/>
      <c r="AB30" s="31"/>
      <c r="AC30" s="31"/>
    </row>
    <row r="31">
      <c r="A31" s="20"/>
      <c r="B31" s="20"/>
      <c r="C31" s="32" t="s">
        <v>106</v>
      </c>
      <c r="D31" s="33"/>
      <c r="E31" s="33"/>
      <c r="F31" s="33"/>
      <c r="G31" s="33"/>
      <c r="H31" s="33"/>
      <c r="I31" s="34"/>
      <c r="J31" s="35"/>
      <c r="K31" s="34"/>
      <c r="L31" s="116"/>
      <c r="M31" s="116"/>
      <c r="N31" s="37" t="s">
        <v>107</v>
      </c>
      <c r="O31" s="33"/>
      <c r="P31" s="33"/>
      <c r="Q31" s="33"/>
      <c r="R31" s="34"/>
      <c r="S31" s="38" t="s">
        <v>108</v>
      </c>
      <c r="T31" s="33"/>
      <c r="U31" s="34"/>
      <c r="V31" s="39" t="s">
        <v>559</v>
      </c>
      <c r="W31" s="33"/>
      <c r="X31" s="34"/>
      <c r="Y31" s="3" t="s">
        <v>130</v>
      </c>
      <c r="Z31" s="3" t="s">
        <v>131</v>
      </c>
      <c r="AC31" s="117"/>
    </row>
    <row r="32">
      <c r="A32" s="40"/>
      <c r="B32" s="40"/>
      <c r="C32" s="41" t="s">
        <v>110</v>
      </c>
      <c r="D32" s="42" t="s">
        <v>111</v>
      </c>
      <c r="E32" s="43" t="s">
        <v>112</v>
      </c>
      <c r="F32" s="44" t="s">
        <v>113</v>
      </c>
      <c r="G32" s="41" t="s">
        <v>114</v>
      </c>
      <c r="H32" s="41" t="s">
        <v>115</v>
      </c>
      <c r="I32" s="45" t="s">
        <v>116</v>
      </c>
      <c r="J32" s="43" t="s">
        <v>117</v>
      </c>
      <c r="K32" s="43" t="s">
        <v>118</v>
      </c>
      <c r="L32" s="44" t="s">
        <v>119</v>
      </c>
      <c r="M32" s="44" t="s">
        <v>560</v>
      </c>
      <c r="N32" s="44" t="s">
        <v>121</v>
      </c>
      <c r="O32" s="44" t="s">
        <v>122</v>
      </c>
      <c r="P32" s="44" t="s">
        <v>123</v>
      </c>
      <c r="Q32" s="44" t="s">
        <v>124</v>
      </c>
      <c r="R32" s="43" t="s">
        <v>280</v>
      </c>
      <c r="S32" s="43" t="s">
        <v>125</v>
      </c>
      <c r="T32" s="43" t="s">
        <v>126</v>
      </c>
      <c r="U32" s="6" t="s">
        <v>196</v>
      </c>
      <c r="V32" s="43" t="s">
        <v>127</v>
      </c>
      <c r="W32" s="43" t="s">
        <v>128</v>
      </c>
      <c r="X32" s="43" t="s">
        <v>129</v>
      </c>
      <c r="Y32" s="47"/>
      <c r="Z32" s="47"/>
      <c r="AA32" s="47"/>
      <c r="AB32" s="47"/>
      <c r="AC32" s="117"/>
    </row>
    <row r="33">
      <c r="A33" s="118" t="s">
        <v>600</v>
      </c>
      <c r="B33" s="53" t="s">
        <v>562</v>
      </c>
      <c r="C33" s="6">
        <v>1.0</v>
      </c>
      <c r="D33" s="119">
        <f>5522431/(N33*O33*P33)</f>
        <v>1348.249756</v>
      </c>
      <c r="E33" s="6">
        <v>32.0</v>
      </c>
      <c r="F33" s="119">
        <v>110710.0</v>
      </c>
      <c r="G33" s="119">
        <v>110710.0</v>
      </c>
      <c r="H33" s="6">
        <v>1.0</v>
      </c>
      <c r="I33" s="10">
        <f t="shared" ref="I33:I35" si="4">ROUNDUP(F33/(N33*O33*P33*Q33))</f>
        <v>1</v>
      </c>
      <c r="J33" s="6">
        <v>1.0</v>
      </c>
      <c r="K33" s="6">
        <v>1.0</v>
      </c>
      <c r="L33" s="6"/>
      <c r="M33" s="6"/>
      <c r="N33" s="6">
        <v>16.0</v>
      </c>
      <c r="O33" s="6">
        <v>8.0</v>
      </c>
      <c r="P33" s="6">
        <v>32.0</v>
      </c>
      <c r="Q33" s="6">
        <v>131072.0</v>
      </c>
      <c r="R33" s="6">
        <v>4096.0</v>
      </c>
      <c r="S33" s="10">
        <v>27.72</v>
      </c>
      <c r="T33" s="10">
        <v>28.98</v>
      </c>
      <c r="U33" s="10">
        <v>2.52</v>
      </c>
      <c r="X33" s="120"/>
      <c r="Y33" s="120">
        <f>D33*E33*J33*S33+D33*E33*K33*T33</f>
        <v>2446264.357</v>
      </c>
      <c r="Z33" s="119">
        <f>2927502770000 / 28</f>
        <v>104553670357</v>
      </c>
      <c r="AA33" s="119"/>
    </row>
    <row r="34">
      <c r="B34" s="62" t="s">
        <v>563</v>
      </c>
      <c r="C34" s="6">
        <v>1.0</v>
      </c>
      <c r="D34" s="119">
        <v>110710.0</v>
      </c>
      <c r="E34" s="6">
        <v>32.0</v>
      </c>
      <c r="F34" s="119">
        <v>110710.0</v>
      </c>
      <c r="G34" s="119">
        <v>110710.0</v>
      </c>
      <c r="H34" s="6">
        <v>1.0</v>
      </c>
      <c r="I34" s="10">
        <f t="shared" si="4"/>
        <v>1</v>
      </c>
      <c r="J34" s="6">
        <v>3.0</v>
      </c>
      <c r="K34" s="6">
        <v>2.0</v>
      </c>
      <c r="L34" s="6">
        <v>12.0</v>
      </c>
      <c r="M34" s="6">
        <v>2.52</v>
      </c>
      <c r="N34" s="6">
        <v>16.0</v>
      </c>
      <c r="O34" s="6">
        <v>8.0</v>
      </c>
      <c r="P34" s="6">
        <v>32.0</v>
      </c>
      <c r="Q34" s="6">
        <v>131072.0</v>
      </c>
      <c r="R34" s="6" t="s">
        <v>564</v>
      </c>
      <c r="S34" s="10">
        <v>27.72</v>
      </c>
      <c r="T34" s="10">
        <v>28.98</v>
      </c>
      <c r="U34" s="6" t="s">
        <v>564</v>
      </c>
      <c r="X34" s="120"/>
      <c r="Y34" s="120">
        <f>D34*E34*J34*S34+D34*E34*K34*T34+D34*E34*L34*M34</f>
        <v>607080499.2</v>
      </c>
    </row>
    <row r="35">
      <c r="B35" s="121" t="s">
        <v>565</v>
      </c>
      <c r="C35" s="6">
        <v>1.0</v>
      </c>
      <c r="D35" s="119">
        <f>5522431/(N35*O35*P35)</f>
        <v>1348.249756</v>
      </c>
      <c r="E35" s="122" t="s">
        <v>564</v>
      </c>
      <c r="F35" s="119">
        <v>110710.0</v>
      </c>
      <c r="G35" s="119">
        <v>110710.0</v>
      </c>
      <c r="H35" s="6">
        <v>1.0</v>
      </c>
      <c r="I35" s="10">
        <f t="shared" si="4"/>
        <v>1</v>
      </c>
      <c r="J35" s="123" t="s">
        <v>564</v>
      </c>
      <c r="K35" s="123" t="s">
        <v>564</v>
      </c>
      <c r="L35" s="6"/>
      <c r="M35" s="6"/>
      <c r="N35" s="6">
        <v>16.0</v>
      </c>
      <c r="O35" s="6">
        <v>8.0</v>
      </c>
      <c r="P35" s="6">
        <v>32.0</v>
      </c>
      <c r="Q35" s="6">
        <v>131072.0</v>
      </c>
      <c r="R35" s="6" t="s">
        <v>564</v>
      </c>
      <c r="V35" s="55" t="s">
        <v>566</v>
      </c>
      <c r="Y35" s="124">
        <f>1.01 * 0.63 * MIN(Q35/64,F35/64) *D35</f>
        <v>1484017.937</v>
      </c>
    </row>
    <row r="36">
      <c r="A36" s="20"/>
      <c r="B36" s="20"/>
      <c r="X36" s="6" t="s">
        <v>204</v>
      </c>
      <c r="Y36" s="120">
        <f>sum(Y33:Y35)</f>
        <v>611010781.5</v>
      </c>
      <c r="Z36" s="10">
        <f>Z33/Y36</f>
        <v>171.1159173</v>
      </c>
    </row>
    <row r="37">
      <c r="A37" s="19" t="s">
        <v>388</v>
      </c>
    </row>
    <row r="38">
      <c r="A38" s="112" t="s">
        <v>544</v>
      </c>
      <c r="B38" s="113" t="s">
        <v>601</v>
      </c>
      <c r="C38" s="23" t="s">
        <v>602</v>
      </c>
      <c r="D38" s="24" t="s">
        <v>547</v>
      </c>
      <c r="E38" s="26" t="s">
        <v>548</v>
      </c>
      <c r="F38" s="26" t="s">
        <v>603</v>
      </c>
      <c r="G38" s="27" t="s">
        <v>550</v>
      </c>
      <c r="H38" s="26" t="s">
        <v>604</v>
      </c>
      <c r="I38" s="26" t="s">
        <v>605</v>
      </c>
      <c r="J38" s="28"/>
      <c r="K38" s="28"/>
      <c r="L38" s="29"/>
      <c r="M38" s="29"/>
      <c r="N38" s="29"/>
      <c r="O38" s="29"/>
      <c r="P38" s="29"/>
      <c r="Q38" s="29"/>
      <c r="R38" s="26"/>
      <c r="S38" s="26" t="s">
        <v>606</v>
      </c>
      <c r="T38" s="26" t="s">
        <v>607</v>
      </c>
      <c r="U38" s="52" t="s">
        <v>608</v>
      </c>
      <c r="V38" s="30" t="s">
        <v>609</v>
      </c>
      <c r="W38" s="52" t="s">
        <v>557</v>
      </c>
      <c r="X38" s="114"/>
      <c r="Y38" s="115" t="s">
        <v>610</v>
      </c>
      <c r="Z38" s="31"/>
      <c r="AA38" s="31"/>
      <c r="AB38" s="31"/>
      <c r="AC38" s="31"/>
    </row>
    <row r="39">
      <c r="A39" s="20"/>
      <c r="B39" s="20"/>
      <c r="C39" s="32" t="s">
        <v>106</v>
      </c>
      <c r="D39" s="33"/>
      <c r="E39" s="33"/>
      <c r="F39" s="33"/>
      <c r="G39" s="33"/>
      <c r="H39" s="33"/>
      <c r="I39" s="34"/>
      <c r="J39" s="35"/>
      <c r="K39" s="34"/>
      <c r="L39" s="116"/>
      <c r="M39" s="116"/>
      <c r="N39" s="37" t="s">
        <v>107</v>
      </c>
      <c r="O39" s="33"/>
      <c r="P39" s="33"/>
      <c r="Q39" s="33"/>
      <c r="R39" s="34"/>
      <c r="S39" s="38" t="s">
        <v>108</v>
      </c>
      <c r="T39" s="33"/>
      <c r="U39" s="34"/>
      <c r="V39" s="39" t="s">
        <v>559</v>
      </c>
      <c r="W39" s="33"/>
      <c r="X39" s="34"/>
      <c r="Y39" s="3" t="s">
        <v>130</v>
      </c>
      <c r="Z39" s="3" t="s">
        <v>131</v>
      </c>
      <c r="AC39" s="117"/>
    </row>
    <row r="40">
      <c r="A40" s="40"/>
      <c r="B40" s="40"/>
      <c r="C40" s="41" t="s">
        <v>110</v>
      </c>
      <c r="D40" s="42" t="s">
        <v>111</v>
      </c>
      <c r="E40" s="43" t="s">
        <v>112</v>
      </c>
      <c r="F40" s="44" t="s">
        <v>113</v>
      </c>
      <c r="G40" s="41" t="s">
        <v>114</v>
      </c>
      <c r="H40" s="41" t="s">
        <v>115</v>
      </c>
      <c r="I40" s="45" t="s">
        <v>116</v>
      </c>
      <c r="J40" s="43" t="s">
        <v>117</v>
      </c>
      <c r="K40" s="43" t="s">
        <v>118</v>
      </c>
      <c r="L40" s="44" t="s">
        <v>119</v>
      </c>
      <c r="M40" s="44" t="s">
        <v>560</v>
      </c>
      <c r="N40" s="44" t="s">
        <v>121</v>
      </c>
      <c r="O40" s="44" t="s">
        <v>122</v>
      </c>
      <c r="P40" s="44" t="s">
        <v>123</v>
      </c>
      <c r="Q40" s="44" t="s">
        <v>124</v>
      </c>
      <c r="R40" s="43" t="s">
        <v>280</v>
      </c>
      <c r="S40" s="43" t="s">
        <v>125</v>
      </c>
      <c r="T40" s="43" t="s">
        <v>126</v>
      </c>
      <c r="U40" s="6" t="s">
        <v>196</v>
      </c>
      <c r="V40" s="43" t="s">
        <v>127</v>
      </c>
      <c r="W40" s="43" t="s">
        <v>128</v>
      </c>
      <c r="X40" s="43" t="s">
        <v>129</v>
      </c>
      <c r="Y40" s="47"/>
      <c r="Z40" s="47"/>
      <c r="AA40" s="47"/>
      <c r="AB40" s="47"/>
      <c r="AC40" s="117"/>
    </row>
    <row r="41">
      <c r="A41" s="118" t="s">
        <v>611</v>
      </c>
      <c r="B41" s="53" t="s">
        <v>562</v>
      </c>
      <c r="C41" s="6">
        <v>1.0</v>
      </c>
      <c r="D41" s="119">
        <f>5522431/(N41*O41*P41)</f>
        <v>5392.999023</v>
      </c>
      <c r="E41" s="6">
        <v>32.0</v>
      </c>
      <c r="F41" s="119">
        <v>110710.0</v>
      </c>
      <c r="G41" s="119">
        <v>110710.0</v>
      </c>
      <c r="H41" s="6">
        <v>1.0</v>
      </c>
      <c r="I41" s="10">
        <f t="shared" ref="I41:I43" si="5">ROUNDUP(F41/(N41*O41*P41*Q41))</f>
        <v>1</v>
      </c>
      <c r="J41" s="6">
        <v>1.0</v>
      </c>
      <c r="K41" s="6">
        <v>1.0</v>
      </c>
      <c r="L41" s="6"/>
      <c r="M41" s="6"/>
      <c r="N41" s="6">
        <v>16.0</v>
      </c>
      <c r="O41" s="6">
        <v>8.0</v>
      </c>
      <c r="P41" s="6">
        <v>8.0</v>
      </c>
      <c r="Q41" s="6">
        <v>131072.0</v>
      </c>
      <c r="R41" s="6">
        <v>4096.0</v>
      </c>
      <c r="S41" s="10">
        <v>27.72</v>
      </c>
      <c r="T41" s="10">
        <v>28.98</v>
      </c>
      <c r="U41" s="10">
        <v>2.52</v>
      </c>
      <c r="X41" s="120"/>
      <c r="Y41" s="120">
        <f>D41*E41*J41*S41+D41*E41*K41*T41</f>
        <v>9785057.428</v>
      </c>
      <c r="Z41" s="119">
        <f>2927502770000 / 28</f>
        <v>104553670357</v>
      </c>
      <c r="AA41" s="119"/>
    </row>
    <row r="42">
      <c r="B42" s="62" t="s">
        <v>563</v>
      </c>
      <c r="C42" s="6">
        <v>1.0</v>
      </c>
      <c r="D42" s="119">
        <v>110710.0</v>
      </c>
      <c r="E42" s="6">
        <v>32.0</v>
      </c>
      <c r="F42" s="119">
        <v>110710.0</v>
      </c>
      <c r="G42" s="119">
        <v>110710.0</v>
      </c>
      <c r="H42" s="6">
        <v>1.0</v>
      </c>
      <c r="I42" s="10">
        <f t="shared" si="5"/>
        <v>1</v>
      </c>
      <c r="J42" s="6">
        <v>2.0</v>
      </c>
      <c r="K42" s="6">
        <f>(E42+1)/E42</f>
        <v>1.03125</v>
      </c>
      <c r="L42" s="6">
        <v>4.0</v>
      </c>
      <c r="M42" s="6">
        <v>2.52</v>
      </c>
      <c r="N42" s="6">
        <v>16.0</v>
      </c>
      <c r="O42" s="6">
        <v>8.0</v>
      </c>
      <c r="P42" s="6">
        <v>8.0</v>
      </c>
      <c r="Q42" s="6">
        <v>131072.0</v>
      </c>
      <c r="R42" s="6" t="s">
        <v>564</v>
      </c>
      <c r="S42" s="10">
        <v>27.72</v>
      </c>
      <c r="T42" s="10">
        <v>28.98</v>
      </c>
      <c r="U42" s="6" t="s">
        <v>564</v>
      </c>
      <c r="X42" s="120"/>
      <c r="Y42" s="120">
        <f>D42*E42*J42*S42+D42*E42*K42*T42+D42*E42*L42*M42</f>
        <v>337995415.8</v>
      </c>
    </row>
    <row r="43">
      <c r="B43" s="121" t="s">
        <v>565</v>
      </c>
      <c r="C43" s="6">
        <v>1.0</v>
      </c>
      <c r="D43" s="119">
        <f>5522431/(N43*O43*P43)</f>
        <v>5392.999023</v>
      </c>
      <c r="E43" s="122" t="s">
        <v>564</v>
      </c>
      <c r="F43" s="119">
        <v>110710.0</v>
      </c>
      <c r="G43" s="119">
        <v>110710.0</v>
      </c>
      <c r="H43" s="6">
        <v>1.0</v>
      </c>
      <c r="I43" s="10">
        <f t="shared" si="5"/>
        <v>1</v>
      </c>
      <c r="J43" s="123" t="s">
        <v>564</v>
      </c>
      <c r="K43" s="123" t="s">
        <v>564</v>
      </c>
      <c r="L43" s="6"/>
      <c r="M43" s="6"/>
      <c r="N43" s="6">
        <v>16.0</v>
      </c>
      <c r="O43" s="6">
        <v>8.0</v>
      </c>
      <c r="P43" s="6">
        <v>8.0</v>
      </c>
      <c r="Q43" s="6">
        <v>131072.0</v>
      </c>
      <c r="R43" s="6" t="s">
        <v>564</v>
      </c>
      <c r="V43" s="55" t="s">
        <v>566</v>
      </c>
      <c r="Y43" s="124">
        <f>1.01 * 0.63 * MIN(Q43/64,F43/64) *D43</f>
        <v>5936071.75</v>
      </c>
    </row>
    <row r="44">
      <c r="A44" s="20"/>
      <c r="B44" s="20"/>
      <c r="X44" s="6" t="s">
        <v>204</v>
      </c>
      <c r="Y44" s="120">
        <f>sum(Y41:Y43)</f>
        <v>353716545</v>
      </c>
      <c r="Z44" s="10">
        <f>Z41/Y44</f>
        <v>295.5860331</v>
      </c>
    </row>
    <row r="45">
      <c r="A45" s="20"/>
      <c r="B45" s="20"/>
    </row>
    <row r="46">
      <c r="A46" s="19" t="s">
        <v>398</v>
      </c>
    </row>
    <row r="47">
      <c r="A47" s="112" t="s">
        <v>544</v>
      </c>
      <c r="B47" s="113" t="s">
        <v>612</v>
      </c>
      <c r="C47" s="23" t="s">
        <v>613</v>
      </c>
      <c r="D47" s="24" t="s">
        <v>547</v>
      </c>
      <c r="E47" s="26" t="s">
        <v>548</v>
      </c>
      <c r="F47" s="26" t="s">
        <v>614</v>
      </c>
      <c r="G47" s="27" t="s">
        <v>550</v>
      </c>
      <c r="H47" s="26" t="s">
        <v>615</v>
      </c>
      <c r="I47" s="26" t="s">
        <v>616</v>
      </c>
      <c r="J47" s="28"/>
      <c r="K47" s="28"/>
      <c r="L47" s="29"/>
      <c r="M47" s="29"/>
      <c r="N47" s="29"/>
      <c r="O47" s="29"/>
      <c r="P47" s="29"/>
      <c r="Q47" s="29"/>
      <c r="R47" s="26"/>
      <c r="S47" s="26" t="s">
        <v>617</v>
      </c>
      <c r="T47" s="26" t="s">
        <v>618</v>
      </c>
      <c r="U47" s="52" t="s">
        <v>619</v>
      </c>
      <c r="V47" s="30" t="s">
        <v>620</v>
      </c>
      <c r="W47" s="52" t="s">
        <v>557</v>
      </c>
      <c r="X47" s="114"/>
      <c r="Y47" s="115" t="s">
        <v>621</v>
      </c>
      <c r="Z47" s="31"/>
      <c r="AA47" s="31"/>
      <c r="AB47" s="31"/>
      <c r="AC47" s="31"/>
    </row>
    <row r="48">
      <c r="A48" s="20"/>
      <c r="B48" s="20"/>
      <c r="C48" s="32" t="s">
        <v>106</v>
      </c>
      <c r="D48" s="33"/>
      <c r="E48" s="33"/>
      <c r="F48" s="33"/>
      <c r="G48" s="33"/>
      <c r="H48" s="33"/>
      <c r="I48" s="34"/>
      <c r="J48" s="35"/>
      <c r="K48" s="34"/>
      <c r="L48" s="116"/>
      <c r="M48" s="116"/>
      <c r="N48" s="37" t="s">
        <v>107</v>
      </c>
      <c r="O48" s="33"/>
      <c r="P48" s="33"/>
      <c r="Q48" s="33"/>
      <c r="R48" s="34"/>
      <c r="S48" s="38" t="s">
        <v>108</v>
      </c>
      <c r="T48" s="33"/>
      <c r="U48" s="34"/>
      <c r="V48" s="39" t="s">
        <v>559</v>
      </c>
      <c r="W48" s="33"/>
      <c r="X48" s="34"/>
      <c r="Y48" s="3" t="s">
        <v>130</v>
      </c>
      <c r="Z48" s="3" t="s">
        <v>131</v>
      </c>
      <c r="AC48" s="117"/>
    </row>
    <row r="49">
      <c r="A49" s="40"/>
      <c r="B49" s="40"/>
      <c r="C49" s="41" t="s">
        <v>110</v>
      </c>
      <c r="D49" s="42" t="s">
        <v>111</v>
      </c>
      <c r="E49" s="43" t="s">
        <v>112</v>
      </c>
      <c r="F49" s="44" t="s">
        <v>113</v>
      </c>
      <c r="G49" s="41" t="s">
        <v>114</v>
      </c>
      <c r="H49" s="41" t="s">
        <v>115</v>
      </c>
      <c r="I49" s="45" t="s">
        <v>116</v>
      </c>
      <c r="J49" s="43" t="s">
        <v>117</v>
      </c>
      <c r="K49" s="43" t="s">
        <v>118</v>
      </c>
      <c r="L49" s="44" t="s">
        <v>119</v>
      </c>
      <c r="M49" s="44" t="s">
        <v>560</v>
      </c>
      <c r="N49" s="44" t="s">
        <v>121</v>
      </c>
      <c r="O49" s="44" t="s">
        <v>122</v>
      </c>
      <c r="P49" s="44" t="s">
        <v>123</v>
      </c>
      <c r="Q49" s="44" t="s">
        <v>124</v>
      </c>
      <c r="R49" s="43" t="s">
        <v>280</v>
      </c>
      <c r="S49" s="43" t="s">
        <v>125</v>
      </c>
      <c r="T49" s="43" t="s">
        <v>126</v>
      </c>
      <c r="U49" s="6" t="s">
        <v>196</v>
      </c>
      <c r="V49" s="43" t="s">
        <v>127</v>
      </c>
      <c r="W49" s="43" t="s">
        <v>128</v>
      </c>
      <c r="X49" s="43" t="s">
        <v>129</v>
      </c>
      <c r="Y49" s="47"/>
      <c r="Z49" s="47"/>
      <c r="AA49" s="47"/>
      <c r="AB49" s="47"/>
      <c r="AC49" s="117"/>
    </row>
    <row r="50">
      <c r="A50" s="118" t="s">
        <v>622</v>
      </c>
      <c r="B50" s="53" t="s">
        <v>562</v>
      </c>
      <c r="C50" s="6">
        <v>1.0</v>
      </c>
      <c r="D50" s="119">
        <f>5522431/(N50*O50*P50)</f>
        <v>1348.249756</v>
      </c>
      <c r="E50" s="6">
        <v>32.0</v>
      </c>
      <c r="F50" s="119">
        <v>110710.0</v>
      </c>
      <c r="G50" s="119">
        <v>110710.0</v>
      </c>
      <c r="H50" s="6">
        <v>1.0</v>
      </c>
      <c r="I50" s="10">
        <f t="shared" ref="I50:I52" si="6">ROUNDUP(F50/(N50*O50*P50*Q50))</f>
        <v>1</v>
      </c>
      <c r="J50" s="6">
        <v>1.0</v>
      </c>
      <c r="K50" s="6">
        <v>1.0</v>
      </c>
      <c r="L50" s="6"/>
      <c r="M50" s="6"/>
      <c r="N50" s="6">
        <v>16.0</v>
      </c>
      <c r="O50" s="6">
        <v>8.0</v>
      </c>
      <c r="P50" s="6">
        <v>32.0</v>
      </c>
      <c r="Q50" s="6">
        <v>131072.0</v>
      </c>
      <c r="R50" s="6">
        <v>4096.0</v>
      </c>
      <c r="S50" s="10">
        <v>27.72</v>
      </c>
      <c r="T50" s="10">
        <v>28.98</v>
      </c>
      <c r="U50" s="10">
        <v>2.52</v>
      </c>
      <c r="X50" s="120"/>
      <c r="Y50" s="120">
        <f>D50*E50*J50*S50+D50*E50*K50*T50</f>
        <v>2446264.357</v>
      </c>
      <c r="Z50" s="119">
        <f>2927502770000 / 28</f>
        <v>104553670357</v>
      </c>
      <c r="AA50" s="119"/>
    </row>
    <row r="51">
      <c r="B51" s="62" t="s">
        <v>563</v>
      </c>
      <c r="C51" s="6">
        <v>1.0</v>
      </c>
      <c r="D51" s="119">
        <v>110710.0</v>
      </c>
      <c r="E51" s="6">
        <v>32.0</v>
      </c>
      <c r="F51" s="119">
        <v>110710.0</v>
      </c>
      <c r="G51" s="119">
        <v>110710.0</v>
      </c>
      <c r="H51" s="6">
        <v>1.0</v>
      </c>
      <c r="I51" s="10">
        <f t="shared" si="6"/>
        <v>1</v>
      </c>
      <c r="J51" s="6">
        <v>2.0</v>
      </c>
      <c r="K51" s="6">
        <v>1.0</v>
      </c>
      <c r="L51" s="6">
        <v>2.0</v>
      </c>
      <c r="M51" s="6">
        <v>2.52</v>
      </c>
      <c r="N51" s="6">
        <v>16.0</v>
      </c>
      <c r="O51" s="6">
        <v>8.0</v>
      </c>
      <c r="P51" s="6">
        <v>32.0</v>
      </c>
      <c r="Q51" s="6">
        <v>131072.0</v>
      </c>
      <c r="R51" s="6" t="s">
        <v>564</v>
      </c>
      <c r="S51" s="10">
        <v>27.72</v>
      </c>
      <c r="T51" s="10">
        <v>28.98</v>
      </c>
      <c r="U51" s="6" t="s">
        <v>564</v>
      </c>
      <c r="X51" s="120"/>
      <c r="Y51" s="120">
        <f>D51*E51*J51*S51+D51*E51*K51*T51+D51*E51*L51*M51</f>
        <v>316931731.2</v>
      </c>
    </row>
    <row r="52">
      <c r="B52" s="121" t="s">
        <v>565</v>
      </c>
      <c r="C52" s="6">
        <v>1.0</v>
      </c>
      <c r="D52" s="119">
        <f>5522431/(N52*O52*P52)</f>
        <v>1348.249756</v>
      </c>
      <c r="E52" s="122" t="s">
        <v>564</v>
      </c>
      <c r="F52" s="119">
        <v>110710.0</v>
      </c>
      <c r="G52" s="119">
        <v>110710.0</v>
      </c>
      <c r="H52" s="6">
        <v>1.0</v>
      </c>
      <c r="I52" s="10">
        <f t="shared" si="6"/>
        <v>1</v>
      </c>
      <c r="J52" s="123" t="s">
        <v>564</v>
      </c>
      <c r="K52" s="123" t="s">
        <v>564</v>
      </c>
      <c r="L52" s="6"/>
      <c r="M52" s="6"/>
      <c r="N52" s="6">
        <v>16.0</v>
      </c>
      <c r="O52" s="6">
        <v>8.0</v>
      </c>
      <c r="P52" s="6">
        <v>32.0</v>
      </c>
      <c r="Q52" s="6">
        <v>131072.0</v>
      </c>
      <c r="R52" s="6" t="s">
        <v>564</v>
      </c>
      <c r="V52" s="55" t="s">
        <v>566</v>
      </c>
      <c r="Y52" s="124">
        <f>1.01 * 0.63 * MIN(Q52/64,F52/64) *D52</f>
        <v>1484017.937</v>
      </c>
    </row>
    <row r="53">
      <c r="A53" s="20"/>
      <c r="B53" s="20"/>
      <c r="X53" s="6" t="s">
        <v>204</v>
      </c>
      <c r="Y53" s="120">
        <f>sum(Y50:Y52)</f>
        <v>320862013.5</v>
      </c>
      <c r="Z53" s="10">
        <f>Z50/Y53</f>
        <v>325.8524411</v>
      </c>
    </row>
    <row r="54">
      <c r="A54" s="20"/>
      <c r="B54" s="20"/>
    </row>
    <row r="55">
      <c r="A55" s="20"/>
      <c r="B55" s="20"/>
    </row>
    <row r="56">
      <c r="A56" s="20"/>
      <c r="B56" s="20"/>
    </row>
    <row r="57">
      <c r="A57" s="20"/>
      <c r="B57" s="20"/>
    </row>
    <row r="58">
      <c r="A58" s="20"/>
      <c r="B58" s="20"/>
    </row>
    <row r="59">
      <c r="A59" s="20"/>
      <c r="B59" s="20"/>
    </row>
    <row r="60">
      <c r="A60" s="20"/>
      <c r="B60" s="20"/>
    </row>
    <row r="61">
      <c r="A61" s="20"/>
      <c r="B61" s="20"/>
    </row>
    <row r="62">
      <c r="A62" s="20"/>
      <c r="B62" s="20"/>
    </row>
    <row r="63">
      <c r="A63" s="20"/>
      <c r="B63" s="20"/>
    </row>
    <row r="64">
      <c r="A64" s="20"/>
      <c r="B64" s="20"/>
    </row>
    <row r="65">
      <c r="A65" s="20"/>
      <c r="B65" s="20"/>
    </row>
    <row r="66">
      <c r="A66" s="20"/>
      <c r="B66" s="20"/>
    </row>
    <row r="67">
      <c r="A67" s="20"/>
      <c r="B67" s="20"/>
    </row>
    <row r="68">
      <c r="A68" s="20"/>
      <c r="B68" s="20"/>
    </row>
    <row r="69">
      <c r="A69" s="20"/>
      <c r="B69" s="20"/>
    </row>
    <row r="70">
      <c r="A70" s="20"/>
      <c r="B70" s="20"/>
    </row>
    <row r="71">
      <c r="A71" s="20"/>
      <c r="B71" s="20"/>
    </row>
    <row r="72">
      <c r="A72" s="20"/>
      <c r="B72" s="20"/>
    </row>
    <row r="73">
      <c r="A73" s="20"/>
      <c r="B73" s="20"/>
    </row>
    <row r="74">
      <c r="A74" s="20"/>
      <c r="B74" s="20"/>
    </row>
    <row r="75">
      <c r="A75" s="20"/>
      <c r="B75" s="20"/>
    </row>
    <row r="76">
      <c r="A76" s="20"/>
      <c r="B76" s="20"/>
    </row>
    <row r="77">
      <c r="A77" s="20"/>
      <c r="B77" s="20"/>
    </row>
    <row r="78">
      <c r="A78" s="20"/>
      <c r="B78" s="20"/>
    </row>
    <row r="79">
      <c r="A79" s="20"/>
      <c r="B79" s="20"/>
    </row>
    <row r="80">
      <c r="A80" s="20"/>
      <c r="B80" s="20"/>
    </row>
    <row r="81">
      <c r="A81" s="20"/>
      <c r="B81" s="20"/>
    </row>
    <row r="82">
      <c r="A82" s="20"/>
      <c r="B82" s="20"/>
    </row>
    <row r="83">
      <c r="A83" s="20"/>
      <c r="B83" s="20"/>
    </row>
    <row r="84">
      <c r="A84" s="20"/>
      <c r="B84" s="20"/>
    </row>
    <row r="85">
      <c r="A85" s="20"/>
      <c r="B85" s="20"/>
    </row>
    <row r="86">
      <c r="A86" s="20"/>
      <c r="B86" s="20"/>
    </row>
    <row r="87">
      <c r="A87" s="20"/>
      <c r="B87" s="20"/>
    </row>
    <row r="88">
      <c r="A88" s="20"/>
      <c r="B88" s="20"/>
    </row>
    <row r="89">
      <c r="A89" s="20"/>
      <c r="B89" s="20"/>
    </row>
    <row r="90">
      <c r="A90" s="20"/>
      <c r="B90" s="20"/>
    </row>
    <row r="91">
      <c r="A91" s="20"/>
      <c r="B91" s="20"/>
    </row>
    <row r="92">
      <c r="A92" s="20"/>
      <c r="B92" s="20"/>
    </row>
    <row r="93">
      <c r="A93" s="20"/>
      <c r="B93" s="20"/>
    </row>
    <row r="94">
      <c r="A94" s="20"/>
      <c r="B94" s="20"/>
    </row>
    <row r="95">
      <c r="A95" s="20"/>
      <c r="B95" s="20"/>
    </row>
    <row r="96">
      <c r="A96" s="20"/>
      <c r="B96" s="20"/>
    </row>
    <row r="97">
      <c r="A97" s="20"/>
      <c r="B97" s="20"/>
    </row>
    <row r="98">
      <c r="A98" s="20"/>
      <c r="B98" s="20"/>
    </row>
    <row r="99">
      <c r="A99" s="20"/>
      <c r="B99" s="20"/>
    </row>
    <row r="100">
      <c r="A100" s="20"/>
      <c r="B100" s="20"/>
    </row>
    <row r="101">
      <c r="A101" s="20"/>
      <c r="B101" s="20"/>
    </row>
    <row r="102">
      <c r="A102" s="20"/>
      <c r="B102" s="20"/>
    </row>
    <row r="103">
      <c r="A103" s="20"/>
      <c r="B103" s="20"/>
    </row>
    <row r="104">
      <c r="A104" s="20"/>
      <c r="B104" s="20"/>
    </row>
    <row r="105">
      <c r="A105" s="20"/>
      <c r="B105" s="20"/>
    </row>
    <row r="106">
      <c r="A106" s="20"/>
      <c r="B106" s="20"/>
    </row>
    <row r="107">
      <c r="A107" s="20"/>
      <c r="B107" s="20"/>
    </row>
    <row r="108">
      <c r="A108" s="20"/>
      <c r="B108" s="20"/>
    </row>
    <row r="109">
      <c r="A109" s="20"/>
      <c r="B109" s="20"/>
    </row>
    <row r="110">
      <c r="A110" s="20"/>
      <c r="B110" s="20"/>
    </row>
    <row r="111">
      <c r="A111" s="20"/>
      <c r="B111" s="20"/>
    </row>
    <row r="112">
      <c r="A112" s="20"/>
      <c r="B112" s="20"/>
    </row>
    <row r="113">
      <c r="A113" s="20"/>
      <c r="B113" s="20"/>
    </row>
    <row r="114">
      <c r="A114" s="20"/>
      <c r="B114" s="20"/>
    </row>
    <row r="115">
      <c r="A115" s="20"/>
      <c r="B115" s="20"/>
    </row>
    <row r="116">
      <c r="A116" s="20"/>
      <c r="B116" s="20"/>
    </row>
    <row r="117">
      <c r="A117" s="20"/>
      <c r="B117" s="20"/>
    </row>
    <row r="118">
      <c r="A118" s="20"/>
      <c r="B118" s="20"/>
    </row>
    <row r="119">
      <c r="A119" s="20"/>
      <c r="B119" s="20"/>
    </row>
    <row r="120">
      <c r="A120" s="20"/>
      <c r="B120" s="20"/>
    </row>
    <row r="121">
      <c r="A121" s="20"/>
      <c r="B121" s="20"/>
    </row>
    <row r="122">
      <c r="A122" s="20"/>
      <c r="B122" s="20"/>
    </row>
    <row r="123">
      <c r="A123" s="20"/>
      <c r="B123" s="20"/>
    </row>
    <row r="124">
      <c r="A124" s="20"/>
      <c r="B124" s="20"/>
    </row>
    <row r="125">
      <c r="A125" s="20"/>
      <c r="B125" s="20"/>
    </row>
    <row r="126">
      <c r="A126" s="20"/>
      <c r="B126" s="20"/>
    </row>
    <row r="127">
      <c r="A127" s="20"/>
      <c r="B127" s="20"/>
    </row>
    <row r="128">
      <c r="A128" s="20"/>
      <c r="B128" s="20"/>
    </row>
    <row r="129">
      <c r="A129" s="20"/>
      <c r="B129" s="20"/>
    </row>
    <row r="130">
      <c r="A130" s="20"/>
      <c r="B130" s="20"/>
    </row>
    <row r="131">
      <c r="A131" s="20"/>
      <c r="B131" s="20"/>
    </row>
    <row r="132">
      <c r="A132" s="20"/>
      <c r="B132" s="20"/>
    </row>
    <row r="133">
      <c r="A133" s="20"/>
      <c r="B133" s="20"/>
    </row>
    <row r="134">
      <c r="A134" s="20"/>
      <c r="B134" s="20"/>
    </row>
    <row r="135">
      <c r="A135" s="20"/>
      <c r="B135" s="20"/>
    </row>
    <row r="136">
      <c r="A136" s="20"/>
      <c r="B136" s="20"/>
    </row>
    <row r="137">
      <c r="A137" s="20"/>
      <c r="B137" s="20"/>
    </row>
    <row r="138">
      <c r="A138" s="20"/>
      <c r="B138" s="20"/>
    </row>
    <row r="139">
      <c r="A139" s="20"/>
      <c r="B139" s="20"/>
    </row>
    <row r="140">
      <c r="A140" s="20"/>
      <c r="B140" s="20"/>
    </row>
    <row r="141">
      <c r="A141" s="20"/>
      <c r="B141" s="20"/>
    </row>
    <row r="142">
      <c r="A142" s="20"/>
      <c r="B142" s="20"/>
    </row>
    <row r="143">
      <c r="A143" s="20"/>
      <c r="B143" s="20"/>
    </row>
    <row r="144">
      <c r="A144" s="20"/>
      <c r="B144" s="20"/>
    </row>
    <row r="145">
      <c r="A145" s="20"/>
      <c r="B145" s="20"/>
    </row>
    <row r="146">
      <c r="A146" s="20"/>
      <c r="B146" s="20"/>
    </row>
    <row r="147">
      <c r="A147" s="20"/>
      <c r="B147" s="20"/>
    </row>
    <row r="148">
      <c r="A148" s="20"/>
      <c r="B148" s="20"/>
    </row>
    <row r="149">
      <c r="A149" s="20"/>
      <c r="B149" s="20"/>
    </row>
    <row r="150">
      <c r="A150" s="20"/>
      <c r="B150" s="20"/>
    </row>
    <row r="151">
      <c r="A151" s="20"/>
      <c r="B151" s="20"/>
    </row>
    <row r="152">
      <c r="A152" s="20"/>
      <c r="B152" s="20"/>
    </row>
    <row r="153">
      <c r="A153" s="20"/>
      <c r="B153" s="20"/>
    </row>
    <row r="154">
      <c r="A154" s="20"/>
      <c r="B154" s="20"/>
    </row>
    <row r="155">
      <c r="A155" s="20"/>
      <c r="B155" s="20"/>
    </row>
    <row r="156">
      <c r="A156" s="20"/>
      <c r="B156" s="20"/>
    </row>
    <row r="157">
      <c r="A157" s="20"/>
      <c r="B157" s="20"/>
    </row>
    <row r="158">
      <c r="A158" s="20"/>
      <c r="B158" s="20"/>
    </row>
    <row r="159">
      <c r="A159" s="20"/>
      <c r="B159" s="20"/>
    </row>
    <row r="160">
      <c r="A160" s="20"/>
      <c r="B160" s="20"/>
    </row>
    <row r="161">
      <c r="A161" s="20"/>
      <c r="B161" s="20"/>
    </row>
    <row r="162">
      <c r="A162" s="20"/>
      <c r="B162" s="20"/>
    </row>
    <row r="163">
      <c r="A163" s="20"/>
      <c r="B163" s="20"/>
    </row>
    <row r="164">
      <c r="A164" s="20"/>
      <c r="B164" s="20"/>
    </row>
    <row r="165">
      <c r="A165" s="20"/>
      <c r="B165" s="20"/>
    </row>
    <row r="166">
      <c r="A166" s="20"/>
      <c r="B166" s="20"/>
    </row>
    <row r="167">
      <c r="A167" s="20"/>
      <c r="B167" s="20"/>
    </row>
    <row r="168">
      <c r="A168" s="20"/>
      <c r="B168" s="20"/>
    </row>
    <row r="169">
      <c r="A169" s="20"/>
      <c r="B169" s="20"/>
    </row>
    <row r="170">
      <c r="A170" s="20"/>
      <c r="B170" s="20"/>
    </row>
    <row r="171">
      <c r="A171" s="20"/>
      <c r="B171" s="20"/>
    </row>
    <row r="172">
      <c r="A172" s="20"/>
      <c r="B172" s="20"/>
    </row>
    <row r="173">
      <c r="A173" s="20"/>
      <c r="B173" s="20"/>
    </row>
    <row r="174">
      <c r="A174" s="20"/>
      <c r="B174" s="20"/>
    </row>
    <row r="175">
      <c r="A175" s="20"/>
      <c r="B175" s="20"/>
    </row>
    <row r="176">
      <c r="A176" s="20"/>
      <c r="B176" s="20"/>
    </row>
    <row r="177">
      <c r="A177" s="20"/>
      <c r="B177" s="20"/>
    </row>
    <row r="178">
      <c r="A178" s="20"/>
      <c r="B178" s="20"/>
    </row>
    <row r="179">
      <c r="A179" s="20"/>
      <c r="B179" s="20"/>
    </row>
    <row r="180">
      <c r="A180" s="20"/>
      <c r="B180" s="20"/>
    </row>
    <row r="181">
      <c r="A181" s="20"/>
      <c r="B181" s="20"/>
    </row>
    <row r="182">
      <c r="A182" s="20"/>
      <c r="B182" s="20"/>
    </row>
    <row r="183">
      <c r="A183" s="20"/>
      <c r="B183" s="20"/>
    </row>
    <row r="184">
      <c r="A184" s="20"/>
      <c r="B184" s="20"/>
    </row>
    <row r="185">
      <c r="A185" s="20"/>
      <c r="B185" s="20"/>
    </row>
    <row r="186">
      <c r="A186" s="20"/>
      <c r="B186" s="20"/>
    </row>
    <row r="187">
      <c r="A187" s="20"/>
      <c r="B187" s="20"/>
    </row>
    <row r="188">
      <c r="A188" s="20"/>
      <c r="B188" s="20"/>
    </row>
    <row r="189">
      <c r="A189" s="20"/>
      <c r="B189" s="20"/>
    </row>
    <row r="190">
      <c r="A190" s="20"/>
      <c r="B190" s="20"/>
    </row>
    <row r="191">
      <c r="A191" s="20"/>
      <c r="B191" s="20"/>
    </row>
    <row r="192">
      <c r="A192" s="20"/>
      <c r="B192" s="20"/>
    </row>
    <row r="193">
      <c r="A193" s="20"/>
      <c r="B193" s="20"/>
    </row>
    <row r="194">
      <c r="A194" s="20"/>
      <c r="B194" s="20"/>
    </row>
    <row r="195">
      <c r="A195" s="20"/>
      <c r="B195" s="20"/>
    </row>
    <row r="196">
      <c r="A196" s="20"/>
      <c r="B196" s="20"/>
    </row>
    <row r="197">
      <c r="A197" s="20"/>
      <c r="B197" s="20"/>
    </row>
    <row r="198">
      <c r="A198" s="20"/>
      <c r="B198" s="20"/>
    </row>
    <row r="199">
      <c r="A199" s="20"/>
      <c r="B199" s="20"/>
    </row>
    <row r="200">
      <c r="A200" s="20"/>
      <c r="B200" s="20"/>
    </row>
    <row r="201">
      <c r="A201" s="20"/>
      <c r="B201" s="20"/>
    </row>
    <row r="202">
      <c r="A202" s="20"/>
      <c r="B202" s="20"/>
    </row>
    <row r="203">
      <c r="A203" s="20"/>
      <c r="B203" s="20"/>
    </row>
    <row r="204">
      <c r="A204" s="20"/>
      <c r="B204" s="20"/>
    </row>
    <row r="205">
      <c r="A205" s="20"/>
      <c r="B205" s="20"/>
    </row>
    <row r="206">
      <c r="A206" s="20"/>
      <c r="B206" s="20"/>
    </row>
    <row r="207">
      <c r="A207" s="20"/>
      <c r="B207" s="20"/>
    </row>
    <row r="208">
      <c r="A208" s="20"/>
      <c r="B208" s="20"/>
    </row>
    <row r="209">
      <c r="A209" s="20"/>
      <c r="B209" s="20"/>
    </row>
    <row r="210">
      <c r="A210" s="20"/>
      <c r="B210" s="20"/>
    </row>
    <row r="211">
      <c r="A211" s="20"/>
      <c r="B211" s="20"/>
    </row>
    <row r="212">
      <c r="A212" s="20"/>
      <c r="B212" s="20"/>
    </row>
    <row r="213">
      <c r="A213" s="20"/>
      <c r="B213" s="20"/>
    </row>
    <row r="214">
      <c r="A214" s="20"/>
      <c r="B214" s="20"/>
    </row>
    <row r="215">
      <c r="A215" s="20"/>
      <c r="B215" s="20"/>
    </row>
    <row r="216">
      <c r="A216" s="20"/>
      <c r="B216" s="20"/>
    </row>
    <row r="217">
      <c r="A217" s="20"/>
      <c r="B217" s="20"/>
    </row>
    <row r="218">
      <c r="A218" s="20"/>
      <c r="B218" s="20"/>
    </row>
    <row r="219">
      <c r="A219" s="20"/>
      <c r="B219" s="20"/>
    </row>
    <row r="220">
      <c r="A220" s="20"/>
      <c r="B220" s="20"/>
    </row>
    <row r="221">
      <c r="A221" s="20"/>
      <c r="B221" s="20"/>
    </row>
    <row r="222">
      <c r="A222" s="20"/>
      <c r="B222" s="20"/>
    </row>
    <row r="223">
      <c r="A223" s="20"/>
      <c r="B223" s="20"/>
    </row>
    <row r="224">
      <c r="A224" s="20"/>
      <c r="B224" s="20"/>
    </row>
    <row r="225">
      <c r="A225" s="20"/>
      <c r="B225" s="20"/>
    </row>
    <row r="226">
      <c r="A226" s="20"/>
      <c r="B226" s="20"/>
    </row>
    <row r="227">
      <c r="A227" s="20"/>
      <c r="B227" s="20"/>
    </row>
    <row r="228">
      <c r="A228" s="20"/>
      <c r="B228" s="20"/>
    </row>
    <row r="229">
      <c r="A229" s="20"/>
      <c r="B229" s="20"/>
    </row>
    <row r="230">
      <c r="A230" s="20"/>
      <c r="B230" s="20"/>
    </row>
    <row r="231">
      <c r="A231" s="20"/>
      <c r="B231" s="20"/>
    </row>
    <row r="232">
      <c r="A232" s="20"/>
      <c r="B232" s="20"/>
    </row>
    <row r="233">
      <c r="A233" s="20"/>
      <c r="B233" s="20"/>
    </row>
    <row r="234">
      <c r="A234" s="20"/>
      <c r="B234" s="20"/>
    </row>
    <row r="235">
      <c r="A235" s="20"/>
      <c r="B235" s="20"/>
    </row>
    <row r="236">
      <c r="A236" s="20"/>
      <c r="B236" s="20"/>
    </row>
    <row r="237">
      <c r="A237" s="20"/>
      <c r="B237" s="20"/>
    </row>
    <row r="238">
      <c r="A238" s="20"/>
      <c r="B238" s="20"/>
    </row>
    <row r="239">
      <c r="A239" s="20"/>
      <c r="B239" s="20"/>
    </row>
    <row r="240">
      <c r="A240" s="20"/>
      <c r="B240" s="20"/>
    </row>
    <row r="241">
      <c r="A241" s="20"/>
      <c r="B241" s="20"/>
    </row>
    <row r="242">
      <c r="A242" s="20"/>
      <c r="B242" s="20"/>
    </row>
    <row r="243">
      <c r="A243" s="20"/>
      <c r="B243" s="20"/>
    </row>
    <row r="244">
      <c r="A244" s="20"/>
      <c r="B244" s="20"/>
    </row>
    <row r="245">
      <c r="A245" s="20"/>
      <c r="B245" s="20"/>
    </row>
    <row r="246">
      <c r="A246" s="20"/>
      <c r="B246" s="20"/>
    </row>
    <row r="247">
      <c r="A247" s="20"/>
      <c r="B247" s="20"/>
    </row>
    <row r="248">
      <c r="A248" s="20"/>
      <c r="B248" s="20"/>
    </row>
    <row r="249">
      <c r="A249" s="20"/>
      <c r="B249" s="20"/>
    </row>
    <row r="250">
      <c r="A250" s="20"/>
      <c r="B250" s="20"/>
    </row>
    <row r="251">
      <c r="A251" s="20"/>
      <c r="B251" s="20"/>
    </row>
    <row r="252">
      <c r="A252" s="20"/>
      <c r="B252" s="20"/>
    </row>
    <row r="253">
      <c r="A253" s="20"/>
      <c r="B253" s="20"/>
    </row>
    <row r="254">
      <c r="A254" s="20"/>
      <c r="B254" s="20"/>
    </row>
    <row r="255">
      <c r="A255" s="20"/>
      <c r="B255" s="20"/>
    </row>
    <row r="256">
      <c r="A256" s="20"/>
      <c r="B256" s="20"/>
    </row>
    <row r="257">
      <c r="A257" s="20"/>
      <c r="B257" s="20"/>
    </row>
    <row r="258">
      <c r="A258" s="20"/>
      <c r="B258" s="20"/>
    </row>
    <row r="259">
      <c r="A259" s="20"/>
      <c r="B259" s="20"/>
    </row>
    <row r="260">
      <c r="A260" s="20"/>
      <c r="B260" s="20"/>
    </row>
    <row r="261">
      <c r="A261" s="20"/>
      <c r="B261" s="20"/>
    </row>
    <row r="262">
      <c r="A262" s="20"/>
      <c r="B262" s="20"/>
    </row>
    <row r="263">
      <c r="A263" s="20"/>
      <c r="B263" s="20"/>
    </row>
    <row r="264">
      <c r="A264" s="20"/>
      <c r="B264" s="20"/>
    </row>
    <row r="265">
      <c r="A265" s="20"/>
      <c r="B265" s="20"/>
    </row>
    <row r="266">
      <c r="A266" s="20"/>
      <c r="B266" s="20"/>
    </row>
    <row r="267">
      <c r="A267" s="20"/>
      <c r="B267" s="20"/>
    </row>
    <row r="268">
      <c r="A268" s="20"/>
      <c r="B268" s="20"/>
    </row>
    <row r="269">
      <c r="A269" s="20"/>
      <c r="B269" s="20"/>
    </row>
    <row r="270">
      <c r="A270" s="20"/>
      <c r="B270" s="20"/>
    </row>
    <row r="271">
      <c r="A271" s="20"/>
      <c r="B271" s="20"/>
    </row>
    <row r="272">
      <c r="A272" s="20"/>
      <c r="B272" s="20"/>
    </row>
    <row r="273">
      <c r="A273" s="20"/>
      <c r="B273" s="20"/>
    </row>
    <row r="274">
      <c r="A274" s="20"/>
      <c r="B274" s="20"/>
    </row>
    <row r="275">
      <c r="A275" s="20"/>
      <c r="B275" s="20"/>
    </row>
    <row r="276">
      <c r="A276" s="20"/>
      <c r="B276" s="20"/>
    </row>
    <row r="277">
      <c r="A277" s="20"/>
      <c r="B277" s="20"/>
    </row>
    <row r="278">
      <c r="A278" s="20"/>
      <c r="B278" s="20"/>
    </row>
    <row r="279">
      <c r="A279" s="20"/>
      <c r="B279" s="20"/>
    </row>
    <row r="280">
      <c r="A280" s="20"/>
      <c r="B280" s="20"/>
    </row>
    <row r="281">
      <c r="A281" s="20"/>
      <c r="B281" s="20"/>
    </row>
    <row r="282">
      <c r="A282" s="20"/>
      <c r="B282" s="20"/>
    </row>
    <row r="283">
      <c r="A283" s="20"/>
      <c r="B283" s="20"/>
    </row>
    <row r="284">
      <c r="A284" s="20"/>
      <c r="B284" s="20"/>
    </row>
    <row r="285">
      <c r="A285" s="20"/>
      <c r="B285" s="20"/>
    </row>
    <row r="286">
      <c r="A286" s="20"/>
      <c r="B286" s="20"/>
    </row>
    <row r="287">
      <c r="A287" s="20"/>
      <c r="B287" s="20"/>
    </row>
    <row r="288">
      <c r="A288" s="20"/>
      <c r="B288" s="20"/>
    </row>
    <row r="289">
      <c r="A289" s="20"/>
      <c r="B289" s="20"/>
    </row>
    <row r="290">
      <c r="A290" s="20"/>
      <c r="B290" s="20"/>
    </row>
    <row r="291">
      <c r="A291" s="20"/>
      <c r="B291" s="20"/>
    </row>
    <row r="292">
      <c r="A292" s="20"/>
      <c r="B292" s="20"/>
    </row>
    <row r="293">
      <c r="A293" s="20"/>
      <c r="B293" s="20"/>
    </row>
    <row r="294">
      <c r="A294" s="20"/>
      <c r="B294" s="20"/>
    </row>
    <row r="295">
      <c r="A295" s="20"/>
      <c r="B295" s="20"/>
    </row>
    <row r="296">
      <c r="A296" s="20"/>
      <c r="B296" s="20"/>
    </row>
    <row r="297">
      <c r="A297" s="20"/>
      <c r="B297" s="20"/>
    </row>
    <row r="298">
      <c r="A298" s="20"/>
      <c r="B298" s="20"/>
    </row>
    <row r="299">
      <c r="A299" s="20"/>
      <c r="B299" s="20"/>
    </row>
    <row r="300">
      <c r="A300" s="20"/>
      <c r="B300" s="20"/>
    </row>
    <row r="301">
      <c r="A301" s="20"/>
      <c r="B301" s="20"/>
    </row>
    <row r="302">
      <c r="A302" s="20"/>
      <c r="B302" s="20"/>
    </row>
    <row r="303">
      <c r="A303" s="20"/>
      <c r="B303" s="20"/>
    </row>
    <row r="304">
      <c r="A304" s="20"/>
      <c r="B304" s="20"/>
    </row>
    <row r="305">
      <c r="A305" s="20"/>
      <c r="B305" s="20"/>
    </row>
    <row r="306">
      <c r="A306" s="20"/>
      <c r="B306" s="20"/>
    </row>
    <row r="307">
      <c r="A307" s="20"/>
      <c r="B307" s="20"/>
    </row>
    <row r="308">
      <c r="A308" s="20"/>
      <c r="B308" s="20"/>
    </row>
    <row r="309">
      <c r="A309" s="20"/>
      <c r="B309" s="20"/>
    </row>
    <row r="310">
      <c r="A310" s="20"/>
      <c r="B310" s="20"/>
    </row>
    <row r="311">
      <c r="A311" s="20"/>
      <c r="B311" s="20"/>
    </row>
    <row r="312">
      <c r="A312" s="20"/>
      <c r="B312" s="20"/>
    </row>
    <row r="313">
      <c r="A313" s="20"/>
      <c r="B313" s="20"/>
    </row>
    <row r="314">
      <c r="A314" s="20"/>
      <c r="B314" s="20"/>
    </row>
    <row r="315">
      <c r="A315" s="20"/>
      <c r="B315" s="20"/>
    </row>
    <row r="316">
      <c r="A316" s="20"/>
      <c r="B316" s="20"/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  <row r="322">
      <c r="A322" s="20"/>
      <c r="B322" s="20"/>
    </row>
    <row r="323">
      <c r="A323" s="20"/>
      <c r="B323" s="20"/>
    </row>
    <row r="324">
      <c r="A324" s="20"/>
      <c r="B324" s="20"/>
    </row>
    <row r="325">
      <c r="A325" s="20"/>
      <c r="B325" s="20"/>
    </row>
    <row r="326">
      <c r="A326" s="20"/>
      <c r="B326" s="20"/>
    </row>
    <row r="327">
      <c r="A327" s="20"/>
      <c r="B327" s="20"/>
    </row>
    <row r="328">
      <c r="A328" s="20"/>
      <c r="B328" s="20"/>
    </row>
    <row r="329">
      <c r="A329" s="20"/>
      <c r="B329" s="20"/>
    </row>
    <row r="330">
      <c r="A330" s="20"/>
      <c r="B330" s="20"/>
    </row>
    <row r="331">
      <c r="A331" s="20"/>
      <c r="B331" s="20"/>
    </row>
    <row r="332">
      <c r="A332" s="20"/>
      <c r="B332" s="20"/>
    </row>
    <row r="333">
      <c r="A333" s="20"/>
      <c r="B333" s="20"/>
    </row>
    <row r="334">
      <c r="A334" s="20"/>
      <c r="B334" s="20"/>
    </row>
    <row r="335">
      <c r="A335" s="20"/>
      <c r="B335" s="20"/>
    </row>
    <row r="336">
      <c r="A336" s="20"/>
      <c r="B336" s="20"/>
    </row>
    <row r="337">
      <c r="A337" s="20"/>
      <c r="B337" s="20"/>
    </row>
    <row r="338">
      <c r="A338" s="20"/>
      <c r="B338" s="20"/>
    </row>
    <row r="339">
      <c r="A339" s="20"/>
      <c r="B339" s="20"/>
    </row>
    <row r="340">
      <c r="A340" s="20"/>
      <c r="B340" s="20"/>
    </row>
    <row r="341">
      <c r="A341" s="20"/>
      <c r="B341" s="20"/>
    </row>
    <row r="342">
      <c r="A342" s="20"/>
      <c r="B342" s="20"/>
    </row>
    <row r="343">
      <c r="A343" s="20"/>
      <c r="B343" s="20"/>
    </row>
    <row r="344">
      <c r="A344" s="20"/>
      <c r="B344" s="20"/>
    </row>
    <row r="345">
      <c r="A345" s="20"/>
      <c r="B345" s="20"/>
    </row>
    <row r="346">
      <c r="A346" s="20"/>
      <c r="B346" s="20"/>
    </row>
    <row r="347">
      <c r="A347" s="20"/>
      <c r="B347" s="20"/>
    </row>
    <row r="348">
      <c r="A348" s="20"/>
      <c r="B348" s="20"/>
    </row>
    <row r="349">
      <c r="A349" s="20"/>
      <c r="B349" s="20"/>
    </row>
    <row r="350">
      <c r="A350" s="20"/>
      <c r="B350" s="20"/>
    </row>
    <row r="351">
      <c r="A351" s="20"/>
      <c r="B351" s="20"/>
    </row>
    <row r="352">
      <c r="A352" s="20"/>
      <c r="B352" s="20"/>
    </row>
    <row r="353">
      <c r="A353" s="20"/>
      <c r="B353" s="20"/>
    </row>
    <row r="354">
      <c r="A354" s="20"/>
      <c r="B354" s="20"/>
    </row>
    <row r="355">
      <c r="A355" s="20"/>
      <c r="B355" s="20"/>
    </row>
    <row r="356">
      <c r="A356" s="20"/>
      <c r="B356" s="20"/>
    </row>
    <row r="357">
      <c r="A357" s="20"/>
      <c r="B357" s="20"/>
    </row>
    <row r="358">
      <c r="A358" s="20"/>
      <c r="B358" s="20"/>
    </row>
    <row r="359">
      <c r="A359" s="20"/>
      <c r="B359" s="20"/>
    </row>
    <row r="360">
      <c r="A360" s="20"/>
      <c r="B360" s="20"/>
    </row>
    <row r="361">
      <c r="A361" s="20"/>
      <c r="B361" s="20"/>
    </row>
    <row r="362">
      <c r="A362" s="20"/>
      <c r="B362" s="20"/>
    </row>
    <row r="363">
      <c r="A363" s="20"/>
      <c r="B363" s="20"/>
    </row>
    <row r="364">
      <c r="A364" s="20"/>
      <c r="B364" s="20"/>
    </row>
    <row r="365">
      <c r="A365" s="20"/>
      <c r="B365" s="20"/>
    </row>
    <row r="366">
      <c r="A366" s="20"/>
      <c r="B366" s="20"/>
    </row>
    <row r="367">
      <c r="A367" s="20"/>
      <c r="B367" s="20"/>
    </row>
    <row r="368">
      <c r="A368" s="20"/>
      <c r="B368" s="20"/>
    </row>
    <row r="369">
      <c r="A369" s="20"/>
      <c r="B369" s="20"/>
    </row>
    <row r="370">
      <c r="A370" s="20"/>
      <c r="B370" s="20"/>
    </row>
    <row r="371">
      <c r="A371" s="20"/>
      <c r="B371" s="20"/>
    </row>
    <row r="372">
      <c r="A372" s="20"/>
      <c r="B372" s="20"/>
    </row>
    <row r="373">
      <c r="A373" s="20"/>
      <c r="B373" s="20"/>
    </row>
    <row r="374">
      <c r="A374" s="20"/>
      <c r="B374" s="20"/>
    </row>
    <row r="375">
      <c r="A375" s="20"/>
      <c r="B375" s="20"/>
    </row>
    <row r="376">
      <c r="A376" s="20"/>
      <c r="B376" s="20"/>
    </row>
    <row r="377">
      <c r="A377" s="20"/>
      <c r="B377" s="20"/>
    </row>
    <row r="378">
      <c r="A378" s="20"/>
      <c r="B378" s="20"/>
    </row>
    <row r="379">
      <c r="A379" s="20"/>
      <c r="B379" s="20"/>
    </row>
    <row r="380">
      <c r="A380" s="20"/>
      <c r="B380" s="20"/>
    </row>
    <row r="381">
      <c r="A381" s="20"/>
      <c r="B381" s="20"/>
    </row>
    <row r="382">
      <c r="A382" s="20"/>
      <c r="B382" s="20"/>
    </row>
    <row r="383">
      <c r="A383" s="20"/>
      <c r="B383" s="20"/>
    </row>
    <row r="384">
      <c r="A384" s="20"/>
      <c r="B384" s="20"/>
    </row>
    <row r="385">
      <c r="A385" s="20"/>
      <c r="B385" s="20"/>
    </row>
    <row r="386">
      <c r="A386" s="20"/>
      <c r="B386" s="20"/>
    </row>
    <row r="387">
      <c r="A387" s="20"/>
      <c r="B387" s="20"/>
    </row>
    <row r="388">
      <c r="A388" s="20"/>
      <c r="B388" s="20"/>
    </row>
    <row r="389">
      <c r="A389" s="20"/>
      <c r="B389" s="20"/>
    </row>
    <row r="390">
      <c r="A390" s="20"/>
      <c r="B390" s="20"/>
    </row>
    <row r="391">
      <c r="A391" s="20"/>
      <c r="B391" s="20"/>
    </row>
    <row r="392">
      <c r="A392" s="20"/>
      <c r="B392" s="20"/>
    </row>
    <row r="393">
      <c r="A393" s="20"/>
      <c r="B393" s="20"/>
    </row>
    <row r="394">
      <c r="A394" s="20"/>
      <c r="B394" s="20"/>
    </row>
    <row r="395">
      <c r="A395" s="20"/>
      <c r="B395" s="20"/>
    </row>
    <row r="396">
      <c r="A396" s="20"/>
      <c r="B396" s="20"/>
    </row>
    <row r="397">
      <c r="A397" s="20"/>
      <c r="B397" s="20"/>
    </row>
    <row r="398">
      <c r="A398" s="20"/>
      <c r="B398" s="20"/>
    </row>
    <row r="399">
      <c r="A399" s="20"/>
      <c r="B399" s="20"/>
    </row>
    <row r="400">
      <c r="A400" s="20"/>
      <c r="B400" s="20"/>
    </row>
    <row r="401">
      <c r="A401" s="20"/>
      <c r="B401" s="20"/>
    </row>
    <row r="402">
      <c r="A402" s="20"/>
      <c r="B402" s="20"/>
    </row>
    <row r="403">
      <c r="A403" s="20"/>
      <c r="B403" s="20"/>
    </row>
    <row r="404">
      <c r="A404" s="20"/>
      <c r="B404" s="20"/>
    </row>
    <row r="405">
      <c r="A405" s="20"/>
      <c r="B405" s="20"/>
    </row>
    <row r="406">
      <c r="A406" s="20"/>
      <c r="B406" s="20"/>
    </row>
    <row r="407">
      <c r="A407" s="20"/>
      <c r="B407" s="20"/>
    </row>
    <row r="408">
      <c r="A408" s="20"/>
      <c r="B408" s="20"/>
    </row>
    <row r="409">
      <c r="A409" s="20"/>
      <c r="B409" s="20"/>
    </row>
    <row r="410">
      <c r="A410" s="20"/>
      <c r="B410" s="20"/>
    </row>
    <row r="411">
      <c r="A411" s="20"/>
      <c r="B411" s="20"/>
    </row>
    <row r="412">
      <c r="A412" s="20"/>
      <c r="B412" s="20"/>
    </row>
    <row r="413">
      <c r="A413" s="20"/>
      <c r="B413" s="20"/>
    </row>
    <row r="414">
      <c r="A414" s="20"/>
      <c r="B414" s="20"/>
    </row>
    <row r="415">
      <c r="A415" s="20"/>
      <c r="B415" s="20"/>
    </row>
    <row r="416">
      <c r="A416" s="20"/>
      <c r="B416" s="20"/>
    </row>
    <row r="417">
      <c r="A417" s="20"/>
      <c r="B417" s="20"/>
    </row>
    <row r="418">
      <c r="A418" s="20"/>
      <c r="B418" s="20"/>
    </row>
    <row r="419">
      <c r="A419" s="20"/>
      <c r="B419" s="20"/>
    </row>
    <row r="420">
      <c r="A420" s="20"/>
      <c r="B420" s="20"/>
    </row>
    <row r="421">
      <c r="A421" s="20"/>
      <c r="B421" s="20"/>
    </row>
    <row r="422">
      <c r="A422" s="20"/>
      <c r="B422" s="20"/>
    </row>
    <row r="423">
      <c r="A423" s="20"/>
      <c r="B423" s="20"/>
    </row>
    <row r="424">
      <c r="A424" s="20"/>
      <c r="B424" s="20"/>
    </row>
    <row r="425">
      <c r="A425" s="20"/>
      <c r="B425" s="20"/>
    </row>
    <row r="426">
      <c r="A426" s="20"/>
      <c r="B426" s="20"/>
    </row>
    <row r="427">
      <c r="A427" s="20"/>
      <c r="B427" s="20"/>
    </row>
    <row r="428">
      <c r="A428" s="20"/>
      <c r="B428" s="20"/>
    </row>
    <row r="429">
      <c r="A429" s="20"/>
      <c r="B429" s="20"/>
    </row>
    <row r="430">
      <c r="A430" s="20"/>
      <c r="B430" s="20"/>
    </row>
    <row r="431">
      <c r="A431" s="20"/>
      <c r="B431" s="20"/>
    </row>
    <row r="432">
      <c r="A432" s="20"/>
      <c r="B432" s="20"/>
    </row>
    <row r="433">
      <c r="A433" s="20"/>
      <c r="B433" s="20"/>
    </row>
    <row r="434">
      <c r="A434" s="20"/>
      <c r="B434" s="20"/>
    </row>
    <row r="435">
      <c r="A435" s="20"/>
      <c r="B435" s="20"/>
    </row>
    <row r="436">
      <c r="A436" s="20"/>
      <c r="B436" s="20"/>
    </row>
    <row r="437">
      <c r="A437" s="20"/>
      <c r="B437" s="20"/>
    </row>
    <row r="438">
      <c r="A438" s="20"/>
      <c r="B438" s="20"/>
    </row>
    <row r="439">
      <c r="A439" s="20"/>
      <c r="B439" s="20"/>
    </row>
    <row r="440">
      <c r="A440" s="20"/>
      <c r="B440" s="20"/>
    </row>
    <row r="441">
      <c r="A441" s="20"/>
      <c r="B441" s="20"/>
    </row>
    <row r="442">
      <c r="A442" s="20"/>
      <c r="B442" s="20"/>
    </row>
    <row r="443">
      <c r="A443" s="20"/>
      <c r="B443" s="20"/>
    </row>
    <row r="444">
      <c r="A444" s="20"/>
      <c r="B444" s="20"/>
    </row>
    <row r="445">
      <c r="A445" s="20"/>
      <c r="B445" s="20"/>
    </row>
    <row r="446">
      <c r="A446" s="20"/>
      <c r="B446" s="20"/>
    </row>
    <row r="447">
      <c r="A447" s="20"/>
      <c r="B447" s="20"/>
    </row>
    <row r="448">
      <c r="A448" s="20"/>
      <c r="B448" s="20"/>
    </row>
    <row r="449">
      <c r="A449" s="20"/>
      <c r="B449" s="20"/>
    </row>
    <row r="450">
      <c r="A450" s="20"/>
      <c r="B450" s="20"/>
    </row>
    <row r="451">
      <c r="A451" s="20"/>
      <c r="B451" s="20"/>
    </row>
    <row r="452">
      <c r="A452" s="20"/>
      <c r="B452" s="20"/>
    </row>
    <row r="453">
      <c r="A453" s="20"/>
      <c r="B453" s="20"/>
    </row>
    <row r="454">
      <c r="A454" s="20"/>
      <c r="B454" s="20"/>
    </row>
    <row r="455">
      <c r="A455" s="20"/>
      <c r="B455" s="20"/>
    </row>
    <row r="456">
      <c r="A456" s="20"/>
      <c r="B456" s="20"/>
    </row>
    <row r="457">
      <c r="A457" s="20"/>
      <c r="B457" s="20"/>
    </row>
    <row r="458">
      <c r="A458" s="20"/>
      <c r="B458" s="20"/>
    </row>
    <row r="459">
      <c r="A459" s="20"/>
      <c r="B459" s="20"/>
    </row>
    <row r="460">
      <c r="A460" s="20"/>
      <c r="B460" s="20"/>
    </row>
    <row r="461">
      <c r="A461" s="20"/>
      <c r="B461" s="20"/>
    </row>
    <row r="462">
      <c r="A462" s="20"/>
      <c r="B462" s="20"/>
    </row>
    <row r="463">
      <c r="A463" s="20"/>
      <c r="B463" s="20"/>
    </row>
    <row r="464">
      <c r="A464" s="20"/>
      <c r="B464" s="20"/>
    </row>
    <row r="465">
      <c r="A465" s="20"/>
      <c r="B465" s="20"/>
    </row>
    <row r="466">
      <c r="A466" s="20"/>
      <c r="B466" s="20"/>
    </row>
    <row r="467">
      <c r="A467" s="20"/>
      <c r="B467" s="20"/>
    </row>
    <row r="468">
      <c r="A468" s="20"/>
      <c r="B468" s="20"/>
    </row>
    <row r="469">
      <c r="A469" s="20"/>
      <c r="B469" s="20"/>
    </row>
    <row r="470">
      <c r="A470" s="20"/>
      <c r="B470" s="20"/>
    </row>
    <row r="471">
      <c r="A471" s="20"/>
      <c r="B471" s="20"/>
    </row>
    <row r="472">
      <c r="A472" s="20"/>
      <c r="B472" s="20"/>
    </row>
    <row r="473">
      <c r="A473" s="20"/>
      <c r="B473" s="20"/>
    </row>
    <row r="474">
      <c r="A474" s="20"/>
      <c r="B474" s="20"/>
    </row>
    <row r="475">
      <c r="A475" s="20"/>
      <c r="B475" s="20"/>
    </row>
    <row r="476">
      <c r="A476" s="20"/>
      <c r="B476" s="20"/>
    </row>
    <row r="477">
      <c r="A477" s="20"/>
      <c r="B477" s="20"/>
    </row>
    <row r="478">
      <c r="A478" s="20"/>
      <c r="B478" s="20"/>
    </row>
    <row r="479">
      <c r="A479" s="20"/>
      <c r="B479" s="20"/>
    </row>
    <row r="480">
      <c r="A480" s="20"/>
      <c r="B480" s="20"/>
    </row>
    <row r="481">
      <c r="A481" s="20"/>
      <c r="B481" s="20"/>
    </row>
    <row r="482">
      <c r="A482" s="20"/>
      <c r="B482" s="20"/>
    </row>
    <row r="483">
      <c r="A483" s="20"/>
      <c r="B483" s="20"/>
    </row>
    <row r="484">
      <c r="A484" s="20"/>
      <c r="B484" s="20"/>
    </row>
    <row r="485">
      <c r="A485" s="20"/>
      <c r="B485" s="20"/>
    </row>
    <row r="486">
      <c r="A486" s="20"/>
      <c r="B486" s="20"/>
    </row>
    <row r="487">
      <c r="A487" s="20"/>
      <c r="B487" s="20"/>
    </row>
    <row r="488">
      <c r="A488" s="20"/>
      <c r="B488" s="20"/>
    </row>
    <row r="489">
      <c r="A489" s="20"/>
      <c r="B489" s="20"/>
    </row>
    <row r="490">
      <c r="A490" s="20"/>
      <c r="B490" s="20"/>
    </row>
    <row r="491">
      <c r="A491" s="20"/>
      <c r="B491" s="20"/>
    </row>
    <row r="492">
      <c r="A492" s="20"/>
      <c r="B492" s="20"/>
    </row>
    <row r="493">
      <c r="A493" s="20"/>
      <c r="B493" s="20"/>
    </row>
    <row r="494">
      <c r="A494" s="20"/>
      <c r="B494" s="20"/>
    </row>
    <row r="495">
      <c r="A495" s="20"/>
      <c r="B495" s="20"/>
    </row>
    <row r="496">
      <c r="A496" s="20"/>
      <c r="B496" s="20"/>
    </row>
    <row r="497">
      <c r="A497" s="20"/>
      <c r="B497" s="20"/>
    </row>
    <row r="498">
      <c r="A498" s="20"/>
      <c r="B498" s="20"/>
    </row>
    <row r="499">
      <c r="A499" s="20"/>
      <c r="B499" s="20"/>
    </row>
    <row r="500">
      <c r="A500" s="20"/>
      <c r="B500" s="20"/>
    </row>
    <row r="501">
      <c r="A501" s="20"/>
      <c r="B501" s="20"/>
    </row>
    <row r="502">
      <c r="A502" s="20"/>
      <c r="B502" s="20"/>
    </row>
    <row r="503">
      <c r="A503" s="20"/>
      <c r="B503" s="20"/>
    </row>
    <row r="504">
      <c r="A504" s="20"/>
      <c r="B504" s="20"/>
    </row>
    <row r="505">
      <c r="A505" s="20"/>
      <c r="B505" s="20"/>
    </row>
    <row r="506">
      <c r="A506" s="20"/>
      <c r="B506" s="20"/>
    </row>
    <row r="507">
      <c r="A507" s="20"/>
      <c r="B507" s="20"/>
    </row>
    <row r="508">
      <c r="A508" s="20"/>
      <c r="B508" s="20"/>
    </row>
    <row r="509">
      <c r="A509" s="20"/>
      <c r="B509" s="20"/>
    </row>
    <row r="510">
      <c r="A510" s="20"/>
      <c r="B510" s="20"/>
    </row>
    <row r="511">
      <c r="A511" s="20"/>
      <c r="B511" s="20"/>
    </row>
    <row r="512">
      <c r="A512" s="20"/>
      <c r="B512" s="20"/>
    </row>
    <row r="513">
      <c r="A513" s="20"/>
      <c r="B513" s="20"/>
    </row>
    <row r="514">
      <c r="A514" s="20"/>
      <c r="B514" s="20"/>
    </row>
    <row r="515">
      <c r="A515" s="20"/>
      <c r="B515" s="20"/>
    </row>
    <row r="516">
      <c r="A516" s="20"/>
      <c r="B516" s="20"/>
    </row>
    <row r="517">
      <c r="A517" s="20"/>
      <c r="B517" s="20"/>
    </row>
    <row r="518">
      <c r="A518" s="20"/>
      <c r="B518" s="20"/>
    </row>
    <row r="519">
      <c r="A519" s="20"/>
      <c r="B519" s="20"/>
    </row>
    <row r="520">
      <c r="A520" s="20"/>
      <c r="B520" s="20"/>
    </row>
    <row r="521">
      <c r="A521" s="20"/>
      <c r="B521" s="20"/>
    </row>
    <row r="522">
      <c r="A522" s="20"/>
      <c r="B522" s="20"/>
    </row>
    <row r="523">
      <c r="A523" s="20"/>
      <c r="B523" s="20"/>
    </row>
    <row r="524">
      <c r="A524" s="20"/>
      <c r="B524" s="20"/>
    </row>
    <row r="525">
      <c r="A525" s="20"/>
      <c r="B525" s="20"/>
    </row>
    <row r="526">
      <c r="A526" s="20"/>
      <c r="B526" s="20"/>
    </row>
    <row r="527">
      <c r="A527" s="20"/>
      <c r="B527" s="20"/>
    </row>
    <row r="528">
      <c r="A528" s="20"/>
      <c r="B528" s="20"/>
    </row>
    <row r="529">
      <c r="A529" s="20"/>
      <c r="B529" s="20"/>
    </row>
    <row r="530">
      <c r="A530" s="20"/>
      <c r="B530" s="20"/>
    </row>
    <row r="531">
      <c r="A531" s="20"/>
      <c r="B531" s="20"/>
    </row>
    <row r="532">
      <c r="A532" s="20"/>
      <c r="B532" s="20"/>
    </row>
    <row r="533">
      <c r="A533" s="20"/>
      <c r="B533" s="20"/>
    </row>
    <row r="534">
      <c r="A534" s="20"/>
      <c r="B534" s="20"/>
    </row>
    <row r="535">
      <c r="A535" s="20"/>
      <c r="B535" s="20"/>
    </row>
    <row r="536">
      <c r="A536" s="20"/>
      <c r="B536" s="20"/>
    </row>
    <row r="537">
      <c r="A537" s="20"/>
      <c r="B537" s="20"/>
    </row>
    <row r="538">
      <c r="A538" s="20"/>
      <c r="B538" s="20"/>
    </row>
    <row r="539">
      <c r="A539" s="20"/>
      <c r="B539" s="20"/>
    </row>
    <row r="540">
      <c r="A540" s="20"/>
      <c r="B540" s="20"/>
    </row>
    <row r="541">
      <c r="A541" s="20"/>
      <c r="B541" s="20"/>
    </row>
    <row r="542">
      <c r="A542" s="20"/>
      <c r="B542" s="20"/>
    </row>
    <row r="543">
      <c r="A543" s="20"/>
      <c r="B543" s="20"/>
    </row>
    <row r="544">
      <c r="A544" s="20"/>
      <c r="B544" s="20"/>
    </row>
    <row r="545">
      <c r="A545" s="20"/>
      <c r="B545" s="20"/>
    </row>
    <row r="546">
      <c r="A546" s="20"/>
      <c r="B546" s="20"/>
    </row>
    <row r="547">
      <c r="A547" s="20"/>
      <c r="B547" s="20"/>
    </row>
    <row r="548">
      <c r="A548" s="20"/>
      <c r="B548" s="20"/>
    </row>
    <row r="549">
      <c r="A549" s="20"/>
      <c r="B549" s="20"/>
    </row>
    <row r="550">
      <c r="A550" s="20"/>
      <c r="B550" s="20"/>
    </row>
    <row r="551">
      <c r="A551" s="20"/>
      <c r="B551" s="20"/>
    </row>
    <row r="552">
      <c r="A552" s="20"/>
      <c r="B552" s="20"/>
    </row>
    <row r="553">
      <c r="A553" s="20"/>
      <c r="B553" s="20"/>
    </row>
    <row r="554">
      <c r="A554" s="20"/>
      <c r="B554" s="20"/>
    </row>
    <row r="555">
      <c r="A555" s="20"/>
      <c r="B555" s="20"/>
    </row>
    <row r="556">
      <c r="A556" s="20"/>
      <c r="B556" s="20"/>
    </row>
    <row r="557">
      <c r="A557" s="20"/>
      <c r="B557" s="20"/>
    </row>
    <row r="558">
      <c r="A558" s="20"/>
      <c r="B558" s="20"/>
    </row>
    <row r="559">
      <c r="A559" s="20"/>
      <c r="B559" s="20"/>
    </row>
    <row r="560">
      <c r="A560" s="20"/>
      <c r="B560" s="20"/>
    </row>
    <row r="561">
      <c r="A561" s="20"/>
      <c r="B561" s="20"/>
    </row>
    <row r="562">
      <c r="A562" s="20"/>
      <c r="B562" s="20"/>
    </row>
    <row r="563">
      <c r="A563" s="20"/>
      <c r="B563" s="20"/>
    </row>
    <row r="564">
      <c r="A564" s="20"/>
      <c r="B564" s="20"/>
    </row>
    <row r="565">
      <c r="A565" s="20"/>
      <c r="B565" s="20"/>
    </row>
    <row r="566">
      <c r="A566" s="20"/>
      <c r="B566" s="20"/>
    </row>
    <row r="567">
      <c r="A567" s="20"/>
      <c r="B567" s="20"/>
    </row>
    <row r="568">
      <c r="A568" s="20"/>
      <c r="B568" s="20"/>
    </row>
    <row r="569">
      <c r="A569" s="20"/>
      <c r="B569" s="20"/>
    </row>
    <row r="570">
      <c r="A570" s="20"/>
      <c r="B570" s="20"/>
    </row>
    <row r="571">
      <c r="A571" s="20"/>
      <c r="B571" s="20"/>
    </row>
    <row r="572">
      <c r="A572" s="20"/>
      <c r="B572" s="20"/>
    </row>
    <row r="573">
      <c r="A573" s="20"/>
      <c r="B573" s="20"/>
    </row>
    <row r="574">
      <c r="A574" s="20"/>
      <c r="B574" s="20"/>
    </row>
    <row r="575">
      <c r="A575" s="20"/>
      <c r="B575" s="20"/>
    </row>
    <row r="576">
      <c r="A576" s="20"/>
      <c r="B576" s="20"/>
    </row>
    <row r="577">
      <c r="A577" s="20"/>
      <c r="B577" s="20"/>
    </row>
    <row r="578">
      <c r="A578" s="20"/>
      <c r="B578" s="20"/>
    </row>
    <row r="579">
      <c r="A579" s="20"/>
      <c r="B579" s="20"/>
    </row>
    <row r="580">
      <c r="A580" s="20"/>
      <c r="B580" s="20"/>
    </row>
    <row r="581">
      <c r="A581" s="20"/>
      <c r="B581" s="20"/>
    </row>
    <row r="582">
      <c r="A582" s="20"/>
      <c r="B582" s="20"/>
    </row>
    <row r="583">
      <c r="A583" s="20"/>
      <c r="B583" s="20"/>
    </row>
    <row r="584">
      <c r="A584" s="20"/>
      <c r="B584" s="20"/>
    </row>
    <row r="585">
      <c r="A585" s="20"/>
      <c r="B585" s="20"/>
    </row>
    <row r="586">
      <c r="A586" s="20"/>
      <c r="B586" s="20"/>
    </row>
    <row r="587">
      <c r="A587" s="20"/>
      <c r="B587" s="20"/>
    </row>
    <row r="588">
      <c r="A588" s="20"/>
      <c r="B588" s="20"/>
    </row>
    <row r="589">
      <c r="A589" s="20"/>
      <c r="B589" s="20"/>
    </row>
    <row r="590">
      <c r="A590" s="20"/>
      <c r="B590" s="20"/>
    </row>
    <row r="591">
      <c r="A591" s="20"/>
      <c r="B591" s="20"/>
    </row>
    <row r="592">
      <c r="A592" s="20"/>
      <c r="B592" s="20"/>
    </row>
    <row r="593">
      <c r="A593" s="20"/>
      <c r="B593" s="20"/>
    </row>
    <row r="594">
      <c r="A594" s="20"/>
      <c r="B594" s="20"/>
    </row>
    <row r="595">
      <c r="A595" s="20"/>
      <c r="B595" s="20"/>
    </row>
    <row r="596">
      <c r="A596" s="20"/>
      <c r="B596" s="20"/>
    </row>
    <row r="597">
      <c r="A597" s="20"/>
      <c r="B597" s="20"/>
    </row>
    <row r="598">
      <c r="A598" s="20"/>
      <c r="B598" s="20"/>
    </row>
    <row r="599">
      <c r="A599" s="20"/>
      <c r="B599" s="20"/>
    </row>
    <row r="600">
      <c r="A600" s="20"/>
      <c r="B600" s="20"/>
    </row>
    <row r="601">
      <c r="A601" s="20"/>
      <c r="B601" s="20"/>
    </row>
    <row r="602">
      <c r="A602" s="20"/>
      <c r="B602" s="20"/>
    </row>
    <row r="603">
      <c r="A603" s="20"/>
      <c r="B603" s="20"/>
    </row>
    <row r="604">
      <c r="A604" s="20"/>
      <c r="B604" s="20"/>
    </row>
    <row r="605">
      <c r="A605" s="20"/>
      <c r="B605" s="20"/>
    </row>
    <row r="606">
      <c r="A606" s="20"/>
      <c r="B606" s="20"/>
    </row>
    <row r="607">
      <c r="A607" s="20"/>
      <c r="B607" s="20"/>
    </row>
    <row r="608">
      <c r="A608" s="20"/>
      <c r="B608" s="20"/>
    </row>
    <row r="609">
      <c r="A609" s="20"/>
      <c r="B609" s="20"/>
    </row>
    <row r="610">
      <c r="A610" s="20"/>
      <c r="B610" s="20"/>
    </row>
    <row r="611">
      <c r="A611" s="20"/>
      <c r="B611" s="20"/>
    </row>
    <row r="612">
      <c r="A612" s="20"/>
      <c r="B612" s="20"/>
    </row>
    <row r="613">
      <c r="A613" s="20"/>
      <c r="B613" s="20"/>
    </row>
    <row r="614">
      <c r="A614" s="20"/>
      <c r="B614" s="20"/>
    </row>
    <row r="615">
      <c r="A615" s="20"/>
      <c r="B615" s="20"/>
    </row>
    <row r="616">
      <c r="A616" s="20"/>
      <c r="B616" s="20"/>
    </row>
    <row r="617">
      <c r="A617" s="20"/>
      <c r="B617" s="20"/>
    </row>
    <row r="618">
      <c r="A618" s="20"/>
      <c r="B618" s="20"/>
    </row>
    <row r="619">
      <c r="A619" s="20"/>
      <c r="B619" s="20"/>
    </row>
    <row r="620">
      <c r="A620" s="20"/>
      <c r="B620" s="20"/>
    </row>
    <row r="621">
      <c r="A621" s="20"/>
      <c r="B621" s="20"/>
    </row>
    <row r="622">
      <c r="A622" s="20"/>
      <c r="B622" s="20"/>
    </row>
    <row r="623">
      <c r="A623" s="20"/>
      <c r="B623" s="20"/>
    </row>
    <row r="624">
      <c r="A624" s="20"/>
      <c r="B624" s="20"/>
    </row>
    <row r="625">
      <c r="A625" s="20"/>
      <c r="B625" s="20"/>
    </row>
    <row r="626">
      <c r="A626" s="20"/>
      <c r="B626" s="20"/>
    </row>
    <row r="627">
      <c r="A627" s="20"/>
      <c r="B627" s="20"/>
    </row>
    <row r="628">
      <c r="A628" s="20"/>
      <c r="B628" s="20"/>
    </row>
    <row r="629">
      <c r="A629" s="20"/>
      <c r="B629" s="20"/>
    </row>
    <row r="630">
      <c r="A630" s="20"/>
      <c r="B630" s="20"/>
    </row>
    <row r="631">
      <c r="A631" s="20"/>
      <c r="B631" s="20"/>
    </row>
    <row r="632">
      <c r="A632" s="20"/>
      <c r="B632" s="20"/>
    </row>
    <row r="633">
      <c r="A633" s="20"/>
      <c r="B633" s="20"/>
    </row>
    <row r="634">
      <c r="A634" s="20"/>
      <c r="B634" s="20"/>
    </row>
    <row r="635">
      <c r="A635" s="20"/>
      <c r="B635" s="20"/>
    </row>
    <row r="636">
      <c r="A636" s="20"/>
      <c r="B636" s="20"/>
    </row>
    <row r="637">
      <c r="A637" s="20"/>
      <c r="B637" s="20"/>
    </row>
    <row r="638">
      <c r="A638" s="20"/>
      <c r="B638" s="20"/>
    </row>
    <row r="639">
      <c r="A639" s="20"/>
      <c r="B639" s="20"/>
    </row>
    <row r="640">
      <c r="A640" s="20"/>
      <c r="B640" s="20"/>
    </row>
    <row r="641">
      <c r="A641" s="20"/>
      <c r="B641" s="20"/>
    </row>
    <row r="642">
      <c r="A642" s="20"/>
      <c r="B642" s="20"/>
    </row>
    <row r="643">
      <c r="A643" s="20"/>
      <c r="B643" s="20"/>
    </row>
    <row r="644">
      <c r="A644" s="20"/>
      <c r="B644" s="20"/>
    </row>
    <row r="645">
      <c r="A645" s="20"/>
      <c r="B645" s="20"/>
    </row>
    <row r="646">
      <c r="A646" s="20"/>
      <c r="B646" s="20"/>
    </row>
    <row r="647">
      <c r="A647" s="20"/>
      <c r="B647" s="20"/>
    </row>
    <row r="648">
      <c r="A648" s="20"/>
      <c r="B648" s="20"/>
    </row>
    <row r="649">
      <c r="A649" s="20"/>
      <c r="B649" s="20"/>
    </row>
    <row r="650">
      <c r="A650" s="20"/>
      <c r="B650" s="20"/>
    </row>
    <row r="651">
      <c r="A651" s="20"/>
      <c r="B651" s="20"/>
    </row>
    <row r="652">
      <c r="A652" s="20"/>
      <c r="B652" s="20"/>
    </row>
    <row r="653">
      <c r="A653" s="20"/>
      <c r="B653" s="20"/>
    </row>
    <row r="654">
      <c r="A654" s="20"/>
      <c r="B654" s="20"/>
    </row>
    <row r="655">
      <c r="A655" s="20"/>
      <c r="B655" s="20"/>
    </row>
    <row r="656">
      <c r="A656" s="20"/>
      <c r="B656" s="20"/>
    </row>
    <row r="657">
      <c r="A657" s="20"/>
      <c r="B657" s="20"/>
    </row>
    <row r="658">
      <c r="A658" s="20"/>
      <c r="B658" s="20"/>
    </row>
    <row r="659">
      <c r="A659" s="20"/>
      <c r="B659" s="20"/>
    </row>
    <row r="660">
      <c r="A660" s="20"/>
      <c r="B660" s="20"/>
    </row>
    <row r="661">
      <c r="A661" s="20"/>
      <c r="B661" s="20"/>
    </row>
    <row r="662">
      <c r="A662" s="20"/>
      <c r="B662" s="20"/>
    </row>
    <row r="663">
      <c r="A663" s="20"/>
      <c r="B663" s="20"/>
    </row>
    <row r="664">
      <c r="A664" s="20"/>
      <c r="B664" s="20"/>
    </row>
    <row r="665">
      <c r="A665" s="20"/>
      <c r="B665" s="20"/>
    </row>
    <row r="666">
      <c r="A666" s="20"/>
      <c r="B666" s="20"/>
    </row>
    <row r="667">
      <c r="A667" s="20"/>
      <c r="B667" s="20"/>
    </row>
    <row r="668">
      <c r="A668" s="20"/>
      <c r="B668" s="20"/>
    </row>
    <row r="669">
      <c r="A669" s="20"/>
      <c r="B669" s="20"/>
    </row>
    <row r="670">
      <c r="A670" s="20"/>
      <c r="B670" s="20"/>
    </row>
    <row r="671">
      <c r="A671" s="20"/>
      <c r="B671" s="20"/>
    </row>
    <row r="672">
      <c r="A672" s="20"/>
      <c r="B672" s="20"/>
    </row>
    <row r="673">
      <c r="A673" s="20"/>
      <c r="B673" s="20"/>
    </row>
    <row r="674">
      <c r="A674" s="20"/>
      <c r="B674" s="20"/>
    </row>
    <row r="675">
      <c r="A675" s="20"/>
      <c r="B675" s="20"/>
    </row>
    <row r="676">
      <c r="A676" s="20"/>
      <c r="B676" s="20"/>
    </row>
    <row r="677">
      <c r="A677" s="20"/>
      <c r="B677" s="20"/>
    </row>
    <row r="678">
      <c r="A678" s="20"/>
      <c r="B678" s="20"/>
    </row>
    <row r="679">
      <c r="A679" s="20"/>
      <c r="B679" s="20"/>
    </row>
    <row r="680">
      <c r="A680" s="20"/>
      <c r="B680" s="20"/>
    </row>
    <row r="681">
      <c r="A681" s="20"/>
      <c r="B681" s="20"/>
    </row>
    <row r="682">
      <c r="A682" s="20"/>
      <c r="B682" s="20"/>
    </row>
    <row r="683">
      <c r="A683" s="20"/>
      <c r="B683" s="20"/>
    </row>
    <row r="684">
      <c r="A684" s="20"/>
      <c r="B684" s="20"/>
    </row>
    <row r="685">
      <c r="A685" s="20"/>
      <c r="B685" s="20"/>
    </row>
    <row r="686">
      <c r="A686" s="20"/>
      <c r="B686" s="20"/>
    </row>
    <row r="687">
      <c r="A687" s="20"/>
      <c r="B687" s="20"/>
    </row>
    <row r="688">
      <c r="A688" s="20"/>
      <c r="B688" s="20"/>
    </row>
    <row r="689">
      <c r="A689" s="20"/>
      <c r="B689" s="20"/>
    </row>
    <row r="690">
      <c r="A690" s="20"/>
      <c r="B690" s="20"/>
    </row>
    <row r="691">
      <c r="A691" s="20"/>
      <c r="B691" s="20"/>
    </row>
    <row r="692">
      <c r="A692" s="20"/>
      <c r="B692" s="20"/>
    </row>
    <row r="693">
      <c r="A693" s="20"/>
      <c r="B693" s="20"/>
    </row>
    <row r="694">
      <c r="A694" s="20"/>
      <c r="B694" s="20"/>
    </row>
    <row r="695">
      <c r="A695" s="20"/>
      <c r="B695" s="20"/>
    </row>
    <row r="696">
      <c r="A696" s="20"/>
      <c r="B696" s="20"/>
    </row>
    <row r="697">
      <c r="A697" s="20"/>
      <c r="B697" s="20"/>
    </row>
    <row r="698">
      <c r="A698" s="20"/>
      <c r="B698" s="20"/>
    </row>
    <row r="699">
      <c r="A699" s="20"/>
      <c r="B699" s="20"/>
    </row>
    <row r="700">
      <c r="A700" s="20"/>
      <c r="B700" s="20"/>
    </row>
    <row r="701">
      <c r="A701" s="20"/>
      <c r="B701" s="20"/>
    </row>
    <row r="702">
      <c r="A702" s="20"/>
      <c r="B702" s="20"/>
    </row>
    <row r="703">
      <c r="A703" s="20"/>
      <c r="B703" s="20"/>
    </row>
    <row r="704">
      <c r="A704" s="20"/>
      <c r="B704" s="20"/>
    </row>
    <row r="705">
      <c r="A705" s="20"/>
      <c r="B705" s="20"/>
    </row>
    <row r="706">
      <c r="A706" s="20"/>
      <c r="B706" s="20"/>
    </row>
    <row r="707">
      <c r="A707" s="20"/>
      <c r="B707" s="20"/>
    </row>
    <row r="708">
      <c r="A708" s="20"/>
      <c r="B708" s="20"/>
    </row>
    <row r="709">
      <c r="A709" s="20"/>
      <c r="B709" s="20"/>
    </row>
    <row r="710">
      <c r="A710" s="20"/>
      <c r="B710" s="20"/>
    </row>
    <row r="711">
      <c r="A711" s="20"/>
      <c r="B711" s="20"/>
    </row>
    <row r="712">
      <c r="A712" s="20"/>
      <c r="B712" s="20"/>
    </row>
    <row r="713">
      <c r="A713" s="20"/>
      <c r="B713" s="20"/>
    </row>
    <row r="714">
      <c r="A714" s="20"/>
      <c r="B714" s="20"/>
    </row>
    <row r="715">
      <c r="A715" s="20"/>
      <c r="B715" s="20"/>
    </row>
    <row r="716">
      <c r="A716" s="20"/>
      <c r="B716" s="20"/>
    </row>
    <row r="717">
      <c r="A717" s="20"/>
      <c r="B717" s="20"/>
    </row>
    <row r="718">
      <c r="A718" s="20"/>
      <c r="B718" s="20"/>
    </row>
    <row r="719">
      <c r="A719" s="20"/>
      <c r="B719" s="20"/>
    </row>
    <row r="720">
      <c r="A720" s="20"/>
      <c r="B720" s="20"/>
    </row>
    <row r="721">
      <c r="A721" s="20"/>
      <c r="B721" s="20"/>
    </row>
    <row r="722">
      <c r="A722" s="20"/>
      <c r="B722" s="20"/>
    </row>
    <row r="723">
      <c r="A723" s="20"/>
      <c r="B723" s="20"/>
    </row>
    <row r="724">
      <c r="A724" s="20"/>
      <c r="B724" s="20"/>
    </row>
    <row r="725">
      <c r="A725" s="20"/>
      <c r="B725" s="20"/>
    </row>
    <row r="726">
      <c r="A726" s="20"/>
      <c r="B726" s="20"/>
    </row>
    <row r="727">
      <c r="A727" s="20"/>
      <c r="B727" s="20"/>
    </row>
    <row r="728">
      <c r="A728" s="20"/>
      <c r="B728" s="20"/>
    </row>
    <row r="729">
      <c r="A729" s="20"/>
      <c r="B729" s="20"/>
    </row>
    <row r="730">
      <c r="A730" s="20"/>
      <c r="B730" s="20"/>
    </row>
    <row r="731">
      <c r="A731" s="20"/>
      <c r="B731" s="20"/>
    </row>
    <row r="732">
      <c r="A732" s="20"/>
      <c r="B732" s="20"/>
    </row>
    <row r="733">
      <c r="A733" s="20"/>
      <c r="B733" s="20"/>
    </row>
    <row r="734">
      <c r="A734" s="20"/>
      <c r="B734" s="20"/>
    </row>
    <row r="735">
      <c r="A735" s="20"/>
      <c r="B735" s="20"/>
    </row>
    <row r="736">
      <c r="A736" s="20"/>
      <c r="B736" s="20"/>
    </row>
    <row r="737">
      <c r="A737" s="20"/>
      <c r="B737" s="20"/>
    </row>
    <row r="738">
      <c r="A738" s="20"/>
      <c r="B738" s="20"/>
    </row>
    <row r="739">
      <c r="A739" s="20"/>
      <c r="B739" s="20"/>
    </row>
    <row r="740">
      <c r="A740" s="20"/>
      <c r="B740" s="20"/>
    </row>
    <row r="741">
      <c r="A741" s="20"/>
      <c r="B741" s="20"/>
    </row>
    <row r="742">
      <c r="A742" s="20"/>
      <c r="B742" s="20"/>
    </row>
    <row r="743">
      <c r="A743" s="20"/>
      <c r="B743" s="20"/>
    </row>
    <row r="744">
      <c r="A744" s="20"/>
      <c r="B744" s="20"/>
    </row>
    <row r="745">
      <c r="A745" s="20"/>
      <c r="B745" s="20"/>
    </row>
    <row r="746">
      <c r="A746" s="20"/>
      <c r="B746" s="20"/>
    </row>
    <row r="747">
      <c r="A747" s="20"/>
      <c r="B747" s="20"/>
    </row>
    <row r="748">
      <c r="A748" s="20"/>
      <c r="B748" s="20"/>
    </row>
    <row r="749">
      <c r="A749" s="20"/>
      <c r="B749" s="20"/>
    </row>
    <row r="750">
      <c r="A750" s="20"/>
      <c r="B750" s="20"/>
    </row>
    <row r="751">
      <c r="A751" s="20"/>
      <c r="B751" s="20"/>
    </row>
    <row r="752">
      <c r="A752" s="20"/>
      <c r="B752" s="20"/>
    </row>
    <row r="753">
      <c r="A753" s="20"/>
      <c r="B753" s="20"/>
    </row>
    <row r="754">
      <c r="A754" s="20"/>
      <c r="B754" s="20"/>
    </row>
    <row r="755">
      <c r="A755" s="20"/>
      <c r="B755" s="20"/>
    </row>
    <row r="756">
      <c r="A756" s="20"/>
      <c r="B756" s="20"/>
    </row>
    <row r="757">
      <c r="A757" s="20"/>
      <c r="B757" s="20"/>
    </row>
    <row r="758">
      <c r="A758" s="20"/>
      <c r="B758" s="20"/>
    </row>
    <row r="759">
      <c r="A759" s="20"/>
      <c r="B759" s="20"/>
    </row>
    <row r="760">
      <c r="A760" s="20"/>
      <c r="B760" s="20"/>
    </row>
    <row r="761">
      <c r="A761" s="20"/>
      <c r="B761" s="20"/>
    </row>
    <row r="762">
      <c r="A762" s="20"/>
      <c r="B762" s="20"/>
    </row>
    <row r="763">
      <c r="A763" s="20"/>
      <c r="B763" s="20"/>
    </row>
    <row r="764">
      <c r="A764" s="20"/>
      <c r="B764" s="20"/>
    </row>
    <row r="765">
      <c r="A765" s="20"/>
      <c r="B765" s="20"/>
    </row>
    <row r="766">
      <c r="A766" s="20"/>
      <c r="B766" s="20"/>
    </row>
    <row r="767">
      <c r="A767" s="20"/>
      <c r="B767" s="20"/>
    </row>
    <row r="768">
      <c r="A768" s="20"/>
      <c r="B768" s="20"/>
    </row>
    <row r="769">
      <c r="A769" s="20"/>
      <c r="B769" s="20"/>
    </row>
    <row r="770">
      <c r="A770" s="20"/>
      <c r="B770" s="20"/>
    </row>
    <row r="771">
      <c r="A771" s="20"/>
      <c r="B771" s="20"/>
    </row>
    <row r="772">
      <c r="A772" s="20"/>
      <c r="B772" s="20"/>
    </row>
    <row r="773">
      <c r="A773" s="20"/>
      <c r="B773" s="20"/>
    </row>
    <row r="774">
      <c r="A774" s="20"/>
      <c r="B774" s="20"/>
    </row>
    <row r="775">
      <c r="A775" s="20"/>
      <c r="B775" s="20"/>
    </row>
    <row r="776">
      <c r="A776" s="20"/>
      <c r="B776" s="20"/>
    </row>
    <row r="777">
      <c r="A777" s="20"/>
      <c r="B777" s="20"/>
    </row>
    <row r="778">
      <c r="A778" s="20"/>
      <c r="B778" s="20"/>
    </row>
    <row r="779">
      <c r="A779" s="20"/>
      <c r="B779" s="20"/>
    </row>
    <row r="780">
      <c r="A780" s="20"/>
      <c r="B780" s="20"/>
    </row>
    <row r="781">
      <c r="A781" s="20"/>
      <c r="B781" s="20"/>
    </row>
    <row r="782">
      <c r="A782" s="20"/>
      <c r="B782" s="20"/>
    </row>
    <row r="783">
      <c r="A783" s="20"/>
      <c r="B783" s="20"/>
    </row>
    <row r="784">
      <c r="A784" s="20"/>
      <c r="B784" s="20"/>
    </row>
    <row r="785">
      <c r="A785" s="20"/>
      <c r="B785" s="20"/>
    </row>
    <row r="786">
      <c r="A786" s="20"/>
      <c r="B786" s="20"/>
    </row>
    <row r="787">
      <c r="A787" s="20"/>
      <c r="B787" s="20"/>
    </row>
    <row r="788">
      <c r="A788" s="20"/>
      <c r="B788" s="20"/>
    </row>
    <row r="789">
      <c r="A789" s="20"/>
      <c r="B789" s="20"/>
    </row>
    <row r="790">
      <c r="A790" s="20"/>
      <c r="B790" s="20"/>
    </row>
    <row r="791">
      <c r="A791" s="20"/>
      <c r="B791" s="20"/>
    </row>
    <row r="792">
      <c r="A792" s="20"/>
      <c r="B792" s="20"/>
    </row>
    <row r="793">
      <c r="A793" s="20"/>
      <c r="B793" s="20"/>
    </row>
    <row r="794">
      <c r="A794" s="20"/>
      <c r="B794" s="20"/>
    </row>
    <row r="795">
      <c r="A795" s="20"/>
      <c r="B795" s="20"/>
    </row>
    <row r="796">
      <c r="A796" s="20"/>
      <c r="B796" s="20"/>
    </row>
    <row r="797">
      <c r="A797" s="20"/>
      <c r="B797" s="20"/>
    </row>
    <row r="798">
      <c r="A798" s="20"/>
      <c r="B798" s="20"/>
    </row>
    <row r="799">
      <c r="A799" s="20"/>
      <c r="B799" s="20"/>
    </row>
    <row r="800">
      <c r="A800" s="20"/>
      <c r="B800" s="20"/>
    </row>
    <row r="801">
      <c r="A801" s="20"/>
      <c r="B801" s="20"/>
    </row>
    <row r="802">
      <c r="A802" s="20"/>
      <c r="B802" s="20"/>
    </row>
    <row r="803">
      <c r="A803" s="20"/>
      <c r="B803" s="20"/>
    </row>
    <row r="804">
      <c r="A804" s="20"/>
      <c r="B804" s="20"/>
    </row>
    <row r="805">
      <c r="A805" s="20"/>
      <c r="B805" s="20"/>
    </row>
    <row r="806">
      <c r="A806" s="20"/>
      <c r="B806" s="20"/>
    </row>
    <row r="807">
      <c r="A807" s="20"/>
      <c r="B807" s="20"/>
    </row>
    <row r="808">
      <c r="A808" s="20"/>
      <c r="B808" s="20"/>
    </row>
    <row r="809">
      <c r="A809" s="20"/>
      <c r="B809" s="20"/>
    </row>
    <row r="810">
      <c r="A810" s="20"/>
      <c r="B810" s="20"/>
    </row>
    <row r="811">
      <c r="A811" s="20"/>
      <c r="B811" s="20"/>
    </row>
    <row r="812">
      <c r="A812" s="20"/>
      <c r="B812" s="20"/>
    </row>
    <row r="813">
      <c r="A813" s="20"/>
      <c r="B813" s="20"/>
    </row>
    <row r="814">
      <c r="A814" s="20"/>
      <c r="B814" s="20"/>
    </row>
    <row r="815">
      <c r="A815" s="20"/>
      <c r="B815" s="20"/>
    </row>
    <row r="816">
      <c r="A816" s="20"/>
      <c r="B816" s="20"/>
    </row>
    <row r="817">
      <c r="A817" s="20"/>
      <c r="B817" s="20"/>
    </row>
    <row r="818">
      <c r="A818" s="20"/>
      <c r="B818" s="20"/>
    </row>
    <row r="819">
      <c r="A819" s="20"/>
      <c r="B819" s="20"/>
    </row>
    <row r="820">
      <c r="A820" s="20"/>
      <c r="B820" s="20"/>
    </row>
    <row r="821">
      <c r="A821" s="20"/>
      <c r="B821" s="20"/>
    </row>
    <row r="822">
      <c r="A822" s="20"/>
      <c r="B822" s="20"/>
    </row>
    <row r="823">
      <c r="A823" s="20"/>
      <c r="B823" s="20"/>
    </row>
    <row r="824">
      <c r="A824" s="20"/>
      <c r="B824" s="20"/>
    </row>
    <row r="825">
      <c r="A825" s="20"/>
      <c r="B825" s="20"/>
    </row>
    <row r="826">
      <c r="A826" s="20"/>
      <c r="B826" s="20"/>
    </row>
    <row r="827">
      <c r="A827" s="20"/>
      <c r="B827" s="20"/>
    </row>
    <row r="828">
      <c r="A828" s="20"/>
      <c r="B828" s="20"/>
    </row>
    <row r="829">
      <c r="A829" s="20"/>
      <c r="B829" s="20"/>
    </row>
    <row r="830">
      <c r="A830" s="20"/>
      <c r="B830" s="20"/>
    </row>
    <row r="831">
      <c r="A831" s="20"/>
      <c r="B831" s="20"/>
    </row>
    <row r="832">
      <c r="A832" s="20"/>
      <c r="B832" s="20"/>
    </row>
    <row r="833">
      <c r="A833" s="20"/>
      <c r="B833" s="20"/>
    </row>
    <row r="834">
      <c r="A834" s="20"/>
      <c r="B834" s="20"/>
    </row>
    <row r="835">
      <c r="A835" s="20"/>
      <c r="B835" s="20"/>
    </row>
    <row r="836">
      <c r="A836" s="20"/>
      <c r="B836" s="20"/>
    </row>
    <row r="837">
      <c r="A837" s="20"/>
      <c r="B837" s="20"/>
    </row>
    <row r="838">
      <c r="A838" s="20"/>
      <c r="B838" s="20"/>
    </row>
    <row r="839">
      <c r="A839" s="20"/>
      <c r="B839" s="20"/>
    </row>
    <row r="840">
      <c r="A840" s="20"/>
      <c r="B840" s="20"/>
    </row>
    <row r="841">
      <c r="A841" s="20"/>
      <c r="B841" s="20"/>
    </row>
    <row r="842">
      <c r="A842" s="20"/>
      <c r="B842" s="20"/>
    </row>
    <row r="843">
      <c r="A843" s="20"/>
      <c r="B843" s="20"/>
    </row>
    <row r="844">
      <c r="A844" s="20"/>
      <c r="B844" s="20"/>
    </row>
    <row r="845">
      <c r="A845" s="20"/>
      <c r="B845" s="20"/>
    </row>
    <row r="846">
      <c r="A846" s="20"/>
      <c r="B846" s="20"/>
    </row>
    <row r="847">
      <c r="A847" s="20"/>
      <c r="B847" s="20"/>
    </row>
    <row r="848">
      <c r="A848" s="20"/>
      <c r="B848" s="20"/>
    </row>
    <row r="849">
      <c r="A849" s="20"/>
      <c r="B849" s="20"/>
    </row>
    <row r="850">
      <c r="A850" s="20"/>
      <c r="B850" s="20"/>
    </row>
    <row r="851">
      <c r="A851" s="20"/>
      <c r="B851" s="20"/>
    </row>
    <row r="852">
      <c r="A852" s="20"/>
      <c r="B852" s="20"/>
    </row>
    <row r="853">
      <c r="A853" s="20"/>
      <c r="B853" s="20"/>
    </row>
    <row r="854">
      <c r="A854" s="20"/>
      <c r="B854" s="20"/>
    </row>
    <row r="855">
      <c r="A855" s="20"/>
      <c r="B855" s="20"/>
    </row>
    <row r="856">
      <c r="A856" s="20"/>
      <c r="B856" s="20"/>
    </row>
    <row r="857">
      <c r="A857" s="20"/>
      <c r="B857" s="20"/>
    </row>
    <row r="858">
      <c r="A858" s="20"/>
      <c r="B858" s="20"/>
    </row>
    <row r="859">
      <c r="A859" s="20"/>
      <c r="B859" s="20"/>
    </row>
    <row r="860">
      <c r="A860" s="20"/>
      <c r="B860" s="20"/>
    </row>
    <row r="861">
      <c r="A861" s="20"/>
      <c r="B861" s="20"/>
    </row>
    <row r="862">
      <c r="A862" s="20"/>
      <c r="B862" s="20"/>
    </row>
    <row r="863">
      <c r="A863" s="20"/>
      <c r="B863" s="20"/>
    </row>
    <row r="864">
      <c r="A864" s="20"/>
      <c r="B864" s="20"/>
    </row>
    <row r="865">
      <c r="A865" s="20"/>
      <c r="B865" s="20"/>
    </row>
    <row r="866">
      <c r="A866" s="20"/>
      <c r="B866" s="20"/>
    </row>
    <row r="867">
      <c r="A867" s="20"/>
      <c r="B867" s="20"/>
    </row>
    <row r="868">
      <c r="A868" s="20"/>
      <c r="B868" s="20"/>
    </row>
    <row r="869">
      <c r="A869" s="20"/>
      <c r="B869" s="20"/>
    </row>
    <row r="870">
      <c r="A870" s="20"/>
      <c r="B870" s="20"/>
    </row>
    <row r="871">
      <c r="A871" s="20"/>
      <c r="B871" s="20"/>
    </row>
    <row r="872">
      <c r="A872" s="20"/>
      <c r="B872" s="20"/>
    </row>
    <row r="873">
      <c r="A873" s="20"/>
      <c r="B873" s="20"/>
    </row>
    <row r="874">
      <c r="A874" s="20"/>
      <c r="B874" s="20"/>
    </row>
    <row r="875">
      <c r="A875" s="20"/>
      <c r="B875" s="20"/>
    </row>
    <row r="876">
      <c r="A876" s="20"/>
      <c r="B876" s="20"/>
    </row>
    <row r="877">
      <c r="A877" s="20"/>
      <c r="B877" s="20"/>
    </row>
    <row r="878">
      <c r="A878" s="20"/>
      <c r="B878" s="20"/>
    </row>
    <row r="879">
      <c r="A879" s="20"/>
      <c r="B879" s="20"/>
    </row>
    <row r="880">
      <c r="A880" s="20"/>
      <c r="B880" s="20"/>
    </row>
    <row r="881">
      <c r="A881" s="20"/>
      <c r="B881" s="20"/>
    </row>
    <row r="882">
      <c r="A882" s="20"/>
      <c r="B882" s="20"/>
    </row>
    <row r="883">
      <c r="A883" s="20"/>
      <c r="B883" s="20"/>
    </row>
    <row r="884">
      <c r="A884" s="20"/>
      <c r="B884" s="20"/>
    </row>
    <row r="885">
      <c r="A885" s="20"/>
      <c r="B885" s="20"/>
    </row>
    <row r="886">
      <c r="A886" s="20"/>
      <c r="B886" s="20"/>
    </row>
    <row r="887">
      <c r="A887" s="20"/>
      <c r="B887" s="20"/>
    </row>
    <row r="888">
      <c r="A888" s="20"/>
      <c r="B888" s="20"/>
    </row>
    <row r="889">
      <c r="A889" s="20"/>
      <c r="B889" s="20"/>
    </row>
    <row r="890">
      <c r="A890" s="20"/>
      <c r="B890" s="20"/>
    </row>
    <row r="891">
      <c r="A891" s="20"/>
      <c r="B891" s="20"/>
    </row>
    <row r="892">
      <c r="A892" s="20"/>
      <c r="B892" s="20"/>
    </row>
    <row r="893">
      <c r="A893" s="20"/>
      <c r="B893" s="20"/>
    </row>
    <row r="894">
      <c r="A894" s="20"/>
      <c r="B894" s="20"/>
    </row>
    <row r="895">
      <c r="A895" s="20"/>
      <c r="B895" s="20"/>
    </row>
    <row r="896">
      <c r="A896" s="20"/>
      <c r="B896" s="20"/>
    </row>
    <row r="897">
      <c r="A897" s="20"/>
      <c r="B897" s="20"/>
    </row>
    <row r="898">
      <c r="A898" s="20"/>
      <c r="B898" s="20"/>
    </row>
    <row r="899">
      <c r="A899" s="20"/>
      <c r="B899" s="20"/>
    </row>
    <row r="900">
      <c r="A900" s="20"/>
      <c r="B900" s="20"/>
    </row>
    <row r="901">
      <c r="A901" s="20"/>
      <c r="B901" s="20"/>
    </row>
    <row r="902">
      <c r="A902" s="20"/>
      <c r="B902" s="20"/>
    </row>
    <row r="903">
      <c r="A903" s="20"/>
      <c r="B903" s="20"/>
    </row>
    <row r="904">
      <c r="A904" s="20"/>
      <c r="B904" s="20"/>
    </row>
    <row r="905">
      <c r="A905" s="20"/>
      <c r="B905" s="20"/>
    </row>
    <row r="906">
      <c r="A906" s="20"/>
      <c r="B906" s="20"/>
    </row>
    <row r="907">
      <c r="A907" s="20"/>
      <c r="B907" s="20"/>
    </row>
    <row r="908">
      <c r="A908" s="20"/>
      <c r="B908" s="20"/>
    </row>
    <row r="909">
      <c r="A909" s="20"/>
      <c r="B909" s="20"/>
    </row>
    <row r="910">
      <c r="A910" s="20"/>
      <c r="B910" s="20"/>
    </row>
    <row r="911">
      <c r="A911" s="20"/>
      <c r="B911" s="20"/>
    </row>
    <row r="912">
      <c r="A912" s="20"/>
      <c r="B912" s="20"/>
    </row>
    <row r="913">
      <c r="A913" s="20"/>
      <c r="B913" s="20"/>
    </row>
    <row r="914">
      <c r="A914" s="20"/>
      <c r="B914" s="20"/>
    </row>
    <row r="915">
      <c r="A915" s="20"/>
      <c r="B915" s="20"/>
    </row>
    <row r="916">
      <c r="A916" s="20"/>
      <c r="B916" s="20"/>
    </row>
    <row r="917">
      <c r="A917" s="20"/>
      <c r="B917" s="20"/>
    </row>
    <row r="918">
      <c r="A918" s="20"/>
      <c r="B918" s="20"/>
    </row>
    <row r="919">
      <c r="A919" s="20"/>
      <c r="B919" s="20"/>
    </row>
    <row r="920">
      <c r="A920" s="20"/>
      <c r="B920" s="20"/>
    </row>
    <row r="921">
      <c r="A921" s="20"/>
      <c r="B921" s="20"/>
    </row>
    <row r="922">
      <c r="A922" s="20"/>
      <c r="B922" s="20"/>
    </row>
    <row r="923">
      <c r="A923" s="20"/>
      <c r="B923" s="20"/>
    </row>
    <row r="924">
      <c r="A924" s="20"/>
      <c r="B924" s="20"/>
    </row>
    <row r="925">
      <c r="A925" s="20"/>
      <c r="B925" s="20"/>
    </row>
    <row r="926">
      <c r="A926" s="20"/>
      <c r="B926" s="20"/>
    </row>
    <row r="927">
      <c r="A927" s="20"/>
      <c r="B927" s="20"/>
    </row>
    <row r="928">
      <c r="A928" s="20"/>
      <c r="B928" s="20"/>
    </row>
    <row r="929">
      <c r="A929" s="20"/>
      <c r="B929" s="20"/>
    </row>
    <row r="930">
      <c r="A930" s="20"/>
      <c r="B930" s="20"/>
    </row>
    <row r="931">
      <c r="A931" s="20"/>
      <c r="B931" s="20"/>
    </row>
    <row r="932">
      <c r="A932" s="20"/>
      <c r="B932" s="20"/>
    </row>
    <row r="933">
      <c r="A933" s="20"/>
      <c r="B933" s="20"/>
    </row>
    <row r="934">
      <c r="A934" s="20"/>
      <c r="B934" s="20"/>
    </row>
    <row r="935">
      <c r="A935" s="20"/>
      <c r="B935" s="20"/>
    </row>
    <row r="936">
      <c r="A936" s="20"/>
      <c r="B936" s="20"/>
    </row>
    <row r="937">
      <c r="A937" s="20"/>
      <c r="B937" s="20"/>
    </row>
    <row r="938">
      <c r="A938" s="20"/>
      <c r="B938" s="20"/>
    </row>
    <row r="939">
      <c r="A939" s="20"/>
      <c r="B939" s="20"/>
    </row>
    <row r="940">
      <c r="A940" s="20"/>
      <c r="B940" s="20"/>
    </row>
    <row r="941">
      <c r="A941" s="20"/>
      <c r="B941" s="20"/>
    </row>
    <row r="942">
      <c r="A942" s="20"/>
      <c r="B942" s="20"/>
    </row>
    <row r="943">
      <c r="A943" s="20"/>
      <c r="B943" s="20"/>
    </row>
    <row r="944">
      <c r="A944" s="20"/>
      <c r="B944" s="20"/>
    </row>
    <row r="945">
      <c r="A945" s="20"/>
      <c r="B945" s="20"/>
    </row>
    <row r="946">
      <c r="A946" s="20"/>
      <c r="B946" s="20"/>
    </row>
    <row r="947">
      <c r="A947" s="20"/>
      <c r="B947" s="20"/>
    </row>
    <row r="948">
      <c r="A948" s="20"/>
      <c r="B948" s="20"/>
    </row>
    <row r="949">
      <c r="A949" s="20"/>
      <c r="B949" s="20"/>
    </row>
    <row r="950">
      <c r="A950" s="20"/>
      <c r="B950" s="20"/>
    </row>
    <row r="951">
      <c r="A951" s="20"/>
      <c r="B951" s="20"/>
    </row>
    <row r="952">
      <c r="A952" s="20"/>
      <c r="B952" s="20"/>
    </row>
    <row r="953">
      <c r="A953" s="20"/>
      <c r="B953" s="20"/>
    </row>
    <row r="954">
      <c r="A954" s="20"/>
      <c r="B954" s="20"/>
    </row>
    <row r="955">
      <c r="A955" s="20"/>
      <c r="B955" s="20"/>
    </row>
    <row r="956">
      <c r="A956" s="20"/>
      <c r="B956" s="20"/>
    </row>
    <row r="957">
      <c r="A957" s="20"/>
      <c r="B957" s="20"/>
    </row>
    <row r="958">
      <c r="A958" s="20"/>
      <c r="B958" s="20"/>
    </row>
    <row r="959">
      <c r="A959" s="20"/>
      <c r="B959" s="20"/>
    </row>
    <row r="960">
      <c r="A960" s="20"/>
      <c r="B960" s="20"/>
    </row>
    <row r="961">
      <c r="A961" s="20"/>
      <c r="B961" s="20"/>
    </row>
    <row r="962">
      <c r="A962" s="20"/>
      <c r="B962" s="20"/>
    </row>
    <row r="963">
      <c r="A963" s="20"/>
      <c r="B963" s="20"/>
    </row>
    <row r="964">
      <c r="A964" s="20"/>
      <c r="B964" s="20"/>
    </row>
    <row r="965">
      <c r="A965" s="20"/>
      <c r="B965" s="20"/>
    </row>
    <row r="966">
      <c r="A966" s="20"/>
      <c r="B966" s="20"/>
    </row>
    <row r="967">
      <c r="A967" s="20"/>
      <c r="B967" s="20"/>
    </row>
    <row r="968">
      <c r="A968" s="20"/>
      <c r="B968" s="20"/>
    </row>
    <row r="969">
      <c r="A969" s="20"/>
      <c r="B969" s="20"/>
    </row>
    <row r="970">
      <c r="A970" s="20"/>
      <c r="B970" s="20"/>
    </row>
    <row r="971">
      <c r="A971" s="20"/>
      <c r="B971" s="20"/>
    </row>
    <row r="972">
      <c r="A972" s="20"/>
      <c r="B972" s="20"/>
    </row>
    <row r="973">
      <c r="A973" s="20"/>
      <c r="B973" s="20"/>
    </row>
    <row r="974">
      <c r="A974" s="20"/>
      <c r="B974" s="20"/>
    </row>
    <row r="975">
      <c r="A975" s="20"/>
      <c r="B975" s="20"/>
    </row>
    <row r="976">
      <c r="A976" s="20"/>
      <c r="B976" s="20"/>
    </row>
    <row r="977">
      <c r="A977" s="20"/>
      <c r="B977" s="20"/>
    </row>
    <row r="978">
      <c r="A978" s="20"/>
      <c r="B978" s="20"/>
    </row>
  </sheetData>
  <mergeCells count="48">
    <mergeCell ref="A1:AF1"/>
    <mergeCell ref="C3:I3"/>
    <mergeCell ref="J3:K3"/>
    <mergeCell ref="N3:R3"/>
    <mergeCell ref="S3:U3"/>
    <mergeCell ref="V3:X3"/>
    <mergeCell ref="A5:A7"/>
    <mergeCell ref="V12:X12"/>
    <mergeCell ref="V17:X17"/>
    <mergeCell ref="V7:X7"/>
    <mergeCell ref="A10:AF10"/>
    <mergeCell ref="C12:I12"/>
    <mergeCell ref="J12:K12"/>
    <mergeCell ref="N12:R12"/>
    <mergeCell ref="S12:U12"/>
    <mergeCell ref="A14:A17"/>
    <mergeCell ref="A20:AF20"/>
    <mergeCell ref="C22:I22"/>
    <mergeCell ref="J22:K22"/>
    <mergeCell ref="N22:R22"/>
    <mergeCell ref="S22:U22"/>
    <mergeCell ref="V22:X22"/>
    <mergeCell ref="A24:A26"/>
    <mergeCell ref="V31:X31"/>
    <mergeCell ref="V35:X35"/>
    <mergeCell ref="V39:X39"/>
    <mergeCell ref="V43:X43"/>
    <mergeCell ref="V26:X26"/>
    <mergeCell ref="A29:AF29"/>
    <mergeCell ref="J31:K31"/>
    <mergeCell ref="N31:R31"/>
    <mergeCell ref="S31:U31"/>
    <mergeCell ref="A33:A35"/>
    <mergeCell ref="A37:AF37"/>
    <mergeCell ref="C48:I48"/>
    <mergeCell ref="J48:K48"/>
    <mergeCell ref="N48:R48"/>
    <mergeCell ref="S48:U48"/>
    <mergeCell ref="V48:X48"/>
    <mergeCell ref="A50:A52"/>
    <mergeCell ref="V52:X52"/>
    <mergeCell ref="C31:I31"/>
    <mergeCell ref="C39:I39"/>
    <mergeCell ref="J39:K39"/>
    <mergeCell ref="N39:R39"/>
    <mergeCell ref="S39:U39"/>
    <mergeCell ref="A41:A43"/>
    <mergeCell ref="A46:AF46"/>
  </mergeCells>
  <drawing r:id="rId1"/>
</worksheet>
</file>