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88" documentId="8_{C75B0A4E-9BC7-43F3-8F41-1FDAF59748C9}" xr6:coauthVersionLast="47" xr6:coauthVersionMax="47" xr10:uidLastSave="{A60E0521-99D7-4A78-96FC-5D326EE9F68D}"/>
  <workbookProtection workbookAlgorithmName="SHA-512" workbookHashValue="l7gPkSa7IDQHaCGU6scdO7HesKo1bvZjcQWYj4vNojHkZJjaUXPmHAGlsR4d4+crfffyq/kIVvdpxHexd01Wuw==" workbookSaltValue="glIhUceMu1ZrQCxRIoNPiA==" workbookSpinCount="100000" lockStructure="1"/>
  <bookViews>
    <workbookView xWindow="435" yWindow="15" windowWidth="25860" windowHeight="20820"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168" i="14"/>
  <c r="M165" i="14"/>
  <c r="M162" i="14"/>
  <c r="M159" i="14"/>
  <c r="M156" i="14"/>
  <c r="M153" i="14"/>
  <c r="Y127" i="14"/>
  <c r="Y124" i="14"/>
  <c r="Y121" i="14"/>
  <c r="Y118" i="14"/>
  <c r="Y115" i="14"/>
  <c r="Y70" i="14"/>
  <c r="Y67" i="14"/>
  <c r="M79" i="14"/>
  <c r="M76" i="14"/>
  <c r="M73" i="14"/>
  <c r="M70" i="14"/>
  <c r="M67" i="14"/>
  <c r="Y40" i="14"/>
  <c r="Y37" i="14"/>
  <c r="Y34" i="14"/>
  <c r="Y31" i="14"/>
  <c r="Y28" i="14"/>
  <c r="Y25" i="14"/>
  <c r="M37" i="14"/>
  <c r="M34" i="14"/>
  <c r="M31" i="14"/>
  <c r="M28" i="14"/>
  <c r="M25" i="14"/>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Y96" i="14" s="1"/>
  <c r="E97" i="14"/>
  <c r="N52" i="14"/>
  <c r="B52" i="14"/>
  <c r="M96" i="14" l="1"/>
  <c r="H7" i="14"/>
  <c r="AC86" i="18" s="1"/>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D24" i="18"/>
  <c r="AE24" i="18"/>
  <c r="AF24" i="18"/>
  <c r="B25" i="18"/>
  <c r="N25" i="18"/>
  <c r="Q25" i="18"/>
  <c r="AB25" i="18"/>
  <c r="AD25" i="18"/>
  <c r="AE25" i="18"/>
  <c r="AF25" i="18"/>
  <c r="B26" i="18"/>
  <c r="N26" i="18"/>
  <c r="Q26" i="18"/>
  <c r="AB26" i="18"/>
  <c r="AD26" i="18"/>
  <c r="AE26" i="18"/>
  <c r="AF26" i="18"/>
  <c r="B27" i="18"/>
  <c r="N27" i="18"/>
  <c r="Q27" i="18"/>
  <c r="AB27" i="18"/>
  <c r="AD27" i="18"/>
  <c r="AE27" i="18"/>
  <c r="AF27" i="18"/>
  <c r="B28" i="18"/>
  <c r="N28" i="18"/>
  <c r="Q28" i="18"/>
  <c r="AB28" i="18"/>
  <c r="AD28" i="18"/>
  <c r="AE28" i="18"/>
  <c r="AF28" i="18"/>
  <c r="B29" i="18"/>
  <c r="N29" i="18"/>
  <c r="Q29" i="18"/>
  <c r="AB29" i="18"/>
  <c r="AD29" i="18"/>
  <c r="AE29" i="18"/>
  <c r="AF29" i="18"/>
  <c r="B30" i="18"/>
  <c r="N30" i="18"/>
  <c r="Q30" i="18"/>
  <c r="AB30" i="18"/>
  <c r="AD30" i="18"/>
  <c r="AE30" i="18"/>
  <c r="AF30" i="18"/>
  <c r="B31" i="18"/>
  <c r="N31" i="18"/>
  <c r="Q31" i="18"/>
  <c r="AB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D73" i="18"/>
  <c r="AE73" i="18"/>
  <c r="AF73" i="18"/>
  <c r="B74" i="18"/>
  <c r="N74" i="18"/>
  <c r="O74" i="18"/>
  <c r="P74" i="18"/>
  <c r="Q74" i="18"/>
  <c r="R74" i="18"/>
  <c r="S74" i="18"/>
  <c r="Z74" i="18"/>
  <c r="AB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46" i="18" l="1"/>
  <c r="AC82" i="18"/>
  <c r="AC87" i="18"/>
  <c r="AC23" i="18"/>
  <c r="AC73" i="18"/>
  <c r="AC53" i="18"/>
  <c r="AC60" i="18"/>
  <c r="AC31" i="18"/>
  <c r="AC30" i="18"/>
  <c r="AC29" i="18"/>
  <c r="AC28" i="18"/>
  <c r="AC27" i="18"/>
  <c r="AC26" i="18"/>
  <c r="AC25" i="18"/>
  <c r="AC24" i="18"/>
  <c r="AC80" i="18"/>
  <c r="AC74" i="18"/>
  <c r="AC54" i="18"/>
  <c r="AC85" i="18"/>
  <c r="AC71" i="18"/>
  <c r="AC65" i="18"/>
  <c r="AC57" i="18"/>
  <c r="AC51" i="18"/>
  <c r="AC83" i="18"/>
  <c r="AC77" i="18"/>
  <c r="AC41" i="18"/>
  <c r="AC78" i="18"/>
  <c r="AC72" i="18"/>
  <c r="AC66" i="18"/>
  <c r="AC58" i="18"/>
  <c r="AC52" i="18"/>
  <c r="AC42" i="18"/>
  <c r="AC40" i="18"/>
  <c r="AC39" i="18"/>
  <c r="AC38" i="18"/>
  <c r="AC37" i="18"/>
  <c r="AC36" i="18"/>
  <c r="AC35" i="18"/>
  <c r="AC34" i="18"/>
  <c r="AC33" i="18"/>
  <c r="AC32" i="18"/>
  <c r="AC63" i="18"/>
  <c r="AC81" i="18"/>
  <c r="AC75" i="18"/>
  <c r="AC67" i="18"/>
  <c r="AC61" i="18"/>
  <c r="AC55" i="18"/>
  <c r="AC47" i="18"/>
  <c r="AC43" i="18"/>
  <c r="AC69" i="18"/>
  <c r="AC49" i="18"/>
  <c r="AC84" i="18"/>
  <c r="AC70" i="18"/>
  <c r="AC64" i="18"/>
  <c r="AC56" i="18"/>
  <c r="AC50" i="18"/>
  <c r="AC44" i="18"/>
  <c r="AC45" i="18"/>
  <c r="AC20" i="18"/>
  <c r="AC19" i="18"/>
  <c r="AC18" i="18"/>
  <c r="AC17" i="18"/>
  <c r="AC16" i="18"/>
  <c r="AC15" i="18"/>
  <c r="AC14" i="18"/>
  <c r="AC13" i="18"/>
  <c r="AC12" i="18"/>
  <c r="AC76" i="18"/>
  <c r="AC68" i="18"/>
  <c r="AC62" i="18"/>
  <c r="AC48" i="18"/>
  <c r="AC21" i="18"/>
  <c r="AC11" i="18"/>
  <c r="AC10" i="18"/>
  <c r="AC9" i="18"/>
  <c r="AC8" i="18"/>
  <c r="AC7" i="18"/>
  <c r="AC6" i="18"/>
  <c r="AC5" i="18"/>
  <c r="AC4" i="18"/>
  <c r="AC88" i="18"/>
  <c r="AC22"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233" i="14"/>
  <c r="A213"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X554" i="14"/>
  <c r="E77"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BO529" i="14" l="1"/>
  <c r="V52" i="18" s="1"/>
  <c r="C52" i="18"/>
  <c r="BR562" i="14"/>
  <c r="Y85" i="18" s="1"/>
  <c r="M85" i="18"/>
  <c r="AZ549" i="14"/>
  <c r="G72" i="18" s="1"/>
  <c r="AY563" i="14"/>
  <c r="F86" i="18" s="1"/>
  <c r="AW549" i="14"/>
  <c r="D72" i="18" s="1"/>
  <c r="AZ546" i="14"/>
  <c r="G69" i="18" s="1"/>
  <c r="BR558" i="14"/>
  <c r="Y81" i="18" s="1"/>
  <c r="M81" i="18"/>
  <c r="AW540" i="14"/>
  <c r="D63" i="18" s="1"/>
  <c r="C63" i="18"/>
  <c r="BO525" i="14"/>
  <c r="V48" i="18" s="1"/>
  <c r="C48" i="18"/>
  <c r="AX531" i="14"/>
  <c r="E54" i="18" s="1"/>
  <c r="C54"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AX560" i="14"/>
  <c r="E83" i="18" s="1"/>
  <c r="BT560" i="14"/>
  <c r="AG83"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AW541" i="14"/>
  <c r="D64" i="18" s="1"/>
  <c r="BT541" i="14"/>
  <c r="AG64" i="18" s="1"/>
  <c r="AY546" i="14"/>
  <c r="F69" i="18" s="1"/>
  <c r="AY548" i="14"/>
  <c r="F71" i="18" s="1"/>
  <c r="AY550" i="14"/>
  <c r="F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T502" i="14"/>
  <c r="AG25" i="18" s="1"/>
  <c r="BO502" i="14"/>
  <c r="V25" i="18" s="1"/>
  <c r="AW506" i="14"/>
  <c r="D29" i="18" s="1"/>
  <c r="BT506" i="14"/>
  <c r="AG29" i="18" s="1"/>
  <c r="BO506" i="14"/>
  <c r="V29"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BQ502" i="14"/>
  <c r="X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Q503" i="14"/>
  <c r="X26" i="18" s="1"/>
  <c r="BH502" i="14"/>
  <c r="O25" i="18" s="1"/>
  <c r="AX502" i="14"/>
  <c r="E25" i="18" s="1"/>
  <c r="AX501" i="14"/>
  <c r="E24" i="18" s="1"/>
  <c r="BK501" i="14"/>
  <c r="R24" i="18" s="1"/>
  <c r="BH500" i="14"/>
  <c r="O23" i="18" s="1"/>
  <c r="BT550" i="14" l="1"/>
  <c r="AG73" i="18" s="1"/>
  <c r="BT549" i="14"/>
  <c r="AG72" i="18" s="1"/>
  <c r="BT547" i="14"/>
  <c r="AG70" i="18" s="1"/>
  <c r="BT546" i="14"/>
  <c r="AG69" i="18" s="1"/>
  <c r="BT538" i="14"/>
  <c r="AG61" i="18" s="1"/>
  <c r="BT537" i="14"/>
  <c r="AG60" i="18" s="1"/>
  <c r="BT536" i="14"/>
  <c r="AG59" i="18" s="1"/>
  <c r="BT535" i="14"/>
  <c r="AG58" i="18" s="1"/>
  <c r="BT501" i="14"/>
  <c r="AG24" i="18" s="1"/>
  <c r="BT511" i="14"/>
  <c r="AG34" i="18" s="1"/>
  <c r="BI503" i="14"/>
  <c r="P26" i="18" s="1"/>
  <c r="S26" i="18"/>
  <c r="BM516" i="14"/>
  <c r="T39" i="18" s="1"/>
  <c r="U39" i="18"/>
  <c r="BI506" i="14"/>
  <c r="P29" i="18" s="1"/>
  <c r="S29" i="18"/>
  <c r="BI511" i="14"/>
  <c r="P34" i="18" s="1"/>
  <c r="S34" i="18"/>
  <c r="BM517" i="14"/>
  <c r="T40" i="18" s="1"/>
  <c r="U40" i="18"/>
  <c r="BI518" i="14"/>
  <c r="P41" i="18" s="1"/>
  <c r="S41" i="18"/>
  <c r="BM502" i="14"/>
  <c r="T25" i="18" s="1"/>
  <c r="U25" i="18"/>
  <c r="BM505" i="14"/>
  <c r="T28" i="18" s="1"/>
  <c r="U28" i="18"/>
  <c r="BI501" i="14"/>
  <c r="P24" i="18" s="1"/>
  <c r="S24" i="18"/>
  <c r="BI507" i="14"/>
  <c r="P30" i="18" s="1"/>
  <c r="S30" i="18"/>
  <c r="BI508" i="14"/>
  <c r="P31" i="18" s="1"/>
  <c r="S31" i="18"/>
  <c r="BM511" i="14"/>
  <c r="T34" i="18" s="1"/>
  <c r="U34" i="18"/>
  <c r="BM518" i="14"/>
  <c r="T41" i="18" s="1"/>
  <c r="U41" i="18"/>
  <c r="BI515" i="14"/>
  <c r="P38" i="18" s="1"/>
  <c r="S38" i="18"/>
  <c r="BI505" i="14"/>
  <c r="P28" i="18" s="1"/>
  <c r="S28" i="18"/>
  <c r="BM515" i="14"/>
  <c r="T38" i="18" s="1"/>
  <c r="U38" i="18"/>
  <c r="BQ505" i="14"/>
  <c r="X28" i="18" s="1"/>
  <c r="J28" i="18"/>
  <c r="BM507" i="14"/>
  <c r="T30" i="18" s="1"/>
  <c r="U30" i="18"/>
  <c r="BM508" i="14"/>
  <c r="T31" i="18" s="1"/>
  <c r="U31" i="18"/>
  <c r="BI516" i="14"/>
  <c r="P39" i="18" s="1"/>
  <c r="BI513" i="14"/>
  <c r="P36" i="18" s="1"/>
  <c r="S36" i="18"/>
  <c r="BM503" i="14"/>
  <c r="T26" i="18" s="1"/>
  <c r="U26" i="18"/>
  <c r="BI517" i="14"/>
  <c r="P40" i="18" s="1"/>
  <c r="S40" i="18"/>
  <c r="BM501" i="14"/>
  <c r="T24" i="18" s="1"/>
  <c r="U24" i="18"/>
  <c r="BI502" i="14"/>
  <c r="P25" i="18" s="1"/>
  <c r="S25" i="18"/>
  <c r="BM513" i="14"/>
  <c r="T36" i="18" s="1"/>
  <c r="U36"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00" i="14" l="1"/>
  <c r="X23" i="18" s="1"/>
  <c r="BQ511" i="14"/>
  <c r="X34" i="18" s="1"/>
  <c r="BQ501" i="14"/>
  <c r="X24" i="18" s="1"/>
  <c r="BQ510" i="14"/>
  <c r="X3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N118" i="14" l="1"/>
  <c r="AT535" i="14" s="1"/>
  <c r="A58" i="18" s="1"/>
  <c r="N124" i="14"/>
  <c r="AT537" i="14" s="1"/>
  <c r="A60" i="18" s="1"/>
  <c r="N127" i="14"/>
  <c r="AT538" i="14" s="1"/>
  <c r="A61" i="18" s="1"/>
  <c r="N121" i="14"/>
  <c r="AT536" i="14" s="1"/>
  <c r="A59" i="18" s="1"/>
  <c r="BQ495" i="14"/>
  <c r="X18" i="18" s="1"/>
  <c r="BR484" i="14"/>
  <c r="Y7" i="18" s="1"/>
  <c r="D18" i="18"/>
  <c r="BT495" i="14"/>
  <c r="AG18" i="18" s="1"/>
  <c r="D7" i="18"/>
  <c r="BT484" i="14"/>
  <c r="AG7" i="18" s="1"/>
  <c r="D17" i="18"/>
  <c r="BT494" i="14"/>
  <c r="AG17" i="18" s="1"/>
  <c r="M6" i="18"/>
  <c r="BR503" i="14"/>
  <c r="Y26" i="18" s="1"/>
  <c r="D6" i="18"/>
  <c r="BT483" i="14"/>
  <c r="AG6" i="18" s="1"/>
  <c r="BR483" i="14"/>
  <c r="Y6" i="18" s="1"/>
  <c r="D5" i="18"/>
  <c r="BT482" i="14"/>
  <c r="AG5" i="18" s="1"/>
  <c r="BI497" i="14"/>
  <c r="P20" i="18" s="1"/>
  <c r="S20" i="18"/>
  <c r="BM496" i="14"/>
  <c r="T19" i="18" s="1"/>
  <c r="U19" i="18"/>
  <c r="BI490" i="14"/>
  <c r="P13" i="18" s="1"/>
  <c r="S13" i="18"/>
  <c r="BI498" i="14"/>
  <c r="P21" i="18" s="1"/>
  <c r="S21" i="18"/>
  <c r="BI494" i="14"/>
  <c r="P17" i="18" s="1"/>
  <c r="S17" i="18"/>
  <c r="BM498" i="14"/>
  <c r="T21" i="18" s="1"/>
  <c r="U21" i="18"/>
  <c r="BI495" i="14"/>
  <c r="P18" i="18" s="1"/>
  <c r="S18" i="18"/>
  <c r="BM495" i="14"/>
  <c r="T18" i="18" s="1"/>
  <c r="U18" i="18"/>
  <c r="CL447" i="14"/>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BQ482" i="14"/>
  <c r="X5" i="18" s="1"/>
  <c r="AZ421" i="14"/>
  <c r="L97" i="14" s="1"/>
  <c r="BQ494" i="14" l="1"/>
  <c r="X17" i="18" s="1"/>
  <c r="BQ483" i="14"/>
  <c r="X6" i="18" s="1"/>
  <c r="CK449" i="14"/>
  <c r="BQ492" i="14"/>
  <c r="X15" i="18" s="1"/>
  <c r="BQ491" i="14"/>
  <c r="X14" i="18" s="1"/>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<sst xmlns="http://schemas.openxmlformats.org/spreadsheetml/2006/main" count="543" uniqueCount="322">
  <si>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</si>
  <si>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</si>
  <si>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</si>
  <si>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</si>
  <si>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</si>
  <si>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</si>
  <si>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</si>
  <si>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</si>
  <si>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</si>
  <si>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</si>
  <si>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</si>
  <si>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</si>
  <si>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</si>
  <si>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</si>
  <si>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</si>
  <si>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</si>
  <si>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</si>
  <si>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</si>
  <si>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</si>
  <si>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</si>
  <si>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</si>
  <si>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</si>
  <si>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</si>
  <si>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</si>
  <si>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</si>
  <si>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</si>
  <si>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</si>
  <si>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</si>
  <si>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</si>
  <si>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</si>
  <si>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</si>
  <si>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</si>
  <si>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</si>
  <si>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</si>
  <si>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</si>
  <si>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</si>
  <si>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</si>
  <si>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</si>
  <si>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</si>
  <si>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</si>
  <si>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</si>
  <si>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</si>
  <si>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</si>
  <si>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</si>
  <si>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</si>
  <si>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</si>
  <si>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</si>
  <si>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</si>
  <si>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</si>
  <si>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</si>
  <si>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</si>
  <si>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</si>
  <si>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</si>
  <si>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</si>
  <si>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</si>
  <si>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</si>
  <si>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</si>
  <si>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</si>
  <si>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</si>
  <si>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</si>
  <si>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</si>
  <si>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</si>
  <si>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</si>
  <si>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</si>
  <si>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</si>
  <si>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</si>
  <si>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</si>
  <si>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</si>
  <si>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</si>
  <si>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</si>
  <si>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</si>
  <si>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</si>
  <si>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</si>
  <si>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</si>
  <si>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</si>
  <si>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</si>
  <si>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</si>
  <si>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</si>
  <si>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</si>
  <si>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</si>
  <si>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</si>
  <si>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</si>
  <si>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</si>
  <si>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</si>
  <si>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</si>
  <si>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</si>
  <si>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</si>
  <si>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</si>
  <si>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</si>
  <si>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</si>
  <si>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</si>
  <si>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</si>
  <si>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</si>
  <si>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</si>
  <si>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</si>
  <si>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</si>
  <si>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</si>
  <si>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</si>
  <si>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</si>
  <si>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</si>
  <si>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</si>
  <si>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</si>
  <si>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</si>
  <si>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</si>
  <si>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</si>
  <si>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</si>
  <si>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</si>
  <si>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</si>
  <si>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</si>
  <si>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</si>
  <si>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</si>
  <si>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</si>
  <si>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</si>
  <si>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</si>
  <si>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</si>
  <si>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</si>
  <si>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</si>
  <si>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</si>
  <si>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</si>
  <si>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</si>
  <si>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</si>
  <si>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</si>
  <si>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</si>
  <si>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</si>
  <si>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</si>
  <si>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</si>
  <si>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</si>
  <si>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</si>
  <si>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</si>
  <si>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</si>
  <si>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</si>
  <si>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</si>
  <si>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</si>
  <si>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</si>
  <si>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</si>
  <si>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</si>
  <si>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</si>
  <si>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</si>
  <si>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</si>
  <si>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</si>
  <si>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</si>
  <si>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</si>
  <si>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</si>
  <si>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</si>
  <si>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</si>
  <si>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</si>
  <si>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</si>
  <si>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</si>
  <si>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</si>
  <si>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</si>
  <si>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</si>
  <si>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</si>
  <si>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</si>
  <si>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</si>
  <si>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</si>
  <si>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</si>
  <si>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</si>
  <si>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</si>
  <si>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</si>
  <si>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</si>
  <si>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</si>
  <si>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</si>
  <si>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</si>
  <si>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</si>
  <si>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</si>
  <si>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</si>
  <si>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</si>
  <si>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</si>
  <si>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</si>
  <si>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</si>
  <si>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</si>
  <si>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</si>
  <si>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</si>
  <si>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</si>
  <si>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</si>
  <si>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</si>
  <si>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</si>
  <si>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</si>
  <si>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</si>
  <si>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</si>
  <si>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</si>
  <si>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</si>
  <si>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</si>
  <si>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</si>
  <si>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</si>
  <si>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</si>
  <si>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</si>
  <si>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</si>
  <si>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</si>
  <si>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</si>
  <si>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</si>
  <si>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</si>
  <si>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</si>
  <si>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</si>
  <si>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</si>
  <si>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</si>
  <si>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</si>
  <si>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</si>
  <si>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</si>
  <si>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</si>
  <si>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</si>
  <si>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</si>
  <si>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</si>
  <si>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</si>
  <si>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</si>
  <si>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</si>
  <si>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</si>
  <si>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</si>
  <si>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</si>
  <si>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</si>
  <si>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</si>
  <si>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</si>
  <si>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</si>
  <si>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</si>
  <si>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</si>
  <si>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</si>
  <si>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</si>
  <si>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</si>
  <si>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</si>
  <si>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</si>
  <si>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</si>
  <si>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</si>
  <si>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</si>
  <si>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</si>
  <si>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</si>
  <si>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</si>
  <si>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</si>
  <si>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</si>
  <si>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</si>
  <si>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</si>
  <si>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</si>
  <si>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</si>
  <si>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</si>
  <si>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</si>
  <si>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</si>
  <si>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</si>
  <si>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</si>
  <si>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</si>
  <si>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</si>
  <si>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</si>
  <si>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</si>
  <si>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</si>
  <si>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</si>
  <si>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</si>
  <si>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</si>
  <si>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</si>
  <si>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</si>
  <si>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</si>
  <si>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</si>
  <si>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</si>
  <si>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</si>
  <si>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</si>
  <si>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</si>
  <si>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</si>
  <si>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</si>
  <si>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</si>
  <si>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</si>
  <si>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</si>
  <si>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</si>
  <si>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</si>
  <si>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</si>
  <si>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</si>
  <si>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</si>
  <si>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</si>
  <si>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</si>
  <si>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</si>
  <si>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</si>
  <si>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</si>
  <si>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</si>
  <si>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</si>
  <si>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</si>
  <si>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</si>
  <si>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</si>
  <si>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</si>
  <si>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AUTOMATICĂ ȘI CALCULATOARE</t>
  </si>
  <si>
    <t>ȘTIINȚE INGINEREȘTI</t>
  </si>
  <si>
    <t>INGINERIA SISTEMELOR, CALCULATOARE ȘI TEHNOLOGIA INFORMAȚIEI</t>
  </si>
  <si>
    <t>INGINERIA SISTEMELOR</t>
  </si>
  <si>
    <t>Prof.univ.dr.ing. Marius-George MARCU</t>
  </si>
  <si>
    <t>CT1. Aplicarea valorilor şi eticii profesiei de cercetător şi executarea responsabilă a sarcinilor profesionale în condiţii de autonomie şi luare de decizii bazate pe evaluare şi autoevaluare.
CT2. Realizarea activităţilor şi exercitarea rolurilor specifice muncii în echipă, pe diferite paliere ierarhice, manifestând spirit de iniţiativă şi antreprenorial şi rol de lider bazat pe promovarea dialogului, cooperării, atitudinii pozitive, respectului reciproc, diversităţii şi multiculturalităţii şi îmbunătăţire continuă a propriei activităţi.
CT3. Autoevaluarea obiectivă a nevoii de formare profesională, continuă, în scopul inserţiei pe piaţa muncii şi al adaptării la dinamica cerinţelor acesteia și pentru dezvoltarea personală şi profesională şi utilizarea  eficientă a abilităţilor multilingvistice şi a cunoştinţelor de tehnologia informaţiei şi a comunicării.</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</si>
  <si>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</si>
  <si>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t>SECURITATEA INFORMAȚIILOR ȘI A SISTEMLOR CIBERNETICE</t>
  </si>
  <si>
    <t>a. Identificarea și evaluarea vulnerabilităților și a metodelor de atac in sisteme informatice și cibernetice precum și proiectarea și implementarea de măsuri de securitate pentru prevenirea și contracararea acestor atacuri (C1).
b. Proiectarea, implementarea și evaluarea de soluții de securitate specifice sistemelor mobile, industriale, cloud și web (C2).
c. Utilizarea de unelte și metodologii specifice securității sistemelor informatice și cibernetice (C3).
d. Cercetare științifică în domeniul securității informației și a sistemelor cibernetice (C4).</t>
  </si>
  <si>
    <t>025</t>
  </si>
  <si>
    <t>Tehnici criptografice moderne</t>
  </si>
  <si>
    <t>Virusologie și vulnerabilități ale sistemelor informatice</t>
  </si>
  <si>
    <t>Securitatea rețelelor de calculatoare</t>
  </si>
  <si>
    <t>Securitatea aplicațiilor cloud</t>
  </si>
  <si>
    <t>Securitatea aplicațiilor mobile</t>
  </si>
  <si>
    <t>Disciplină opțională independentă 1
Standarde și metodologii pentru evaluarea securității // Baze de date avansate // Sisteme bazate pe cunostințe</t>
  </si>
  <si>
    <t>Securitatea aplicațiilor web</t>
  </si>
  <si>
    <t>Disciplină opțională independentă 2
Securitatea informației în sisteme financiar-bancare // Rețele neuronale, sisteme fuzzy și algoritmi genetici</t>
  </si>
  <si>
    <t>Practică profesională 1</t>
  </si>
  <si>
    <t>Etică și integritate academică</t>
  </si>
  <si>
    <t>Practică profesională 2</t>
  </si>
  <si>
    <t>DA</t>
  </si>
  <si>
    <t>D</t>
  </si>
  <si>
    <t>Securitate în sisteme embedded și automotive</t>
  </si>
  <si>
    <t xml:space="preserve"> Practică pentru elaborarea disertației                                                                             </t>
  </si>
  <si>
    <t>Securitatea sistemelor industriale</t>
  </si>
  <si>
    <t>Elaborarea lucrării de disertație</t>
  </si>
  <si>
    <t>Disciplină opțională independentă 3
Tratarea incidentelor de securitate și măsuri de prevenție // Sisteme haotice // Managementul proiectelor //Tehnologii Java</t>
  </si>
  <si>
    <t>Examen de disertație</t>
  </si>
  <si>
    <t>Disciplină opțională independentă 4
Comunicații de date intervehiculare // Modele bioinformatice</t>
  </si>
  <si>
    <t>Practică profesională 3</t>
  </si>
  <si>
    <t>Disciplină opțională independentă 1
Standarde și metodologii pentru evaluarea securității</t>
  </si>
  <si>
    <t>Disciplină opțională independentă 1
Baze de date avansate</t>
  </si>
  <si>
    <t>Disciplină opțională independentă 1
Sisteme bazate pe cunostințe</t>
  </si>
  <si>
    <t>Disciplină opțională independentă 2
Securitatea informației în sisteme financiar-bancare</t>
  </si>
  <si>
    <t>Disciplină opțională independentă 2
Rețele neuronale, sisteme fuzzy și algoritmi genetici</t>
  </si>
  <si>
    <t>Disciplină opțională independentă 3
Tratarea incidentelor de securitate și măsuri de prevenție</t>
  </si>
  <si>
    <t>Disciplină opțională independentă 3
Sisteme haotice</t>
  </si>
  <si>
    <t>Disciplină opțională independentă 3
Managementul proiectelor</t>
  </si>
  <si>
    <t>Disciplină opțională independentă 3
Tehnologii Java</t>
  </si>
  <si>
    <t>Disciplină opțională independentă 4
Comunicații de date intervehiculare</t>
  </si>
  <si>
    <t>Disciplină opțională independentă 4
Modele bioinformatice</t>
  </si>
  <si>
    <t>Pregătirea superioară a masteranzilor, prin aprofundarea cadrului teoretic și a aplicațiilor din domeniul securității informațiilor și a sistemelor ciberbetice.</t>
  </si>
  <si>
    <t>Formarea de specialiști care să dețină cunoștințele necesare pentru identificarea/evaluarea vulnerabilităților și a metodelor de atac în sisteme informatice și cibernetice precum și proiectarea și implementarea de măsuri de securitate pentru prevenirea și contracararea acestor atacuri. Programul acoperă, prin materiile propuse, elemente specifice pentru securitatea sistemelor mobile, industriale, bancare, cloud, web și a rețelelor de calculatoare. Aplicațiile practice contribuie la cunoașterea uneltelor și metodologiilor specifice, utilizate pentru analiza securității sistemelor informatice și cibernetice. O componentă importantă a programului constă în activități de cercetare științifică în domeniul securității informației și a sistemelor cibernetice.</t>
  </si>
  <si>
    <t>- Specialist în proceduri și instrumente de securitate a sistemelor informatice - 251402</t>
  </si>
  <si>
    <t>Disciplină facultativă</t>
  </si>
  <si>
    <t>f</t>
  </si>
  <si>
    <t>Voluntariat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</si>
</sst>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7"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2">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2" fillId="4" borderId="1" xfId="0" quotePrefix="1" applyFont="1" applyFill="1" applyBorder="1" applyAlignment="1" applyProtection="1">
      <alignment horizontal="center" vertical="center"/>
      <protection locked="0"/>
    </xf>
    <xf numFmtId="0" fontId="21" fillId="4" borderId="46" xfId="0" quotePrefix="1"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46" xfId="0" applyFont="1" applyFill="1" applyBorder="1" applyAlignment="1" applyProtection="1">
      <alignment horizontal="left" vertical="center"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center" wrapText="1" shrinkToFit="1"/>
      <protection locked="0"/>
    </xf>
    <xf numFmtId="0" fontId="21" fillId="4" borderId="0" xfId="0" applyFont="1" applyFill="1" applyAlignment="1" applyProtection="1">
      <alignment horizontal="left" vertical="center" shrinkToFit="1"/>
      <protection locked="0"/>
    </xf>
    <xf numFmtId="0" fontId="35"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22" fillId="6" borderId="0" xfId="0" applyFont="1" applyFill="1" applyAlignment="1">
      <alignment horizontal="left" shrinkToFit="1"/>
    </xf>
    <xf numFmtId="0" fontId="21" fillId="4" borderId="0" xfId="0" applyFont="1" applyFill="1" applyAlignment="1" applyProtection="1">
      <alignment horizontal="left" vertical="center" wrapText="1"/>
      <protection locked="0"/>
    </xf>
    <xf numFmtId="0" fontId="21" fillId="4" borderId="46" xfId="0" applyFont="1" applyFill="1" applyBorder="1" applyAlignment="1" applyProtection="1">
      <alignment vertical="center" wrapText="1"/>
      <protection locked="0"/>
    </xf>
    <xf numFmtId="0" fontId="21" fillId="4" borderId="0" xfId="0" applyFont="1" applyFill="1" applyBorder="1" applyAlignment="1" applyProtection="1">
      <alignment vertical="center"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20" fillId="4" borderId="0" xfId="0" applyFont="1" applyFill="1" applyAlignment="1" applyProtection="1">
      <alignment horizontal="left"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69" fillId="4" borderId="0" xfId="0" applyFont="1" applyFill="1" applyAlignment="1" applyProtection="1">
      <alignment horizontal="center" vertical="center" wrapText="1"/>
      <protection locked="0"/>
    </xf>
    <xf numFmtId="0" fontId="3" fillId="0" borderId="0" xfId="0" quotePrefix="1" applyFont="1" applyFill="1" applyBorder="1" applyAlignment="1" applyProtection="1">
      <alignment horizontal="left" vertical="center" wrapText="1"/>
      <protection hidden="1"/>
    </xf>
    <xf numFmtId="0" fontId="3" fillId="0" borderId="0"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26" xfId="0" applyFont="1" applyFill="1" applyBorder="1" applyAlignment="1" applyProtection="1">
      <alignment horizontal="left" vertic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0" fontId="58" fillId="0" borderId="0" xfId="0" applyFont="1" applyFill="1" applyAlignment="1" applyProtection="1">
      <alignment horizontal="center" vertical="center"/>
      <protection hidden="1"/>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5" fillId="0" borderId="1" xfId="0" applyFont="1" applyBorder="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3" fillId="7" borderId="0" xfId="0" applyFont="1" applyFill="1" applyAlignment="1" applyProtection="1">
      <alignment horizontal="center"/>
      <protection hidden="1"/>
    </xf>
    <xf numFmtId="0" fontId="40" fillId="5" borderId="46" xfId="0" applyFont="1" applyFill="1" applyBorder="1" applyAlignment="1" applyProtection="1">
      <alignment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topLeftCell="A4" zoomScale="70" zoomScaleNormal="70" zoomScaleSheetLayoutView="90" zoomScalePageLayoutView="70" workbookViewId="0">
      <selection activeCell="A4" sqref="A4:I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68" t="s">
        <v>274</v>
      </c>
      <c r="B4" s="368"/>
      <c r="C4" s="368"/>
      <c r="D4" s="368"/>
      <c r="E4" s="368"/>
      <c r="F4" s="368"/>
      <c r="G4" s="368"/>
      <c r="H4" s="368"/>
      <c r="I4" s="368"/>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9" t="s">
        <v>281</v>
      </c>
      <c r="K25" s="369"/>
      <c r="L25" s="369"/>
      <c r="M25" s="369"/>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9" t="s">
        <v>246</v>
      </c>
      <c r="K27" s="369"/>
      <c r="L27" s="369"/>
      <c r="M27" s="369"/>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9" t="s">
        <v>275</v>
      </c>
      <c r="K29" s="369"/>
      <c r="L29" s="369"/>
      <c r="M29" s="369"/>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9" t="s">
        <v>276</v>
      </c>
      <c r="K31" s="369"/>
      <c r="L31" s="369"/>
      <c r="M31" s="369"/>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9" t="s">
        <v>277</v>
      </c>
      <c r="K33" s="369"/>
      <c r="L33" s="369"/>
      <c r="M33" s="369"/>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75" t="s">
        <v>195</v>
      </c>
      <c r="K35" s="375"/>
      <c r="L35" s="375"/>
      <c r="M35" s="375"/>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9" t="s">
        <v>85</v>
      </c>
      <c r="K37" s="369"/>
      <c r="L37" s="369"/>
      <c r="M37" s="369"/>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9" t="s">
        <v>277</v>
      </c>
      <c r="K39" s="369"/>
      <c r="L39" s="369"/>
      <c r="M39" s="369"/>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81" t="s">
        <v>248</v>
      </c>
      <c r="C48" s="381"/>
      <c r="D48" s="381"/>
      <c r="E48" s="381"/>
      <c r="F48" s="381"/>
      <c r="G48" s="381"/>
      <c r="H48" s="381"/>
      <c r="I48" s="381"/>
      <c r="J48" s="21"/>
      <c r="K48" s="21"/>
      <c r="L48" s="21"/>
      <c r="N48" s="372" t="s">
        <v>278</v>
      </c>
      <c r="O48" s="372"/>
      <c r="P48" s="372"/>
      <c r="Q48" s="372"/>
      <c r="R48" s="372"/>
      <c r="S48" s="372"/>
      <c r="T48" s="372"/>
      <c r="U48" s="372"/>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64" t="s">
        <v>91</v>
      </c>
      <c r="B59" s="365"/>
      <c r="C59" s="365"/>
      <c r="D59" s="365"/>
      <c r="E59" s="365"/>
      <c r="F59" s="365"/>
      <c r="G59" s="365"/>
      <c r="H59" s="365"/>
      <c r="I59" s="365"/>
      <c r="J59" s="365"/>
      <c r="K59" s="365"/>
      <c r="L59" s="365"/>
      <c r="M59" s="365"/>
      <c r="N59" s="365"/>
      <c r="O59" s="365"/>
      <c r="P59" s="365"/>
      <c r="Q59" s="365"/>
      <c r="R59" s="365"/>
      <c r="S59" s="365"/>
      <c r="T59" s="365"/>
      <c r="U59" s="365"/>
      <c r="V59" s="365"/>
      <c r="W59" s="365"/>
      <c r="X59" s="365"/>
      <c r="Y59" s="365"/>
      <c r="Z59" s="20"/>
      <c r="AA59" s="20"/>
      <c r="AB59" s="20"/>
      <c r="AC59" s="20"/>
      <c r="AD59" s="20"/>
      <c r="AE59" s="20"/>
      <c r="AF59" s="20"/>
      <c r="AG59" s="20"/>
      <c r="AH59" s="20"/>
      <c r="AI59" s="20"/>
      <c r="AJ59" s="31"/>
    </row>
    <row r="60" spans="1:37" s="30" customFormat="1" ht="15" customHeight="1" x14ac:dyDescent="0.2">
      <c r="A60" s="363" t="s">
        <v>316</v>
      </c>
      <c r="B60" s="376"/>
      <c r="C60" s="376"/>
      <c r="D60" s="376"/>
      <c r="E60" s="376"/>
      <c r="F60" s="376"/>
      <c r="G60" s="376"/>
      <c r="H60" s="376"/>
      <c r="I60" s="376"/>
      <c r="J60" s="376"/>
      <c r="K60" s="376"/>
      <c r="L60" s="376"/>
      <c r="M60" s="376"/>
      <c r="N60" s="376"/>
      <c r="O60" s="376"/>
      <c r="P60" s="376"/>
      <c r="Q60" s="376"/>
      <c r="R60" s="376"/>
      <c r="S60" s="376"/>
      <c r="T60" s="376"/>
      <c r="U60" s="376"/>
      <c r="V60" s="376"/>
      <c r="W60" s="376"/>
      <c r="X60" s="376"/>
      <c r="Y60" s="376"/>
      <c r="Z60" s="33"/>
      <c r="AA60" s="33"/>
      <c r="AB60" s="33"/>
      <c r="AC60" s="33"/>
      <c r="AD60" s="33"/>
      <c r="AE60" s="33"/>
      <c r="AF60" s="33"/>
      <c r="AG60" s="33"/>
      <c r="AH60" s="33"/>
      <c r="AI60" s="33"/>
      <c r="AJ60" s="31"/>
    </row>
    <row r="61" spans="1:37" s="30" customFormat="1" ht="15" customHeight="1" x14ac:dyDescent="0.2">
      <c r="A61" s="363"/>
      <c r="B61" s="376"/>
      <c r="C61" s="376"/>
      <c r="D61" s="376"/>
      <c r="E61" s="376"/>
      <c r="F61" s="376"/>
      <c r="G61" s="376"/>
      <c r="H61" s="376"/>
      <c r="I61" s="376"/>
      <c r="J61" s="376"/>
      <c r="K61" s="376"/>
      <c r="L61" s="376"/>
      <c r="M61" s="376"/>
      <c r="N61" s="376"/>
      <c r="O61" s="376"/>
      <c r="P61" s="376"/>
      <c r="Q61" s="376"/>
      <c r="R61" s="376"/>
      <c r="S61" s="376"/>
      <c r="T61" s="376"/>
      <c r="U61" s="376"/>
      <c r="V61" s="376"/>
      <c r="W61" s="376"/>
      <c r="X61" s="376"/>
      <c r="Y61" s="376"/>
      <c r="Z61" s="33"/>
      <c r="AA61" s="33"/>
      <c r="AB61" s="33"/>
      <c r="AC61" s="33"/>
      <c r="AD61" s="33"/>
      <c r="AE61" s="33"/>
      <c r="AF61" s="33"/>
      <c r="AG61" s="33"/>
      <c r="AH61" s="33"/>
      <c r="AI61" s="33"/>
      <c r="AJ61" s="31"/>
    </row>
    <row r="62" spans="1:37" s="30" customFormat="1" ht="15" x14ac:dyDescent="0.2">
      <c r="A62" s="379"/>
      <c r="B62" s="380"/>
      <c r="C62" s="380"/>
      <c r="D62" s="380"/>
      <c r="E62" s="380"/>
      <c r="F62" s="380"/>
      <c r="G62" s="380"/>
      <c r="H62" s="380"/>
      <c r="I62" s="380"/>
      <c r="J62" s="380"/>
      <c r="K62" s="380"/>
      <c r="L62" s="380"/>
      <c r="M62" s="380"/>
      <c r="N62" s="380"/>
      <c r="O62" s="380"/>
      <c r="P62" s="380"/>
      <c r="Q62" s="380"/>
      <c r="R62" s="380"/>
      <c r="S62" s="380"/>
      <c r="T62" s="380"/>
      <c r="U62" s="380"/>
      <c r="V62" s="380"/>
      <c r="W62" s="380"/>
      <c r="X62" s="380"/>
      <c r="Y62" s="380"/>
      <c r="Z62" s="380"/>
      <c r="AA62" s="380"/>
      <c r="AB62" s="380"/>
      <c r="AC62" s="380"/>
      <c r="AD62" s="380"/>
      <c r="AE62" s="380"/>
      <c r="AF62" s="380"/>
      <c r="AG62" s="380"/>
      <c r="AH62" s="380"/>
      <c r="AI62" s="380"/>
      <c r="AJ62" s="31"/>
    </row>
    <row r="63" spans="1:37" s="30" customFormat="1" ht="15.75" customHeight="1" x14ac:dyDescent="0.25">
      <c r="A63" s="364" t="s">
        <v>90</v>
      </c>
      <c r="B63" s="365"/>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20"/>
      <c r="AA63" s="20"/>
      <c r="AB63" s="20"/>
      <c r="AC63" s="20"/>
      <c r="AD63" s="20"/>
      <c r="AE63" s="20"/>
      <c r="AF63" s="20"/>
      <c r="AG63" s="20"/>
      <c r="AH63" s="20"/>
      <c r="AI63" s="20"/>
      <c r="AJ63" s="31"/>
    </row>
    <row r="64" spans="1:37" s="30" customFormat="1" ht="40.15" customHeight="1" x14ac:dyDescent="0.2">
      <c r="A64" s="377" t="s">
        <v>317</v>
      </c>
      <c r="B64" s="378"/>
      <c r="C64" s="378"/>
      <c r="D64" s="378"/>
      <c r="E64" s="378"/>
      <c r="F64" s="378"/>
      <c r="G64" s="378"/>
      <c r="H64" s="378"/>
      <c r="I64" s="378"/>
      <c r="J64" s="378"/>
      <c r="K64" s="378"/>
      <c r="L64" s="378"/>
      <c r="M64" s="378"/>
      <c r="N64" s="378"/>
      <c r="O64" s="378"/>
      <c r="P64" s="378"/>
      <c r="Q64" s="378"/>
      <c r="R64" s="378"/>
      <c r="S64" s="378"/>
      <c r="T64" s="378"/>
      <c r="U64" s="378"/>
      <c r="V64" s="378"/>
      <c r="W64" s="378"/>
      <c r="X64" s="378"/>
      <c r="Y64" s="378"/>
      <c r="Z64" s="23"/>
      <c r="AA64" s="23"/>
      <c r="AB64" s="23"/>
      <c r="AC64" s="23"/>
      <c r="AD64" s="23"/>
      <c r="AE64" s="23"/>
      <c r="AF64" s="23"/>
      <c r="AG64" s="23"/>
      <c r="AH64" s="23"/>
      <c r="AI64" s="23"/>
      <c r="AJ64" s="31"/>
    </row>
    <row r="65" spans="1:36" s="30" customFormat="1" ht="40.15" customHeight="1" x14ac:dyDescent="0.2">
      <c r="A65" s="377"/>
      <c r="B65" s="378"/>
      <c r="C65" s="378"/>
      <c r="D65" s="378"/>
      <c r="E65" s="378"/>
      <c r="F65" s="378"/>
      <c r="G65" s="378"/>
      <c r="H65" s="378"/>
      <c r="I65" s="378"/>
      <c r="J65" s="378"/>
      <c r="K65" s="378"/>
      <c r="L65" s="378"/>
      <c r="M65" s="378"/>
      <c r="N65" s="378"/>
      <c r="O65" s="378"/>
      <c r="P65" s="378"/>
      <c r="Q65" s="378"/>
      <c r="R65" s="378"/>
      <c r="S65" s="378"/>
      <c r="T65" s="378"/>
      <c r="U65" s="378"/>
      <c r="V65" s="378"/>
      <c r="W65" s="378"/>
      <c r="X65" s="378"/>
      <c r="Y65" s="378"/>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64" t="s">
        <v>89</v>
      </c>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c r="Z67" s="20"/>
      <c r="AA67" s="20"/>
      <c r="AB67" s="20"/>
      <c r="AC67" s="20"/>
      <c r="AD67" s="20"/>
      <c r="AE67" s="20"/>
      <c r="AF67" s="20"/>
      <c r="AG67" s="20"/>
      <c r="AH67" s="20"/>
      <c r="AI67" s="20"/>
      <c r="AJ67" s="17"/>
    </row>
    <row r="68" spans="1:36" s="19" customFormat="1" ht="20.25" customHeight="1" x14ac:dyDescent="0.3">
      <c r="A68" s="364" t="s">
        <v>88</v>
      </c>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23"/>
      <c r="AA68" s="23"/>
      <c r="AB68" s="23"/>
      <c r="AC68" s="23"/>
      <c r="AD68" s="23"/>
      <c r="AE68" s="23"/>
      <c r="AF68" s="23"/>
      <c r="AG68" s="23"/>
      <c r="AH68" s="23"/>
      <c r="AI68" s="23"/>
      <c r="AJ68" s="17"/>
    </row>
    <row r="69" spans="1:36" s="19" customFormat="1" ht="45" customHeight="1" x14ac:dyDescent="0.3">
      <c r="A69" s="370" t="s">
        <v>282</v>
      </c>
      <c r="B69" s="371"/>
      <c r="C69" s="371"/>
      <c r="D69" s="371"/>
      <c r="E69" s="371"/>
      <c r="F69" s="371"/>
      <c r="G69" s="371"/>
      <c r="H69" s="371"/>
      <c r="I69" s="371"/>
      <c r="J69" s="371"/>
      <c r="K69" s="371"/>
      <c r="L69" s="371"/>
      <c r="M69" s="371"/>
      <c r="N69" s="371"/>
      <c r="O69" s="371"/>
      <c r="P69" s="371"/>
      <c r="Q69" s="371"/>
      <c r="R69" s="371"/>
      <c r="S69" s="371"/>
      <c r="T69" s="371"/>
      <c r="U69" s="371"/>
      <c r="V69" s="371"/>
      <c r="W69" s="371"/>
      <c r="X69" s="371"/>
      <c r="Y69" s="371"/>
      <c r="Z69" s="23"/>
      <c r="AA69" s="23"/>
      <c r="AB69" s="23"/>
      <c r="AC69" s="23"/>
      <c r="AD69" s="23"/>
      <c r="AE69" s="23"/>
      <c r="AF69" s="23"/>
      <c r="AG69" s="23"/>
      <c r="AH69" s="23"/>
      <c r="AI69" s="23"/>
      <c r="AJ69" s="17"/>
    </row>
    <row r="70" spans="1:36" s="19" customFormat="1" ht="45" customHeight="1" x14ac:dyDescent="0.3">
      <c r="A70" s="370"/>
      <c r="B70" s="371"/>
      <c r="C70" s="371"/>
      <c r="D70" s="371"/>
      <c r="E70" s="371"/>
      <c r="F70" s="371"/>
      <c r="G70" s="371"/>
      <c r="H70" s="371"/>
      <c r="I70" s="371"/>
      <c r="J70" s="371"/>
      <c r="K70" s="371"/>
      <c r="L70" s="371"/>
      <c r="M70" s="371"/>
      <c r="N70" s="371"/>
      <c r="O70" s="371"/>
      <c r="P70" s="371"/>
      <c r="Q70" s="371"/>
      <c r="R70" s="371"/>
      <c r="S70" s="371"/>
      <c r="T70" s="371"/>
      <c r="U70" s="371"/>
      <c r="V70" s="371"/>
      <c r="W70" s="371"/>
      <c r="X70" s="371"/>
      <c r="Y70" s="371"/>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64" t="s">
        <v>87</v>
      </c>
      <c r="B72" s="365"/>
      <c r="C72" s="365"/>
      <c r="D72" s="365"/>
      <c r="E72" s="365"/>
      <c r="F72" s="365"/>
      <c r="G72" s="365"/>
      <c r="H72" s="365"/>
      <c r="I72" s="365"/>
      <c r="J72" s="365"/>
      <c r="K72" s="365"/>
      <c r="L72" s="365"/>
      <c r="M72" s="365"/>
      <c r="N72" s="365"/>
      <c r="O72" s="365"/>
      <c r="P72" s="365"/>
      <c r="Q72" s="365"/>
      <c r="R72" s="365"/>
      <c r="S72" s="365"/>
      <c r="T72" s="365"/>
      <c r="U72" s="365"/>
      <c r="V72" s="365"/>
      <c r="W72" s="365"/>
      <c r="X72" s="365"/>
      <c r="Y72" s="365"/>
      <c r="Z72" s="23"/>
      <c r="AA72" s="23"/>
      <c r="AB72" s="23"/>
      <c r="AC72" s="23"/>
      <c r="AD72" s="23"/>
      <c r="AE72" s="23"/>
      <c r="AF72" s="23"/>
      <c r="AG72" s="23"/>
      <c r="AH72" s="23"/>
      <c r="AI72" s="23"/>
      <c r="AJ72" s="17"/>
    </row>
    <row r="73" spans="1:36" s="19" customFormat="1" ht="40.15" customHeight="1" x14ac:dyDescent="0.3">
      <c r="A73" s="366" t="s">
        <v>279</v>
      </c>
      <c r="B73" s="367"/>
      <c r="C73" s="367"/>
      <c r="D73" s="367"/>
      <c r="E73" s="367"/>
      <c r="F73" s="367"/>
      <c r="G73" s="367"/>
      <c r="H73" s="367"/>
      <c r="I73" s="367"/>
      <c r="J73" s="367"/>
      <c r="K73" s="367"/>
      <c r="L73" s="367"/>
      <c r="M73" s="367"/>
      <c r="N73" s="367"/>
      <c r="O73" s="367"/>
      <c r="P73" s="367"/>
      <c r="Q73" s="367"/>
      <c r="R73" s="367"/>
      <c r="S73" s="367"/>
      <c r="T73" s="367"/>
      <c r="U73" s="367"/>
      <c r="V73" s="367"/>
      <c r="W73" s="367"/>
      <c r="X73" s="367"/>
      <c r="Y73" s="367"/>
      <c r="Z73" s="23"/>
      <c r="AA73" s="23"/>
      <c r="AB73" s="23"/>
      <c r="AC73" s="23"/>
      <c r="AD73" s="23"/>
      <c r="AE73" s="23"/>
      <c r="AF73" s="23"/>
      <c r="AG73" s="23"/>
      <c r="AH73" s="23"/>
      <c r="AI73" s="23"/>
      <c r="AJ73" s="17"/>
    </row>
    <row r="74" spans="1:36" s="19" customFormat="1" ht="40.15" customHeight="1" x14ac:dyDescent="0.3">
      <c r="A74" s="366"/>
      <c r="B74" s="367"/>
      <c r="C74" s="367"/>
      <c r="D74" s="367"/>
      <c r="E74" s="367"/>
      <c r="F74" s="367"/>
      <c r="G74" s="367"/>
      <c r="H74" s="367"/>
      <c r="I74" s="367"/>
      <c r="J74" s="367"/>
      <c r="K74" s="367"/>
      <c r="L74" s="367"/>
      <c r="M74" s="367"/>
      <c r="N74" s="367"/>
      <c r="O74" s="367"/>
      <c r="P74" s="367"/>
      <c r="Q74" s="367"/>
      <c r="R74" s="367"/>
      <c r="S74" s="367"/>
      <c r="T74" s="367"/>
      <c r="U74" s="367"/>
      <c r="V74" s="367"/>
      <c r="W74" s="367"/>
      <c r="X74" s="367"/>
      <c r="Y74" s="367"/>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64" t="s">
        <v>86</v>
      </c>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18"/>
      <c r="AA76" s="18"/>
      <c r="AB76" s="18"/>
      <c r="AC76" s="18"/>
      <c r="AD76" s="18"/>
      <c r="AE76" s="18"/>
      <c r="AF76" s="18"/>
      <c r="AG76" s="18"/>
      <c r="AH76" s="18"/>
      <c r="AI76" s="18"/>
      <c r="AJ76" s="17"/>
    </row>
    <row r="77" spans="1:36" s="14" customFormat="1" ht="15.75" customHeight="1" x14ac:dyDescent="0.2">
      <c r="A77" s="373" t="s">
        <v>249</v>
      </c>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16"/>
      <c r="AA77" s="16"/>
      <c r="AB77" s="16"/>
      <c r="AC77" s="16"/>
      <c r="AD77" s="16"/>
      <c r="AE77" s="16"/>
      <c r="AF77" s="16"/>
      <c r="AG77" s="16"/>
      <c r="AH77" s="16"/>
      <c r="AI77" s="16"/>
      <c r="AJ77" s="16"/>
    </row>
    <row r="78" spans="1:36" s="14" customFormat="1" ht="25.15" customHeight="1" x14ac:dyDescent="0.25">
      <c r="A78" s="15"/>
      <c r="B78" s="361" t="s">
        <v>318</v>
      </c>
      <c r="C78" s="362"/>
      <c r="D78" s="362"/>
      <c r="E78" s="362"/>
      <c r="F78" s="362"/>
      <c r="G78" s="362"/>
      <c r="H78" s="362"/>
      <c r="I78" s="362"/>
      <c r="J78" s="362"/>
      <c r="K78" s="362"/>
      <c r="L78" s="362"/>
      <c r="M78" s="362"/>
      <c r="N78" s="362"/>
      <c r="O78" s="362"/>
      <c r="P78" s="362"/>
      <c r="Q78" s="362"/>
      <c r="R78" s="362"/>
      <c r="S78" s="362"/>
      <c r="T78" s="362"/>
      <c r="U78" s="362"/>
      <c r="V78" s="362"/>
      <c r="W78" s="362"/>
      <c r="X78" s="362"/>
      <c r="Y78" s="362"/>
      <c r="Z78" s="16"/>
      <c r="AA78" s="16"/>
      <c r="AB78" s="16"/>
      <c r="AC78" s="16"/>
      <c r="AD78" s="16"/>
      <c r="AE78" s="16"/>
      <c r="AF78" s="16"/>
      <c r="AG78" s="16"/>
      <c r="AH78" s="16"/>
      <c r="AI78" s="16"/>
      <c r="AJ78" s="16"/>
    </row>
    <row r="79" spans="1:36" s="14" customFormat="1" ht="25.15" customHeight="1" x14ac:dyDescent="0.25">
      <c r="A79" s="15"/>
      <c r="B79" s="363"/>
      <c r="C79" s="362"/>
      <c r="D79" s="362"/>
      <c r="E79" s="362"/>
      <c r="F79" s="362"/>
      <c r="G79" s="362"/>
      <c r="H79" s="362"/>
      <c r="I79" s="362"/>
      <c r="J79" s="362"/>
      <c r="K79" s="362"/>
      <c r="L79" s="362"/>
      <c r="M79" s="362"/>
      <c r="N79" s="362"/>
      <c r="O79" s="362"/>
      <c r="P79" s="362"/>
      <c r="Q79" s="362"/>
      <c r="R79" s="362"/>
      <c r="S79" s="362"/>
      <c r="T79" s="362"/>
      <c r="U79" s="362"/>
      <c r="V79" s="362"/>
      <c r="W79" s="362"/>
      <c r="X79" s="362"/>
      <c r="Y79" s="362"/>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J27:M27"/>
    <mergeCell ref="J35:M35"/>
    <mergeCell ref="J37:M37"/>
    <mergeCell ref="A60:Y61"/>
    <mergeCell ref="A64:Y65"/>
    <mergeCell ref="J39:M39"/>
    <mergeCell ref="A62:AI62"/>
    <mergeCell ref="B48:I48"/>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s>
  <dataValidations disablePrompts="1"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CP1324"/>
  <sheetViews>
    <sheetView zoomScale="90" zoomScaleNormal="90" zoomScaleSheetLayoutView="80" zoomScalePageLayoutView="40" workbookViewId="0">
      <selection activeCell="G17" sqref="G17"/>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INGINERIA SISTEMELOR</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SECURITATEA INFORMAȚIILOR ȘI A SISTEMLOR CIBERNETICE</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INGINERIA SISTEMELOR, CALCULATOARE ȘI TEHNOLOGIA INFORMAȚIEI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INGINERIA SISTEMELOR</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20</v>
      </c>
      <c r="E17" s="96" t="s">
        <v>131</v>
      </c>
      <c r="F17" s="360" t="s">
        <v>283</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87" t="s">
        <v>27</v>
      </c>
      <c r="B19" s="487"/>
      <c r="C19" s="487"/>
      <c r="D19" s="487"/>
      <c r="E19" s="487"/>
      <c r="F19" s="487"/>
      <c r="G19" s="487"/>
      <c r="H19" s="487"/>
      <c r="I19" s="487"/>
      <c r="J19" s="487"/>
      <c r="K19" s="487"/>
      <c r="L19" s="487"/>
      <c r="M19" s="487"/>
      <c r="N19" s="487"/>
      <c r="O19" s="487"/>
      <c r="P19" s="487"/>
      <c r="Q19" s="487"/>
      <c r="R19" s="487"/>
      <c r="S19" s="487"/>
      <c r="T19" s="487"/>
      <c r="U19" s="487"/>
      <c r="V19" s="487"/>
      <c r="W19" s="487"/>
      <c r="X19" s="487"/>
      <c r="Y19" s="487"/>
    </row>
    <row r="20" spans="1:25" s="98" customFormat="1" ht="18" customHeight="1" x14ac:dyDescent="0.25">
      <c r="A20" s="399" t="str">
        <f>IF(ISBLANK($G$17),"Pentru seria de studenti 20XX-20YY",CONCATENATE("Pentru seria de studenti 20",$G$17,-20,$G$17+2))</f>
        <v>Pentru seria de studenti 2023-2025</v>
      </c>
      <c r="B20" s="399"/>
      <c r="C20" s="399"/>
      <c r="D20" s="399"/>
      <c r="E20" s="399"/>
      <c r="F20" s="399"/>
      <c r="G20" s="399"/>
      <c r="H20" s="399"/>
      <c r="I20" s="399"/>
      <c r="J20" s="399"/>
      <c r="K20" s="399"/>
      <c r="L20" s="399"/>
      <c r="M20" s="399"/>
      <c r="N20" s="399"/>
      <c r="O20" s="399"/>
      <c r="P20" s="399"/>
      <c r="Q20" s="399"/>
      <c r="R20" s="399"/>
      <c r="S20" s="399"/>
      <c r="T20" s="399"/>
      <c r="U20" s="399"/>
      <c r="V20" s="399"/>
      <c r="W20" s="399"/>
      <c r="X20" s="399"/>
      <c r="Y20" s="399"/>
    </row>
    <row r="21" spans="1:25" s="70" customFormat="1" ht="21" customHeight="1" thickBot="1" x14ac:dyDescent="0.25">
      <c r="A21" s="437" t="str">
        <f>IF(ISBLANK($G$17),"ANUL I",CONCATENATE("ANUL I (20",$G$17,-20,$G$17+1,")"))</f>
        <v>ANUL I (2023-2024)</v>
      </c>
      <c r="B21" s="437"/>
      <c r="C21" s="437"/>
      <c r="D21" s="437"/>
      <c r="E21" s="437"/>
      <c r="F21" s="437"/>
      <c r="G21" s="437"/>
      <c r="H21" s="437"/>
      <c r="I21" s="437"/>
      <c r="J21" s="437"/>
      <c r="K21" s="437"/>
      <c r="L21" s="437"/>
      <c r="M21" s="437"/>
      <c r="N21" s="437"/>
      <c r="O21" s="437"/>
      <c r="P21" s="437"/>
      <c r="Q21" s="437"/>
      <c r="R21" s="437"/>
      <c r="S21" s="437"/>
      <c r="T21" s="437"/>
      <c r="U21" s="437"/>
      <c r="V21" s="437"/>
      <c r="W21" s="437"/>
      <c r="X21" s="437"/>
      <c r="Y21" s="437"/>
    </row>
    <row r="22" spans="1:25" s="70" customFormat="1" ht="21" customHeight="1" thickTop="1" thickBot="1" x14ac:dyDescent="0.25">
      <c r="A22" s="99"/>
      <c r="B22" s="401" t="s">
        <v>0</v>
      </c>
      <c r="C22" s="402"/>
      <c r="D22" s="402"/>
      <c r="E22" s="402"/>
      <c r="F22" s="402"/>
      <c r="G22" s="402"/>
      <c r="H22" s="402"/>
      <c r="I22" s="402"/>
      <c r="J22" s="402"/>
      <c r="K22" s="402"/>
      <c r="L22" s="402"/>
      <c r="M22" s="403"/>
      <c r="N22" s="402" t="s">
        <v>1</v>
      </c>
      <c r="O22" s="402"/>
      <c r="P22" s="402"/>
      <c r="Q22" s="402"/>
      <c r="R22" s="402"/>
      <c r="S22" s="402"/>
      <c r="T22" s="402"/>
      <c r="U22" s="402"/>
      <c r="V22" s="402"/>
      <c r="W22" s="402"/>
      <c r="X22" s="402"/>
      <c r="Y22" s="403"/>
    </row>
    <row r="23" spans="1:25" s="100" customFormat="1" ht="21" customHeight="1" thickTop="1" x14ac:dyDescent="0.2">
      <c r="A23" s="383" t="s">
        <v>28</v>
      </c>
      <c r="B23" s="438" t="s">
        <v>284</v>
      </c>
      <c r="C23" s="439"/>
      <c r="D23" s="439"/>
      <c r="E23" s="439"/>
      <c r="F23" s="439"/>
      <c r="G23" s="439"/>
      <c r="H23" s="439"/>
      <c r="I23" s="439"/>
      <c r="J23" s="439"/>
      <c r="K23" s="439"/>
      <c r="L23" s="439"/>
      <c r="M23" s="440"/>
      <c r="N23" s="439" t="s">
        <v>285</v>
      </c>
      <c r="O23" s="439"/>
      <c r="P23" s="439"/>
      <c r="Q23" s="439"/>
      <c r="R23" s="439"/>
      <c r="S23" s="439"/>
      <c r="T23" s="439"/>
      <c r="U23" s="439"/>
      <c r="V23" s="439"/>
      <c r="W23" s="439"/>
      <c r="X23" s="439"/>
      <c r="Y23" s="440"/>
    </row>
    <row r="24" spans="1:25" s="100" customFormat="1" ht="21" customHeight="1" x14ac:dyDescent="0.2">
      <c r="A24" s="383"/>
      <c r="B24" s="428"/>
      <c r="C24" s="429"/>
      <c r="D24" s="429"/>
      <c r="E24" s="429"/>
      <c r="F24" s="429"/>
      <c r="G24" s="429"/>
      <c r="H24" s="429"/>
      <c r="I24" s="429"/>
      <c r="J24" s="429"/>
      <c r="K24" s="429"/>
      <c r="L24" s="429"/>
      <c r="M24" s="430"/>
      <c r="N24" s="429"/>
      <c r="O24" s="429"/>
      <c r="P24" s="429"/>
      <c r="Q24" s="429"/>
      <c r="R24" s="429"/>
      <c r="S24" s="429"/>
      <c r="T24" s="429"/>
      <c r="U24" s="429"/>
      <c r="V24" s="429"/>
      <c r="W24" s="429"/>
      <c r="X24" s="429"/>
      <c r="Y24" s="430"/>
    </row>
    <row r="25" spans="1:25" s="100" customFormat="1" ht="21" customHeight="1" thickBot="1" x14ac:dyDescent="0.25">
      <c r="A25" s="384"/>
      <c r="B25" s="391" t="str">
        <f>IF(ISBLANK(B23),"",CONCATENATE($E$17,$F$17,".",$G$17,".","0",RIGHT($B$22,1),".",RIGHT(L25,1),$A23,IF(COUNTIFS(B23,"*op?ional*")=1,"-ij","")))</f>
        <v>M025.23.01.V1</v>
      </c>
      <c r="C25" s="392"/>
      <c r="D25" s="393"/>
      <c r="E25" s="300">
        <v>6</v>
      </c>
      <c r="F25" s="301" t="s">
        <v>4</v>
      </c>
      <c r="G25" s="302">
        <v>28</v>
      </c>
      <c r="H25" s="303">
        <v>0</v>
      </c>
      <c r="I25" s="303">
        <v>14</v>
      </c>
      <c r="J25" s="303">
        <v>14</v>
      </c>
      <c r="K25" s="304"/>
      <c r="L25" s="305" t="s">
        <v>44</v>
      </c>
      <c r="M25" s="306">
        <f>25*E25-SUM(G25:K25)</f>
        <v>94</v>
      </c>
      <c r="N25" s="391" t="str">
        <f>IF(ISBLANK(N23),"",CONCATENATE($E$17,$F$17,".",$G$17,".","0",RIGHT($N$22,1),".",RIGHT(X25,1),$A23,IF(COUNTIFS(N23,"*op?ional*")=1,"-ij","")))</f>
        <v>M025.23.02.V1</v>
      </c>
      <c r="O25" s="392"/>
      <c r="P25" s="393"/>
      <c r="Q25" s="301">
        <v>5</v>
      </c>
      <c r="R25" s="301" t="s">
        <v>4</v>
      </c>
      <c r="S25" s="302">
        <v>28</v>
      </c>
      <c r="T25" s="303">
        <v>0</v>
      </c>
      <c r="U25" s="303">
        <v>14</v>
      </c>
      <c r="V25" s="303">
        <v>7</v>
      </c>
      <c r="W25" s="304"/>
      <c r="X25" s="305" t="s">
        <v>44</v>
      </c>
      <c r="Y25" s="306">
        <f>25*Q25-SUM(S25:W25)</f>
        <v>76</v>
      </c>
    </row>
    <row r="26" spans="1:25" s="100" customFormat="1" ht="21" customHeight="1" thickTop="1" x14ac:dyDescent="0.2">
      <c r="A26" s="382" t="s">
        <v>29</v>
      </c>
      <c r="B26" s="438" t="s">
        <v>286</v>
      </c>
      <c r="C26" s="439"/>
      <c r="D26" s="439"/>
      <c r="E26" s="439"/>
      <c r="F26" s="439"/>
      <c r="G26" s="439"/>
      <c r="H26" s="439"/>
      <c r="I26" s="439"/>
      <c r="J26" s="439"/>
      <c r="K26" s="439"/>
      <c r="L26" s="439"/>
      <c r="M26" s="440"/>
      <c r="N26" s="439" t="s">
        <v>287</v>
      </c>
      <c r="O26" s="439"/>
      <c r="P26" s="439"/>
      <c r="Q26" s="439"/>
      <c r="R26" s="439"/>
      <c r="S26" s="439"/>
      <c r="T26" s="439"/>
      <c r="U26" s="439"/>
      <c r="V26" s="439"/>
      <c r="W26" s="439"/>
      <c r="X26" s="439"/>
      <c r="Y26" s="440"/>
    </row>
    <row r="27" spans="1:25" s="100" customFormat="1" ht="21" customHeight="1" x14ac:dyDescent="0.2">
      <c r="A27" s="383"/>
      <c r="B27" s="428"/>
      <c r="C27" s="429"/>
      <c r="D27" s="429"/>
      <c r="E27" s="429"/>
      <c r="F27" s="429"/>
      <c r="G27" s="429"/>
      <c r="H27" s="429"/>
      <c r="I27" s="429"/>
      <c r="J27" s="429"/>
      <c r="K27" s="429"/>
      <c r="L27" s="429"/>
      <c r="M27" s="430"/>
      <c r="N27" s="429"/>
      <c r="O27" s="429"/>
      <c r="P27" s="429"/>
      <c r="Q27" s="429"/>
      <c r="R27" s="429"/>
      <c r="S27" s="429"/>
      <c r="T27" s="429"/>
      <c r="U27" s="429"/>
      <c r="V27" s="429"/>
      <c r="W27" s="429"/>
      <c r="X27" s="429"/>
      <c r="Y27" s="430"/>
    </row>
    <row r="28" spans="1:25" s="100" customFormat="1" ht="21" customHeight="1" thickBot="1" x14ac:dyDescent="0.25">
      <c r="A28" s="384"/>
      <c r="B28" s="391" t="str">
        <f>IF(ISBLANK(B26),"",CONCATENATE($E$17,$F$17,".",$G$17,".","0",RIGHT($B$22,1),".",RIGHT(L28,1),$A26,IF(COUNTIFS(B26,"*op?ional*")=1,"-ij","")))</f>
        <v>M025.23.01.A2</v>
      </c>
      <c r="C28" s="392"/>
      <c r="D28" s="393"/>
      <c r="E28" s="301">
        <v>6</v>
      </c>
      <c r="F28" s="301" t="s">
        <v>4</v>
      </c>
      <c r="G28" s="302">
        <v>28</v>
      </c>
      <c r="H28" s="303">
        <v>0</v>
      </c>
      <c r="I28" s="303">
        <v>14</v>
      </c>
      <c r="J28" s="303">
        <v>14</v>
      </c>
      <c r="K28" s="304"/>
      <c r="L28" s="305" t="s">
        <v>295</v>
      </c>
      <c r="M28" s="306">
        <f>25*E28-SUM(G28:K28)</f>
        <v>94</v>
      </c>
      <c r="N28" s="391" t="str">
        <f>IF(ISBLANK(N26),"",CONCATENATE($E$17,$F$17,".",$G$17,".","0",RIGHT($N$22,1),".",RIGHT(X28,1),$A26,IF(COUNTIFS(N26,"*op?ional*")=1,"-ij","")))</f>
        <v>M025.23.02.A2</v>
      </c>
      <c r="O28" s="392"/>
      <c r="P28" s="393"/>
      <c r="Q28" s="301">
        <v>5</v>
      </c>
      <c r="R28" s="301" t="s">
        <v>4</v>
      </c>
      <c r="S28" s="302">
        <v>28</v>
      </c>
      <c r="T28" s="303">
        <v>0</v>
      </c>
      <c r="U28" s="303">
        <v>14</v>
      </c>
      <c r="V28" s="303">
        <v>7</v>
      </c>
      <c r="W28" s="304"/>
      <c r="X28" s="305" t="s">
        <v>295</v>
      </c>
      <c r="Y28" s="306">
        <f>25*Q28-SUM(S28:W28)</f>
        <v>76</v>
      </c>
    </row>
    <row r="29" spans="1:25" s="100" customFormat="1" ht="27" customHeight="1" thickTop="1" x14ac:dyDescent="0.2">
      <c r="A29" s="382" t="s">
        <v>30</v>
      </c>
      <c r="B29" s="438" t="s">
        <v>288</v>
      </c>
      <c r="C29" s="439"/>
      <c r="D29" s="439"/>
      <c r="E29" s="439"/>
      <c r="F29" s="439"/>
      <c r="G29" s="439"/>
      <c r="H29" s="439"/>
      <c r="I29" s="439"/>
      <c r="J29" s="439"/>
      <c r="K29" s="439"/>
      <c r="L29" s="439"/>
      <c r="M29" s="440"/>
      <c r="N29" s="439" t="s">
        <v>289</v>
      </c>
      <c r="O29" s="439"/>
      <c r="P29" s="439"/>
      <c r="Q29" s="439"/>
      <c r="R29" s="439"/>
      <c r="S29" s="439"/>
      <c r="T29" s="439"/>
      <c r="U29" s="439"/>
      <c r="V29" s="439"/>
      <c r="W29" s="439"/>
      <c r="X29" s="439"/>
      <c r="Y29" s="440"/>
    </row>
    <row r="30" spans="1:25" s="100" customFormat="1" ht="27" customHeight="1" x14ac:dyDescent="0.2">
      <c r="A30" s="383"/>
      <c r="B30" s="428"/>
      <c r="C30" s="429"/>
      <c r="D30" s="429"/>
      <c r="E30" s="429"/>
      <c r="F30" s="429"/>
      <c r="G30" s="429"/>
      <c r="H30" s="429"/>
      <c r="I30" s="429"/>
      <c r="J30" s="429"/>
      <c r="K30" s="429"/>
      <c r="L30" s="429"/>
      <c r="M30" s="430"/>
      <c r="N30" s="429"/>
      <c r="O30" s="429"/>
      <c r="P30" s="429"/>
      <c r="Q30" s="429"/>
      <c r="R30" s="429"/>
      <c r="S30" s="429"/>
      <c r="T30" s="429"/>
      <c r="U30" s="429"/>
      <c r="V30" s="429"/>
      <c r="W30" s="429"/>
      <c r="X30" s="429"/>
      <c r="Y30" s="430"/>
    </row>
    <row r="31" spans="1:25" s="100" customFormat="1" ht="21" customHeight="1" thickBot="1" x14ac:dyDescent="0.25">
      <c r="A31" s="384"/>
      <c r="B31" s="391" t="str">
        <f>IF(ISBLANK(B29),"",CONCATENATE($E$17,$F$17,".",$G$17,".","0",RIGHT($B$22,1),".",RIGHT(L31,1),$A29,IF(COUNTIFS(B29,"*op?ional*")=1,"-ij","")))</f>
        <v>M025.23.01.V3</v>
      </c>
      <c r="C31" s="392"/>
      <c r="D31" s="393"/>
      <c r="E31" s="301">
        <v>5</v>
      </c>
      <c r="F31" s="301" t="s">
        <v>4</v>
      </c>
      <c r="G31" s="302">
        <v>28</v>
      </c>
      <c r="H31" s="303">
        <v>0</v>
      </c>
      <c r="I31" s="303">
        <v>14</v>
      </c>
      <c r="J31" s="303">
        <v>7</v>
      </c>
      <c r="K31" s="304"/>
      <c r="L31" s="305" t="s">
        <v>44</v>
      </c>
      <c r="M31" s="306">
        <f>25*E31-SUM(G31:K31)</f>
        <v>76</v>
      </c>
      <c r="N31" s="391" t="str">
        <f>IF(ISBLANK(N29),"",CONCATENATE($E$17,$F$17,".",$G$17,".","0",RIGHT($N$22,1),".",RIGHT(X31,1),$A29,IF(COUNTIFS(N29,"*op?ional*")=1,"-ij","")))</f>
        <v>M025.23.02.S3-ij</v>
      </c>
      <c r="O31" s="392"/>
      <c r="P31" s="393"/>
      <c r="Q31" s="301">
        <v>5</v>
      </c>
      <c r="R31" s="301" t="s">
        <v>4</v>
      </c>
      <c r="S31" s="302">
        <v>28</v>
      </c>
      <c r="T31" s="303">
        <v>0</v>
      </c>
      <c r="U31" s="303">
        <v>7</v>
      </c>
      <c r="V31" s="303">
        <v>14</v>
      </c>
      <c r="W31" s="304"/>
      <c r="X31" s="305" t="s">
        <v>152</v>
      </c>
      <c r="Y31" s="306">
        <f>25*Q31-SUM(S31:W31)</f>
        <v>76</v>
      </c>
    </row>
    <row r="32" spans="1:25" s="100" customFormat="1" ht="27" customHeight="1" thickTop="1" x14ac:dyDescent="0.2">
      <c r="A32" s="382" t="s">
        <v>31</v>
      </c>
      <c r="B32" s="438" t="s">
        <v>290</v>
      </c>
      <c r="C32" s="439"/>
      <c r="D32" s="439"/>
      <c r="E32" s="439"/>
      <c r="F32" s="439"/>
      <c r="G32" s="439"/>
      <c r="H32" s="439"/>
      <c r="I32" s="439"/>
      <c r="J32" s="439"/>
      <c r="K32" s="439"/>
      <c r="L32" s="439"/>
      <c r="M32" s="440"/>
      <c r="N32" s="439" t="s">
        <v>291</v>
      </c>
      <c r="O32" s="439"/>
      <c r="P32" s="439"/>
      <c r="Q32" s="439"/>
      <c r="R32" s="439"/>
      <c r="S32" s="439"/>
      <c r="T32" s="439"/>
      <c r="U32" s="439"/>
      <c r="V32" s="439"/>
      <c r="W32" s="439"/>
      <c r="X32" s="439"/>
      <c r="Y32" s="440"/>
    </row>
    <row r="33" spans="1:25" s="100" customFormat="1" ht="27" customHeight="1" x14ac:dyDescent="0.2">
      <c r="A33" s="383"/>
      <c r="B33" s="428"/>
      <c r="C33" s="429"/>
      <c r="D33" s="429"/>
      <c r="E33" s="429"/>
      <c r="F33" s="429"/>
      <c r="G33" s="429"/>
      <c r="H33" s="429"/>
      <c r="I33" s="429"/>
      <c r="J33" s="429"/>
      <c r="K33" s="429"/>
      <c r="L33" s="429"/>
      <c r="M33" s="430"/>
      <c r="N33" s="429"/>
      <c r="O33" s="429"/>
      <c r="P33" s="429"/>
      <c r="Q33" s="429"/>
      <c r="R33" s="429"/>
      <c r="S33" s="429"/>
      <c r="T33" s="429"/>
      <c r="U33" s="429"/>
      <c r="V33" s="429"/>
      <c r="W33" s="429"/>
      <c r="X33" s="429"/>
      <c r="Y33" s="430"/>
    </row>
    <row r="34" spans="1:25" s="100" customFormat="1" ht="21" customHeight="1" thickBot="1" x14ac:dyDescent="0.25">
      <c r="A34" s="384"/>
      <c r="B34" s="391" t="str">
        <f>IF(ISBLANK(B32),"",CONCATENATE($E$17,$F$17,".",$G$17,".","0",RIGHT($B$22,1),".",RIGHT(L34,1),$A32,IF(COUNTIFS(B32,"*op?ional*")=1,"-ij","")))</f>
        <v>M025.23.01.V4</v>
      </c>
      <c r="C34" s="392"/>
      <c r="D34" s="393"/>
      <c r="E34" s="301">
        <v>6</v>
      </c>
      <c r="F34" s="301" t="s">
        <v>4</v>
      </c>
      <c r="G34" s="302">
        <v>28</v>
      </c>
      <c r="H34" s="303">
        <v>0</v>
      </c>
      <c r="I34" s="303">
        <v>14</v>
      </c>
      <c r="J34" s="303">
        <v>14</v>
      </c>
      <c r="K34" s="304"/>
      <c r="L34" s="305" t="s">
        <v>44</v>
      </c>
      <c r="M34" s="306">
        <f>25*E34-SUM(G34:K34)</f>
        <v>94</v>
      </c>
      <c r="N34" s="391" t="str">
        <f>IF(ISBLANK(N32),"",CONCATENATE($E$17,$F$17,".",$G$17,".","0",RIGHT($N$22,1),".",RIGHT(X34,1),$A32,IF(COUNTIFS(N32,"*op?ional*")=1,"-ij","")))</f>
        <v>M025.23.02.A4-ij</v>
      </c>
      <c r="O34" s="392"/>
      <c r="P34" s="393"/>
      <c r="Q34" s="301">
        <v>5</v>
      </c>
      <c r="R34" s="301" t="s">
        <v>4</v>
      </c>
      <c r="S34" s="302">
        <v>28</v>
      </c>
      <c r="T34" s="303">
        <v>0</v>
      </c>
      <c r="U34" s="303">
        <v>0</v>
      </c>
      <c r="V34" s="303">
        <v>21</v>
      </c>
      <c r="W34" s="304"/>
      <c r="X34" s="305" t="s">
        <v>295</v>
      </c>
      <c r="Y34" s="306">
        <f>25*Q34-SUM(S34:W34)</f>
        <v>76</v>
      </c>
    </row>
    <row r="35" spans="1:25" s="100" customFormat="1" ht="21" customHeight="1" thickTop="1" x14ac:dyDescent="0.2">
      <c r="A35" s="382" t="s">
        <v>32</v>
      </c>
      <c r="B35" s="438" t="s">
        <v>292</v>
      </c>
      <c r="C35" s="439"/>
      <c r="D35" s="439"/>
      <c r="E35" s="439"/>
      <c r="F35" s="439"/>
      <c r="G35" s="439"/>
      <c r="H35" s="439"/>
      <c r="I35" s="439"/>
      <c r="J35" s="439"/>
      <c r="K35" s="439"/>
      <c r="L35" s="439"/>
      <c r="M35" s="440"/>
      <c r="N35" s="439" t="s">
        <v>293</v>
      </c>
      <c r="O35" s="439"/>
      <c r="P35" s="439"/>
      <c r="Q35" s="439"/>
      <c r="R35" s="439"/>
      <c r="S35" s="439"/>
      <c r="T35" s="439"/>
      <c r="U35" s="439"/>
      <c r="V35" s="439"/>
      <c r="W35" s="439"/>
      <c r="X35" s="439"/>
      <c r="Y35" s="440"/>
    </row>
    <row r="36" spans="1:25" s="100" customFormat="1" ht="21" customHeight="1" x14ac:dyDescent="0.2">
      <c r="A36" s="383"/>
      <c r="B36" s="428"/>
      <c r="C36" s="429"/>
      <c r="D36" s="429"/>
      <c r="E36" s="429"/>
      <c r="F36" s="429"/>
      <c r="G36" s="429"/>
      <c r="H36" s="429"/>
      <c r="I36" s="429"/>
      <c r="J36" s="429"/>
      <c r="K36" s="429"/>
      <c r="L36" s="429"/>
      <c r="M36" s="430"/>
      <c r="N36" s="429"/>
      <c r="O36" s="429"/>
      <c r="P36" s="429"/>
      <c r="Q36" s="429"/>
      <c r="R36" s="429"/>
      <c r="S36" s="429"/>
      <c r="T36" s="429"/>
      <c r="U36" s="429"/>
      <c r="V36" s="429"/>
      <c r="W36" s="429"/>
      <c r="X36" s="429"/>
      <c r="Y36" s="430"/>
    </row>
    <row r="37" spans="1:25" s="100" customFormat="1" ht="21" customHeight="1" thickBot="1" x14ac:dyDescent="0.25">
      <c r="A37" s="384"/>
      <c r="B37" s="391" t="str">
        <f>IF(ISBLANK(B35),"",CONCATENATE($E$17,$F$17,".",$G$17,".","0",RIGHT($B$22,1),".",RIGHT(L37,1),$A35,IF(COUNTIFS(B35,"*op?ional*")=1,"-ij","")))</f>
        <v>M025.23.01.V5</v>
      </c>
      <c r="C37" s="392"/>
      <c r="D37" s="393"/>
      <c r="E37" s="305">
        <v>7</v>
      </c>
      <c r="F37" s="305" t="s">
        <v>296</v>
      </c>
      <c r="G37" s="307">
        <v>0</v>
      </c>
      <c r="H37" s="308">
        <v>0</v>
      </c>
      <c r="I37" s="308">
        <v>0</v>
      </c>
      <c r="J37" s="308">
        <v>0</v>
      </c>
      <c r="K37" s="309">
        <v>147</v>
      </c>
      <c r="L37" s="305" t="s">
        <v>44</v>
      </c>
      <c r="M37" s="306">
        <f>25*E37-SUM(G37:K37)</f>
        <v>28</v>
      </c>
      <c r="N37" s="391" t="str">
        <f>IF(ISBLANK(N35),"",CONCATENATE($E$17,$F$17,".",$G$17,".","0",RIGHT($N$22,1),".",RIGHT(X37,1),$A35,IF(COUNTIFS(N35,"*op?ional*")=1,"-ij","")))</f>
        <v>M025.23.02.C5</v>
      </c>
      <c r="O37" s="392"/>
      <c r="P37" s="393"/>
      <c r="Q37" s="301">
        <v>2</v>
      </c>
      <c r="R37" s="301" t="s">
        <v>296</v>
      </c>
      <c r="S37" s="302">
        <v>14</v>
      </c>
      <c r="T37" s="303">
        <v>7</v>
      </c>
      <c r="U37" s="303">
        <v>0</v>
      </c>
      <c r="V37" s="303">
        <v>0</v>
      </c>
      <c r="W37" s="304"/>
      <c r="X37" s="305" t="s">
        <v>153</v>
      </c>
      <c r="Y37" s="306">
        <f>25*Q37-SUM(S37:W37)</f>
        <v>29</v>
      </c>
    </row>
    <row r="38" spans="1:25" s="100" customFormat="1" ht="21" customHeight="1" thickTop="1" x14ac:dyDescent="0.2">
      <c r="A38" s="382" t="s">
        <v>50</v>
      </c>
      <c r="B38" s="438"/>
      <c r="C38" s="439"/>
      <c r="D38" s="439"/>
      <c r="E38" s="439"/>
      <c r="F38" s="439"/>
      <c r="G38" s="439"/>
      <c r="H38" s="439"/>
      <c r="I38" s="439"/>
      <c r="J38" s="439"/>
      <c r="K38" s="439"/>
      <c r="L38" s="439"/>
      <c r="M38" s="440"/>
      <c r="N38" s="439" t="s">
        <v>294</v>
      </c>
      <c r="O38" s="439"/>
      <c r="P38" s="439"/>
      <c r="Q38" s="439"/>
      <c r="R38" s="439"/>
      <c r="S38" s="439"/>
      <c r="T38" s="439"/>
      <c r="U38" s="439"/>
      <c r="V38" s="439"/>
      <c r="W38" s="439"/>
      <c r="X38" s="439"/>
      <c r="Y38" s="440"/>
    </row>
    <row r="39" spans="1:25" s="100" customFormat="1" ht="21" customHeight="1" x14ac:dyDescent="0.2">
      <c r="A39" s="383"/>
      <c r="B39" s="428"/>
      <c r="C39" s="429"/>
      <c r="D39" s="429"/>
      <c r="E39" s="429"/>
      <c r="F39" s="429"/>
      <c r="G39" s="429"/>
      <c r="H39" s="429"/>
      <c r="I39" s="429"/>
      <c r="J39" s="429"/>
      <c r="K39" s="429"/>
      <c r="L39" s="429"/>
      <c r="M39" s="430"/>
      <c r="N39" s="429"/>
      <c r="O39" s="429"/>
      <c r="P39" s="429"/>
      <c r="Q39" s="429"/>
      <c r="R39" s="429"/>
      <c r="S39" s="429"/>
      <c r="T39" s="429"/>
      <c r="U39" s="429"/>
      <c r="V39" s="429"/>
      <c r="W39" s="429"/>
      <c r="X39" s="429"/>
      <c r="Y39" s="430"/>
    </row>
    <row r="40" spans="1:25" s="100" customFormat="1" ht="21" customHeight="1" thickBot="1" x14ac:dyDescent="0.25">
      <c r="A40" s="384"/>
      <c r="B40" s="391" t="str">
        <f>IF(ISBLANK(B38),"",CONCATENATE($E$17,$F$17,".",$G$17,".","0",RIGHT($B$22,1),".",RIGHT(L40,1),$A38,IF(COUNTIFS(B38,"*op?ional*")=1,"-ij","")))</f>
        <v/>
      </c>
      <c r="C40" s="392"/>
      <c r="D40" s="393"/>
      <c r="E40" s="305"/>
      <c r="F40" s="305"/>
      <c r="G40" s="307"/>
      <c r="H40" s="308"/>
      <c r="I40" s="308"/>
      <c r="J40" s="308"/>
      <c r="K40" s="309"/>
      <c r="L40" s="305"/>
      <c r="M40" s="306"/>
      <c r="N40" s="391" t="str">
        <f>IF(ISBLANK(N38),"",CONCATENATE($E$17,$F$17,".",$G$17,".","0",RIGHT($N$22,1),".",RIGHT(X40,1),$A38,IF(COUNTIFS(N38,"*op?ional*")=1,"-ij","")))</f>
        <v>M025.23.02.V6</v>
      </c>
      <c r="O40" s="392"/>
      <c r="P40" s="393"/>
      <c r="Q40" s="301">
        <v>8</v>
      </c>
      <c r="R40" s="301" t="s">
        <v>296</v>
      </c>
      <c r="S40" s="302">
        <v>0</v>
      </c>
      <c r="T40" s="303">
        <v>0</v>
      </c>
      <c r="U40" s="303">
        <v>0</v>
      </c>
      <c r="V40" s="303">
        <v>0</v>
      </c>
      <c r="W40" s="304">
        <v>147</v>
      </c>
      <c r="X40" s="305" t="s">
        <v>44</v>
      </c>
      <c r="Y40" s="306">
        <f>25*Q40-SUM(S40:W40)</f>
        <v>53</v>
      </c>
    </row>
    <row r="41" spans="1:25" s="100" customFormat="1" ht="21" customHeight="1" thickTop="1" x14ac:dyDescent="0.2">
      <c r="A41" s="382" t="s">
        <v>51</v>
      </c>
      <c r="B41" s="438"/>
      <c r="C41" s="439"/>
      <c r="D41" s="439"/>
      <c r="E41" s="439"/>
      <c r="F41" s="439"/>
      <c r="G41" s="439"/>
      <c r="H41" s="439"/>
      <c r="I41" s="439"/>
      <c r="J41" s="439"/>
      <c r="K41" s="439"/>
      <c r="L41" s="439"/>
      <c r="M41" s="440"/>
      <c r="N41" s="438"/>
      <c r="O41" s="439"/>
      <c r="P41" s="439"/>
      <c r="Q41" s="439"/>
      <c r="R41" s="439"/>
      <c r="S41" s="439"/>
      <c r="T41" s="439"/>
      <c r="U41" s="439"/>
      <c r="V41" s="439"/>
      <c r="W41" s="439"/>
      <c r="X41" s="439"/>
      <c r="Y41" s="440"/>
    </row>
    <row r="42" spans="1:25" s="100" customFormat="1" ht="21" customHeight="1" x14ac:dyDescent="0.2">
      <c r="A42" s="383"/>
      <c r="B42" s="428"/>
      <c r="C42" s="429"/>
      <c r="D42" s="429"/>
      <c r="E42" s="429"/>
      <c r="F42" s="429"/>
      <c r="G42" s="429"/>
      <c r="H42" s="429"/>
      <c r="I42" s="429"/>
      <c r="J42" s="429"/>
      <c r="K42" s="429"/>
      <c r="L42" s="429"/>
      <c r="M42" s="430"/>
      <c r="N42" s="428"/>
      <c r="O42" s="429"/>
      <c r="P42" s="429"/>
      <c r="Q42" s="429"/>
      <c r="R42" s="429"/>
      <c r="S42" s="429"/>
      <c r="T42" s="429"/>
      <c r="U42" s="429"/>
      <c r="V42" s="429"/>
      <c r="W42" s="429"/>
      <c r="X42" s="429"/>
      <c r="Y42" s="430"/>
    </row>
    <row r="43" spans="1:25" s="100" customFormat="1" ht="21" customHeight="1" thickBot="1" x14ac:dyDescent="0.25">
      <c r="A43" s="384"/>
      <c r="B43" s="391" t="str">
        <f>IF(ISBLANK(B41),"",CONCATENATE($E$17,$F$17,".",$G$17,".","0",RIGHT($B$22,1),".",RIGHT(L43,1),$A41,IF(COUNTIFS(B41,"*op?ional*")=1,"-ij","")))</f>
        <v/>
      </c>
      <c r="C43" s="392"/>
      <c r="D43" s="393"/>
      <c r="E43" s="305"/>
      <c r="F43" s="305"/>
      <c r="G43" s="307"/>
      <c r="H43" s="308"/>
      <c r="I43" s="308"/>
      <c r="J43" s="308"/>
      <c r="K43" s="309"/>
      <c r="L43" s="305"/>
      <c r="M43" s="306"/>
      <c r="N43" s="391" t="str">
        <f>IF(ISBLANK(N41),"",CONCATENATE($E$17,$F$17,".",$G$17,".","0",RIGHT($N$22,1),".",RIGHT(X43,1),$A41,IF(COUNTIFS(N41,"*op?ional*")=1,"-ij","")))</f>
        <v/>
      </c>
      <c r="O43" s="392"/>
      <c r="P43" s="393"/>
      <c r="Q43" s="301"/>
      <c r="R43" s="301"/>
      <c r="S43" s="302"/>
      <c r="T43" s="303"/>
      <c r="U43" s="303"/>
      <c r="V43" s="303"/>
      <c r="W43" s="304"/>
      <c r="X43" s="305"/>
      <c r="Y43" s="306"/>
    </row>
    <row r="44" spans="1:25" s="100" customFormat="1" ht="21" customHeight="1" thickTop="1" x14ac:dyDescent="0.2">
      <c r="A44" s="382" t="s">
        <v>221</v>
      </c>
      <c r="B44" s="438"/>
      <c r="C44" s="439"/>
      <c r="D44" s="439"/>
      <c r="E44" s="439"/>
      <c r="F44" s="439"/>
      <c r="G44" s="439"/>
      <c r="H44" s="439"/>
      <c r="I44" s="439"/>
      <c r="J44" s="439"/>
      <c r="K44" s="439"/>
      <c r="L44" s="439"/>
      <c r="M44" s="440"/>
      <c r="N44" s="438"/>
      <c r="O44" s="439"/>
      <c r="P44" s="439"/>
      <c r="Q44" s="439"/>
      <c r="R44" s="439"/>
      <c r="S44" s="439"/>
      <c r="T44" s="439"/>
      <c r="U44" s="439"/>
      <c r="V44" s="439"/>
      <c r="W44" s="439"/>
      <c r="X44" s="439"/>
      <c r="Y44" s="440"/>
    </row>
    <row r="45" spans="1:25" s="100" customFormat="1" ht="21" customHeight="1" x14ac:dyDescent="0.2">
      <c r="A45" s="383"/>
      <c r="B45" s="428"/>
      <c r="C45" s="429"/>
      <c r="D45" s="429"/>
      <c r="E45" s="429"/>
      <c r="F45" s="429"/>
      <c r="G45" s="429"/>
      <c r="H45" s="429"/>
      <c r="I45" s="429"/>
      <c r="J45" s="429"/>
      <c r="K45" s="429"/>
      <c r="L45" s="429"/>
      <c r="M45" s="430"/>
      <c r="N45" s="428"/>
      <c r="O45" s="429"/>
      <c r="P45" s="429"/>
      <c r="Q45" s="429"/>
      <c r="R45" s="429"/>
      <c r="S45" s="429"/>
      <c r="T45" s="429"/>
      <c r="U45" s="429"/>
      <c r="V45" s="429"/>
      <c r="W45" s="429"/>
      <c r="X45" s="429"/>
      <c r="Y45" s="430"/>
    </row>
    <row r="46" spans="1:25" s="100" customFormat="1" ht="21" customHeight="1" thickBot="1" x14ac:dyDescent="0.25">
      <c r="A46" s="384"/>
      <c r="B46" s="391" t="str">
        <f>IF(ISBLANK(B44),"",CONCATENATE($E$17,$F$17,".",$G$17,".","0",RIGHT($B$22,1),".",RIGHT(L46,1),$A44,IF(COUNTIFS(B44,"*op?ional*")=1,"-ij","")))</f>
        <v/>
      </c>
      <c r="C46" s="392"/>
      <c r="D46" s="393"/>
      <c r="E46" s="305"/>
      <c r="F46" s="305"/>
      <c r="G46" s="307"/>
      <c r="H46" s="308"/>
      <c r="I46" s="308"/>
      <c r="J46" s="308"/>
      <c r="K46" s="309"/>
      <c r="L46" s="305"/>
      <c r="M46" s="306"/>
      <c r="N46" s="391" t="str">
        <f>IF(ISBLANK(N44),"",CONCATENATE($E$17,$F$17,".",$G$17,".","0",RIGHT($N$22,1),".",RIGHT(X46,1),$A44,IF(COUNTIFS(N44,"*op?ional*")=1,"-ij","")))</f>
        <v/>
      </c>
      <c r="O46" s="392"/>
      <c r="P46" s="393"/>
      <c r="Q46" s="301"/>
      <c r="R46" s="301"/>
      <c r="S46" s="302"/>
      <c r="T46" s="303"/>
      <c r="U46" s="303"/>
      <c r="V46" s="303"/>
      <c r="W46" s="304"/>
      <c r="X46" s="305"/>
      <c r="Y46" s="306"/>
    </row>
    <row r="47" spans="1:25" s="100" customFormat="1" ht="21" customHeight="1" thickTop="1" x14ac:dyDescent="0.2">
      <c r="A47" s="382" t="s">
        <v>222</v>
      </c>
      <c r="B47" s="438"/>
      <c r="C47" s="439"/>
      <c r="D47" s="439"/>
      <c r="E47" s="439"/>
      <c r="F47" s="439"/>
      <c r="G47" s="439"/>
      <c r="H47" s="439"/>
      <c r="I47" s="439"/>
      <c r="J47" s="439"/>
      <c r="K47" s="439"/>
      <c r="L47" s="439"/>
      <c r="M47" s="440"/>
      <c r="N47" s="438"/>
      <c r="O47" s="439"/>
      <c r="P47" s="439"/>
      <c r="Q47" s="439"/>
      <c r="R47" s="439"/>
      <c r="S47" s="439"/>
      <c r="T47" s="439"/>
      <c r="U47" s="439"/>
      <c r="V47" s="439"/>
      <c r="W47" s="439"/>
      <c r="X47" s="439"/>
      <c r="Y47" s="440"/>
    </row>
    <row r="48" spans="1:25" s="100" customFormat="1" ht="21" customHeight="1" x14ac:dyDescent="0.2">
      <c r="A48" s="383"/>
      <c r="B48" s="428"/>
      <c r="C48" s="429"/>
      <c r="D48" s="429"/>
      <c r="E48" s="429"/>
      <c r="F48" s="429"/>
      <c r="G48" s="429"/>
      <c r="H48" s="429"/>
      <c r="I48" s="429"/>
      <c r="J48" s="429"/>
      <c r="K48" s="429"/>
      <c r="L48" s="429"/>
      <c r="M48" s="430"/>
      <c r="N48" s="428"/>
      <c r="O48" s="429"/>
      <c r="P48" s="429"/>
      <c r="Q48" s="429"/>
      <c r="R48" s="429"/>
      <c r="S48" s="429"/>
      <c r="T48" s="429"/>
      <c r="U48" s="429"/>
      <c r="V48" s="429"/>
      <c r="W48" s="429"/>
      <c r="X48" s="429"/>
      <c r="Y48" s="430"/>
    </row>
    <row r="49" spans="1:49" s="100" customFormat="1" ht="21" customHeight="1" thickBot="1" x14ac:dyDescent="0.25">
      <c r="A49" s="384"/>
      <c r="B49" s="391" t="str">
        <f>IF(ISBLANK(B47),"",CONCATENATE($E$17,$F$17,".",$G$17,".","0",RIGHT($B$22,1),".",RIGHT(L49,1),$A47,IF(COUNTIFS(B47,"*op?ional*")=1,"-ij","")))</f>
        <v/>
      </c>
      <c r="C49" s="392"/>
      <c r="D49" s="393"/>
      <c r="E49" s="305"/>
      <c r="F49" s="305"/>
      <c r="G49" s="307"/>
      <c r="H49" s="308"/>
      <c r="I49" s="308"/>
      <c r="J49" s="308"/>
      <c r="K49" s="309"/>
      <c r="L49" s="305"/>
      <c r="M49" s="306"/>
      <c r="N49" s="391" t="str">
        <f>IF(ISBLANK(N47),"",CONCATENATE($E$17,$F$17,".",$G$17,".","0",RIGHT($N$22,1),".",RIGHT(X49,1),$A47,IF(COUNTIFS(N47,"*op?ional*")=1,"-ij","")))</f>
        <v/>
      </c>
      <c r="O49" s="392"/>
      <c r="P49" s="393"/>
      <c r="Q49" s="301"/>
      <c r="R49" s="301"/>
      <c r="S49" s="302"/>
      <c r="T49" s="303"/>
      <c r="U49" s="303"/>
      <c r="V49" s="303"/>
      <c r="W49" s="304"/>
      <c r="X49" s="305"/>
      <c r="Y49" s="306"/>
    </row>
    <row r="50" spans="1:49" s="100" customFormat="1" ht="21" customHeight="1" thickTop="1" x14ac:dyDescent="0.2">
      <c r="A50" s="382" t="s">
        <v>238</v>
      </c>
      <c r="B50" s="404"/>
      <c r="C50" s="405"/>
      <c r="D50" s="405"/>
      <c r="E50" s="405"/>
      <c r="F50" s="405"/>
      <c r="G50" s="405"/>
      <c r="H50" s="405"/>
      <c r="I50" s="405"/>
      <c r="J50" s="405"/>
      <c r="K50" s="405"/>
      <c r="L50" s="405"/>
      <c r="M50" s="406"/>
      <c r="N50" s="404" t="s">
        <v>319</v>
      </c>
      <c r="O50" s="405"/>
      <c r="P50" s="405"/>
      <c r="Q50" s="405"/>
      <c r="R50" s="405"/>
      <c r="S50" s="405"/>
      <c r="T50" s="405"/>
      <c r="U50" s="405"/>
      <c r="V50" s="405"/>
      <c r="W50" s="405"/>
      <c r="X50" s="405"/>
      <c r="Y50" s="406"/>
    </row>
    <row r="51" spans="1:49" s="100" customFormat="1" ht="21" customHeight="1" x14ac:dyDescent="0.2">
      <c r="A51" s="383"/>
      <c r="B51" s="407"/>
      <c r="C51" s="408"/>
      <c r="D51" s="408"/>
      <c r="E51" s="408"/>
      <c r="F51" s="408"/>
      <c r="G51" s="408"/>
      <c r="H51" s="408"/>
      <c r="I51" s="408"/>
      <c r="J51" s="408"/>
      <c r="K51" s="408"/>
      <c r="L51" s="408"/>
      <c r="M51" s="409"/>
      <c r="N51" s="407"/>
      <c r="O51" s="408"/>
      <c r="P51" s="408"/>
      <c r="Q51" s="408"/>
      <c r="R51" s="408"/>
      <c r="S51" s="408"/>
      <c r="T51" s="408"/>
      <c r="U51" s="408"/>
      <c r="V51" s="408"/>
      <c r="W51" s="408"/>
      <c r="X51" s="408"/>
      <c r="Y51" s="409"/>
    </row>
    <row r="52" spans="1:49" s="100" customFormat="1" ht="21" customHeight="1" thickBot="1" x14ac:dyDescent="0.25">
      <c r="A52" s="384"/>
      <c r="B52" s="391" t="str">
        <f>IF(ISBLANK(B50),"",CONCATENATE($E$17,$F$17,".",$G$17,".","0",RIGHT($B$22,1),".",RIGHT(L52,1),$A50,"-ij"))</f>
        <v/>
      </c>
      <c r="C52" s="392"/>
      <c r="D52" s="393"/>
      <c r="E52" s="345"/>
      <c r="F52" s="345"/>
      <c r="G52" s="346"/>
      <c r="H52" s="347"/>
      <c r="I52" s="347"/>
      <c r="J52" s="347"/>
      <c r="K52" s="348"/>
      <c r="L52" s="345"/>
      <c r="M52" s="349"/>
      <c r="N52" s="391" t="str">
        <f>IF(ISBLANK(N50),"",CONCATENATE($E$17,$F$17,".",$G$17,".","0",RIGHT($N$22,1),".",RIGHT(X52,1),$A50,"-ij"))</f>
        <v>M025.23.02.f10-ij</v>
      </c>
      <c r="O52" s="392"/>
      <c r="P52" s="393"/>
      <c r="Q52" s="350"/>
      <c r="R52" s="350"/>
      <c r="S52" s="351"/>
      <c r="T52" s="352"/>
      <c r="U52" s="352"/>
      <c r="V52" s="352"/>
      <c r="W52" s="353"/>
      <c r="X52" s="345" t="s">
        <v>320</v>
      </c>
      <c r="Y52" s="349"/>
    </row>
    <row r="53" spans="1:49" s="70" customFormat="1" ht="21" customHeight="1" thickTop="1" x14ac:dyDescent="0.2">
      <c r="A53" s="441" t="s">
        <v>48</v>
      </c>
      <c r="B53" s="101" t="s">
        <v>52</v>
      </c>
      <c r="C53" s="102"/>
      <c r="D53" s="102"/>
      <c r="E53" s="421">
        <f>SUM(G25:J25,G28:J28,G31:J31,G34:J34,G37:J37,G40:J40,G43:J43,G46:J46,G49:J49)</f>
        <v>217</v>
      </c>
      <c r="F53" s="422"/>
      <c r="G53" s="103" t="s">
        <v>5</v>
      </c>
      <c r="H53" s="104"/>
      <c r="I53" s="104"/>
      <c r="J53" s="104"/>
      <c r="K53" s="104"/>
      <c r="L53" s="105"/>
      <c r="M53" s="106">
        <f>SUM(M25,M28,M31,M34,M37,M40,M43,M46,M49)</f>
        <v>386</v>
      </c>
      <c r="N53" s="101" t="s">
        <v>52</v>
      </c>
      <c r="O53" s="102"/>
      <c r="P53" s="102"/>
      <c r="Q53" s="421">
        <f>SUM(S25:V25,S28:V28,S31:V31,S34:V34,S37:V37,S40:V40,S43:V43,S46:V46,S49:V49)</f>
        <v>217</v>
      </c>
      <c r="R53" s="422"/>
      <c r="S53" s="103" t="s">
        <v>5</v>
      </c>
      <c r="T53" s="104"/>
      <c r="U53" s="104"/>
      <c r="V53" s="104"/>
      <c r="W53" s="104"/>
      <c r="X53" s="105"/>
      <c r="Y53" s="112">
        <f>SUM(Y25,Y28,Y31,Y34,Y37,Y40,Y43,Y46,Y49)</f>
        <v>386</v>
      </c>
    </row>
    <row r="54" spans="1:49" s="70" customFormat="1" ht="21" customHeight="1" x14ac:dyDescent="0.2">
      <c r="A54" s="442"/>
      <c r="B54" s="431" t="s">
        <v>53</v>
      </c>
      <c r="C54" s="432"/>
      <c r="D54" s="432"/>
      <c r="E54" s="419">
        <f>SUM(G25:K25,G28:K28,G31:K31,G34:K34,G37:K37,G40:K40,G43:K43,G46:K46,G49:K49)</f>
        <v>364</v>
      </c>
      <c r="F54" s="420"/>
      <c r="G54" s="431" t="s">
        <v>55</v>
      </c>
      <c r="H54" s="432"/>
      <c r="I54" s="432"/>
      <c r="J54" s="107"/>
      <c r="K54" s="107"/>
      <c r="L54" s="108"/>
      <c r="M54" s="109">
        <f>E54+M53</f>
        <v>750</v>
      </c>
      <c r="N54" s="431" t="s">
        <v>53</v>
      </c>
      <c r="O54" s="432"/>
      <c r="P54" s="432"/>
      <c r="Q54" s="419">
        <f>SUM(S25:W25,S28:W28,S31:W31,S34:W34,S37:W37,S40:W40,S43:W43,S46:W46,S49:W49)</f>
        <v>364</v>
      </c>
      <c r="R54" s="420"/>
      <c r="S54" s="431" t="s">
        <v>55</v>
      </c>
      <c r="T54" s="432"/>
      <c r="U54" s="432"/>
      <c r="V54" s="110"/>
      <c r="W54" s="110"/>
      <c r="X54" s="111"/>
      <c r="Y54" s="112">
        <f>Q54+Y53</f>
        <v>750</v>
      </c>
    </row>
    <row r="55" spans="1:49" s="70" customFormat="1" ht="21" customHeight="1" thickBot="1" x14ac:dyDescent="0.25">
      <c r="A55" s="461"/>
      <c r="B55" s="483" t="s">
        <v>6</v>
      </c>
      <c r="C55" s="484"/>
      <c r="D55" s="113"/>
      <c r="E55" s="417">
        <f>SUM(E25,E28,E31,E34,E37,E40,E43,E46,E49)</f>
        <v>30</v>
      </c>
      <c r="F55" s="418"/>
      <c r="G55" s="453" t="s">
        <v>7</v>
      </c>
      <c r="H55" s="454"/>
      <c r="I55" s="454"/>
      <c r="J55" s="454"/>
      <c r="K55" s="454"/>
      <c r="L55" s="481" t="str">
        <f>AZ419</f>
        <v>4E,1D,0C</v>
      </c>
      <c r="M55" s="482"/>
      <c r="N55" s="485" t="s">
        <v>6</v>
      </c>
      <c r="O55" s="486"/>
      <c r="P55" s="114"/>
      <c r="Q55" s="417">
        <f>SUM(Q25,Q28,Q31,Q34,Q37,Q40,Q43,Q46,Q49)</f>
        <v>30</v>
      </c>
      <c r="R55" s="418"/>
      <c r="S55" s="453" t="s">
        <v>7</v>
      </c>
      <c r="T55" s="454"/>
      <c r="U55" s="454"/>
      <c r="V55" s="454"/>
      <c r="W55" s="115"/>
      <c r="X55" s="481" t="str">
        <f>AZ420</f>
        <v>4E,2D,0C</v>
      </c>
      <c r="Y55" s="482"/>
    </row>
    <row r="56" spans="1:49" s="70" customFormat="1" ht="21" customHeight="1" thickTop="1" x14ac:dyDescent="0.2">
      <c r="A56" s="441" t="s">
        <v>49</v>
      </c>
      <c r="B56" s="101" t="s">
        <v>52</v>
      </c>
      <c r="C56" s="102"/>
      <c r="D56" s="102"/>
      <c r="E56" s="410">
        <f>SUM(G58:J58)</f>
        <v>15.5</v>
      </c>
      <c r="F56" s="411"/>
      <c r="G56" s="103" t="s">
        <v>5</v>
      </c>
      <c r="H56" s="104"/>
      <c r="I56" s="104"/>
      <c r="J56" s="104"/>
      <c r="K56" s="104"/>
      <c r="L56" s="105"/>
      <c r="M56" s="116">
        <f>M53/14</f>
        <v>27.571428571428573</v>
      </c>
      <c r="N56" s="101" t="s">
        <v>52</v>
      </c>
      <c r="O56" s="102"/>
      <c r="P56" s="102"/>
      <c r="Q56" s="410">
        <f>SUM(S58:V58)</f>
        <v>15.5</v>
      </c>
      <c r="R56" s="411"/>
      <c r="S56" s="103" t="s">
        <v>5</v>
      </c>
      <c r="T56" s="104"/>
      <c r="U56" s="104"/>
      <c r="V56" s="104"/>
      <c r="W56" s="104"/>
      <c r="X56" s="117"/>
      <c r="Y56" s="118">
        <f>Y53/14</f>
        <v>27.571428571428573</v>
      </c>
    </row>
    <row r="57" spans="1:49" s="70" customFormat="1" ht="21" customHeight="1" x14ac:dyDescent="0.2">
      <c r="A57" s="442"/>
      <c r="B57" s="431" t="s">
        <v>53</v>
      </c>
      <c r="C57" s="432"/>
      <c r="D57" s="432"/>
      <c r="E57" s="412">
        <f>SUM(G58:K58)</f>
        <v>26</v>
      </c>
      <c r="F57" s="413"/>
      <c r="G57" s="431" t="s">
        <v>55</v>
      </c>
      <c r="H57" s="432"/>
      <c r="I57" s="432"/>
      <c r="J57" s="107"/>
      <c r="K57" s="107"/>
      <c r="L57" s="88"/>
      <c r="M57" s="119">
        <f>E57+M56</f>
        <v>53.571428571428569</v>
      </c>
      <c r="N57" s="431" t="s">
        <v>53</v>
      </c>
      <c r="O57" s="432"/>
      <c r="P57" s="432"/>
      <c r="Q57" s="412">
        <f>SUM(S58:W58)</f>
        <v>26</v>
      </c>
      <c r="R57" s="413"/>
      <c r="S57" s="431" t="s">
        <v>55</v>
      </c>
      <c r="T57" s="432"/>
      <c r="U57" s="432"/>
      <c r="V57" s="120"/>
      <c r="W57" s="120"/>
      <c r="X57" s="121"/>
      <c r="Y57" s="122">
        <f>Y54/14</f>
        <v>53.571428571428569</v>
      </c>
    </row>
    <row r="58" spans="1:49" s="70" customFormat="1" ht="21" customHeight="1" thickBot="1" x14ac:dyDescent="0.25">
      <c r="A58" s="443"/>
      <c r="B58" s="453" t="s">
        <v>8</v>
      </c>
      <c r="C58" s="454"/>
      <c r="D58" s="123"/>
      <c r="E58" s="123"/>
      <c r="F58" s="124"/>
      <c r="G58" s="125">
        <f>(G25+G28+G31+G34+G37+G40+G43+G46+G49)/14</f>
        <v>8</v>
      </c>
      <c r="H58" s="125">
        <f>(H25+H28+H31+H34+H37+H40+H43+H46+H49)/14</f>
        <v>0</v>
      </c>
      <c r="I58" s="125">
        <f t="shared" ref="I58:K58" si="0">(I25+I28+I31+I34+I37+I40+I43+I46+I49)/14</f>
        <v>4</v>
      </c>
      <c r="J58" s="125">
        <f t="shared" si="0"/>
        <v>3.5</v>
      </c>
      <c r="K58" s="125">
        <f t="shared" si="0"/>
        <v>10.5</v>
      </c>
      <c r="L58" s="490" t="s">
        <v>54</v>
      </c>
      <c r="M58" s="491"/>
      <c r="N58" s="453" t="s">
        <v>8</v>
      </c>
      <c r="O58" s="454"/>
      <c r="P58" s="123"/>
      <c r="Q58" s="123"/>
      <c r="R58" s="124"/>
      <c r="S58" s="125">
        <f>(S25+S28+S31+S34+S37+S40+S43+S46+S49)/14</f>
        <v>9</v>
      </c>
      <c r="T58" s="125">
        <f>(T25+T28+T31+T34+T37+T40+T43+T46+T49)/14</f>
        <v>0.5</v>
      </c>
      <c r="U58" s="125">
        <f t="shared" ref="U58:W58" si="1">(U25+U28+U31+U34+U37+U40+U43+U46+U49)/14</f>
        <v>2.5</v>
      </c>
      <c r="V58" s="125">
        <f t="shared" si="1"/>
        <v>3.5</v>
      </c>
      <c r="W58" s="125">
        <f t="shared" si="1"/>
        <v>10.5</v>
      </c>
      <c r="X58" s="490" t="s">
        <v>54</v>
      </c>
      <c r="Y58" s="491"/>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394" t="s">
        <v>266</v>
      </c>
      <c r="B60" s="394"/>
      <c r="C60" s="394"/>
      <c r="D60" s="394"/>
      <c r="E60" s="394"/>
      <c r="F60" s="394"/>
      <c r="G60" s="394"/>
      <c r="H60" s="394"/>
      <c r="I60" s="394"/>
      <c r="J60" s="394"/>
      <c r="K60" s="394"/>
      <c r="L60" s="394"/>
      <c r="M60" s="394"/>
      <c r="N60" s="394"/>
      <c r="O60" s="394"/>
      <c r="P60" s="394"/>
      <c r="Q60" s="394"/>
      <c r="R60" s="394"/>
      <c r="S60" s="394"/>
      <c r="T60" s="394"/>
      <c r="U60" s="394"/>
      <c r="V60" s="394"/>
      <c r="W60" s="394"/>
      <c r="X60" s="394"/>
      <c r="Y60" s="394"/>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399" t="str">
        <f>A20</f>
        <v>Pentru seria de studenti 2023-2025</v>
      </c>
      <c r="B62" s="399"/>
      <c r="C62" s="399"/>
      <c r="D62" s="399"/>
      <c r="E62" s="399"/>
      <c r="F62" s="399"/>
      <c r="G62" s="399"/>
      <c r="H62" s="399"/>
      <c r="I62" s="399"/>
      <c r="J62" s="399"/>
      <c r="K62" s="399"/>
      <c r="L62" s="399"/>
      <c r="M62" s="399"/>
      <c r="N62" s="399"/>
      <c r="O62" s="399"/>
      <c r="P62" s="399"/>
      <c r="Q62" s="399"/>
      <c r="R62" s="399"/>
      <c r="S62" s="399"/>
      <c r="T62" s="399"/>
      <c r="U62" s="399"/>
      <c r="V62" s="399"/>
      <c r="W62" s="399"/>
      <c r="X62" s="399"/>
      <c r="Y62" s="399"/>
    </row>
    <row r="63" spans="1:49" ht="21" customHeight="1" thickBot="1" x14ac:dyDescent="0.25">
      <c r="A63" s="437" t="str">
        <f>IF(ISBLANK($G$17),"ANUL II",CONCATENATE("ANUL II (20",$G$17+1,-20,$G$17+2,")"))</f>
        <v>ANUL II (2024-2025)</v>
      </c>
      <c r="B63" s="437"/>
      <c r="C63" s="437"/>
      <c r="D63" s="437"/>
      <c r="E63" s="437"/>
      <c r="F63" s="437"/>
      <c r="G63" s="437"/>
      <c r="H63" s="437"/>
      <c r="I63" s="437"/>
      <c r="J63" s="437"/>
      <c r="K63" s="437"/>
      <c r="L63" s="437"/>
      <c r="M63" s="437"/>
      <c r="N63" s="437"/>
      <c r="O63" s="437"/>
      <c r="P63" s="437"/>
      <c r="Q63" s="437"/>
      <c r="R63" s="437"/>
      <c r="S63" s="437"/>
      <c r="T63" s="437"/>
      <c r="U63" s="437"/>
      <c r="V63" s="437"/>
      <c r="W63" s="437"/>
      <c r="X63" s="437"/>
      <c r="Y63" s="437"/>
    </row>
    <row r="64" spans="1:49" ht="21" customHeight="1" thickTop="1" thickBot="1" x14ac:dyDescent="0.25">
      <c r="A64" s="99"/>
      <c r="B64" s="401" t="s">
        <v>2</v>
      </c>
      <c r="C64" s="402"/>
      <c r="D64" s="402"/>
      <c r="E64" s="402"/>
      <c r="F64" s="402"/>
      <c r="G64" s="402"/>
      <c r="H64" s="402"/>
      <c r="I64" s="402"/>
      <c r="J64" s="402"/>
      <c r="K64" s="402"/>
      <c r="L64" s="402"/>
      <c r="M64" s="403"/>
      <c r="N64" s="402" t="s">
        <v>3</v>
      </c>
      <c r="O64" s="402"/>
      <c r="P64" s="402"/>
      <c r="Q64" s="402"/>
      <c r="R64" s="402"/>
      <c r="S64" s="402"/>
      <c r="T64" s="402"/>
      <c r="U64" s="402"/>
      <c r="V64" s="402"/>
      <c r="W64" s="402"/>
      <c r="X64" s="402"/>
      <c r="Y64" s="403"/>
    </row>
    <row r="65" spans="1:25" s="133" customFormat="1" ht="21" customHeight="1" thickTop="1" x14ac:dyDescent="0.2">
      <c r="A65" s="383" t="s">
        <v>28</v>
      </c>
      <c r="B65" s="425" t="s">
        <v>297</v>
      </c>
      <c r="C65" s="426"/>
      <c r="D65" s="426"/>
      <c r="E65" s="426"/>
      <c r="F65" s="426"/>
      <c r="G65" s="426"/>
      <c r="H65" s="426"/>
      <c r="I65" s="426"/>
      <c r="J65" s="426"/>
      <c r="K65" s="426"/>
      <c r="L65" s="426"/>
      <c r="M65" s="427"/>
      <c r="N65" s="433" t="s">
        <v>298</v>
      </c>
      <c r="O65" s="433"/>
      <c r="P65" s="433"/>
      <c r="Q65" s="433"/>
      <c r="R65" s="433"/>
      <c r="S65" s="433"/>
      <c r="T65" s="433"/>
      <c r="U65" s="433"/>
      <c r="V65" s="433"/>
      <c r="W65" s="433"/>
      <c r="X65" s="433"/>
      <c r="Y65" s="434"/>
    </row>
    <row r="66" spans="1:25" s="133" customFormat="1" ht="21" customHeight="1" x14ac:dyDescent="0.2">
      <c r="A66" s="383"/>
      <c r="B66" s="428"/>
      <c r="C66" s="429"/>
      <c r="D66" s="429"/>
      <c r="E66" s="429"/>
      <c r="F66" s="429"/>
      <c r="G66" s="429"/>
      <c r="H66" s="429"/>
      <c r="I66" s="429"/>
      <c r="J66" s="429"/>
      <c r="K66" s="429"/>
      <c r="L66" s="429"/>
      <c r="M66" s="430"/>
      <c r="N66" s="435"/>
      <c r="O66" s="435"/>
      <c r="P66" s="435"/>
      <c r="Q66" s="435"/>
      <c r="R66" s="435"/>
      <c r="S66" s="435"/>
      <c r="T66" s="435"/>
      <c r="U66" s="435"/>
      <c r="V66" s="435"/>
      <c r="W66" s="435"/>
      <c r="X66" s="435"/>
      <c r="Y66" s="436"/>
    </row>
    <row r="67" spans="1:25" s="134" customFormat="1" ht="21" customHeight="1" thickBot="1" x14ac:dyDescent="0.25">
      <c r="A67" s="384"/>
      <c r="B67" s="391" t="str">
        <f>IF(ISBLANK(B65),"",CONCATENATE($E$17,$F$17,".",$G$17,".","0",RIGHT($B$64,1),".",RIGHT(L67,1),$A65,IF(COUNTIFS(B65,"*op?ional*")=1,"-ij","")))</f>
        <v>M025.23.03.V1</v>
      </c>
      <c r="C67" s="392"/>
      <c r="D67" s="393"/>
      <c r="E67" s="301">
        <v>6</v>
      </c>
      <c r="F67" s="301" t="s">
        <v>4</v>
      </c>
      <c r="G67" s="302">
        <v>28</v>
      </c>
      <c r="H67" s="303">
        <v>0</v>
      </c>
      <c r="I67" s="303">
        <v>14</v>
      </c>
      <c r="J67" s="303">
        <v>14</v>
      </c>
      <c r="K67" s="304"/>
      <c r="L67" s="305" t="s">
        <v>44</v>
      </c>
      <c r="M67" s="306">
        <f>25*E67-SUM(G67:K67)</f>
        <v>94</v>
      </c>
      <c r="N67" s="391" t="str">
        <f>IF(ISBLANK(N65),"",CONCATENATE($E$17,$F$17,".",$G$17,".","0",RIGHT($N$64,1),".",RIGHT(X67,1),$A65,IF(COUNTIFS(N65,"*op?ional*")=1,"-ij","")))</f>
        <v>M025.23.04.V1</v>
      </c>
      <c r="O67" s="392"/>
      <c r="P67" s="393"/>
      <c r="Q67" s="310">
        <v>15</v>
      </c>
      <c r="R67" s="310" t="s">
        <v>296</v>
      </c>
      <c r="S67" s="311">
        <v>0</v>
      </c>
      <c r="T67" s="312">
        <v>0</v>
      </c>
      <c r="U67" s="312">
        <v>0</v>
      </c>
      <c r="V67" s="312">
        <v>0</v>
      </c>
      <c r="W67" s="313">
        <v>168</v>
      </c>
      <c r="X67" s="314" t="s">
        <v>44</v>
      </c>
      <c r="Y67" s="306">
        <f>25*Q67-SUM(S67:W67)</f>
        <v>207</v>
      </c>
    </row>
    <row r="68" spans="1:25" s="134" customFormat="1" ht="21" customHeight="1" thickTop="1" x14ac:dyDescent="0.2">
      <c r="A68" s="382" t="s">
        <v>29</v>
      </c>
      <c r="B68" s="438" t="s">
        <v>299</v>
      </c>
      <c r="C68" s="439"/>
      <c r="D68" s="439"/>
      <c r="E68" s="439"/>
      <c r="F68" s="439"/>
      <c r="G68" s="439"/>
      <c r="H68" s="439"/>
      <c r="I68" s="439"/>
      <c r="J68" s="439"/>
      <c r="K68" s="439"/>
      <c r="L68" s="439"/>
      <c r="M68" s="440"/>
      <c r="N68" s="433" t="s">
        <v>300</v>
      </c>
      <c r="O68" s="433"/>
      <c r="P68" s="433"/>
      <c r="Q68" s="433"/>
      <c r="R68" s="433"/>
      <c r="S68" s="433"/>
      <c r="T68" s="433"/>
      <c r="U68" s="433"/>
      <c r="V68" s="433"/>
      <c r="W68" s="433"/>
      <c r="X68" s="433"/>
      <c r="Y68" s="434"/>
    </row>
    <row r="69" spans="1:25" s="134" customFormat="1" ht="21" customHeight="1" x14ac:dyDescent="0.2">
      <c r="A69" s="383"/>
      <c r="B69" s="428"/>
      <c r="C69" s="429"/>
      <c r="D69" s="429"/>
      <c r="E69" s="429"/>
      <c r="F69" s="429"/>
      <c r="G69" s="429"/>
      <c r="H69" s="429"/>
      <c r="I69" s="429"/>
      <c r="J69" s="429"/>
      <c r="K69" s="429"/>
      <c r="L69" s="429"/>
      <c r="M69" s="430"/>
      <c r="N69" s="435"/>
      <c r="O69" s="435"/>
      <c r="P69" s="435"/>
      <c r="Q69" s="435"/>
      <c r="R69" s="435"/>
      <c r="S69" s="435"/>
      <c r="T69" s="435"/>
      <c r="U69" s="435"/>
      <c r="V69" s="435"/>
      <c r="W69" s="435"/>
      <c r="X69" s="435"/>
      <c r="Y69" s="436"/>
    </row>
    <row r="70" spans="1:25" s="134" customFormat="1" ht="21" customHeight="1" thickBot="1" x14ac:dyDescent="0.25">
      <c r="A70" s="384"/>
      <c r="B70" s="391" t="str">
        <f>IF(ISBLANK(B68),"",CONCATENATE($E$17,$F$17,".",$G$17,".","0",RIGHT($B$64,1),".",RIGHT(L70,1),$A68,IF(COUNTIFS(B68,"*op?ional*")=1,"-ij","")))</f>
        <v>M025.23.03.A2</v>
      </c>
      <c r="C70" s="392"/>
      <c r="D70" s="393"/>
      <c r="E70" s="301">
        <v>6</v>
      </c>
      <c r="F70" s="301" t="s">
        <v>4</v>
      </c>
      <c r="G70" s="302">
        <v>28</v>
      </c>
      <c r="H70" s="303">
        <v>0</v>
      </c>
      <c r="I70" s="303">
        <v>14</v>
      </c>
      <c r="J70" s="303">
        <v>14</v>
      </c>
      <c r="K70" s="304"/>
      <c r="L70" s="305" t="s">
        <v>295</v>
      </c>
      <c r="M70" s="306">
        <f>25*E70-SUM(G70:K70)</f>
        <v>94</v>
      </c>
      <c r="N70" s="391" t="str">
        <f>IF(ISBLANK(N68),"",CONCATENATE($E$17,$F$17,".",$G$17,".","0",RIGHT($N$64,1),".",RIGHT(X70,1),$A68,IF(COUNTIFS(N68,"*op?ional*")=1,"-ij","")))</f>
        <v>M025.23.04.V2</v>
      </c>
      <c r="O70" s="392"/>
      <c r="P70" s="393"/>
      <c r="Q70" s="310">
        <v>15</v>
      </c>
      <c r="R70" s="310" t="s">
        <v>296</v>
      </c>
      <c r="S70" s="311">
        <v>0</v>
      </c>
      <c r="T70" s="312">
        <v>0</v>
      </c>
      <c r="U70" s="312">
        <v>0</v>
      </c>
      <c r="V70" s="312">
        <v>0</v>
      </c>
      <c r="W70" s="313">
        <v>196</v>
      </c>
      <c r="X70" s="314" t="s">
        <v>44</v>
      </c>
      <c r="Y70" s="306">
        <f>25*Q70-SUM(S70:W70)</f>
        <v>179</v>
      </c>
    </row>
    <row r="71" spans="1:25" s="134" customFormat="1" ht="21" customHeight="1" thickTop="1" x14ac:dyDescent="0.2">
      <c r="A71" s="382" t="s">
        <v>30</v>
      </c>
      <c r="B71" s="438" t="s">
        <v>301</v>
      </c>
      <c r="C71" s="439"/>
      <c r="D71" s="439"/>
      <c r="E71" s="439"/>
      <c r="F71" s="439"/>
      <c r="G71" s="439"/>
      <c r="H71" s="439"/>
      <c r="I71" s="439"/>
      <c r="J71" s="439"/>
      <c r="K71" s="439"/>
      <c r="L71" s="439"/>
      <c r="M71" s="440"/>
      <c r="N71" s="433" t="s">
        <v>302</v>
      </c>
      <c r="O71" s="433"/>
      <c r="P71" s="433"/>
      <c r="Q71" s="433"/>
      <c r="R71" s="433"/>
      <c r="S71" s="433"/>
      <c r="T71" s="433"/>
      <c r="U71" s="433"/>
      <c r="V71" s="433"/>
      <c r="W71" s="433"/>
      <c r="X71" s="433"/>
      <c r="Y71" s="434"/>
    </row>
    <row r="72" spans="1:25" s="134" customFormat="1" ht="21" customHeight="1" x14ac:dyDescent="0.2">
      <c r="A72" s="383"/>
      <c r="B72" s="428"/>
      <c r="C72" s="429"/>
      <c r="D72" s="429"/>
      <c r="E72" s="429"/>
      <c r="F72" s="429"/>
      <c r="G72" s="429"/>
      <c r="H72" s="429"/>
      <c r="I72" s="429"/>
      <c r="J72" s="429"/>
      <c r="K72" s="429"/>
      <c r="L72" s="429"/>
      <c r="M72" s="430"/>
      <c r="N72" s="435"/>
      <c r="O72" s="435"/>
      <c r="P72" s="435"/>
      <c r="Q72" s="435"/>
      <c r="R72" s="435"/>
      <c r="S72" s="435"/>
      <c r="T72" s="435"/>
      <c r="U72" s="435"/>
      <c r="V72" s="435"/>
      <c r="W72" s="435"/>
      <c r="X72" s="435"/>
      <c r="Y72" s="436"/>
    </row>
    <row r="73" spans="1:25" s="134" customFormat="1" ht="21" customHeight="1" thickBot="1" x14ac:dyDescent="0.25">
      <c r="A73" s="384"/>
      <c r="B73" s="391" t="str">
        <f>IF(ISBLANK(B71),"",CONCATENATE($E$17,$F$17,".",$G$17,".","0",RIGHT($B$64,1),".",RIGHT(L73,1),$A71,IF(COUNTIFS(B71,"*op?ional*")=1,"-ij","")))</f>
        <v>M025.23.03.A3-ij</v>
      </c>
      <c r="C73" s="392"/>
      <c r="D73" s="393"/>
      <c r="E73" s="301">
        <v>5</v>
      </c>
      <c r="F73" s="301" t="s">
        <v>4</v>
      </c>
      <c r="G73" s="302">
        <v>28</v>
      </c>
      <c r="H73" s="303">
        <v>0</v>
      </c>
      <c r="I73" s="303">
        <v>7</v>
      </c>
      <c r="J73" s="303">
        <v>14</v>
      </c>
      <c r="K73" s="304"/>
      <c r="L73" s="305" t="s">
        <v>295</v>
      </c>
      <c r="M73" s="306">
        <f>25*E73-SUM(G73:K73)</f>
        <v>76</v>
      </c>
      <c r="N73" s="391" t="str">
        <f>IF(ISBLANK(N71),"",CONCATENATE($E$17,$F$17,".",$G$17,".","0",RIGHT($N$64,1),".",RIGHT(X73,1),$A71,IF(COUNTIFS(N71,"*op?ional*")=1,"-ij","")))</f>
        <v>M025.23.04.S3</v>
      </c>
      <c r="O73" s="392"/>
      <c r="P73" s="393"/>
      <c r="Q73" s="310">
        <v>10</v>
      </c>
      <c r="R73" s="310" t="s">
        <v>4</v>
      </c>
      <c r="S73" s="311"/>
      <c r="T73" s="312"/>
      <c r="U73" s="312"/>
      <c r="V73" s="312"/>
      <c r="W73" s="313"/>
      <c r="X73" s="314" t="s">
        <v>152</v>
      </c>
      <c r="Y73" s="315"/>
    </row>
    <row r="74" spans="1:25" s="134" customFormat="1" ht="21" customHeight="1" thickTop="1" x14ac:dyDescent="0.2">
      <c r="A74" s="382" t="s">
        <v>31</v>
      </c>
      <c r="B74" s="438" t="s">
        <v>303</v>
      </c>
      <c r="C74" s="439"/>
      <c r="D74" s="439"/>
      <c r="E74" s="439"/>
      <c r="F74" s="439"/>
      <c r="G74" s="439"/>
      <c r="H74" s="439"/>
      <c r="I74" s="439"/>
      <c r="J74" s="439"/>
      <c r="K74" s="439"/>
      <c r="L74" s="439"/>
      <c r="M74" s="440"/>
      <c r="N74" s="433"/>
      <c r="O74" s="433"/>
      <c r="P74" s="433"/>
      <c r="Q74" s="433"/>
      <c r="R74" s="433"/>
      <c r="S74" s="433"/>
      <c r="T74" s="433"/>
      <c r="U74" s="433"/>
      <c r="V74" s="433"/>
      <c r="W74" s="433"/>
      <c r="X74" s="433"/>
      <c r="Y74" s="434"/>
    </row>
    <row r="75" spans="1:25" s="134" customFormat="1" ht="21" customHeight="1" x14ac:dyDescent="0.2">
      <c r="A75" s="383"/>
      <c r="B75" s="428"/>
      <c r="C75" s="429"/>
      <c r="D75" s="429"/>
      <c r="E75" s="429"/>
      <c r="F75" s="429"/>
      <c r="G75" s="429"/>
      <c r="H75" s="429"/>
      <c r="I75" s="429"/>
      <c r="J75" s="429"/>
      <c r="K75" s="429"/>
      <c r="L75" s="429"/>
      <c r="M75" s="430"/>
      <c r="N75" s="435"/>
      <c r="O75" s="435"/>
      <c r="P75" s="435"/>
      <c r="Q75" s="435"/>
      <c r="R75" s="435"/>
      <c r="S75" s="435"/>
      <c r="T75" s="435"/>
      <c r="U75" s="435"/>
      <c r="V75" s="435"/>
      <c r="W75" s="435"/>
      <c r="X75" s="435"/>
      <c r="Y75" s="436"/>
    </row>
    <row r="76" spans="1:25" s="134" customFormat="1" ht="21" customHeight="1" thickBot="1" x14ac:dyDescent="0.25">
      <c r="A76" s="384"/>
      <c r="B76" s="391" t="str">
        <f>IF(ISBLANK(B74),"",CONCATENATE($E$17,$F$17,".",$G$17,".","0",RIGHT($B$64,1),".",RIGHT(L76,1),$A74,IF(COUNTIFS(B74,"*op?ional*")=1,"-ij","")))</f>
        <v>M025.23.03.A4-ij</v>
      </c>
      <c r="C76" s="392"/>
      <c r="D76" s="393"/>
      <c r="E76" s="301">
        <v>5</v>
      </c>
      <c r="F76" s="301" t="s">
        <v>4</v>
      </c>
      <c r="G76" s="302">
        <v>28</v>
      </c>
      <c r="H76" s="303">
        <v>0</v>
      </c>
      <c r="I76" s="303">
        <v>0</v>
      </c>
      <c r="J76" s="303">
        <v>21</v>
      </c>
      <c r="K76" s="304"/>
      <c r="L76" s="305" t="s">
        <v>295</v>
      </c>
      <c r="M76" s="306">
        <f>25*E76-SUM(G76:K76)</f>
        <v>76</v>
      </c>
      <c r="N76" s="391" t="str">
        <f>IF(ISBLANK(N74),"",CONCATENATE($E$17,$F$17,".",$G$17,".","0",RIGHT($N$64,1),".",RIGHT(X76,1),$A74,IF(COUNTIFS(N74,"*op?ional*")=1,"-ij","")))</f>
        <v/>
      </c>
      <c r="O76" s="392"/>
      <c r="P76" s="393"/>
      <c r="Q76" s="310"/>
      <c r="R76" s="310"/>
      <c r="S76" s="311"/>
      <c r="T76" s="312"/>
      <c r="U76" s="312"/>
      <c r="V76" s="312"/>
      <c r="W76" s="313"/>
      <c r="X76" s="314"/>
      <c r="Y76" s="315"/>
    </row>
    <row r="77" spans="1:25" s="134" customFormat="1" ht="21" customHeight="1" thickTop="1" x14ac:dyDescent="0.2">
      <c r="A77" s="382" t="s">
        <v>32</v>
      </c>
      <c r="B77" s="438" t="s">
        <v>304</v>
      </c>
      <c r="C77" s="439"/>
      <c r="D77" s="439"/>
      <c r="E77" s="439"/>
      <c r="F77" s="439"/>
      <c r="G77" s="439"/>
      <c r="H77" s="439"/>
      <c r="I77" s="439"/>
      <c r="J77" s="439"/>
      <c r="K77" s="439"/>
      <c r="L77" s="439"/>
      <c r="M77" s="440"/>
      <c r="N77" s="455"/>
      <c r="O77" s="433"/>
      <c r="P77" s="433"/>
      <c r="Q77" s="433"/>
      <c r="R77" s="433"/>
      <c r="S77" s="433"/>
      <c r="T77" s="433"/>
      <c r="U77" s="433"/>
      <c r="V77" s="433"/>
      <c r="W77" s="433"/>
      <c r="X77" s="433"/>
      <c r="Y77" s="434"/>
    </row>
    <row r="78" spans="1:25" s="134" customFormat="1" ht="21" customHeight="1" x14ac:dyDescent="0.2">
      <c r="A78" s="383"/>
      <c r="B78" s="428"/>
      <c r="C78" s="429"/>
      <c r="D78" s="429"/>
      <c r="E78" s="429"/>
      <c r="F78" s="429"/>
      <c r="G78" s="429"/>
      <c r="H78" s="429"/>
      <c r="I78" s="429"/>
      <c r="J78" s="429"/>
      <c r="K78" s="429"/>
      <c r="L78" s="429"/>
      <c r="M78" s="430"/>
      <c r="N78" s="456"/>
      <c r="O78" s="435"/>
      <c r="P78" s="435"/>
      <c r="Q78" s="435"/>
      <c r="R78" s="435"/>
      <c r="S78" s="435"/>
      <c r="T78" s="435"/>
      <c r="U78" s="435"/>
      <c r="V78" s="435"/>
      <c r="W78" s="435"/>
      <c r="X78" s="435"/>
      <c r="Y78" s="436"/>
    </row>
    <row r="79" spans="1:25" s="134" customFormat="1" ht="21" customHeight="1" thickBot="1" x14ac:dyDescent="0.25">
      <c r="A79" s="384"/>
      <c r="B79" s="391" t="str">
        <f>IF(ISBLANK(B77),"",CONCATENATE($E$17,$F$17,".",$G$17,".","0",RIGHT($B$64,1),".",RIGHT(L79,1),$A77,IF(COUNTIFS(B77,"*op?ional*")=1,"-ij","")))</f>
        <v>M025.23.03.V5</v>
      </c>
      <c r="C79" s="392"/>
      <c r="D79" s="393"/>
      <c r="E79" s="301">
        <v>8</v>
      </c>
      <c r="F79" s="301" t="s">
        <v>296</v>
      </c>
      <c r="G79" s="302">
        <v>0</v>
      </c>
      <c r="H79" s="303">
        <v>0</v>
      </c>
      <c r="I79" s="303">
        <v>0</v>
      </c>
      <c r="J79" s="303">
        <v>0</v>
      </c>
      <c r="K79" s="304">
        <v>154</v>
      </c>
      <c r="L79" s="305" t="s">
        <v>44</v>
      </c>
      <c r="M79" s="306">
        <f>25*E79-SUM(G79:K79)</f>
        <v>46</v>
      </c>
      <c r="N79" s="391" t="str">
        <f>IF(ISBLANK(N77),"",CONCATENATE($E$17,$F$17,".",$G$17,".","0",RIGHT($N$64,1),".",RIGHT(X79,1),$A77,IF(COUNTIFS(N77,"*op?ional*")=1,"-ij","")))</f>
        <v/>
      </c>
      <c r="O79" s="392"/>
      <c r="P79" s="393"/>
      <c r="Q79" s="310"/>
      <c r="R79" s="310"/>
      <c r="S79" s="311"/>
      <c r="T79" s="312"/>
      <c r="U79" s="312"/>
      <c r="V79" s="312"/>
      <c r="W79" s="313"/>
      <c r="X79" s="314"/>
      <c r="Y79" s="315"/>
    </row>
    <row r="80" spans="1:25" s="134" customFormat="1" ht="21" customHeight="1" thickTop="1" x14ac:dyDescent="0.2">
      <c r="A80" s="382" t="s">
        <v>50</v>
      </c>
      <c r="B80" s="438"/>
      <c r="C80" s="439"/>
      <c r="D80" s="439"/>
      <c r="E80" s="439"/>
      <c r="F80" s="439"/>
      <c r="G80" s="439"/>
      <c r="H80" s="439"/>
      <c r="I80" s="439"/>
      <c r="J80" s="439"/>
      <c r="K80" s="439"/>
      <c r="L80" s="439"/>
      <c r="M80" s="440"/>
      <c r="N80" s="455"/>
      <c r="O80" s="433"/>
      <c r="P80" s="433"/>
      <c r="Q80" s="433"/>
      <c r="R80" s="433"/>
      <c r="S80" s="433"/>
      <c r="T80" s="433"/>
      <c r="U80" s="433"/>
      <c r="V80" s="433"/>
      <c r="W80" s="433"/>
      <c r="X80" s="433"/>
      <c r="Y80" s="434"/>
    </row>
    <row r="81" spans="1:25" s="134" customFormat="1" ht="21" customHeight="1" x14ac:dyDescent="0.2">
      <c r="A81" s="383"/>
      <c r="B81" s="428"/>
      <c r="C81" s="429"/>
      <c r="D81" s="429"/>
      <c r="E81" s="429"/>
      <c r="F81" s="429"/>
      <c r="G81" s="429"/>
      <c r="H81" s="429"/>
      <c r="I81" s="429"/>
      <c r="J81" s="429"/>
      <c r="K81" s="429"/>
      <c r="L81" s="429"/>
      <c r="M81" s="430"/>
      <c r="N81" s="456"/>
      <c r="O81" s="435"/>
      <c r="P81" s="435"/>
      <c r="Q81" s="435"/>
      <c r="R81" s="435"/>
      <c r="S81" s="435"/>
      <c r="T81" s="435"/>
      <c r="U81" s="435"/>
      <c r="V81" s="435"/>
      <c r="W81" s="435"/>
      <c r="X81" s="435"/>
      <c r="Y81" s="436"/>
    </row>
    <row r="82" spans="1:25" s="134" customFormat="1" ht="21" customHeight="1" thickBot="1" x14ac:dyDescent="0.25">
      <c r="A82" s="384"/>
      <c r="B82" s="391" t="str">
        <f>IF(ISBLANK(B80),"",CONCATENATE($E$17,$F$17,".",$G$17,".","0",RIGHT($B$64,1),".",RIGHT(L82,1),$A80,IF(COUNTIFS(B80,"*op?ional*")=1,"-ij","")))</f>
        <v/>
      </c>
      <c r="C82" s="392"/>
      <c r="D82" s="393"/>
      <c r="E82" s="301"/>
      <c r="F82" s="301"/>
      <c r="G82" s="302"/>
      <c r="H82" s="303"/>
      <c r="I82" s="303"/>
      <c r="J82" s="326"/>
      <c r="K82" s="304"/>
      <c r="L82" s="305"/>
      <c r="M82" s="306"/>
      <c r="N82" s="391" t="str">
        <f>IF(ISBLANK(N80),"",CONCATENATE($E$17,$F$17,".",$G$17,".","0",RIGHT($N$64,1),".",RIGHT(X82,1),$A80,IF(COUNTIFS(N80,"*op?ional*")=1,"-ij","")))</f>
        <v/>
      </c>
      <c r="O82" s="392"/>
      <c r="P82" s="393"/>
      <c r="Q82" s="310"/>
      <c r="R82" s="310"/>
      <c r="S82" s="311"/>
      <c r="T82" s="312"/>
      <c r="U82" s="312"/>
      <c r="V82" s="312"/>
      <c r="W82" s="313"/>
      <c r="X82" s="314"/>
      <c r="Y82" s="315"/>
    </row>
    <row r="83" spans="1:25" s="134" customFormat="1" ht="21" customHeight="1" thickTop="1" x14ac:dyDescent="0.2">
      <c r="A83" s="382" t="s">
        <v>51</v>
      </c>
      <c r="B83" s="438"/>
      <c r="C83" s="439"/>
      <c r="D83" s="439"/>
      <c r="E83" s="439"/>
      <c r="F83" s="439"/>
      <c r="G83" s="439"/>
      <c r="H83" s="439"/>
      <c r="I83" s="439"/>
      <c r="J83" s="439"/>
      <c r="K83" s="439"/>
      <c r="L83" s="439"/>
      <c r="M83" s="440"/>
      <c r="N83" s="455"/>
      <c r="O83" s="433"/>
      <c r="P83" s="433"/>
      <c r="Q83" s="433"/>
      <c r="R83" s="433"/>
      <c r="S83" s="433"/>
      <c r="T83" s="433"/>
      <c r="U83" s="433"/>
      <c r="V83" s="433"/>
      <c r="W83" s="433"/>
      <c r="X83" s="433"/>
      <c r="Y83" s="434"/>
    </row>
    <row r="84" spans="1:25" s="134" customFormat="1" ht="21" customHeight="1" x14ac:dyDescent="0.2">
      <c r="A84" s="383"/>
      <c r="B84" s="428"/>
      <c r="C84" s="429"/>
      <c r="D84" s="429"/>
      <c r="E84" s="429"/>
      <c r="F84" s="429"/>
      <c r="G84" s="429"/>
      <c r="H84" s="429"/>
      <c r="I84" s="429"/>
      <c r="J84" s="429"/>
      <c r="K84" s="429"/>
      <c r="L84" s="429"/>
      <c r="M84" s="430"/>
      <c r="N84" s="456"/>
      <c r="O84" s="435"/>
      <c r="P84" s="435"/>
      <c r="Q84" s="435"/>
      <c r="R84" s="435"/>
      <c r="S84" s="435"/>
      <c r="T84" s="435"/>
      <c r="U84" s="435"/>
      <c r="V84" s="435"/>
      <c r="W84" s="435"/>
      <c r="X84" s="435"/>
      <c r="Y84" s="436"/>
    </row>
    <row r="85" spans="1:25" s="134" customFormat="1" ht="21" customHeight="1" thickBot="1" x14ac:dyDescent="0.25">
      <c r="A85" s="384"/>
      <c r="B85" s="391" t="str">
        <f>IF(ISBLANK(B83),"",CONCATENATE($E$17,$F$17,".",$G$17,".","0",RIGHT($B$64,1),".",RIGHT(L85,1),$A83,IF(COUNTIFS(B83,"*op?ional*")=1,"-ij","")))</f>
        <v/>
      </c>
      <c r="C85" s="392"/>
      <c r="D85" s="393"/>
      <c r="E85" s="301"/>
      <c r="F85" s="301"/>
      <c r="G85" s="302"/>
      <c r="H85" s="303"/>
      <c r="I85" s="303"/>
      <c r="J85" s="303"/>
      <c r="K85" s="304"/>
      <c r="L85" s="305"/>
      <c r="M85" s="306"/>
      <c r="N85" s="391" t="str">
        <f>IF(ISBLANK(N83),"",CONCATENATE($E$17,$F$17,".",$G$17,".","0",RIGHT($N$64,1),".",RIGHT(X85,1),$A83,IF(COUNTIFS(N83,"*op?ional*")=1,"-ij","")))</f>
        <v/>
      </c>
      <c r="O85" s="392"/>
      <c r="P85" s="393"/>
      <c r="Q85" s="310"/>
      <c r="R85" s="310"/>
      <c r="S85" s="311"/>
      <c r="T85" s="312"/>
      <c r="U85" s="312"/>
      <c r="V85" s="312"/>
      <c r="W85" s="313"/>
      <c r="X85" s="314"/>
      <c r="Y85" s="315"/>
    </row>
    <row r="86" spans="1:25" s="134" customFormat="1" ht="21" customHeight="1" thickTop="1" x14ac:dyDescent="0.2">
      <c r="A86" s="382" t="s">
        <v>221</v>
      </c>
      <c r="B86" s="438"/>
      <c r="C86" s="439"/>
      <c r="D86" s="439"/>
      <c r="E86" s="439"/>
      <c r="F86" s="439"/>
      <c r="G86" s="439"/>
      <c r="H86" s="439"/>
      <c r="I86" s="439"/>
      <c r="J86" s="439"/>
      <c r="K86" s="439"/>
      <c r="L86" s="439"/>
      <c r="M86" s="440"/>
      <c r="N86" s="455"/>
      <c r="O86" s="433"/>
      <c r="P86" s="433"/>
      <c r="Q86" s="433"/>
      <c r="R86" s="433"/>
      <c r="S86" s="433"/>
      <c r="T86" s="433"/>
      <c r="U86" s="433"/>
      <c r="V86" s="433"/>
      <c r="W86" s="433"/>
      <c r="X86" s="433"/>
      <c r="Y86" s="434"/>
    </row>
    <row r="87" spans="1:25" s="134" customFormat="1" ht="21" customHeight="1" x14ac:dyDescent="0.2">
      <c r="A87" s="383"/>
      <c r="B87" s="428"/>
      <c r="C87" s="429"/>
      <c r="D87" s="429"/>
      <c r="E87" s="429"/>
      <c r="F87" s="429"/>
      <c r="G87" s="429"/>
      <c r="H87" s="429"/>
      <c r="I87" s="429"/>
      <c r="J87" s="429"/>
      <c r="K87" s="429"/>
      <c r="L87" s="429"/>
      <c r="M87" s="430"/>
      <c r="N87" s="456"/>
      <c r="O87" s="435"/>
      <c r="P87" s="435"/>
      <c r="Q87" s="435"/>
      <c r="R87" s="435"/>
      <c r="S87" s="435"/>
      <c r="T87" s="435"/>
      <c r="U87" s="435"/>
      <c r="V87" s="435"/>
      <c r="W87" s="435"/>
      <c r="X87" s="435"/>
      <c r="Y87" s="436"/>
    </row>
    <row r="88" spans="1:25" s="134" customFormat="1" ht="21" customHeight="1" thickBot="1" x14ac:dyDescent="0.25">
      <c r="A88" s="384"/>
      <c r="B88" s="391" t="str">
        <f>IF(ISBLANK(B86),"",CONCATENATE($E$17,$F$17,".",$G$17,".","0",RIGHT($B$64,1),".",RIGHT(L88,1),$A86,IF(COUNTIFS(B86,"*op?ional*")=1,"-ij","")))</f>
        <v/>
      </c>
      <c r="C88" s="392"/>
      <c r="D88" s="393"/>
      <c r="E88" s="301"/>
      <c r="F88" s="301"/>
      <c r="G88" s="302"/>
      <c r="H88" s="303"/>
      <c r="I88" s="303"/>
      <c r="J88" s="303"/>
      <c r="K88" s="304"/>
      <c r="L88" s="305"/>
      <c r="M88" s="306"/>
      <c r="N88" s="391" t="str">
        <f>IF(ISBLANK(N86),"",CONCATENATE($E$17,$F$17,".",$G$17,".","0",RIGHT($N$64,1),".",RIGHT(X88,1),$A86,IF(COUNTIFS(N86,"*op?ional*")=1,"-ij","")))</f>
        <v/>
      </c>
      <c r="O88" s="392"/>
      <c r="P88" s="393"/>
      <c r="Q88" s="310"/>
      <c r="R88" s="310"/>
      <c r="S88" s="311"/>
      <c r="T88" s="312"/>
      <c r="U88" s="312"/>
      <c r="V88" s="312"/>
      <c r="W88" s="313"/>
      <c r="X88" s="314"/>
      <c r="Y88" s="315"/>
    </row>
    <row r="89" spans="1:25" s="134" customFormat="1" ht="21" customHeight="1" thickTop="1" x14ac:dyDescent="0.2">
      <c r="A89" s="382" t="s">
        <v>222</v>
      </c>
      <c r="B89" s="438"/>
      <c r="C89" s="439"/>
      <c r="D89" s="439"/>
      <c r="E89" s="439"/>
      <c r="F89" s="439"/>
      <c r="G89" s="439"/>
      <c r="H89" s="439"/>
      <c r="I89" s="439"/>
      <c r="J89" s="439"/>
      <c r="K89" s="439"/>
      <c r="L89" s="439"/>
      <c r="M89" s="440"/>
      <c r="N89" s="455"/>
      <c r="O89" s="433"/>
      <c r="P89" s="433"/>
      <c r="Q89" s="433"/>
      <c r="R89" s="433"/>
      <c r="S89" s="433"/>
      <c r="T89" s="433"/>
      <c r="U89" s="433"/>
      <c r="V89" s="433"/>
      <c r="W89" s="433"/>
      <c r="X89" s="433"/>
      <c r="Y89" s="434"/>
    </row>
    <row r="90" spans="1:25" s="134" customFormat="1" ht="21" customHeight="1" x14ac:dyDescent="0.2">
      <c r="A90" s="383"/>
      <c r="B90" s="428"/>
      <c r="C90" s="429"/>
      <c r="D90" s="429"/>
      <c r="E90" s="429"/>
      <c r="F90" s="429"/>
      <c r="G90" s="429"/>
      <c r="H90" s="429"/>
      <c r="I90" s="429"/>
      <c r="J90" s="429"/>
      <c r="K90" s="429"/>
      <c r="L90" s="429"/>
      <c r="M90" s="430"/>
      <c r="N90" s="456"/>
      <c r="O90" s="435"/>
      <c r="P90" s="435"/>
      <c r="Q90" s="435"/>
      <c r="R90" s="435"/>
      <c r="S90" s="435"/>
      <c r="T90" s="435"/>
      <c r="U90" s="435"/>
      <c r="V90" s="435"/>
      <c r="W90" s="435"/>
      <c r="X90" s="435"/>
      <c r="Y90" s="436"/>
    </row>
    <row r="91" spans="1:25" s="134" customFormat="1" ht="21" customHeight="1" thickBot="1" x14ac:dyDescent="0.25">
      <c r="A91" s="384"/>
      <c r="B91" s="391" t="str">
        <f>IF(ISBLANK(B89),"",CONCATENATE($E$17,$F$17,".",$G$17,".","0",RIGHT($B$64,1),".",RIGHT(L91,1),$A89,IF(COUNTIFS(B89,"*op?ional*")=1,"-ij","")))</f>
        <v/>
      </c>
      <c r="C91" s="392"/>
      <c r="D91" s="393"/>
      <c r="E91" s="301"/>
      <c r="F91" s="301"/>
      <c r="G91" s="302"/>
      <c r="H91" s="303"/>
      <c r="I91" s="303"/>
      <c r="J91" s="303"/>
      <c r="K91" s="304"/>
      <c r="L91" s="305"/>
      <c r="M91" s="306"/>
      <c r="N91" s="391" t="str">
        <f>IF(ISBLANK(N89),"",CONCATENATE($E$17,$F$17,".",$G$17,".","0",RIGHT($N$64,1),".",RIGHT(X91,1),$A89,IF(COUNTIFS(N89,"*op?ional*")=1,"-ij","")))</f>
        <v/>
      </c>
      <c r="O91" s="392"/>
      <c r="P91" s="393"/>
      <c r="Q91" s="310"/>
      <c r="R91" s="310"/>
      <c r="S91" s="311"/>
      <c r="T91" s="312"/>
      <c r="U91" s="312"/>
      <c r="V91" s="312"/>
      <c r="W91" s="313"/>
      <c r="X91" s="314"/>
      <c r="Y91" s="315"/>
    </row>
    <row r="92" spans="1:25" s="100" customFormat="1" ht="21" customHeight="1" thickTop="1" x14ac:dyDescent="0.2">
      <c r="A92" s="382" t="s">
        <v>238</v>
      </c>
      <c r="B92" s="404"/>
      <c r="C92" s="405"/>
      <c r="D92" s="405"/>
      <c r="E92" s="405"/>
      <c r="F92" s="405"/>
      <c r="G92" s="405"/>
      <c r="H92" s="405"/>
      <c r="I92" s="405"/>
      <c r="J92" s="405"/>
      <c r="K92" s="405"/>
      <c r="L92" s="405"/>
      <c r="M92" s="406"/>
      <c r="N92" s="404" t="s">
        <v>319</v>
      </c>
      <c r="O92" s="405"/>
      <c r="P92" s="405"/>
      <c r="Q92" s="405"/>
      <c r="R92" s="405"/>
      <c r="S92" s="405"/>
      <c r="T92" s="405"/>
      <c r="U92" s="405"/>
      <c r="V92" s="405"/>
      <c r="W92" s="405"/>
      <c r="X92" s="405"/>
      <c r="Y92" s="406"/>
    </row>
    <row r="93" spans="1:25" s="100" customFormat="1" ht="21" customHeight="1" x14ac:dyDescent="0.2">
      <c r="A93" s="383"/>
      <c r="B93" s="407"/>
      <c r="C93" s="408"/>
      <c r="D93" s="408"/>
      <c r="E93" s="408"/>
      <c r="F93" s="408"/>
      <c r="G93" s="408"/>
      <c r="H93" s="408"/>
      <c r="I93" s="408"/>
      <c r="J93" s="408"/>
      <c r="K93" s="408"/>
      <c r="L93" s="408"/>
      <c r="M93" s="409"/>
      <c r="N93" s="407"/>
      <c r="O93" s="408"/>
      <c r="P93" s="408"/>
      <c r="Q93" s="408"/>
      <c r="R93" s="408"/>
      <c r="S93" s="408"/>
      <c r="T93" s="408"/>
      <c r="U93" s="408"/>
      <c r="V93" s="408"/>
      <c r="W93" s="408"/>
      <c r="X93" s="408"/>
      <c r="Y93" s="409"/>
    </row>
    <row r="94" spans="1:25" s="100" customFormat="1" ht="21" customHeight="1" thickBot="1" x14ac:dyDescent="0.25">
      <c r="A94" s="384"/>
      <c r="B94" s="391" t="str">
        <f>IF(ISBLANK(B92),"",CONCATENATE($E$17,$F$17,".",$G$17,".","0",RIGHT($B$64,1),".",RIGHT(L94,1),$A92,"-ij"))</f>
        <v/>
      </c>
      <c r="C94" s="392"/>
      <c r="D94" s="393"/>
      <c r="E94" s="345"/>
      <c r="F94" s="345"/>
      <c r="G94" s="346"/>
      <c r="H94" s="347"/>
      <c r="I94" s="347"/>
      <c r="J94" s="347"/>
      <c r="K94" s="348"/>
      <c r="L94" s="345"/>
      <c r="M94" s="349"/>
      <c r="N94" s="391" t="str">
        <f>IF(ISBLANK(N92),"",CONCATENATE($E$17,$F$17,".",$G$17,".","0",RIGHT($N$64,1),".",RIGHT(X94,1),$A92,"-ij"))</f>
        <v>M025.23.04.f10-ij</v>
      </c>
      <c r="O94" s="392"/>
      <c r="P94" s="393"/>
      <c r="Q94" s="350"/>
      <c r="R94" s="350"/>
      <c r="S94" s="351"/>
      <c r="T94" s="352"/>
      <c r="U94" s="352"/>
      <c r="V94" s="352"/>
      <c r="W94" s="353"/>
      <c r="X94" s="345" t="s">
        <v>320</v>
      </c>
      <c r="Y94" s="349"/>
    </row>
    <row r="95" spans="1:25" s="70" customFormat="1" ht="21" customHeight="1" thickTop="1" x14ac:dyDescent="0.2">
      <c r="A95" s="441" t="s">
        <v>48</v>
      </c>
      <c r="B95" s="101" t="s">
        <v>52</v>
      </c>
      <c r="C95" s="102"/>
      <c r="D95" s="102"/>
      <c r="E95" s="421">
        <f>SUM(G67:J67,G70:J70,G73:J73,G76:J76,G79:J79,G82:J82,G91:J91,G85:J85,G88:J88)</f>
        <v>210</v>
      </c>
      <c r="F95" s="422"/>
      <c r="G95" s="103" t="s">
        <v>5</v>
      </c>
      <c r="H95" s="104"/>
      <c r="I95" s="104"/>
      <c r="J95" s="104"/>
      <c r="K95" s="104"/>
      <c r="L95" s="105"/>
      <c r="M95" s="106">
        <f>SUM(M67,M70,M73,M76,M79,M82,M91,M85,M88)</f>
        <v>386</v>
      </c>
      <c r="N95" s="101" t="s">
        <v>52</v>
      </c>
      <c r="O95" s="102"/>
      <c r="P95" s="102"/>
      <c r="Q95" s="457">
        <f>SUM(S67:V67,S70:V70,S73:V73,S76:V76,S79:V79,S82:V82,S91:V91,S85:V85,S88:V88)</f>
        <v>0</v>
      </c>
      <c r="R95" s="458"/>
      <c r="S95" s="103" t="s">
        <v>5</v>
      </c>
      <c r="T95" s="104"/>
      <c r="U95" s="104"/>
      <c r="V95" s="104"/>
      <c r="W95" s="104"/>
      <c r="X95" s="105"/>
      <c r="Y95" s="135">
        <f>SUM(Y67,Y70,Y73,Y76,Y79,Y82,Y85,Y88,Y91)</f>
        <v>386</v>
      </c>
    </row>
    <row r="96" spans="1:25" s="70" customFormat="1" ht="21" customHeight="1" x14ac:dyDescent="0.2">
      <c r="A96" s="442"/>
      <c r="B96" s="431" t="s">
        <v>53</v>
      </c>
      <c r="C96" s="432"/>
      <c r="D96" s="432"/>
      <c r="E96" s="419">
        <f>SUM(G67:K67,G70:K70,G73:K73,G76:K76,G79:K79,G82:K82,G91:K91,G85:K85,G88:K88)</f>
        <v>364</v>
      </c>
      <c r="F96" s="420"/>
      <c r="G96" s="431" t="s">
        <v>55</v>
      </c>
      <c r="H96" s="432"/>
      <c r="I96" s="432"/>
      <c r="J96" s="107"/>
      <c r="K96" s="107"/>
      <c r="L96" s="108"/>
      <c r="M96" s="109">
        <f>E96+M95</f>
        <v>750</v>
      </c>
      <c r="N96" s="431" t="s">
        <v>53</v>
      </c>
      <c r="O96" s="432"/>
      <c r="P96" s="432"/>
      <c r="Q96" s="459">
        <f>SUM(S67:W67,S70:W70,S73:W73,S76:W76,S79:W79,S82:W82,S91:W91,S85:W85,S88:W88)</f>
        <v>364</v>
      </c>
      <c r="R96" s="460"/>
      <c r="S96" s="431" t="s">
        <v>55</v>
      </c>
      <c r="T96" s="432"/>
      <c r="U96" s="432"/>
      <c r="V96" s="110"/>
      <c r="W96" s="110"/>
      <c r="X96" s="111"/>
      <c r="Y96" s="136">
        <f>Q96+Y95</f>
        <v>750</v>
      </c>
    </row>
    <row r="97" spans="1:49" s="70" customFormat="1" ht="21" customHeight="1" thickBot="1" x14ac:dyDescent="0.25">
      <c r="A97" s="461"/>
      <c r="B97" s="453" t="s">
        <v>6</v>
      </c>
      <c r="C97" s="454"/>
      <c r="D97" s="113"/>
      <c r="E97" s="417">
        <f>SUM(E67,E70,E73,E76,E79,E82,E91,E85,E88)</f>
        <v>30</v>
      </c>
      <c r="F97" s="418"/>
      <c r="G97" s="453" t="s">
        <v>7</v>
      </c>
      <c r="H97" s="454"/>
      <c r="I97" s="454"/>
      <c r="J97" s="454"/>
      <c r="K97" s="454"/>
      <c r="L97" s="488" t="str">
        <f>AZ421</f>
        <v>4E,1D,0C</v>
      </c>
      <c r="M97" s="489"/>
      <c r="N97" s="453" t="s">
        <v>6</v>
      </c>
      <c r="O97" s="454"/>
      <c r="P97" s="114"/>
      <c r="Q97" s="415" t="str">
        <f>CONCATENATE(SUM(Q67,Q70,Q73,Q76,Q79,Q82,Q85,Q88,Q91,-CP449),"+",CP449,"*")</f>
        <v>30+10*</v>
      </c>
      <c r="R97" s="416"/>
      <c r="S97" s="453" t="s">
        <v>7</v>
      </c>
      <c r="T97" s="454"/>
      <c r="U97" s="454"/>
      <c r="V97" s="454"/>
      <c r="W97" s="115"/>
      <c r="X97" s="423" t="str">
        <f>AZ422</f>
        <v>1E,2D,0C</v>
      </c>
      <c r="Y97" s="424"/>
    </row>
    <row r="98" spans="1:49" s="70" customFormat="1" ht="21" customHeight="1" thickTop="1" x14ac:dyDescent="0.2">
      <c r="A98" s="441" t="s">
        <v>49</v>
      </c>
      <c r="B98" s="101" t="s">
        <v>52</v>
      </c>
      <c r="C98" s="102"/>
      <c r="D98" s="102"/>
      <c r="E98" s="410">
        <f>SUM(G100:J100)</f>
        <v>15</v>
      </c>
      <c r="F98" s="411"/>
      <c r="G98" s="103" t="s">
        <v>5</v>
      </c>
      <c r="H98" s="104"/>
      <c r="I98" s="104"/>
      <c r="J98" s="104"/>
      <c r="K98" s="104"/>
      <c r="L98" s="105"/>
      <c r="M98" s="116">
        <f>M95/14</f>
        <v>27.571428571428573</v>
      </c>
      <c r="N98" s="101" t="s">
        <v>52</v>
      </c>
      <c r="O98" s="102"/>
      <c r="P98" s="102"/>
      <c r="Q98" s="410">
        <f>SUM(S100:V100)</f>
        <v>0</v>
      </c>
      <c r="R98" s="411"/>
      <c r="S98" s="103" t="s">
        <v>5</v>
      </c>
      <c r="T98" s="104"/>
      <c r="U98" s="104"/>
      <c r="V98" s="104"/>
      <c r="W98" s="104"/>
      <c r="X98" s="117"/>
      <c r="Y98" s="118">
        <f>Y95/14</f>
        <v>27.571428571428573</v>
      </c>
    </row>
    <row r="99" spans="1:49" s="70" customFormat="1" ht="21" customHeight="1" x14ac:dyDescent="0.2">
      <c r="A99" s="442"/>
      <c r="B99" s="431" t="s">
        <v>53</v>
      </c>
      <c r="C99" s="432"/>
      <c r="D99" s="432"/>
      <c r="E99" s="412">
        <f>SUM(G100:K100)</f>
        <v>26</v>
      </c>
      <c r="F99" s="413"/>
      <c r="G99" s="431" t="s">
        <v>55</v>
      </c>
      <c r="H99" s="432"/>
      <c r="I99" s="432"/>
      <c r="J99" s="107"/>
      <c r="K99" s="107"/>
      <c r="L99" s="88"/>
      <c r="M99" s="119">
        <f>E99+M98</f>
        <v>53.571428571428569</v>
      </c>
      <c r="N99" s="431" t="s">
        <v>53</v>
      </c>
      <c r="O99" s="432"/>
      <c r="P99" s="432"/>
      <c r="Q99" s="412">
        <f>SUM(S100:W100)</f>
        <v>26</v>
      </c>
      <c r="R99" s="413"/>
      <c r="S99" s="431" t="s">
        <v>55</v>
      </c>
      <c r="T99" s="432"/>
      <c r="U99" s="432"/>
      <c r="V99" s="120"/>
      <c r="W99" s="120"/>
      <c r="X99" s="121"/>
      <c r="Y99" s="122">
        <f>Y96/14</f>
        <v>53.571428571428569</v>
      </c>
    </row>
    <row r="100" spans="1:49" s="70" customFormat="1" ht="21" customHeight="1" thickBot="1" x14ac:dyDescent="0.25">
      <c r="A100" s="443"/>
      <c r="B100" s="453" t="s">
        <v>8</v>
      </c>
      <c r="C100" s="454"/>
      <c r="D100" s="123"/>
      <c r="E100" s="123"/>
      <c r="F100" s="124"/>
      <c r="G100" s="125">
        <f>(G67+G70+G73+G76+G79+G82+G91+G85+G88)/14</f>
        <v>8</v>
      </c>
      <c r="H100" s="125">
        <f>(H67+H70+H73+H76+H79+H82+H91+H85+H88)/14</f>
        <v>0</v>
      </c>
      <c r="I100" s="125">
        <f t="shared" ref="I100:K100" si="2">(I67+I70+I73+I76+I79+I82+I91+I85+I88)/14</f>
        <v>2.5</v>
      </c>
      <c r="J100" s="125">
        <f t="shared" si="2"/>
        <v>4.5</v>
      </c>
      <c r="K100" s="125">
        <f t="shared" si="2"/>
        <v>11</v>
      </c>
      <c r="L100" s="490" t="s">
        <v>54</v>
      </c>
      <c r="M100" s="491"/>
      <c r="N100" s="453" t="s">
        <v>8</v>
      </c>
      <c r="O100" s="454"/>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90" t="s">
        <v>54</v>
      </c>
      <c r="Y100" s="491"/>
    </row>
    <row r="101" spans="1:49" ht="21" customHeight="1" thickTop="1" x14ac:dyDescent="0.2">
      <c r="A101" s="414" t="s">
        <v>267</v>
      </c>
      <c r="B101" s="414"/>
      <c r="C101" s="414"/>
      <c r="D101" s="414"/>
      <c r="E101" s="414"/>
      <c r="F101" s="414"/>
      <c r="G101" s="414"/>
      <c r="H101" s="414"/>
      <c r="I101" s="414"/>
      <c r="J101" s="414"/>
      <c r="K101" s="414"/>
      <c r="L101" s="414"/>
      <c r="M101" s="414"/>
      <c r="N101" s="414"/>
      <c r="O101" s="414"/>
      <c r="P101" s="414"/>
      <c r="Q101" s="414"/>
      <c r="R101" s="414"/>
      <c r="S101" s="414"/>
      <c r="T101" s="414"/>
      <c r="U101" s="414"/>
      <c r="V101" s="414"/>
      <c r="W101" s="414"/>
      <c r="X101" s="414"/>
      <c r="Y101" s="414"/>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394" t="s">
        <v>266</v>
      </c>
      <c r="B102" s="394"/>
      <c r="C102" s="394"/>
      <c r="D102" s="394"/>
      <c r="E102" s="394"/>
      <c r="F102" s="394"/>
      <c r="G102" s="394"/>
      <c r="H102" s="394"/>
      <c r="I102" s="394"/>
      <c r="J102" s="394"/>
      <c r="K102" s="394"/>
      <c r="L102" s="394"/>
      <c r="M102" s="394"/>
      <c r="N102" s="394"/>
      <c r="O102" s="394"/>
      <c r="P102" s="394"/>
      <c r="Q102" s="394"/>
      <c r="R102" s="394"/>
      <c r="S102" s="394"/>
      <c r="T102" s="394"/>
      <c r="U102" s="394"/>
      <c r="V102" s="394"/>
      <c r="W102" s="394"/>
      <c r="X102" s="394"/>
      <c r="Y102" s="394"/>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398" t="s">
        <v>37</v>
      </c>
      <c r="B109" s="398"/>
      <c r="C109" s="398"/>
      <c r="D109" s="398"/>
      <c r="E109" s="398"/>
      <c r="F109" s="398"/>
      <c r="G109" s="398"/>
      <c r="H109" s="398"/>
      <c r="I109" s="398"/>
      <c r="J109" s="398"/>
      <c r="K109" s="398"/>
      <c r="L109" s="398"/>
      <c r="M109" s="398"/>
      <c r="N109" s="398"/>
      <c r="O109" s="398"/>
      <c r="P109" s="398"/>
      <c r="Q109" s="398"/>
      <c r="R109" s="398"/>
      <c r="S109" s="398"/>
      <c r="T109" s="398"/>
      <c r="U109" s="398"/>
      <c r="V109" s="398"/>
      <c r="W109" s="398"/>
      <c r="X109" s="398"/>
      <c r="Y109" s="398"/>
    </row>
    <row r="110" spans="1:49" s="98" customFormat="1" ht="21" customHeight="1" x14ac:dyDescent="0.25">
      <c r="A110" s="399" t="str">
        <f>A20</f>
        <v>Pentru seria de studenti 2023-2025</v>
      </c>
      <c r="B110" s="399"/>
      <c r="C110" s="399"/>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row>
    <row r="111" spans="1:49" ht="21" customHeight="1" thickBot="1" x14ac:dyDescent="0.3">
      <c r="A111" s="400" t="str">
        <f>A21</f>
        <v>ANUL I (2023-2024)</v>
      </c>
      <c r="B111" s="400"/>
      <c r="C111" s="400"/>
      <c r="D111" s="400"/>
      <c r="E111" s="400"/>
      <c r="F111" s="400"/>
      <c r="G111" s="400"/>
      <c r="H111" s="400"/>
      <c r="I111" s="400"/>
      <c r="J111" s="400"/>
      <c r="K111" s="400"/>
      <c r="L111" s="400"/>
      <c r="M111" s="400"/>
      <c r="N111" s="400"/>
      <c r="O111" s="400"/>
      <c r="P111" s="400"/>
      <c r="Q111" s="400"/>
      <c r="R111" s="400"/>
      <c r="S111" s="400"/>
      <c r="T111" s="400"/>
      <c r="U111" s="400"/>
      <c r="V111" s="400"/>
      <c r="W111" s="400"/>
      <c r="X111" s="400"/>
      <c r="Y111" s="400"/>
    </row>
    <row r="112" spans="1:49" ht="21" customHeight="1" thickTop="1" thickBot="1" x14ac:dyDescent="0.25">
      <c r="A112" s="99"/>
      <c r="B112" s="401" t="s">
        <v>0</v>
      </c>
      <c r="C112" s="402"/>
      <c r="D112" s="402"/>
      <c r="E112" s="402"/>
      <c r="F112" s="402"/>
      <c r="G112" s="402"/>
      <c r="H112" s="402"/>
      <c r="I112" s="402"/>
      <c r="J112" s="402"/>
      <c r="K112" s="402"/>
      <c r="L112" s="402"/>
      <c r="M112" s="403"/>
      <c r="N112" s="402" t="s">
        <v>1</v>
      </c>
      <c r="O112" s="402"/>
      <c r="P112" s="402"/>
      <c r="Q112" s="402"/>
      <c r="R112" s="402"/>
      <c r="S112" s="402"/>
      <c r="T112" s="402"/>
      <c r="U112" s="402"/>
      <c r="V112" s="402"/>
      <c r="W112" s="402"/>
      <c r="X112" s="402"/>
      <c r="Y112" s="403"/>
    </row>
    <row r="113" spans="1:25" s="134" customFormat="1" ht="21" customHeight="1" thickTop="1" x14ac:dyDescent="0.2">
      <c r="A113" s="383" t="s">
        <v>33</v>
      </c>
      <c r="B113" s="450"/>
      <c r="C113" s="451"/>
      <c r="D113" s="451"/>
      <c r="E113" s="451"/>
      <c r="F113" s="451"/>
      <c r="G113" s="451"/>
      <c r="H113" s="451"/>
      <c r="I113" s="451"/>
      <c r="J113" s="451"/>
      <c r="K113" s="451"/>
      <c r="L113" s="451"/>
      <c r="M113" s="452"/>
      <c r="N113" s="450" t="s">
        <v>305</v>
      </c>
      <c r="O113" s="451"/>
      <c r="P113" s="451"/>
      <c r="Q113" s="451"/>
      <c r="R113" s="451"/>
      <c r="S113" s="451"/>
      <c r="T113" s="451"/>
      <c r="U113" s="451"/>
      <c r="V113" s="451"/>
      <c r="W113" s="451"/>
      <c r="X113" s="451"/>
      <c r="Y113" s="452"/>
    </row>
    <row r="114" spans="1:25" s="134" customFormat="1" ht="21" customHeight="1" x14ac:dyDescent="0.2">
      <c r="A114" s="383"/>
      <c r="B114" s="447"/>
      <c r="C114" s="448"/>
      <c r="D114" s="448"/>
      <c r="E114" s="448"/>
      <c r="F114" s="448"/>
      <c r="G114" s="448"/>
      <c r="H114" s="448"/>
      <c r="I114" s="448"/>
      <c r="J114" s="448"/>
      <c r="K114" s="448"/>
      <c r="L114" s="448"/>
      <c r="M114" s="449"/>
      <c r="N114" s="447"/>
      <c r="O114" s="448"/>
      <c r="P114" s="448"/>
      <c r="Q114" s="448"/>
      <c r="R114" s="448"/>
      <c r="S114" s="448"/>
      <c r="T114" s="448"/>
      <c r="U114" s="448"/>
      <c r="V114" s="448"/>
      <c r="W114" s="448"/>
      <c r="X114" s="448"/>
      <c r="Y114" s="449"/>
    </row>
    <row r="115" spans="1:25" s="134" customFormat="1" ht="21" customHeight="1" thickBot="1" x14ac:dyDescent="0.25">
      <c r="A115" s="384"/>
      <c r="B115" s="391" t="str">
        <f>IF(ISBLANK(B113),"",CONCATENATE(LEFT(INDEX(B$23:B$49,MATCH(LEFT(B113,11)&amp;"*",B$23:B$49,0)+2),FIND("-",INDEX(B$23:B$49,MATCH(LEFT(B113,11)&amp;"*",B$23:B$49,0)+2))),$A113))</f>
        <v/>
      </c>
      <c r="C115" s="392"/>
      <c r="D115" s="393"/>
      <c r="E115" s="301"/>
      <c r="F115" s="301"/>
      <c r="G115" s="302"/>
      <c r="H115" s="303"/>
      <c r="I115" s="303"/>
      <c r="J115" s="303"/>
      <c r="K115" s="304"/>
      <c r="L115" s="305"/>
      <c r="M115" s="306"/>
      <c r="N115" s="391" t="str">
        <f>IF(ISBLANK(N113),"",CONCATENATE(LEFT(INDEX(N$23:N$49,MATCH(LEFT(N113,11)&amp;"*",N$23:N$49,0)+2),FIND("-",INDEX(N$23:N$49,MATCH(LEFT(N113,11)&amp;"*",N$23:N$49,0)+2))),$A113))</f>
        <v>M025.23.02.S3-01</v>
      </c>
      <c r="O115" s="392"/>
      <c r="P115" s="393"/>
      <c r="Q115" s="301">
        <v>5</v>
      </c>
      <c r="R115" s="301" t="s">
        <v>4</v>
      </c>
      <c r="S115" s="302">
        <v>28</v>
      </c>
      <c r="T115" s="303">
        <v>0</v>
      </c>
      <c r="U115" s="303">
        <v>7</v>
      </c>
      <c r="V115" s="303">
        <v>14</v>
      </c>
      <c r="W115" s="304"/>
      <c r="X115" s="305" t="s">
        <v>152</v>
      </c>
      <c r="Y115" s="306">
        <f>25*Q115-SUM(S115:W115)</f>
        <v>76</v>
      </c>
    </row>
    <row r="116" spans="1:25" s="134" customFormat="1" ht="21" customHeight="1" thickTop="1" x14ac:dyDescent="0.2">
      <c r="A116" s="383" t="s">
        <v>34</v>
      </c>
      <c r="B116" s="444"/>
      <c r="C116" s="445"/>
      <c r="D116" s="445"/>
      <c r="E116" s="445"/>
      <c r="F116" s="445"/>
      <c r="G116" s="445"/>
      <c r="H116" s="445"/>
      <c r="I116" s="445"/>
      <c r="J116" s="445"/>
      <c r="K116" s="445"/>
      <c r="L116" s="445"/>
      <c r="M116" s="446"/>
      <c r="N116" s="450" t="s">
        <v>306</v>
      </c>
      <c r="O116" s="451"/>
      <c r="P116" s="451"/>
      <c r="Q116" s="451"/>
      <c r="R116" s="451"/>
      <c r="S116" s="451"/>
      <c r="T116" s="451"/>
      <c r="U116" s="451"/>
      <c r="V116" s="451"/>
      <c r="W116" s="451"/>
      <c r="X116" s="451"/>
      <c r="Y116" s="452"/>
    </row>
    <row r="117" spans="1:25" s="134" customFormat="1" ht="21" customHeight="1" x14ac:dyDescent="0.2">
      <c r="A117" s="383"/>
      <c r="B117" s="447"/>
      <c r="C117" s="448"/>
      <c r="D117" s="448"/>
      <c r="E117" s="448"/>
      <c r="F117" s="448"/>
      <c r="G117" s="448"/>
      <c r="H117" s="448"/>
      <c r="I117" s="448"/>
      <c r="J117" s="448"/>
      <c r="K117" s="448"/>
      <c r="L117" s="448"/>
      <c r="M117" s="449"/>
      <c r="N117" s="447"/>
      <c r="O117" s="448"/>
      <c r="P117" s="448"/>
      <c r="Q117" s="448"/>
      <c r="R117" s="448"/>
      <c r="S117" s="448"/>
      <c r="T117" s="448"/>
      <c r="U117" s="448"/>
      <c r="V117" s="448"/>
      <c r="W117" s="448"/>
      <c r="X117" s="448"/>
      <c r="Y117" s="449"/>
    </row>
    <row r="118" spans="1:25" s="134" customFormat="1" ht="21" customHeight="1" thickBot="1" x14ac:dyDescent="0.25">
      <c r="A118" s="384"/>
      <c r="B118" s="391" t="str">
        <f>IF(ISBLANK(B116),"",CONCATENATE(LEFT(INDEX(B$23:B$49,MATCH(LEFT(B116,11)&amp;"*",B$23:B$49,0)+2),FIND("-",INDEX(B$23:B$49,MATCH(LEFT(B116,11)&amp;"*",B$23:B$49,0)+2))),$A116))</f>
        <v/>
      </c>
      <c r="C118" s="392"/>
      <c r="D118" s="393"/>
      <c r="E118" s="301"/>
      <c r="F118" s="301"/>
      <c r="G118" s="302"/>
      <c r="H118" s="303"/>
      <c r="I118" s="303"/>
      <c r="J118" s="303"/>
      <c r="K118" s="304"/>
      <c r="L118" s="305"/>
      <c r="M118" s="306"/>
      <c r="N118" s="391" t="str">
        <f>IF(ISBLANK(N116),"",CONCATENATE(LEFT(INDEX(N$23:N$49,MATCH(LEFT(N116,11)&amp;"*",N$23:N$49,0)+2),FIND("-",INDEX(N$23:N$49,MATCH(LEFT(N116,11)&amp;"*",N$23:N$49,0)+2))),$A116))</f>
        <v>M025.23.02.S3-02</v>
      </c>
      <c r="O118" s="392"/>
      <c r="P118" s="393"/>
      <c r="Q118" s="301">
        <v>5</v>
      </c>
      <c r="R118" s="301" t="s">
        <v>4</v>
      </c>
      <c r="S118" s="302">
        <v>28</v>
      </c>
      <c r="T118" s="303">
        <v>0</v>
      </c>
      <c r="U118" s="303">
        <v>7</v>
      </c>
      <c r="V118" s="303">
        <v>14</v>
      </c>
      <c r="W118" s="304"/>
      <c r="X118" s="305" t="s">
        <v>152</v>
      </c>
      <c r="Y118" s="306">
        <f>25*Q118-SUM(S118:W118)</f>
        <v>76</v>
      </c>
    </row>
    <row r="119" spans="1:25" s="134" customFormat="1" ht="21" customHeight="1" thickTop="1" x14ac:dyDescent="0.2">
      <c r="A119" s="382" t="s">
        <v>35</v>
      </c>
      <c r="B119" s="450"/>
      <c r="C119" s="451"/>
      <c r="D119" s="451"/>
      <c r="E119" s="451"/>
      <c r="F119" s="451"/>
      <c r="G119" s="451"/>
      <c r="H119" s="451"/>
      <c r="I119" s="451"/>
      <c r="J119" s="451"/>
      <c r="K119" s="451"/>
      <c r="L119" s="451"/>
      <c r="M119" s="452"/>
      <c r="N119" s="450" t="s">
        <v>307</v>
      </c>
      <c r="O119" s="451"/>
      <c r="P119" s="451"/>
      <c r="Q119" s="451"/>
      <c r="R119" s="451"/>
      <c r="S119" s="451"/>
      <c r="T119" s="451"/>
      <c r="U119" s="451"/>
      <c r="V119" s="451"/>
      <c r="W119" s="451"/>
      <c r="X119" s="451"/>
      <c r="Y119" s="452"/>
    </row>
    <row r="120" spans="1:25" s="134" customFormat="1" ht="21" customHeight="1" x14ac:dyDescent="0.2">
      <c r="A120" s="383"/>
      <c r="B120" s="447"/>
      <c r="C120" s="448"/>
      <c r="D120" s="448"/>
      <c r="E120" s="448"/>
      <c r="F120" s="448"/>
      <c r="G120" s="448"/>
      <c r="H120" s="448"/>
      <c r="I120" s="448"/>
      <c r="J120" s="448"/>
      <c r="K120" s="448"/>
      <c r="L120" s="448"/>
      <c r="M120" s="449"/>
      <c r="N120" s="447"/>
      <c r="O120" s="448"/>
      <c r="P120" s="448"/>
      <c r="Q120" s="448"/>
      <c r="R120" s="448"/>
      <c r="S120" s="448"/>
      <c r="T120" s="448"/>
      <c r="U120" s="448"/>
      <c r="V120" s="448"/>
      <c r="W120" s="448"/>
      <c r="X120" s="448"/>
      <c r="Y120" s="449"/>
    </row>
    <row r="121" spans="1:25" s="134" customFormat="1" ht="21" customHeight="1" thickBot="1" x14ac:dyDescent="0.25">
      <c r="A121" s="384"/>
      <c r="B121" s="391" t="str">
        <f>IF(ISBLANK(B119),"",CONCATENATE(LEFT(INDEX(B$23:B$49,MATCH(LEFT(B119,11)&amp;"*",B$23:B$49,0)+2),FIND("-",INDEX(B$23:B$49,MATCH(LEFT(B119,11)&amp;"*",B$23:B$49,0)+2))),$A119))</f>
        <v/>
      </c>
      <c r="C121" s="392"/>
      <c r="D121" s="393"/>
      <c r="E121" s="301"/>
      <c r="F121" s="301"/>
      <c r="G121" s="302"/>
      <c r="H121" s="303"/>
      <c r="I121" s="303"/>
      <c r="J121" s="303"/>
      <c r="K121" s="304"/>
      <c r="L121" s="305"/>
      <c r="M121" s="306"/>
      <c r="N121" s="391" t="str">
        <f>IF(ISBLANK(N119),"",CONCATENATE(LEFT(INDEX(N$23:N$49,MATCH(LEFT(N119,11)&amp;"*",N$23:N$49,0)+2),FIND("-",INDEX(N$23:N$49,MATCH(LEFT(N119,11)&amp;"*",N$23:N$49,0)+2))),$A119))</f>
        <v>M025.23.02.S3-03</v>
      </c>
      <c r="O121" s="392"/>
      <c r="P121" s="393"/>
      <c r="Q121" s="301">
        <v>5</v>
      </c>
      <c r="R121" s="301" t="s">
        <v>4</v>
      </c>
      <c r="S121" s="302">
        <v>28</v>
      </c>
      <c r="T121" s="303">
        <v>0</v>
      </c>
      <c r="U121" s="303">
        <v>7</v>
      </c>
      <c r="V121" s="303">
        <v>14</v>
      </c>
      <c r="W121" s="304"/>
      <c r="X121" s="305" t="s">
        <v>152</v>
      </c>
      <c r="Y121" s="306">
        <f>25*Q121-SUM(S121:W121)</f>
        <v>76</v>
      </c>
    </row>
    <row r="122" spans="1:25" s="134" customFormat="1" ht="21" customHeight="1" thickTop="1" x14ac:dyDescent="0.2">
      <c r="A122" s="382" t="s">
        <v>36</v>
      </c>
      <c r="B122" s="450"/>
      <c r="C122" s="451"/>
      <c r="D122" s="451"/>
      <c r="E122" s="451"/>
      <c r="F122" s="451"/>
      <c r="G122" s="451"/>
      <c r="H122" s="451"/>
      <c r="I122" s="451"/>
      <c r="J122" s="451"/>
      <c r="K122" s="451"/>
      <c r="L122" s="451"/>
      <c r="M122" s="452"/>
      <c r="N122" s="450" t="s">
        <v>308</v>
      </c>
      <c r="O122" s="451"/>
      <c r="P122" s="451"/>
      <c r="Q122" s="451"/>
      <c r="R122" s="451"/>
      <c r="S122" s="451"/>
      <c r="T122" s="451"/>
      <c r="U122" s="451"/>
      <c r="V122" s="451"/>
      <c r="W122" s="451"/>
      <c r="X122" s="451"/>
      <c r="Y122" s="452"/>
    </row>
    <row r="123" spans="1:25" s="134" customFormat="1" ht="21" customHeight="1" x14ac:dyDescent="0.2">
      <c r="A123" s="383"/>
      <c r="B123" s="447"/>
      <c r="C123" s="448"/>
      <c r="D123" s="448"/>
      <c r="E123" s="448"/>
      <c r="F123" s="448"/>
      <c r="G123" s="448"/>
      <c r="H123" s="448"/>
      <c r="I123" s="448"/>
      <c r="J123" s="448"/>
      <c r="K123" s="448"/>
      <c r="L123" s="448"/>
      <c r="M123" s="449"/>
      <c r="N123" s="447"/>
      <c r="O123" s="448"/>
      <c r="P123" s="448"/>
      <c r="Q123" s="448"/>
      <c r="R123" s="448"/>
      <c r="S123" s="448"/>
      <c r="T123" s="448"/>
      <c r="U123" s="448"/>
      <c r="V123" s="448"/>
      <c r="W123" s="448"/>
      <c r="X123" s="448"/>
      <c r="Y123" s="449"/>
    </row>
    <row r="124" spans="1:25" s="134" customFormat="1" ht="21" customHeight="1" thickBot="1" x14ac:dyDescent="0.25">
      <c r="A124" s="384"/>
      <c r="B124" s="391" t="str">
        <f>IF(ISBLANK(B122),"",CONCATENATE(LEFT(INDEX(B$23:B$49,MATCH(LEFT(B122,11)&amp;"*",B$23:B$49,0)+2),FIND("-",INDEX(B$23:B$49,MATCH(LEFT(B122,11)&amp;"*",B$23:B$49,0)+2))),$A122))</f>
        <v/>
      </c>
      <c r="C124" s="392"/>
      <c r="D124" s="393"/>
      <c r="E124" s="301"/>
      <c r="F124" s="301"/>
      <c r="G124" s="302"/>
      <c r="H124" s="303"/>
      <c r="I124" s="303"/>
      <c r="J124" s="303"/>
      <c r="K124" s="304"/>
      <c r="L124" s="305"/>
      <c r="M124" s="306"/>
      <c r="N124" s="391" t="str">
        <f>IF(ISBLANK(N122),"",CONCATENATE(LEFT(INDEX(N$23:N$49,MATCH(LEFT(N122,11)&amp;"*",N$23:N$49,0)+2),FIND("-",INDEX(N$23:N$49,MATCH(LEFT(N122,11)&amp;"*",N$23:N$49,0)+2))),$A122))</f>
        <v>M025.23.02.S3-04</v>
      </c>
      <c r="O124" s="392"/>
      <c r="P124" s="393"/>
      <c r="Q124" s="301">
        <v>5</v>
      </c>
      <c r="R124" s="301" t="s">
        <v>4</v>
      </c>
      <c r="S124" s="302">
        <v>28</v>
      </c>
      <c r="T124" s="303">
        <v>0</v>
      </c>
      <c r="U124" s="303">
        <v>0</v>
      </c>
      <c r="V124" s="303">
        <v>21</v>
      </c>
      <c r="W124" s="304"/>
      <c r="X124" s="305" t="s">
        <v>295</v>
      </c>
      <c r="Y124" s="306">
        <f>25*Q124-SUM(S124:W124)</f>
        <v>76</v>
      </c>
    </row>
    <row r="125" spans="1:25" s="134" customFormat="1" ht="21" customHeight="1" thickTop="1" x14ac:dyDescent="0.2">
      <c r="A125" s="382" t="s">
        <v>38</v>
      </c>
      <c r="B125" s="450"/>
      <c r="C125" s="451"/>
      <c r="D125" s="451"/>
      <c r="E125" s="451"/>
      <c r="F125" s="451"/>
      <c r="G125" s="451"/>
      <c r="H125" s="451"/>
      <c r="I125" s="451"/>
      <c r="J125" s="451"/>
      <c r="K125" s="451"/>
      <c r="L125" s="451"/>
      <c r="M125" s="452"/>
      <c r="N125" s="450" t="s">
        <v>309</v>
      </c>
      <c r="O125" s="451"/>
      <c r="P125" s="451"/>
      <c r="Q125" s="451"/>
      <c r="R125" s="451"/>
      <c r="S125" s="451"/>
      <c r="T125" s="451"/>
      <c r="U125" s="451"/>
      <c r="V125" s="451"/>
      <c r="W125" s="451"/>
      <c r="X125" s="451"/>
      <c r="Y125" s="452"/>
    </row>
    <row r="126" spans="1:25" s="134" customFormat="1" ht="21" customHeight="1" x14ac:dyDescent="0.2">
      <c r="A126" s="383"/>
      <c r="B126" s="447"/>
      <c r="C126" s="448"/>
      <c r="D126" s="448"/>
      <c r="E126" s="448"/>
      <c r="F126" s="448"/>
      <c r="G126" s="448"/>
      <c r="H126" s="448"/>
      <c r="I126" s="448"/>
      <c r="J126" s="448"/>
      <c r="K126" s="448"/>
      <c r="L126" s="448"/>
      <c r="M126" s="449"/>
      <c r="N126" s="447"/>
      <c r="O126" s="448"/>
      <c r="P126" s="448"/>
      <c r="Q126" s="448"/>
      <c r="R126" s="448"/>
      <c r="S126" s="448"/>
      <c r="T126" s="448"/>
      <c r="U126" s="448"/>
      <c r="V126" s="448"/>
      <c r="W126" s="448"/>
      <c r="X126" s="448"/>
      <c r="Y126" s="449"/>
    </row>
    <row r="127" spans="1:25" s="134" customFormat="1" ht="21" customHeight="1" thickBot="1" x14ac:dyDescent="0.25">
      <c r="A127" s="384"/>
      <c r="B127" s="391" t="str">
        <f>IF(ISBLANK(B125),"",CONCATENATE(LEFT(INDEX(B$23:B$49,MATCH(LEFT(B125,11)&amp;"*",B$23:B$49,0)+2),FIND("-",INDEX(B$23:B$49,MATCH(LEFT(B125,11)&amp;"*",B$23:B$49,0)+2))),$A125))</f>
        <v/>
      </c>
      <c r="C127" s="392"/>
      <c r="D127" s="393"/>
      <c r="E127" s="301"/>
      <c r="F127" s="301"/>
      <c r="G127" s="302"/>
      <c r="H127" s="303"/>
      <c r="I127" s="303"/>
      <c r="J127" s="303"/>
      <c r="K127" s="304"/>
      <c r="L127" s="305"/>
      <c r="M127" s="306"/>
      <c r="N127" s="391" t="str">
        <f>IF(ISBLANK(N125),"",CONCATENATE(LEFT(INDEX(N$23:N$49,MATCH(LEFT(N125,11)&amp;"*",N$23:N$49,0)+2),FIND("-",INDEX(N$23:N$49,MATCH(LEFT(N125,11)&amp;"*",N$23:N$49,0)+2))),$A125))</f>
        <v>M025.23.02.S3-05</v>
      </c>
      <c r="O127" s="392"/>
      <c r="P127" s="393"/>
      <c r="Q127" s="301">
        <v>5</v>
      </c>
      <c r="R127" s="301" t="s">
        <v>4</v>
      </c>
      <c r="S127" s="302">
        <v>28</v>
      </c>
      <c r="T127" s="303">
        <v>0</v>
      </c>
      <c r="U127" s="303">
        <v>0</v>
      </c>
      <c r="V127" s="303">
        <v>21</v>
      </c>
      <c r="W127" s="304"/>
      <c r="X127" s="305" t="s">
        <v>295</v>
      </c>
      <c r="Y127" s="306">
        <f>25*Q127-SUM(S127:W127)</f>
        <v>76</v>
      </c>
    </row>
    <row r="128" spans="1:25" s="134" customFormat="1" ht="21" customHeight="1" thickTop="1" x14ac:dyDescent="0.2">
      <c r="A128" s="382" t="s">
        <v>39</v>
      </c>
      <c r="B128" s="450"/>
      <c r="C128" s="451"/>
      <c r="D128" s="451"/>
      <c r="E128" s="451"/>
      <c r="F128" s="451"/>
      <c r="G128" s="451"/>
      <c r="H128" s="451"/>
      <c r="I128" s="451"/>
      <c r="J128" s="451"/>
      <c r="K128" s="451"/>
      <c r="L128" s="451"/>
      <c r="M128" s="452"/>
      <c r="N128" s="450"/>
      <c r="O128" s="451"/>
      <c r="P128" s="451"/>
      <c r="Q128" s="451"/>
      <c r="R128" s="451"/>
      <c r="S128" s="451"/>
      <c r="T128" s="451"/>
      <c r="U128" s="451"/>
      <c r="V128" s="451"/>
      <c r="W128" s="451"/>
      <c r="X128" s="451"/>
      <c r="Y128" s="452"/>
    </row>
    <row r="129" spans="1:74" s="134" customFormat="1" ht="21" customHeight="1" x14ac:dyDescent="0.2">
      <c r="A129" s="383"/>
      <c r="B129" s="447"/>
      <c r="C129" s="448"/>
      <c r="D129" s="448"/>
      <c r="E129" s="448"/>
      <c r="F129" s="448"/>
      <c r="G129" s="448"/>
      <c r="H129" s="448"/>
      <c r="I129" s="448"/>
      <c r="J129" s="448"/>
      <c r="K129" s="448"/>
      <c r="L129" s="448"/>
      <c r="M129" s="449"/>
      <c r="N129" s="447"/>
      <c r="O129" s="448"/>
      <c r="P129" s="448"/>
      <c r="Q129" s="448"/>
      <c r="R129" s="448"/>
      <c r="S129" s="448"/>
      <c r="T129" s="448"/>
      <c r="U129" s="448"/>
      <c r="V129" s="448"/>
      <c r="W129" s="448"/>
      <c r="X129" s="448"/>
      <c r="Y129" s="449"/>
    </row>
    <row r="130" spans="1:74" s="134" customFormat="1" ht="21" customHeight="1" thickBot="1" x14ac:dyDescent="0.25">
      <c r="A130" s="384"/>
      <c r="B130" s="391" t="str">
        <f>IF(ISBLANK(B128),"",CONCATENATE(LEFT(INDEX(B$23:B$49,MATCH(LEFT(B128,11)&amp;"*",B$23:B$49,0)+2),FIND("-",INDEX(B$23:B$49,MATCH(LEFT(B128,11)&amp;"*",B$23:B$49,0)+2))),$A128))</f>
        <v/>
      </c>
      <c r="C130" s="392"/>
      <c r="D130" s="393"/>
      <c r="E130" s="301"/>
      <c r="F130" s="301"/>
      <c r="G130" s="302"/>
      <c r="H130" s="303"/>
      <c r="I130" s="303"/>
      <c r="J130" s="303"/>
      <c r="K130" s="304"/>
      <c r="L130" s="305"/>
      <c r="M130" s="306"/>
      <c r="N130" s="391" t="str">
        <f>IF(ISBLANK(N128),"",CONCATENATE(LEFT(INDEX(N$23:N$49,MATCH(LEFT(N128,11)&amp;"*",N$23:N$49,0)+2),FIND("-",INDEX(N$23:N$49,MATCH(LEFT(N128,11)&amp;"*",N$23:N$49,0)+2))),$A128))</f>
        <v/>
      </c>
      <c r="O130" s="392"/>
      <c r="P130" s="393"/>
      <c r="Q130" s="301"/>
      <c r="R130" s="301"/>
      <c r="S130" s="302"/>
      <c r="T130" s="303"/>
      <c r="U130" s="303"/>
      <c r="V130" s="303"/>
      <c r="W130" s="304"/>
      <c r="X130" s="305"/>
      <c r="Y130" s="306"/>
    </row>
    <row r="131" spans="1:74" s="134" customFormat="1" ht="21" customHeight="1" thickTop="1" x14ac:dyDescent="0.2">
      <c r="A131" s="382" t="s">
        <v>223</v>
      </c>
      <c r="B131" s="450"/>
      <c r="C131" s="451"/>
      <c r="D131" s="451"/>
      <c r="E131" s="451"/>
      <c r="F131" s="451"/>
      <c r="G131" s="451"/>
      <c r="H131" s="451"/>
      <c r="I131" s="451"/>
      <c r="J131" s="451"/>
      <c r="K131" s="451"/>
      <c r="L131" s="451"/>
      <c r="M131" s="452"/>
      <c r="N131" s="450"/>
      <c r="O131" s="451"/>
      <c r="P131" s="451"/>
      <c r="Q131" s="451"/>
      <c r="R131" s="451"/>
      <c r="S131" s="451"/>
      <c r="T131" s="451"/>
      <c r="U131" s="451"/>
      <c r="V131" s="451"/>
      <c r="W131" s="451"/>
      <c r="X131" s="451"/>
      <c r="Y131" s="452"/>
    </row>
    <row r="132" spans="1:74" s="134" customFormat="1" ht="21" customHeight="1" x14ac:dyDescent="0.2">
      <c r="A132" s="383"/>
      <c r="B132" s="447"/>
      <c r="C132" s="448"/>
      <c r="D132" s="448"/>
      <c r="E132" s="448"/>
      <c r="F132" s="448"/>
      <c r="G132" s="448"/>
      <c r="H132" s="448"/>
      <c r="I132" s="448"/>
      <c r="J132" s="448"/>
      <c r="K132" s="448"/>
      <c r="L132" s="448"/>
      <c r="M132" s="449"/>
      <c r="N132" s="447"/>
      <c r="O132" s="448"/>
      <c r="P132" s="448"/>
      <c r="Q132" s="448"/>
      <c r="R132" s="448"/>
      <c r="S132" s="448"/>
      <c r="T132" s="448"/>
      <c r="U132" s="448"/>
      <c r="V132" s="448"/>
      <c r="W132" s="448"/>
      <c r="X132" s="448"/>
      <c r="Y132" s="449"/>
    </row>
    <row r="133" spans="1:74" s="134" customFormat="1" ht="21" customHeight="1" thickBot="1" x14ac:dyDescent="0.25">
      <c r="A133" s="384"/>
      <c r="B133" s="391" t="str">
        <f>IF(ISBLANK(B131),"",CONCATENATE(LEFT(INDEX(B$23:B$49,MATCH(LEFT(B131,11)&amp;"*",B$23:B$49,0)+2),FIND("-",INDEX(B$23:B$49,MATCH(LEFT(B131,11)&amp;"*",B$23:B$49,0)+2))),$A131))</f>
        <v/>
      </c>
      <c r="C133" s="392"/>
      <c r="D133" s="393"/>
      <c r="E133" s="301"/>
      <c r="F133" s="301"/>
      <c r="G133" s="302"/>
      <c r="H133" s="303"/>
      <c r="I133" s="303"/>
      <c r="J133" s="303"/>
      <c r="K133" s="304"/>
      <c r="L133" s="305"/>
      <c r="M133" s="306"/>
      <c r="N133" s="391" t="str">
        <f>IF(ISBLANK(N131),"",CONCATENATE(LEFT(INDEX(N$23:N$49,MATCH(LEFT(N131,11)&amp;"*",N$23:N$49,0)+2),FIND("-",INDEX(N$23:N$49,MATCH(LEFT(N131,11)&amp;"*",N$23:N$49,0)+2))),$A131))</f>
        <v/>
      </c>
      <c r="O133" s="392"/>
      <c r="P133" s="393"/>
      <c r="Q133" s="301"/>
      <c r="R133" s="301"/>
      <c r="S133" s="302"/>
      <c r="T133" s="303"/>
      <c r="U133" s="303"/>
      <c r="V133" s="303"/>
      <c r="W133" s="304"/>
      <c r="X133" s="305"/>
      <c r="Y133" s="306"/>
    </row>
    <row r="134" spans="1:74" s="134" customFormat="1" ht="21" customHeight="1" thickTop="1" x14ac:dyDescent="0.2">
      <c r="A134" s="382" t="s">
        <v>224</v>
      </c>
      <c r="B134" s="450"/>
      <c r="C134" s="451"/>
      <c r="D134" s="451"/>
      <c r="E134" s="451"/>
      <c r="F134" s="451"/>
      <c r="G134" s="451"/>
      <c r="H134" s="451"/>
      <c r="I134" s="451"/>
      <c r="J134" s="451"/>
      <c r="K134" s="451"/>
      <c r="L134" s="451"/>
      <c r="M134" s="452"/>
      <c r="N134" s="450"/>
      <c r="O134" s="451"/>
      <c r="P134" s="451"/>
      <c r="Q134" s="451"/>
      <c r="R134" s="451"/>
      <c r="S134" s="451"/>
      <c r="T134" s="451"/>
      <c r="U134" s="451"/>
      <c r="V134" s="451"/>
      <c r="W134" s="451"/>
      <c r="X134" s="451"/>
      <c r="Y134" s="452"/>
    </row>
    <row r="135" spans="1:74" s="134" customFormat="1" ht="21" customHeight="1" x14ac:dyDescent="0.2">
      <c r="A135" s="383"/>
      <c r="B135" s="447"/>
      <c r="C135" s="448"/>
      <c r="D135" s="448"/>
      <c r="E135" s="448"/>
      <c r="F135" s="448"/>
      <c r="G135" s="448"/>
      <c r="H135" s="448"/>
      <c r="I135" s="448"/>
      <c r="J135" s="448"/>
      <c r="K135" s="448"/>
      <c r="L135" s="448"/>
      <c r="M135" s="449"/>
      <c r="N135" s="447"/>
      <c r="O135" s="448"/>
      <c r="P135" s="448"/>
      <c r="Q135" s="448"/>
      <c r="R135" s="448"/>
      <c r="S135" s="448"/>
      <c r="T135" s="448"/>
      <c r="U135" s="448"/>
      <c r="V135" s="448"/>
      <c r="W135" s="448"/>
      <c r="X135" s="448"/>
      <c r="Y135" s="449"/>
    </row>
    <row r="136" spans="1:74" s="134" customFormat="1" ht="21" customHeight="1" thickBot="1" x14ac:dyDescent="0.25">
      <c r="A136" s="384"/>
      <c r="B136" s="391" t="str">
        <f>IF(ISBLANK(B134),"",CONCATENATE(LEFT(INDEX(B$23:B$49,MATCH(LEFT(B134,11)&amp;"*",B$23:B$49,0)+2),FIND("-",INDEX(B$23:B$49,MATCH(LEFT(B134,11)&amp;"*",B$23:B$49,0)+2))),$A134))</f>
        <v/>
      </c>
      <c r="C136" s="392"/>
      <c r="D136" s="393"/>
      <c r="E136" s="301"/>
      <c r="F136" s="301"/>
      <c r="G136" s="302"/>
      <c r="H136" s="303"/>
      <c r="I136" s="303"/>
      <c r="J136" s="303"/>
      <c r="K136" s="304"/>
      <c r="L136" s="305"/>
      <c r="M136" s="306"/>
      <c r="N136" s="391" t="str">
        <f>IF(ISBLANK(N134),"",CONCATENATE(LEFT(INDEX(N$23:N$49,MATCH(LEFT(N134,11)&amp;"*",N$23:N$49,0)+2),FIND("-",INDEX(N$23:N$49,MATCH(LEFT(N134,11)&amp;"*",N$23:N$49,0)+2))),$A134))</f>
        <v/>
      </c>
      <c r="O136" s="392"/>
      <c r="P136" s="393"/>
      <c r="Q136" s="301"/>
      <c r="R136" s="301"/>
      <c r="S136" s="302"/>
      <c r="T136" s="303"/>
      <c r="U136" s="303"/>
      <c r="V136" s="303"/>
      <c r="W136" s="304"/>
      <c r="X136" s="305"/>
      <c r="Y136" s="306"/>
    </row>
    <row r="137" spans="1:74" s="134" customFormat="1" ht="21" customHeight="1" thickTop="1" x14ac:dyDescent="0.2">
      <c r="A137" s="382" t="s">
        <v>236</v>
      </c>
      <c r="B137" s="450"/>
      <c r="C137" s="451"/>
      <c r="D137" s="451"/>
      <c r="E137" s="451"/>
      <c r="F137" s="451"/>
      <c r="G137" s="451"/>
      <c r="H137" s="451"/>
      <c r="I137" s="451"/>
      <c r="J137" s="451"/>
      <c r="K137" s="451"/>
      <c r="L137" s="451"/>
      <c r="M137" s="452"/>
      <c r="N137" s="450"/>
      <c r="O137" s="451"/>
      <c r="P137" s="451"/>
      <c r="Q137" s="451"/>
      <c r="R137" s="451"/>
      <c r="S137" s="451"/>
      <c r="T137" s="451"/>
      <c r="U137" s="451"/>
      <c r="V137" s="451"/>
      <c r="W137" s="451"/>
      <c r="X137" s="451"/>
      <c r="Y137" s="452"/>
    </row>
    <row r="138" spans="1:74" s="134" customFormat="1" ht="21" customHeight="1" x14ac:dyDescent="0.2">
      <c r="A138" s="383"/>
      <c r="B138" s="447"/>
      <c r="C138" s="448"/>
      <c r="D138" s="448"/>
      <c r="E138" s="448"/>
      <c r="F138" s="448"/>
      <c r="G138" s="448"/>
      <c r="H138" s="448"/>
      <c r="I138" s="448"/>
      <c r="J138" s="448"/>
      <c r="K138" s="448"/>
      <c r="L138" s="448"/>
      <c r="M138" s="449"/>
      <c r="N138" s="447"/>
      <c r="O138" s="448"/>
      <c r="P138" s="448"/>
      <c r="Q138" s="448"/>
      <c r="R138" s="448"/>
      <c r="S138" s="448"/>
      <c r="T138" s="448"/>
      <c r="U138" s="448"/>
      <c r="V138" s="448"/>
      <c r="W138" s="448"/>
      <c r="X138" s="448"/>
      <c r="Y138" s="449"/>
    </row>
    <row r="139" spans="1:74" s="134" customFormat="1" ht="21" customHeight="1" thickBot="1" x14ac:dyDescent="0.25">
      <c r="A139" s="384"/>
      <c r="B139" s="391" t="str">
        <f>IF(ISBLANK(B137),"",CONCATENATE(LEFT(INDEX(B$23:B$49,MATCH(LEFT(B137,11)&amp;"*",B$23:B$49,0)+2),FIND("-",INDEX(B$23:B$49,MATCH(LEFT(B137,11)&amp;"*",B$23:B$49,0)+2))),$A137))</f>
        <v/>
      </c>
      <c r="C139" s="392"/>
      <c r="D139" s="393"/>
      <c r="E139" s="301"/>
      <c r="F139" s="301"/>
      <c r="G139" s="302"/>
      <c r="H139" s="303"/>
      <c r="I139" s="303"/>
      <c r="J139" s="303"/>
      <c r="K139" s="304"/>
      <c r="L139" s="305"/>
      <c r="M139" s="306"/>
      <c r="N139" s="391" t="str">
        <f>IF(ISBLANK(N137),"",CONCATENATE(LEFT(INDEX(N$23:N$49,MATCH(LEFT(N137,11)&amp;"*",N$23:N$49,0)+2),FIND("-",INDEX(N$23:N$49,MATCH(LEFT(N137,11)&amp;"*",N$23:N$49,0)+2))),$A137))</f>
        <v/>
      </c>
      <c r="O139" s="392"/>
      <c r="P139" s="393"/>
      <c r="Q139" s="301"/>
      <c r="R139" s="301"/>
      <c r="S139" s="302"/>
      <c r="T139" s="303"/>
      <c r="U139" s="303"/>
      <c r="V139" s="303"/>
      <c r="W139" s="304"/>
      <c r="X139" s="305"/>
      <c r="Y139" s="306"/>
    </row>
    <row r="140" spans="1:74" s="134" customFormat="1" ht="21" customHeight="1" thickTop="1" x14ac:dyDescent="0.2">
      <c r="A140" s="382" t="s">
        <v>238</v>
      </c>
      <c r="B140" s="450"/>
      <c r="C140" s="451"/>
      <c r="D140" s="451"/>
      <c r="E140" s="451"/>
      <c r="F140" s="451"/>
      <c r="G140" s="451"/>
      <c r="H140" s="451"/>
      <c r="I140" s="451"/>
      <c r="J140" s="451"/>
      <c r="K140" s="451"/>
      <c r="L140" s="451"/>
      <c r="M140" s="452"/>
      <c r="N140" s="450"/>
      <c r="O140" s="451"/>
      <c r="P140" s="451"/>
      <c r="Q140" s="451"/>
      <c r="R140" s="451"/>
      <c r="S140" s="451"/>
      <c r="T140" s="451"/>
      <c r="U140" s="451"/>
      <c r="V140" s="451"/>
      <c r="W140" s="451"/>
      <c r="X140" s="451"/>
      <c r="Y140" s="452"/>
    </row>
    <row r="141" spans="1:74" s="134" customFormat="1" ht="21" customHeight="1" x14ac:dyDescent="0.2">
      <c r="A141" s="383"/>
      <c r="B141" s="447"/>
      <c r="C141" s="448"/>
      <c r="D141" s="448"/>
      <c r="E141" s="448"/>
      <c r="F141" s="448"/>
      <c r="G141" s="448"/>
      <c r="H141" s="448"/>
      <c r="I141" s="448"/>
      <c r="J141" s="448"/>
      <c r="K141" s="448"/>
      <c r="L141" s="448"/>
      <c r="M141" s="449"/>
      <c r="N141" s="447"/>
      <c r="O141" s="448"/>
      <c r="P141" s="448"/>
      <c r="Q141" s="448"/>
      <c r="R141" s="448"/>
      <c r="S141" s="448"/>
      <c r="T141" s="448"/>
      <c r="U141" s="448"/>
      <c r="V141" s="448"/>
      <c r="W141" s="448"/>
      <c r="X141" s="448"/>
      <c r="Y141" s="449"/>
    </row>
    <row r="142" spans="1:74" s="134" customFormat="1" ht="21" customHeight="1" thickBot="1" x14ac:dyDescent="0.25">
      <c r="A142" s="384"/>
      <c r="B142" s="391" t="str">
        <f>IF(ISBLANK(B140),"",CONCATENATE(LEFT(INDEX(B$23:B$49,MATCH(LEFT(B140,11)&amp;"*",B$23:B$49,0)+2),FIND("-",INDEX(B$23:B$49,MATCH(LEFT(B140,11)&amp;"*",B$23:B$49,0)+2))),$A140))</f>
        <v/>
      </c>
      <c r="C142" s="392"/>
      <c r="D142" s="393"/>
      <c r="E142" s="301"/>
      <c r="F142" s="301"/>
      <c r="G142" s="302"/>
      <c r="H142" s="303"/>
      <c r="I142" s="303"/>
      <c r="J142" s="303"/>
      <c r="K142" s="304"/>
      <c r="L142" s="305"/>
      <c r="M142" s="306"/>
      <c r="N142" s="391" t="str">
        <f>IF(ISBLANK(N140),"",CONCATENATE(LEFT(INDEX(N$23:N$49,MATCH(LEFT(N140,11)&amp;"*",N$23:N$49,0)+2),FIND("-",INDEX(N$23:N$49,MATCH(LEFT(N140,11)&amp;"*",N$23:N$49,0)+2))),$A140))</f>
        <v/>
      </c>
      <c r="O142" s="392"/>
      <c r="P142" s="393"/>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394" t="s">
        <v>280</v>
      </c>
      <c r="B144" s="394"/>
      <c r="C144" s="394"/>
      <c r="D144" s="394"/>
      <c r="E144" s="394"/>
      <c r="F144" s="394"/>
      <c r="G144" s="394"/>
      <c r="H144" s="394"/>
      <c r="I144" s="394"/>
      <c r="J144" s="394"/>
      <c r="K144" s="394"/>
      <c r="L144" s="394"/>
      <c r="M144" s="394"/>
      <c r="N144" s="394"/>
      <c r="O144" s="394"/>
      <c r="P144" s="394"/>
      <c r="Q144" s="394"/>
      <c r="R144" s="394"/>
      <c r="S144" s="394"/>
      <c r="T144" s="394"/>
      <c r="U144" s="394"/>
      <c r="V144" s="394"/>
      <c r="W144" s="394"/>
      <c r="X144" s="394"/>
      <c r="Y144" s="394"/>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398" t="s">
        <v>37</v>
      </c>
      <c r="B147" s="398"/>
      <c r="C147" s="398"/>
      <c r="D147" s="398"/>
      <c r="E147" s="398"/>
      <c r="F147" s="398"/>
      <c r="G147" s="398"/>
      <c r="H147" s="398"/>
      <c r="I147" s="398"/>
      <c r="J147" s="398"/>
      <c r="K147" s="398"/>
      <c r="L147" s="398"/>
      <c r="M147" s="398"/>
      <c r="N147" s="398"/>
      <c r="O147" s="398"/>
      <c r="P147" s="398"/>
      <c r="Q147" s="398"/>
      <c r="R147" s="398"/>
      <c r="S147" s="398"/>
      <c r="T147" s="398"/>
      <c r="U147" s="398"/>
      <c r="V147" s="398"/>
      <c r="W147" s="398"/>
      <c r="X147" s="398"/>
      <c r="Y147" s="398"/>
    </row>
    <row r="148" spans="1:74" s="98" customFormat="1" ht="21" customHeight="1" x14ac:dyDescent="0.25">
      <c r="A148" s="399" t="str">
        <f>A20</f>
        <v>Pentru seria de studenti 2023-2025</v>
      </c>
      <c r="B148" s="399"/>
      <c r="C148" s="399"/>
      <c r="D148" s="399"/>
      <c r="E148" s="399"/>
      <c r="F148" s="399"/>
      <c r="G148" s="399"/>
      <c r="H148" s="399"/>
      <c r="I148" s="399"/>
      <c r="J148" s="399"/>
      <c r="K148" s="399"/>
      <c r="L148" s="399"/>
      <c r="M148" s="399"/>
      <c r="N148" s="399"/>
      <c r="O148" s="399"/>
      <c r="P148" s="399"/>
      <c r="Q148" s="399"/>
      <c r="R148" s="399"/>
      <c r="S148" s="399"/>
      <c r="T148" s="399"/>
      <c r="U148" s="399"/>
      <c r="V148" s="399"/>
      <c r="W148" s="399"/>
      <c r="X148" s="399"/>
      <c r="Y148" s="399"/>
    </row>
    <row r="149" spans="1:74" ht="21" customHeight="1" thickBot="1" x14ac:dyDescent="0.3">
      <c r="A149" s="400" t="str">
        <f>A63</f>
        <v>ANUL II (2024-2025)</v>
      </c>
      <c r="B149" s="400"/>
      <c r="C149" s="400"/>
      <c r="D149" s="400"/>
      <c r="E149" s="400"/>
      <c r="F149" s="400"/>
      <c r="G149" s="400"/>
      <c r="H149" s="400"/>
      <c r="I149" s="400"/>
      <c r="J149" s="400"/>
      <c r="K149" s="400"/>
      <c r="L149" s="400"/>
      <c r="M149" s="400"/>
      <c r="N149" s="400"/>
      <c r="O149" s="400"/>
      <c r="P149" s="400"/>
      <c r="Q149" s="400"/>
      <c r="R149" s="400"/>
      <c r="S149" s="400"/>
      <c r="T149" s="400"/>
      <c r="U149" s="400"/>
      <c r="V149" s="400"/>
      <c r="W149" s="400"/>
      <c r="X149" s="400"/>
      <c r="Y149" s="400"/>
    </row>
    <row r="150" spans="1:74" ht="21" customHeight="1" thickTop="1" thickBot="1" x14ac:dyDescent="0.25">
      <c r="A150" s="99"/>
      <c r="B150" s="401" t="s">
        <v>2</v>
      </c>
      <c r="C150" s="402"/>
      <c r="D150" s="402"/>
      <c r="E150" s="402"/>
      <c r="F150" s="402"/>
      <c r="G150" s="402"/>
      <c r="H150" s="402"/>
      <c r="I150" s="402"/>
      <c r="J150" s="402"/>
      <c r="K150" s="402"/>
      <c r="L150" s="402"/>
      <c r="M150" s="403"/>
      <c r="N150" s="402" t="s">
        <v>3</v>
      </c>
      <c r="O150" s="402"/>
      <c r="P150" s="402"/>
      <c r="Q150" s="402"/>
      <c r="R150" s="402"/>
      <c r="S150" s="402"/>
      <c r="T150" s="402"/>
      <c r="U150" s="402"/>
      <c r="V150" s="402"/>
      <c r="W150" s="402"/>
      <c r="X150" s="402"/>
      <c r="Y150" s="403"/>
    </row>
    <row r="151" spans="1:74" s="134" customFormat="1" ht="21" customHeight="1" thickTop="1" x14ac:dyDescent="0.2">
      <c r="A151" s="383" t="s">
        <v>33</v>
      </c>
      <c r="B151" s="444" t="s">
        <v>310</v>
      </c>
      <c r="C151" s="462"/>
      <c r="D151" s="462"/>
      <c r="E151" s="462"/>
      <c r="F151" s="462"/>
      <c r="G151" s="462"/>
      <c r="H151" s="462"/>
      <c r="I151" s="462"/>
      <c r="J151" s="462"/>
      <c r="K151" s="462"/>
      <c r="L151" s="462"/>
      <c r="M151" s="446"/>
      <c r="N151" s="450"/>
      <c r="O151" s="451"/>
      <c r="P151" s="451"/>
      <c r="Q151" s="451"/>
      <c r="R151" s="451"/>
      <c r="S151" s="451"/>
      <c r="T151" s="451"/>
      <c r="U151" s="451"/>
      <c r="V151" s="451"/>
      <c r="W151" s="451"/>
      <c r="X151" s="451"/>
      <c r="Y151" s="452"/>
    </row>
    <row r="152" spans="1:74" s="134" customFormat="1" ht="21" customHeight="1" x14ac:dyDescent="0.2">
      <c r="A152" s="383"/>
      <c r="B152" s="447"/>
      <c r="C152" s="448"/>
      <c r="D152" s="448"/>
      <c r="E152" s="448"/>
      <c r="F152" s="448"/>
      <c r="G152" s="448"/>
      <c r="H152" s="448"/>
      <c r="I152" s="448"/>
      <c r="J152" s="448"/>
      <c r="K152" s="448"/>
      <c r="L152" s="448"/>
      <c r="M152" s="449"/>
      <c r="N152" s="447"/>
      <c r="O152" s="448"/>
      <c r="P152" s="448"/>
      <c r="Q152" s="448"/>
      <c r="R152" s="448"/>
      <c r="S152" s="448"/>
      <c r="T152" s="448"/>
      <c r="U152" s="448"/>
      <c r="V152" s="448"/>
      <c r="W152" s="448"/>
      <c r="X152" s="448"/>
      <c r="Y152" s="449"/>
    </row>
    <row r="153" spans="1:74" s="134" customFormat="1" ht="21" customHeight="1" thickBot="1" x14ac:dyDescent="0.25">
      <c r="A153" s="384"/>
      <c r="B153" s="391" t="str">
        <f>IF(ISBLANK(B151),"",CONCATENATE(LEFT(INDEX(B$65:B$91,MATCH(LEFT(B151,11)&amp;"*",B$65:B$91,0)+2),FIND("-",INDEX(B$65:B$91,MATCH(LEFT(B151,11)&amp;"*",B$65:B$91,0)+2))),$A151))</f>
        <v>M025.23.03.A3-01</v>
      </c>
      <c r="C153" s="392"/>
      <c r="D153" s="393"/>
      <c r="E153" s="301">
        <v>5</v>
      </c>
      <c r="F153" s="301" t="s">
        <v>4</v>
      </c>
      <c r="G153" s="302">
        <v>28</v>
      </c>
      <c r="H153" s="303">
        <v>0</v>
      </c>
      <c r="I153" s="303">
        <v>7</v>
      </c>
      <c r="J153" s="303">
        <v>14</v>
      </c>
      <c r="K153" s="304"/>
      <c r="L153" s="305" t="s">
        <v>295</v>
      </c>
      <c r="M153" s="306">
        <f>25*E153-SUM(G153:K153)</f>
        <v>76</v>
      </c>
      <c r="N153" s="391" t="str">
        <f>IF(ISBLANK(N151),"",CONCATENATE(LEFT(INDEX(N$65:N$91,MATCH(LEFT(N151,11)&amp;"*",N$65:N$91,0)+2),FIND("-",INDEX(N$65:N$91,MATCH(LEFT(N151,11)&amp;"*",N$65:N$91,0)+2))),$A151))</f>
        <v/>
      </c>
      <c r="O153" s="392"/>
      <c r="P153" s="393"/>
      <c r="Q153" s="301"/>
      <c r="R153" s="301"/>
      <c r="S153" s="302"/>
      <c r="T153" s="303"/>
      <c r="U153" s="303"/>
      <c r="V153" s="303"/>
      <c r="W153" s="304"/>
      <c r="X153" s="305"/>
      <c r="Y153" s="306"/>
    </row>
    <row r="154" spans="1:74" s="134" customFormat="1" ht="21" customHeight="1" thickTop="1" x14ac:dyDescent="0.2">
      <c r="A154" s="383" t="s">
        <v>34</v>
      </c>
      <c r="B154" s="450" t="s">
        <v>311</v>
      </c>
      <c r="C154" s="451"/>
      <c r="D154" s="451"/>
      <c r="E154" s="451"/>
      <c r="F154" s="451"/>
      <c r="G154" s="451"/>
      <c r="H154" s="451"/>
      <c r="I154" s="451"/>
      <c r="J154" s="451"/>
      <c r="K154" s="451"/>
      <c r="L154" s="451"/>
      <c r="M154" s="452"/>
      <c r="N154" s="450"/>
      <c r="O154" s="451"/>
      <c r="P154" s="451"/>
      <c r="Q154" s="451"/>
      <c r="R154" s="451"/>
      <c r="S154" s="451"/>
      <c r="T154" s="451"/>
      <c r="U154" s="451"/>
      <c r="V154" s="451"/>
      <c r="W154" s="451"/>
      <c r="X154" s="451"/>
      <c r="Y154" s="452"/>
    </row>
    <row r="155" spans="1:74" s="134" customFormat="1" ht="21" customHeight="1" x14ac:dyDescent="0.2">
      <c r="A155" s="383"/>
      <c r="B155" s="447"/>
      <c r="C155" s="448"/>
      <c r="D155" s="448"/>
      <c r="E155" s="448"/>
      <c r="F155" s="448"/>
      <c r="G155" s="448"/>
      <c r="H155" s="448"/>
      <c r="I155" s="448"/>
      <c r="J155" s="448"/>
      <c r="K155" s="448"/>
      <c r="L155" s="448"/>
      <c r="M155" s="449"/>
      <c r="N155" s="447"/>
      <c r="O155" s="448"/>
      <c r="P155" s="448"/>
      <c r="Q155" s="448"/>
      <c r="R155" s="448"/>
      <c r="S155" s="448"/>
      <c r="T155" s="448"/>
      <c r="U155" s="448"/>
      <c r="V155" s="448"/>
      <c r="W155" s="448"/>
      <c r="X155" s="448"/>
      <c r="Y155" s="449"/>
    </row>
    <row r="156" spans="1:74" s="134" customFormat="1" ht="21" customHeight="1" thickBot="1" x14ac:dyDescent="0.25">
      <c r="A156" s="384"/>
      <c r="B156" s="391" t="str">
        <f>IF(ISBLANK(B154),"",CONCATENATE(LEFT(INDEX(B$65:B$91,MATCH(LEFT(B154,11)&amp;"*",B$65:B$91,0)+2),FIND("-",INDEX(B$65:B$91,MATCH(LEFT(B154,11)&amp;"*",B$65:B$91,0)+2))),$A154))</f>
        <v>M025.23.03.A3-02</v>
      </c>
      <c r="C156" s="392"/>
      <c r="D156" s="393"/>
      <c r="E156" s="301">
        <v>5</v>
      </c>
      <c r="F156" s="301" t="s">
        <v>4</v>
      </c>
      <c r="G156" s="302">
        <v>28</v>
      </c>
      <c r="H156" s="303">
        <v>0</v>
      </c>
      <c r="I156" s="303">
        <v>7</v>
      </c>
      <c r="J156" s="303">
        <v>14</v>
      </c>
      <c r="K156" s="304"/>
      <c r="L156" s="305" t="s">
        <v>295</v>
      </c>
      <c r="M156" s="306">
        <f>25*E156-SUM(G156:K156)</f>
        <v>76</v>
      </c>
      <c r="N156" s="391" t="str">
        <f>IF(ISBLANK(N154),"",CONCATENATE(LEFT(INDEX(N$65:N$91,MATCH(LEFT(N154,11)&amp;"*",N$65:N$91,0)+2),FIND("-",INDEX(N$65:N$91,MATCH(LEFT(N154,11)&amp;"*",N$65:N$91,0)+2))),$A154))</f>
        <v/>
      </c>
      <c r="O156" s="392"/>
      <c r="P156" s="393"/>
      <c r="Q156" s="301"/>
      <c r="R156" s="301"/>
      <c r="S156" s="302"/>
      <c r="T156" s="303"/>
      <c r="U156" s="303"/>
      <c r="V156" s="303"/>
      <c r="W156" s="304"/>
      <c r="X156" s="305"/>
      <c r="Y156" s="306"/>
    </row>
    <row r="157" spans="1:74" s="134" customFormat="1" ht="21" customHeight="1" thickTop="1" x14ac:dyDescent="0.2">
      <c r="A157" s="382" t="s">
        <v>35</v>
      </c>
      <c r="B157" s="450" t="s">
        <v>312</v>
      </c>
      <c r="C157" s="451"/>
      <c r="D157" s="451"/>
      <c r="E157" s="451"/>
      <c r="F157" s="451"/>
      <c r="G157" s="451"/>
      <c r="H157" s="451"/>
      <c r="I157" s="451"/>
      <c r="J157" s="451"/>
      <c r="K157" s="451"/>
      <c r="L157" s="451"/>
      <c r="M157" s="452"/>
      <c r="N157" s="450"/>
      <c r="O157" s="451"/>
      <c r="P157" s="451"/>
      <c r="Q157" s="451"/>
      <c r="R157" s="451"/>
      <c r="S157" s="451"/>
      <c r="T157" s="451"/>
      <c r="U157" s="451"/>
      <c r="V157" s="451"/>
      <c r="W157" s="451"/>
      <c r="X157" s="451"/>
      <c r="Y157" s="452"/>
    </row>
    <row r="158" spans="1:74" s="134" customFormat="1" ht="21" customHeight="1" x14ac:dyDescent="0.2">
      <c r="A158" s="383"/>
      <c r="B158" s="447"/>
      <c r="C158" s="448"/>
      <c r="D158" s="448"/>
      <c r="E158" s="448"/>
      <c r="F158" s="448"/>
      <c r="G158" s="448"/>
      <c r="H158" s="448"/>
      <c r="I158" s="448"/>
      <c r="J158" s="448"/>
      <c r="K158" s="448"/>
      <c r="L158" s="448"/>
      <c r="M158" s="449"/>
      <c r="N158" s="447"/>
      <c r="O158" s="448"/>
      <c r="P158" s="448"/>
      <c r="Q158" s="448"/>
      <c r="R158" s="448"/>
      <c r="S158" s="448"/>
      <c r="T158" s="448"/>
      <c r="U158" s="448"/>
      <c r="V158" s="448"/>
      <c r="W158" s="448"/>
      <c r="X158" s="448"/>
      <c r="Y158" s="449"/>
    </row>
    <row r="159" spans="1:74" s="134" customFormat="1" ht="21" customHeight="1" thickBot="1" x14ac:dyDescent="0.25">
      <c r="A159" s="384"/>
      <c r="B159" s="391" t="str">
        <f>IF(ISBLANK(B157),"",CONCATENATE(LEFT(INDEX(B$65:B$91,MATCH(LEFT(B157,11)&amp;"*",B$65:B$91,0)+2),FIND("-",INDEX(B$65:B$91,MATCH(LEFT(B157,11)&amp;"*",B$65:B$91,0)+2))),$A157))</f>
        <v>M025.23.03.A3-03</v>
      </c>
      <c r="C159" s="392"/>
      <c r="D159" s="393"/>
      <c r="E159" s="301">
        <v>5</v>
      </c>
      <c r="F159" s="301" t="s">
        <v>4</v>
      </c>
      <c r="G159" s="302">
        <v>28</v>
      </c>
      <c r="H159" s="303">
        <v>0</v>
      </c>
      <c r="I159" s="303">
        <v>7</v>
      </c>
      <c r="J159" s="303">
        <v>14</v>
      </c>
      <c r="K159" s="304"/>
      <c r="L159" s="305" t="s">
        <v>295</v>
      </c>
      <c r="M159" s="306">
        <f>25*E159-SUM(G159:K159)</f>
        <v>76</v>
      </c>
      <c r="N159" s="391" t="str">
        <f>IF(ISBLANK(N157),"",CONCATENATE(LEFT(INDEX(N$65:N$91,MATCH(LEFT(N157,11)&amp;"*",N$65:N$91,0)+2),FIND("-",INDEX(N$65:N$91,MATCH(LEFT(N157,11)&amp;"*",N$65:N$91,0)+2))),$A157))</f>
        <v/>
      </c>
      <c r="O159" s="392"/>
      <c r="P159" s="393"/>
      <c r="Q159" s="301"/>
      <c r="R159" s="301"/>
      <c r="S159" s="302"/>
      <c r="T159" s="303"/>
      <c r="U159" s="303"/>
      <c r="V159" s="303"/>
      <c r="W159" s="304"/>
      <c r="X159" s="305"/>
      <c r="Y159" s="306"/>
    </row>
    <row r="160" spans="1:74" s="134" customFormat="1" ht="21" customHeight="1" thickTop="1" x14ac:dyDescent="0.2">
      <c r="A160" s="382" t="s">
        <v>36</v>
      </c>
      <c r="B160" s="450" t="s">
        <v>313</v>
      </c>
      <c r="C160" s="451"/>
      <c r="D160" s="451"/>
      <c r="E160" s="451"/>
      <c r="F160" s="451"/>
      <c r="G160" s="451"/>
      <c r="H160" s="451"/>
      <c r="I160" s="451"/>
      <c r="J160" s="451"/>
      <c r="K160" s="451"/>
      <c r="L160" s="451"/>
      <c r="M160" s="452"/>
      <c r="N160" s="450"/>
      <c r="O160" s="451"/>
      <c r="P160" s="451"/>
      <c r="Q160" s="451"/>
      <c r="R160" s="451"/>
      <c r="S160" s="451"/>
      <c r="T160" s="451"/>
      <c r="U160" s="451"/>
      <c r="V160" s="451"/>
      <c r="W160" s="451"/>
      <c r="X160" s="451"/>
      <c r="Y160" s="452"/>
    </row>
    <row r="161" spans="1:25" s="134" customFormat="1" ht="21" customHeight="1" x14ac:dyDescent="0.2">
      <c r="A161" s="383"/>
      <c r="B161" s="447"/>
      <c r="C161" s="448"/>
      <c r="D161" s="448"/>
      <c r="E161" s="448"/>
      <c r="F161" s="448"/>
      <c r="G161" s="448"/>
      <c r="H161" s="448"/>
      <c r="I161" s="448"/>
      <c r="J161" s="448"/>
      <c r="K161" s="448"/>
      <c r="L161" s="448"/>
      <c r="M161" s="449"/>
      <c r="N161" s="447"/>
      <c r="O161" s="448"/>
      <c r="P161" s="448"/>
      <c r="Q161" s="448"/>
      <c r="R161" s="448"/>
      <c r="S161" s="448"/>
      <c r="T161" s="448"/>
      <c r="U161" s="448"/>
      <c r="V161" s="448"/>
      <c r="W161" s="448"/>
      <c r="X161" s="448"/>
      <c r="Y161" s="449"/>
    </row>
    <row r="162" spans="1:25" s="134" customFormat="1" ht="21" customHeight="1" thickBot="1" x14ac:dyDescent="0.25">
      <c r="A162" s="384"/>
      <c r="B162" s="391" t="str">
        <f>IF(ISBLANK(B160),"",CONCATENATE(LEFT(INDEX(B$65:B$91,MATCH(LEFT(B160,11)&amp;"*",B$65:B$91,0)+2),FIND("-",INDEX(B$65:B$91,MATCH(LEFT(B160,11)&amp;"*",B$65:B$91,0)+2))),$A160))</f>
        <v>M025.23.03.A3-04</v>
      </c>
      <c r="C162" s="392"/>
      <c r="D162" s="393"/>
      <c r="E162" s="301">
        <v>5</v>
      </c>
      <c r="F162" s="301" t="s">
        <v>4</v>
      </c>
      <c r="G162" s="302">
        <v>28</v>
      </c>
      <c r="H162" s="303">
        <v>0</v>
      </c>
      <c r="I162" s="303">
        <v>7</v>
      </c>
      <c r="J162" s="303">
        <v>14</v>
      </c>
      <c r="K162" s="304"/>
      <c r="L162" s="305" t="s">
        <v>295</v>
      </c>
      <c r="M162" s="306">
        <f>25*E162-SUM(G162:K162)</f>
        <v>76</v>
      </c>
      <c r="N162" s="391" t="str">
        <f>IF(ISBLANK(N160),"",CONCATENATE(LEFT(INDEX(N$65:N$91,MATCH(LEFT(N160,11)&amp;"*",N$65:N$91,0)+2),FIND("-",INDEX(N$65:N$91,MATCH(LEFT(N160,11)&amp;"*",N$65:N$91,0)+2))),$A160))</f>
        <v/>
      </c>
      <c r="O162" s="392"/>
      <c r="P162" s="393"/>
      <c r="Q162" s="301"/>
      <c r="R162" s="301"/>
      <c r="S162" s="302"/>
      <c r="T162" s="303"/>
      <c r="U162" s="303"/>
      <c r="V162" s="303"/>
      <c r="W162" s="304"/>
      <c r="X162" s="305"/>
      <c r="Y162" s="306"/>
    </row>
    <row r="163" spans="1:25" s="134" customFormat="1" ht="21" customHeight="1" thickTop="1" x14ac:dyDescent="0.2">
      <c r="A163" s="382" t="s">
        <v>38</v>
      </c>
      <c r="B163" s="450" t="s">
        <v>314</v>
      </c>
      <c r="C163" s="451"/>
      <c r="D163" s="451"/>
      <c r="E163" s="451"/>
      <c r="F163" s="451"/>
      <c r="G163" s="451"/>
      <c r="H163" s="451"/>
      <c r="I163" s="451"/>
      <c r="J163" s="451"/>
      <c r="K163" s="451"/>
      <c r="L163" s="451"/>
      <c r="M163" s="452"/>
      <c r="N163" s="450"/>
      <c r="O163" s="451"/>
      <c r="P163" s="451"/>
      <c r="Q163" s="451"/>
      <c r="R163" s="451"/>
      <c r="S163" s="451"/>
      <c r="T163" s="451"/>
      <c r="U163" s="451"/>
      <c r="V163" s="451"/>
      <c r="W163" s="451"/>
      <c r="X163" s="451"/>
      <c r="Y163" s="452"/>
    </row>
    <row r="164" spans="1:25" s="134" customFormat="1" ht="21" customHeight="1" x14ac:dyDescent="0.2">
      <c r="A164" s="383"/>
      <c r="B164" s="447"/>
      <c r="C164" s="448"/>
      <c r="D164" s="448"/>
      <c r="E164" s="448"/>
      <c r="F164" s="448"/>
      <c r="G164" s="448"/>
      <c r="H164" s="448"/>
      <c r="I164" s="448"/>
      <c r="J164" s="448"/>
      <c r="K164" s="448"/>
      <c r="L164" s="448"/>
      <c r="M164" s="449"/>
      <c r="N164" s="447"/>
      <c r="O164" s="448"/>
      <c r="P164" s="448"/>
      <c r="Q164" s="448"/>
      <c r="R164" s="448"/>
      <c r="S164" s="448"/>
      <c r="T164" s="448"/>
      <c r="U164" s="448"/>
      <c r="V164" s="448"/>
      <c r="W164" s="448"/>
      <c r="X164" s="448"/>
      <c r="Y164" s="449"/>
    </row>
    <row r="165" spans="1:25" s="134" customFormat="1" ht="21" customHeight="1" thickBot="1" x14ac:dyDescent="0.25">
      <c r="A165" s="384"/>
      <c r="B165" s="391" t="str">
        <f>IF(ISBLANK(B163),"",CONCATENATE(LEFT(INDEX(B$65:B$91,MATCH(LEFT(B163,11)&amp;"*",B$65:B$91,0)+2),FIND("-",INDEX(B$65:B$91,MATCH(LEFT(B163,11)&amp;"*",B$65:B$91,0)+2))),$A163))</f>
        <v>M025.23.03.A3-05</v>
      </c>
      <c r="C165" s="392"/>
      <c r="D165" s="393"/>
      <c r="E165" s="301">
        <v>5</v>
      </c>
      <c r="F165" s="301" t="s">
        <v>4</v>
      </c>
      <c r="G165" s="302">
        <v>28</v>
      </c>
      <c r="H165" s="303">
        <v>0</v>
      </c>
      <c r="I165" s="303">
        <v>0</v>
      </c>
      <c r="J165" s="303">
        <v>21</v>
      </c>
      <c r="K165" s="304"/>
      <c r="L165" s="305" t="s">
        <v>295</v>
      </c>
      <c r="M165" s="306">
        <f>25*E165-SUM(G165:K165)</f>
        <v>76</v>
      </c>
      <c r="N165" s="391" t="str">
        <f>IF(ISBLANK(N163),"",CONCATENATE(LEFT(INDEX(N$65:N$91,MATCH(LEFT(N163,11)&amp;"*",N$65:N$91,0)+2),FIND("-",INDEX(N$65:N$91,MATCH(LEFT(N163,11)&amp;"*",N$65:N$91,0)+2))),$A163))</f>
        <v/>
      </c>
      <c r="O165" s="392"/>
      <c r="P165" s="393"/>
      <c r="Q165" s="301"/>
      <c r="R165" s="301"/>
      <c r="S165" s="302"/>
      <c r="T165" s="303"/>
      <c r="U165" s="303"/>
      <c r="V165" s="303"/>
      <c r="W165" s="304"/>
      <c r="X165" s="305"/>
      <c r="Y165" s="306"/>
    </row>
    <row r="166" spans="1:25" s="134" customFormat="1" ht="21" customHeight="1" thickTop="1" x14ac:dyDescent="0.2">
      <c r="A166" s="382" t="s">
        <v>39</v>
      </c>
      <c r="B166" s="450" t="s">
        <v>315</v>
      </c>
      <c r="C166" s="451"/>
      <c r="D166" s="451"/>
      <c r="E166" s="451"/>
      <c r="F166" s="451"/>
      <c r="G166" s="451"/>
      <c r="H166" s="451"/>
      <c r="I166" s="451"/>
      <c r="J166" s="451"/>
      <c r="K166" s="451"/>
      <c r="L166" s="451"/>
      <c r="M166" s="452"/>
      <c r="N166" s="450"/>
      <c r="O166" s="451"/>
      <c r="P166" s="451"/>
      <c r="Q166" s="451"/>
      <c r="R166" s="451"/>
      <c r="S166" s="451"/>
      <c r="T166" s="451"/>
      <c r="U166" s="451"/>
      <c r="V166" s="451"/>
      <c r="W166" s="451"/>
      <c r="X166" s="451"/>
      <c r="Y166" s="452"/>
    </row>
    <row r="167" spans="1:25" s="134" customFormat="1" ht="21" customHeight="1" x14ac:dyDescent="0.2">
      <c r="A167" s="383"/>
      <c r="B167" s="447"/>
      <c r="C167" s="448"/>
      <c r="D167" s="448"/>
      <c r="E167" s="448"/>
      <c r="F167" s="448"/>
      <c r="G167" s="448"/>
      <c r="H167" s="448"/>
      <c r="I167" s="448"/>
      <c r="J167" s="448"/>
      <c r="K167" s="448"/>
      <c r="L167" s="448"/>
      <c r="M167" s="449"/>
      <c r="N167" s="447"/>
      <c r="O167" s="448"/>
      <c r="P167" s="448"/>
      <c r="Q167" s="448"/>
      <c r="R167" s="448"/>
      <c r="S167" s="448"/>
      <c r="T167" s="448"/>
      <c r="U167" s="448"/>
      <c r="V167" s="448"/>
      <c r="W167" s="448"/>
      <c r="X167" s="448"/>
      <c r="Y167" s="449"/>
    </row>
    <row r="168" spans="1:25" s="134" customFormat="1" ht="21" customHeight="1" thickBot="1" x14ac:dyDescent="0.25">
      <c r="A168" s="384"/>
      <c r="B168" s="391" t="str">
        <f>IF(ISBLANK(B166),"",CONCATENATE(LEFT(INDEX(B$65:B$91,MATCH(LEFT(B166,11)&amp;"*",B$65:B$91,0)+2),FIND("-",INDEX(B$65:B$91,MATCH(LEFT(B166,11)&amp;"*",B$65:B$91,0)+2))),$A166))</f>
        <v>M025.23.03.A3-06</v>
      </c>
      <c r="C168" s="392"/>
      <c r="D168" s="393"/>
      <c r="E168" s="301">
        <v>5</v>
      </c>
      <c r="F168" s="301" t="s">
        <v>4</v>
      </c>
      <c r="G168" s="302">
        <v>28</v>
      </c>
      <c r="H168" s="303">
        <v>0</v>
      </c>
      <c r="I168" s="303">
        <v>0</v>
      </c>
      <c r="J168" s="303">
        <v>21</v>
      </c>
      <c r="K168" s="304"/>
      <c r="L168" s="305" t="s">
        <v>295</v>
      </c>
      <c r="M168" s="306">
        <f>25*E168-SUM(G168:K168)</f>
        <v>76</v>
      </c>
      <c r="N168" s="391" t="str">
        <f>IF(ISBLANK(N166),"",CONCATENATE(LEFT(INDEX(N$65:N$91,MATCH(LEFT(N166,11)&amp;"*",N$65:N$91,0)+2),FIND("-",INDEX(N$65:N$91,MATCH(LEFT(N166,11)&amp;"*",N$65:N$91,0)+2))),$A166))</f>
        <v/>
      </c>
      <c r="O168" s="392"/>
      <c r="P168" s="393"/>
      <c r="Q168" s="301"/>
      <c r="R168" s="301"/>
      <c r="S168" s="302"/>
      <c r="T168" s="303"/>
      <c r="U168" s="303"/>
      <c r="V168" s="303"/>
      <c r="W168" s="304"/>
      <c r="X168" s="305"/>
      <c r="Y168" s="306"/>
    </row>
    <row r="169" spans="1:25" s="134" customFormat="1" ht="21" customHeight="1" thickTop="1" x14ac:dyDescent="0.2">
      <c r="A169" s="382" t="s">
        <v>223</v>
      </c>
      <c r="B169" s="450"/>
      <c r="C169" s="451"/>
      <c r="D169" s="451"/>
      <c r="E169" s="451"/>
      <c r="F169" s="451"/>
      <c r="G169" s="451"/>
      <c r="H169" s="451"/>
      <c r="I169" s="451"/>
      <c r="J169" s="451"/>
      <c r="K169" s="451"/>
      <c r="L169" s="451"/>
      <c r="M169" s="452"/>
      <c r="N169" s="450"/>
      <c r="O169" s="451"/>
      <c r="P169" s="451"/>
      <c r="Q169" s="451"/>
      <c r="R169" s="451"/>
      <c r="S169" s="451"/>
      <c r="T169" s="451"/>
      <c r="U169" s="451"/>
      <c r="V169" s="451"/>
      <c r="W169" s="451"/>
      <c r="X169" s="451"/>
      <c r="Y169" s="452"/>
    </row>
    <row r="170" spans="1:25" s="134" customFormat="1" ht="21" customHeight="1" x14ac:dyDescent="0.2">
      <c r="A170" s="383"/>
      <c r="B170" s="447"/>
      <c r="C170" s="448"/>
      <c r="D170" s="448"/>
      <c r="E170" s="448"/>
      <c r="F170" s="448"/>
      <c r="G170" s="448"/>
      <c r="H170" s="448"/>
      <c r="I170" s="448"/>
      <c r="J170" s="448"/>
      <c r="K170" s="448"/>
      <c r="L170" s="448"/>
      <c r="M170" s="449"/>
      <c r="N170" s="447"/>
      <c r="O170" s="448"/>
      <c r="P170" s="448"/>
      <c r="Q170" s="448"/>
      <c r="R170" s="448"/>
      <c r="S170" s="448"/>
      <c r="T170" s="448"/>
      <c r="U170" s="448"/>
      <c r="V170" s="448"/>
      <c r="W170" s="448"/>
      <c r="X170" s="448"/>
      <c r="Y170" s="449"/>
    </row>
    <row r="171" spans="1:25" s="134" customFormat="1" ht="21" customHeight="1" thickBot="1" x14ac:dyDescent="0.25">
      <c r="A171" s="384"/>
      <c r="B171" s="391" t="str">
        <f>IF(ISBLANK(B169),"",CONCATENATE(LEFT(INDEX(B$65:B$91,MATCH(LEFT(B169,11)&amp;"*",B$65:B$91,0)+2),FIND("-",INDEX(B$65:B$91,MATCH(LEFT(B169,11)&amp;"*",B$65:B$91,0)+2))),$A169))</f>
        <v/>
      </c>
      <c r="C171" s="392"/>
      <c r="D171" s="393"/>
      <c r="E171" s="301"/>
      <c r="F171" s="301"/>
      <c r="G171" s="302"/>
      <c r="H171" s="303"/>
      <c r="I171" s="303"/>
      <c r="J171" s="303"/>
      <c r="K171" s="304"/>
      <c r="L171" s="305"/>
      <c r="M171" s="306"/>
      <c r="N171" s="391" t="str">
        <f>IF(ISBLANK(N169),"",CONCATENATE(LEFT(INDEX(N$65:N$91,MATCH(LEFT(N169,11)&amp;"*",N$65:N$91,0)+2),FIND("-",INDEX(N$65:N$91,MATCH(LEFT(N169,11)&amp;"*",N$65:N$91,0)+2))),$A169))</f>
        <v/>
      </c>
      <c r="O171" s="392"/>
      <c r="P171" s="393"/>
      <c r="Q171" s="301"/>
      <c r="R171" s="301"/>
      <c r="S171" s="302"/>
      <c r="T171" s="303"/>
      <c r="U171" s="303"/>
      <c r="V171" s="303"/>
      <c r="W171" s="304"/>
      <c r="X171" s="305"/>
      <c r="Y171" s="306"/>
    </row>
    <row r="172" spans="1:25" s="134" customFormat="1" ht="21" customHeight="1" thickTop="1" x14ac:dyDescent="0.2">
      <c r="A172" s="382" t="s">
        <v>224</v>
      </c>
      <c r="B172" s="450"/>
      <c r="C172" s="451"/>
      <c r="D172" s="451"/>
      <c r="E172" s="451"/>
      <c r="F172" s="451"/>
      <c r="G172" s="451"/>
      <c r="H172" s="451"/>
      <c r="I172" s="451"/>
      <c r="J172" s="451"/>
      <c r="K172" s="451"/>
      <c r="L172" s="451"/>
      <c r="M172" s="452"/>
      <c r="N172" s="450"/>
      <c r="O172" s="451"/>
      <c r="P172" s="451"/>
      <c r="Q172" s="451"/>
      <c r="R172" s="451"/>
      <c r="S172" s="451"/>
      <c r="T172" s="451"/>
      <c r="U172" s="451"/>
      <c r="V172" s="451"/>
      <c r="W172" s="451"/>
      <c r="X172" s="451"/>
      <c r="Y172" s="452"/>
    </row>
    <row r="173" spans="1:25" s="134" customFormat="1" ht="21" customHeight="1" x14ac:dyDescent="0.2">
      <c r="A173" s="383"/>
      <c r="B173" s="447"/>
      <c r="C173" s="448"/>
      <c r="D173" s="448"/>
      <c r="E173" s="448"/>
      <c r="F173" s="448"/>
      <c r="G173" s="448"/>
      <c r="H173" s="448"/>
      <c r="I173" s="448"/>
      <c r="J173" s="448"/>
      <c r="K173" s="448"/>
      <c r="L173" s="448"/>
      <c r="M173" s="449"/>
      <c r="N173" s="447"/>
      <c r="O173" s="448"/>
      <c r="P173" s="448"/>
      <c r="Q173" s="448"/>
      <c r="R173" s="448"/>
      <c r="S173" s="448"/>
      <c r="T173" s="448"/>
      <c r="U173" s="448"/>
      <c r="V173" s="448"/>
      <c r="W173" s="448"/>
      <c r="X173" s="448"/>
      <c r="Y173" s="449"/>
    </row>
    <row r="174" spans="1:25" s="134" customFormat="1" ht="21" customHeight="1" thickBot="1" x14ac:dyDescent="0.25">
      <c r="A174" s="384"/>
      <c r="B174" s="391" t="str">
        <f>IF(ISBLANK(B172),"",CONCATENATE(LEFT(INDEX(B$65:B$91,MATCH(LEFT(B172,11)&amp;"*",B$65:B$91,0)+2),FIND("-",INDEX(B$65:B$91,MATCH(LEFT(B172,11)&amp;"*",B$65:B$91,0)+2))),$A172))</f>
        <v/>
      </c>
      <c r="C174" s="392"/>
      <c r="D174" s="393"/>
      <c r="E174" s="301"/>
      <c r="F174" s="301"/>
      <c r="G174" s="302"/>
      <c r="H174" s="303"/>
      <c r="I174" s="303"/>
      <c r="J174" s="303"/>
      <c r="K174" s="304"/>
      <c r="L174" s="305"/>
      <c r="M174" s="306"/>
      <c r="N174" s="391" t="str">
        <f>IF(ISBLANK(N172),"",CONCATENATE(LEFT(INDEX(N$65:N$91,MATCH(LEFT(N172,11)&amp;"*",N$65:N$91,0)+2),FIND("-",INDEX(N$65:N$91,MATCH(LEFT(N172,11)&amp;"*",N$65:N$91,0)+2))),$A172))</f>
        <v/>
      </c>
      <c r="O174" s="392"/>
      <c r="P174" s="393"/>
      <c r="Q174" s="301"/>
      <c r="R174" s="301"/>
      <c r="S174" s="302"/>
      <c r="T174" s="303"/>
      <c r="U174" s="303"/>
      <c r="V174" s="303"/>
      <c r="W174" s="304"/>
      <c r="X174" s="305"/>
      <c r="Y174" s="306"/>
    </row>
    <row r="175" spans="1:25" s="134" customFormat="1" ht="21" customHeight="1" thickTop="1" x14ac:dyDescent="0.2">
      <c r="A175" s="382" t="s">
        <v>236</v>
      </c>
      <c r="B175" s="450"/>
      <c r="C175" s="451"/>
      <c r="D175" s="451"/>
      <c r="E175" s="451"/>
      <c r="F175" s="451"/>
      <c r="G175" s="451"/>
      <c r="H175" s="451"/>
      <c r="I175" s="451"/>
      <c r="J175" s="451"/>
      <c r="K175" s="451"/>
      <c r="L175" s="451"/>
      <c r="M175" s="452"/>
      <c r="N175" s="450"/>
      <c r="O175" s="451"/>
      <c r="P175" s="451"/>
      <c r="Q175" s="451"/>
      <c r="R175" s="451"/>
      <c r="S175" s="451"/>
      <c r="T175" s="451"/>
      <c r="U175" s="451"/>
      <c r="V175" s="451"/>
      <c r="W175" s="451"/>
      <c r="X175" s="451"/>
      <c r="Y175" s="452"/>
    </row>
    <row r="176" spans="1:25" s="134" customFormat="1" ht="21" customHeight="1" x14ac:dyDescent="0.2">
      <c r="A176" s="383"/>
      <c r="B176" s="447"/>
      <c r="C176" s="448"/>
      <c r="D176" s="448"/>
      <c r="E176" s="448"/>
      <c r="F176" s="448"/>
      <c r="G176" s="448"/>
      <c r="H176" s="448"/>
      <c r="I176" s="448"/>
      <c r="J176" s="448"/>
      <c r="K176" s="448"/>
      <c r="L176" s="448"/>
      <c r="M176" s="449"/>
      <c r="N176" s="447"/>
      <c r="O176" s="448"/>
      <c r="P176" s="448"/>
      <c r="Q176" s="448"/>
      <c r="R176" s="448"/>
      <c r="S176" s="448"/>
      <c r="T176" s="448"/>
      <c r="U176" s="448"/>
      <c r="V176" s="448"/>
      <c r="W176" s="448"/>
      <c r="X176" s="448"/>
      <c r="Y176" s="449"/>
    </row>
    <row r="177" spans="1:25" s="134" customFormat="1" ht="21" customHeight="1" thickBot="1" x14ac:dyDescent="0.25">
      <c r="A177" s="384"/>
      <c r="B177" s="391" t="str">
        <f>IF(ISBLANK(B175),"",CONCATENATE(LEFT(INDEX(B$65:B$91,MATCH(LEFT(B175,11)&amp;"*",B$65:B$91,0)+2),FIND("-",INDEX(B$65:B$91,MATCH(LEFT(B175,11)&amp;"*",B$65:B$91,0)+2))),$A175))</f>
        <v/>
      </c>
      <c r="C177" s="392"/>
      <c r="D177" s="393"/>
      <c r="E177" s="301"/>
      <c r="F177" s="301"/>
      <c r="G177" s="302"/>
      <c r="H177" s="303"/>
      <c r="I177" s="303"/>
      <c r="J177" s="303"/>
      <c r="K177" s="304"/>
      <c r="L177" s="305"/>
      <c r="M177" s="306"/>
      <c r="N177" s="391" t="str">
        <f>IF(ISBLANK(N175),"",CONCATENATE(LEFT(INDEX(N$65:N$91,MATCH(LEFT(N175,11)&amp;"*",N$65:N$91,0)+2),FIND("-",INDEX(N$65:N$91,MATCH(LEFT(N175,11)&amp;"*",N$65:N$91,0)+2))),$A175))</f>
        <v/>
      </c>
      <c r="O177" s="392"/>
      <c r="P177" s="393"/>
      <c r="Q177" s="301"/>
      <c r="R177" s="301"/>
      <c r="S177" s="302"/>
      <c r="T177" s="303"/>
      <c r="U177" s="303"/>
      <c r="V177" s="303"/>
      <c r="W177" s="304"/>
      <c r="X177" s="305"/>
      <c r="Y177" s="306"/>
    </row>
    <row r="178" spans="1:25" s="134" customFormat="1" ht="21" customHeight="1" thickTop="1" x14ac:dyDescent="0.2">
      <c r="A178" s="382" t="s">
        <v>238</v>
      </c>
      <c r="B178" s="450"/>
      <c r="C178" s="451"/>
      <c r="D178" s="451"/>
      <c r="E178" s="451"/>
      <c r="F178" s="451"/>
      <c r="G178" s="451"/>
      <c r="H178" s="451"/>
      <c r="I178" s="451"/>
      <c r="J178" s="451"/>
      <c r="K178" s="451"/>
      <c r="L178" s="451"/>
      <c r="M178" s="452"/>
      <c r="N178" s="450"/>
      <c r="O178" s="451"/>
      <c r="P178" s="451"/>
      <c r="Q178" s="451"/>
      <c r="R178" s="451"/>
      <c r="S178" s="451"/>
      <c r="T178" s="451"/>
      <c r="U178" s="451"/>
      <c r="V178" s="451"/>
      <c r="W178" s="451"/>
      <c r="X178" s="451"/>
      <c r="Y178" s="452"/>
    </row>
    <row r="179" spans="1:25" s="134" customFormat="1" ht="21" customHeight="1" x14ac:dyDescent="0.2">
      <c r="A179" s="383"/>
      <c r="B179" s="447"/>
      <c r="C179" s="448"/>
      <c r="D179" s="448"/>
      <c r="E179" s="448"/>
      <c r="F179" s="448"/>
      <c r="G179" s="448"/>
      <c r="H179" s="448"/>
      <c r="I179" s="448"/>
      <c r="J179" s="448"/>
      <c r="K179" s="448"/>
      <c r="L179" s="448"/>
      <c r="M179" s="449"/>
      <c r="N179" s="447"/>
      <c r="O179" s="448"/>
      <c r="P179" s="448"/>
      <c r="Q179" s="448"/>
      <c r="R179" s="448"/>
      <c r="S179" s="448"/>
      <c r="T179" s="448"/>
      <c r="U179" s="448"/>
      <c r="V179" s="448"/>
      <c r="W179" s="448"/>
      <c r="X179" s="448"/>
      <c r="Y179" s="449"/>
    </row>
    <row r="180" spans="1:25" s="134" customFormat="1" ht="21" customHeight="1" thickBot="1" x14ac:dyDescent="0.25">
      <c r="A180" s="384"/>
      <c r="B180" s="391" t="str">
        <f>IF(ISBLANK(B178),"",CONCATENATE(LEFT(INDEX(B$65:B$91,MATCH(LEFT(B178,11)&amp;"*",B$65:B$91,0)+2),FIND("-",INDEX(B$65:B$91,MATCH(LEFT(B178,11)&amp;"*",B$65:B$91,0)+2))),$A178))</f>
        <v/>
      </c>
      <c r="C180" s="392"/>
      <c r="D180" s="393"/>
      <c r="E180" s="301"/>
      <c r="F180" s="301"/>
      <c r="G180" s="302"/>
      <c r="H180" s="303"/>
      <c r="I180" s="303"/>
      <c r="J180" s="303"/>
      <c r="K180" s="304"/>
      <c r="L180" s="305"/>
      <c r="M180" s="306"/>
      <c r="N180" s="391" t="str">
        <f>IF(ISBLANK(N178),"",CONCATENATE(LEFT(INDEX(N$65:N$91,MATCH(LEFT(N178,11)&amp;"*",N$65:N$91,0)+2),FIND("-",INDEX(N$65:N$91,MATCH(LEFT(N178,11)&amp;"*",N$65:N$91,0)+2))),$A178))</f>
        <v/>
      </c>
      <c r="O180" s="392"/>
      <c r="P180" s="393"/>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394" t="s">
        <v>280</v>
      </c>
      <c r="B182" s="394"/>
      <c r="C182" s="394"/>
      <c r="D182" s="394"/>
      <c r="E182" s="394"/>
      <c r="F182" s="394"/>
      <c r="G182" s="394"/>
      <c r="H182" s="394"/>
      <c r="I182" s="394"/>
      <c r="J182" s="394"/>
      <c r="K182" s="394"/>
      <c r="L182" s="394"/>
      <c r="M182" s="394"/>
      <c r="N182" s="394"/>
      <c r="O182" s="394"/>
      <c r="P182" s="394"/>
      <c r="Q182" s="394"/>
      <c r="R182" s="394"/>
      <c r="S182" s="394"/>
      <c r="T182" s="394"/>
      <c r="U182" s="394"/>
      <c r="V182" s="394"/>
      <c r="W182" s="394"/>
      <c r="X182" s="394"/>
      <c r="Y182" s="394"/>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8" t="s">
        <v>10</v>
      </c>
      <c r="B185" s="469"/>
      <c r="C185" s="469"/>
      <c r="D185" s="469"/>
      <c r="E185" s="469"/>
      <c r="F185" s="469"/>
      <c r="G185" s="469"/>
      <c r="H185" s="469"/>
      <c r="I185" s="469"/>
      <c r="J185" s="469"/>
      <c r="K185" s="469"/>
      <c r="L185" s="470"/>
      <c r="M185" s="152"/>
      <c r="N185" s="465" t="s">
        <v>22</v>
      </c>
      <c r="O185" s="466"/>
      <c r="P185" s="466"/>
      <c r="Q185" s="466"/>
      <c r="R185" s="466"/>
      <c r="S185" s="466"/>
      <c r="T185" s="466"/>
      <c r="U185" s="466"/>
      <c r="V185" s="466"/>
      <c r="W185" s="466"/>
      <c r="X185" s="466"/>
      <c r="Y185" s="467"/>
    </row>
    <row r="186" spans="1:25" s="153" customFormat="1" ht="21" customHeight="1" thickTop="1" thickBot="1" x14ac:dyDescent="0.25">
      <c r="A186" s="471"/>
      <c r="B186" s="472"/>
      <c r="C186" s="472"/>
      <c r="D186" s="472"/>
      <c r="E186" s="472"/>
      <c r="F186" s="472"/>
      <c r="G186" s="472"/>
      <c r="H186" s="472"/>
      <c r="I186" s="472"/>
      <c r="J186" s="472"/>
      <c r="K186" s="472"/>
      <c r="L186" s="473"/>
      <c r="M186" s="154"/>
      <c r="N186" s="465" t="s">
        <v>43</v>
      </c>
      <c r="O186" s="466"/>
      <c r="P186" s="466"/>
      <c r="Q186" s="466"/>
      <c r="R186" s="466"/>
      <c r="S186" s="466"/>
      <c r="T186" s="466"/>
      <c r="U186" s="466"/>
      <c r="V186" s="466"/>
      <c r="W186" s="466"/>
      <c r="X186" s="466"/>
      <c r="Y186" s="467"/>
    </row>
    <row r="187" spans="1:25" s="153" customFormat="1" ht="21" customHeight="1" thickTop="1" thickBot="1" x14ac:dyDescent="0.25">
      <c r="A187" s="474" t="s">
        <v>11</v>
      </c>
      <c r="B187" s="475"/>
      <c r="C187" s="476"/>
      <c r="D187" s="155" t="s">
        <v>12</v>
      </c>
      <c r="E187" s="156" t="s">
        <v>13</v>
      </c>
      <c r="F187" s="156" t="s">
        <v>14</v>
      </c>
      <c r="G187" s="156" t="s">
        <v>15</v>
      </c>
      <c r="H187" s="156" t="s">
        <v>16</v>
      </c>
      <c r="I187" s="156" t="s">
        <v>17</v>
      </c>
      <c r="J187" s="157" t="s">
        <v>74</v>
      </c>
      <c r="K187" s="157" t="s">
        <v>18</v>
      </c>
      <c r="L187" s="158" t="s">
        <v>19</v>
      </c>
      <c r="M187" s="159"/>
      <c r="N187" s="478" t="s">
        <v>77</v>
      </c>
      <c r="O187" s="479"/>
      <c r="P187" s="480"/>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464" t="s">
        <v>64</v>
      </c>
      <c r="P189" s="464"/>
      <c r="Q189" s="464"/>
      <c r="R189" s="464"/>
      <c r="S189" s="464"/>
      <c r="T189" s="464"/>
      <c r="U189" s="464"/>
      <c r="V189" s="464"/>
      <c r="W189" s="464"/>
      <c r="X189" s="464"/>
      <c r="Y189" s="477"/>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464" t="s">
        <v>80</v>
      </c>
      <c r="D192" s="464"/>
      <c r="E192" s="464"/>
      <c r="F192" s="464"/>
      <c r="G192" s="464"/>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63" t="s">
        <v>65</v>
      </c>
      <c r="E193" s="463"/>
      <c r="F193" s="463"/>
      <c r="G193" s="463"/>
      <c r="H193" s="463"/>
      <c r="I193" s="463"/>
      <c r="J193" s="463"/>
      <c r="K193" s="463"/>
      <c r="L193" s="463"/>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464" t="s">
        <v>81</v>
      </c>
      <c r="E195" s="464"/>
      <c r="F195" s="464"/>
      <c r="G195" s="154"/>
      <c r="H195" s="154"/>
      <c r="I195" s="154"/>
      <c r="J195" s="154"/>
      <c r="K195" s="154"/>
      <c r="L195" s="176"/>
      <c r="M195" s="175"/>
      <c r="N195" s="182"/>
      <c r="O195" s="464" t="s">
        <v>239</v>
      </c>
      <c r="P195" s="464"/>
      <c r="Q195" s="464"/>
      <c r="R195" s="464"/>
      <c r="S195" s="464"/>
      <c r="T195" s="464"/>
      <c r="U195" s="464"/>
      <c r="V195" s="464"/>
      <c r="W195" s="464"/>
      <c r="X195" s="464"/>
      <c r="Y195" s="477"/>
    </row>
    <row r="196" spans="1:25" s="153" customFormat="1" ht="21" customHeight="1" x14ac:dyDescent="0.2">
      <c r="A196" s="170"/>
      <c r="B196" s="154" t="s">
        <v>69</v>
      </c>
      <c r="C196" s="175"/>
      <c r="D196" s="175"/>
      <c r="E196" s="175"/>
      <c r="F196" s="167"/>
      <c r="G196" s="154"/>
      <c r="H196" s="154"/>
      <c r="I196" s="154"/>
      <c r="J196" s="154"/>
      <c r="K196" s="154"/>
      <c r="L196" s="176"/>
      <c r="M196" s="175"/>
      <c r="N196" s="182"/>
      <c r="O196" s="464"/>
      <c r="P196" s="464"/>
      <c r="Q196" s="464"/>
      <c r="R196" s="464"/>
      <c r="S196" s="464"/>
      <c r="T196" s="464"/>
      <c r="U196" s="464"/>
      <c r="V196" s="464"/>
      <c r="W196" s="464"/>
      <c r="X196" s="464"/>
      <c r="Y196" s="477"/>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63" t="s">
        <v>78</v>
      </c>
      <c r="P197" s="463"/>
      <c r="Q197" s="463"/>
      <c r="R197" s="463"/>
      <c r="S197" s="463"/>
      <c r="T197" s="463"/>
      <c r="U197" s="463"/>
      <c r="V197" s="463"/>
      <c r="W197" s="463"/>
      <c r="X197" s="463"/>
      <c r="Y197" s="501"/>
    </row>
    <row r="198" spans="1:25" s="153" customFormat="1" ht="21" customHeight="1" x14ac:dyDescent="0.2">
      <c r="A198" s="170"/>
      <c r="B198" s="463" t="s">
        <v>72</v>
      </c>
      <c r="C198" s="463"/>
      <c r="D198" s="463"/>
      <c r="E198" s="463"/>
      <c r="F198" s="167"/>
      <c r="G198" s="175"/>
      <c r="H198" s="175"/>
      <c r="I198" s="175"/>
      <c r="J198" s="175"/>
      <c r="K198" s="175"/>
      <c r="L198" s="176"/>
      <c r="M198" s="175"/>
      <c r="N198" s="182"/>
      <c r="O198" s="504" t="s">
        <v>240</v>
      </c>
      <c r="P198" s="504"/>
      <c r="Q198" s="504"/>
      <c r="R198" s="504"/>
      <c r="S198" s="504"/>
      <c r="T198" s="504"/>
      <c r="U198" s="504"/>
      <c r="V198" s="504"/>
      <c r="W198" s="504"/>
      <c r="X198" s="504"/>
      <c r="Y198" s="505"/>
    </row>
    <row r="199" spans="1:25" s="153" customFormat="1" ht="21" customHeight="1" x14ac:dyDescent="0.2">
      <c r="A199" s="170"/>
      <c r="B199" s="181" t="s">
        <v>73</v>
      </c>
      <c r="C199" s="152"/>
      <c r="D199" s="152"/>
      <c r="E199" s="152"/>
      <c r="F199" s="167"/>
      <c r="G199" s="175"/>
      <c r="H199" s="175"/>
      <c r="I199" s="175"/>
      <c r="J199" s="175"/>
      <c r="K199" s="175"/>
      <c r="L199" s="176"/>
      <c r="M199" s="175"/>
      <c r="N199" s="184"/>
      <c r="O199" s="504"/>
      <c r="P199" s="504"/>
      <c r="Q199" s="504"/>
      <c r="R199" s="504"/>
      <c r="S199" s="504"/>
      <c r="T199" s="504"/>
      <c r="U199" s="504"/>
      <c r="V199" s="504"/>
      <c r="W199" s="504"/>
      <c r="X199" s="504"/>
      <c r="Y199" s="505"/>
    </row>
    <row r="200" spans="1:25" s="153" customFormat="1" ht="21" customHeight="1" x14ac:dyDescent="0.2">
      <c r="A200" s="170"/>
      <c r="B200" s="463" t="s">
        <v>60</v>
      </c>
      <c r="C200" s="463"/>
      <c r="D200" s="463"/>
      <c r="E200" s="463"/>
      <c r="F200" s="463"/>
      <c r="G200" s="463"/>
      <c r="H200" s="463"/>
      <c r="I200" s="463"/>
      <c r="J200" s="463"/>
      <c r="K200" s="175"/>
      <c r="L200" s="176"/>
      <c r="M200" s="175"/>
      <c r="N200" s="184"/>
      <c r="O200" s="464" t="s">
        <v>79</v>
      </c>
      <c r="P200" s="464"/>
      <c r="Q200" s="464"/>
      <c r="R200" s="464"/>
      <c r="S200" s="464"/>
      <c r="T200" s="464"/>
      <c r="U200" s="464"/>
      <c r="V200" s="464"/>
      <c r="W200" s="464"/>
      <c r="X200" s="464"/>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398" t="s">
        <v>268</v>
      </c>
      <c r="B212" s="398"/>
      <c r="C212" s="398"/>
      <c r="D212" s="398"/>
      <c r="E212" s="398"/>
      <c r="F212" s="398"/>
      <c r="G212" s="398"/>
      <c r="H212" s="398"/>
      <c r="I212" s="398"/>
      <c r="J212" s="398"/>
      <c r="K212" s="398"/>
      <c r="L212" s="398"/>
      <c r="M212" s="398"/>
      <c r="N212" s="398"/>
      <c r="O212" s="398"/>
      <c r="P212" s="398"/>
      <c r="Q212" s="398"/>
      <c r="R212" s="398"/>
      <c r="S212" s="398"/>
      <c r="T212" s="398"/>
      <c r="U212" s="398"/>
      <c r="V212" s="398"/>
      <c r="W212" s="398"/>
      <c r="X212" s="398"/>
      <c r="Y212" s="398"/>
    </row>
    <row r="213" spans="1:25" ht="18" x14ac:dyDescent="0.2">
      <c r="A213" s="399" t="str">
        <f>A20</f>
        <v>Pentru seria de studenti 2023-2025</v>
      </c>
      <c r="B213" s="399"/>
      <c r="C213" s="399"/>
      <c r="D213" s="399"/>
      <c r="E213" s="399"/>
      <c r="F213" s="399"/>
      <c r="G213" s="399"/>
      <c r="H213" s="399"/>
      <c r="I213" s="399"/>
      <c r="J213" s="399"/>
      <c r="K213" s="399"/>
      <c r="L213" s="399"/>
      <c r="M213" s="399"/>
      <c r="N213" s="399"/>
      <c r="O213" s="399"/>
      <c r="P213" s="399"/>
      <c r="Q213" s="399"/>
      <c r="R213" s="399"/>
      <c r="S213" s="399"/>
      <c r="T213" s="399"/>
      <c r="U213" s="399"/>
      <c r="V213" s="399"/>
      <c r="W213" s="399"/>
      <c r="X213" s="399"/>
      <c r="Y213" s="399"/>
    </row>
    <row r="214" spans="1:25" ht="15.75" thickBot="1" x14ac:dyDescent="0.3">
      <c r="A214" s="400" t="str">
        <f>A21</f>
        <v>ANUL I (2023-2024)</v>
      </c>
      <c r="B214" s="400"/>
      <c r="C214" s="400"/>
      <c r="D214" s="400"/>
      <c r="E214" s="400"/>
      <c r="F214" s="400"/>
      <c r="G214" s="400"/>
      <c r="H214" s="400"/>
      <c r="I214" s="400"/>
      <c r="J214" s="400"/>
      <c r="K214" s="400"/>
      <c r="L214" s="400"/>
      <c r="M214" s="400"/>
      <c r="N214" s="400"/>
      <c r="O214" s="400"/>
      <c r="P214" s="400"/>
      <c r="Q214" s="400"/>
      <c r="R214" s="400"/>
      <c r="S214" s="400"/>
      <c r="T214" s="400"/>
      <c r="U214" s="400"/>
      <c r="V214" s="400"/>
      <c r="W214" s="400"/>
      <c r="X214" s="400"/>
      <c r="Y214" s="400"/>
    </row>
    <row r="215" spans="1:25" ht="14.25" customHeight="1" thickTop="1" thickBot="1" x14ac:dyDescent="0.25">
      <c r="A215" s="99"/>
      <c r="B215" s="401" t="s">
        <v>0</v>
      </c>
      <c r="C215" s="402"/>
      <c r="D215" s="402"/>
      <c r="E215" s="402"/>
      <c r="F215" s="402"/>
      <c r="G215" s="402"/>
      <c r="H215" s="402"/>
      <c r="I215" s="402"/>
      <c r="J215" s="402"/>
      <c r="K215" s="402"/>
      <c r="L215" s="402"/>
      <c r="M215" s="403"/>
      <c r="N215" s="402" t="s">
        <v>1</v>
      </c>
      <c r="O215" s="402"/>
      <c r="P215" s="402"/>
      <c r="Q215" s="402"/>
      <c r="R215" s="402"/>
      <c r="S215" s="402"/>
      <c r="T215" s="402"/>
      <c r="U215" s="402"/>
      <c r="V215" s="402"/>
      <c r="W215" s="402"/>
      <c r="X215" s="402"/>
      <c r="Y215" s="403"/>
    </row>
    <row r="216" spans="1:25" ht="15" customHeight="1" thickTop="1" x14ac:dyDescent="0.2">
      <c r="A216" s="383" t="s">
        <v>33</v>
      </c>
      <c r="B216" s="385"/>
      <c r="C216" s="386"/>
      <c r="D216" s="386"/>
      <c r="E216" s="386"/>
      <c r="F216" s="386"/>
      <c r="G216" s="386"/>
      <c r="H216" s="386"/>
      <c r="I216" s="386"/>
      <c r="J216" s="386"/>
      <c r="K216" s="386"/>
      <c r="L216" s="386"/>
      <c r="M216" s="387"/>
      <c r="N216" s="385" t="s">
        <v>321</v>
      </c>
      <c r="O216" s="386"/>
      <c r="P216" s="386"/>
      <c r="Q216" s="386"/>
      <c r="R216" s="386"/>
      <c r="S216" s="386"/>
      <c r="T216" s="386"/>
      <c r="U216" s="386"/>
      <c r="V216" s="386"/>
      <c r="W216" s="386"/>
      <c r="X216" s="386"/>
      <c r="Y216" s="387"/>
    </row>
    <row r="217" spans="1:25" ht="14.25" customHeight="1" x14ac:dyDescent="0.2">
      <c r="A217" s="383"/>
      <c r="B217" s="388"/>
      <c r="C217" s="389"/>
      <c r="D217" s="389"/>
      <c r="E217" s="389"/>
      <c r="F217" s="389"/>
      <c r="G217" s="389"/>
      <c r="H217" s="389"/>
      <c r="I217" s="389"/>
      <c r="J217" s="389"/>
      <c r="K217" s="389"/>
      <c r="L217" s="389"/>
      <c r="M217" s="390"/>
      <c r="N217" s="388"/>
      <c r="O217" s="389"/>
      <c r="P217" s="389"/>
      <c r="Q217" s="389"/>
      <c r="R217" s="389"/>
      <c r="S217" s="389"/>
      <c r="T217" s="389"/>
      <c r="U217" s="389"/>
      <c r="V217" s="389"/>
      <c r="W217" s="389"/>
      <c r="X217" s="389"/>
      <c r="Y217" s="390"/>
    </row>
    <row r="218" spans="1:25" ht="15.75" thickBot="1" x14ac:dyDescent="0.25">
      <c r="A218" s="384"/>
      <c r="B218" s="391" t="str">
        <f>IF(ISBLANK(B216),"",CONCATENATE($E$17,$F$17,".",$G$17,".","0",RIGHT($B$215,1),".",RIGHT(L218,1),$A$50,"-",A216))</f>
        <v/>
      </c>
      <c r="C218" s="392"/>
      <c r="D218" s="393"/>
      <c r="E218" s="350"/>
      <c r="F218" s="350"/>
      <c r="G218" s="351"/>
      <c r="H218" s="352"/>
      <c r="I218" s="352"/>
      <c r="J218" s="352"/>
      <c r="K218" s="353"/>
      <c r="L218" s="345"/>
      <c r="M218" s="349"/>
      <c r="N218" s="391" t="str">
        <f>IF(ISBLANK(N216),"",CONCATENATE($E$17,$F$17,".",$G$17,".","0",RIGHT($N$215,1),".",RIGHT(X218,1),$A$50,"-",A216))</f>
        <v>M025.23.02.f10-01</v>
      </c>
      <c r="O218" s="392"/>
      <c r="P218" s="393"/>
      <c r="Q218" s="350">
        <v>2</v>
      </c>
      <c r="R218" s="350" t="s">
        <v>140</v>
      </c>
      <c r="S218" s="351">
        <v>0</v>
      </c>
      <c r="T218" s="352">
        <v>0</v>
      </c>
      <c r="U218" s="352">
        <v>28</v>
      </c>
      <c r="V218" s="352">
        <v>0</v>
      </c>
      <c r="W218" s="353"/>
      <c r="X218" s="345" t="s">
        <v>320</v>
      </c>
      <c r="Y218" s="349">
        <f>25*Q218-SUM(S218:W218)</f>
        <v>22</v>
      </c>
    </row>
    <row r="219" spans="1:25" thickTop="1" x14ac:dyDescent="0.2">
      <c r="A219" s="383" t="s">
        <v>34</v>
      </c>
      <c r="B219" s="395"/>
      <c r="C219" s="396"/>
      <c r="D219" s="396"/>
      <c r="E219" s="396"/>
      <c r="F219" s="396"/>
      <c r="G219" s="396"/>
      <c r="H219" s="396"/>
      <c r="I219" s="396"/>
      <c r="J219" s="396"/>
      <c r="K219" s="396"/>
      <c r="L219" s="396"/>
      <c r="M219" s="397"/>
      <c r="N219" s="385"/>
      <c r="O219" s="386"/>
      <c r="P219" s="386"/>
      <c r="Q219" s="386"/>
      <c r="R219" s="386"/>
      <c r="S219" s="386"/>
      <c r="T219" s="386"/>
      <c r="U219" s="386"/>
      <c r="V219" s="386"/>
      <c r="W219" s="386"/>
      <c r="X219" s="386"/>
      <c r="Y219" s="387"/>
    </row>
    <row r="220" spans="1:25" ht="14.25" x14ac:dyDescent="0.2">
      <c r="A220" s="383"/>
      <c r="B220" s="388"/>
      <c r="C220" s="389"/>
      <c r="D220" s="389"/>
      <c r="E220" s="389"/>
      <c r="F220" s="389"/>
      <c r="G220" s="389"/>
      <c r="H220" s="389"/>
      <c r="I220" s="389"/>
      <c r="J220" s="389"/>
      <c r="K220" s="389"/>
      <c r="L220" s="389"/>
      <c r="M220" s="390"/>
      <c r="N220" s="388"/>
      <c r="O220" s="389"/>
      <c r="P220" s="389"/>
      <c r="Q220" s="389"/>
      <c r="R220" s="389"/>
      <c r="S220" s="389"/>
      <c r="T220" s="389"/>
      <c r="U220" s="389"/>
      <c r="V220" s="389"/>
      <c r="W220" s="389"/>
      <c r="X220" s="389"/>
      <c r="Y220" s="390"/>
    </row>
    <row r="221" spans="1:25" ht="15.75" customHeight="1" thickBot="1" x14ac:dyDescent="0.25">
      <c r="A221" s="384"/>
      <c r="B221" s="391" t="str">
        <f>IF(ISBLANK(B219),"",CONCATENATE($E$17,$F$17,".",$G$17,".","0",RIGHT($B$215,1),".",RIGHT(L221,1),$A$50,"-",A219))</f>
        <v/>
      </c>
      <c r="C221" s="392"/>
      <c r="D221" s="393"/>
      <c r="E221" s="350"/>
      <c r="F221" s="350"/>
      <c r="G221" s="351"/>
      <c r="H221" s="352"/>
      <c r="I221" s="352"/>
      <c r="J221" s="352"/>
      <c r="K221" s="353"/>
      <c r="L221" s="345"/>
      <c r="M221" s="349"/>
      <c r="N221" s="391" t="str">
        <f>IF(ISBLANK(N219),"",CONCATENATE($E$17,$F$17,".",$G$17,".","0",RIGHT($N$215,1),".",RIGHT(X221,1),$A$50,"-",A219))</f>
        <v/>
      </c>
      <c r="O221" s="392"/>
      <c r="P221" s="393"/>
      <c r="Q221" s="350"/>
      <c r="R221" s="350"/>
      <c r="S221" s="351"/>
      <c r="T221" s="352"/>
      <c r="U221" s="352"/>
      <c r="V221" s="352"/>
      <c r="W221" s="353"/>
      <c r="X221" s="345"/>
      <c r="Y221" s="349"/>
    </row>
    <row r="222" spans="1:25" thickTop="1" x14ac:dyDescent="0.2">
      <c r="A222" s="382" t="s">
        <v>35</v>
      </c>
      <c r="B222" s="385"/>
      <c r="C222" s="386"/>
      <c r="D222" s="386"/>
      <c r="E222" s="386"/>
      <c r="F222" s="386"/>
      <c r="G222" s="386"/>
      <c r="H222" s="386"/>
      <c r="I222" s="386"/>
      <c r="J222" s="386"/>
      <c r="K222" s="386"/>
      <c r="L222" s="386"/>
      <c r="M222" s="387"/>
      <c r="N222" s="385"/>
      <c r="O222" s="386"/>
      <c r="P222" s="386"/>
      <c r="Q222" s="386"/>
      <c r="R222" s="386"/>
      <c r="S222" s="386"/>
      <c r="T222" s="386"/>
      <c r="U222" s="386"/>
      <c r="V222" s="386"/>
      <c r="W222" s="386"/>
      <c r="X222" s="386"/>
      <c r="Y222" s="387"/>
    </row>
    <row r="223" spans="1:25" ht="14.25" x14ac:dyDescent="0.2">
      <c r="A223" s="383"/>
      <c r="B223" s="388"/>
      <c r="C223" s="389"/>
      <c r="D223" s="389"/>
      <c r="E223" s="389"/>
      <c r="F223" s="389"/>
      <c r="G223" s="389"/>
      <c r="H223" s="389"/>
      <c r="I223" s="389"/>
      <c r="J223" s="389"/>
      <c r="K223" s="389"/>
      <c r="L223" s="389"/>
      <c r="M223" s="390"/>
      <c r="N223" s="388"/>
      <c r="O223" s="389"/>
      <c r="P223" s="389"/>
      <c r="Q223" s="389"/>
      <c r="R223" s="389"/>
      <c r="S223" s="389"/>
      <c r="T223" s="389"/>
      <c r="U223" s="389"/>
      <c r="V223" s="389"/>
      <c r="W223" s="389"/>
      <c r="X223" s="389"/>
      <c r="Y223" s="390"/>
    </row>
    <row r="224" spans="1:25" ht="15.75" customHeight="1" thickBot="1" x14ac:dyDescent="0.25">
      <c r="A224" s="384"/>
      <c r="B224" s="391" t="str">
        <f>IF(ISBLANK(B222),"",CONCATENATE($E$17,$F$17,".",$G$17,".","0",RIGHT($B$215,1),".",RIGHT(L224,1),$A$50,"-",A222))</f>
        <v/>
      </c>
      <c r="C224" s="392"/>
      <c r="D224" s="393"/>
      <c r="E224" s="350"/>
      <c r="F224" s="350"/>
      <c r="G224" s="351"/>
      <c r="H224" s="352"/>
      <c r="I224" s="352"/>
      <c r="J224" s="352"/>
      <c r="K224" s="353"/>
      <c r="L224" s="345"/>
      <c r="M224" s="349"/>
      <c r="N224" s="391" t="str">
        <f>IF(ISBLANK(N222),"",CONCATENATE($E$17,$F$17,".",$G$17,".","0",RIGHT($N$215,1),".",RIGHT(X224,1),$A$50,"-",A222))</f>
        <v/>
      </c>
      <c r="O224" s="392"/>
      <c r="P224" s="393"/>
      <c r="Q224" s="350"/>
      <c r="R224" s="350"/>
      <c r="S224" s="351"/>
      <c r="T224" s="352"/>
      <c r="U224" s="352"/>
      <c r="V224" s="352"/>
      <c r="W224" s="353"/>
      <c r="X224" s="345"/>
      <c r="Y224" s="349"/>
    </row>
    <row r="225" spans="1:25" thickTop="1" x14ac:dyDescent="0.2">
      <c r="A225" s="382" t="s">
        <v>36</v>
      </c>
      <c r="B225" s="385"/>
      <c r="C225" s="386"/>
      <c r="D225" s="386"/>
      <c r="E225" s="386"/>
      <c r="F225" s="386"/>
      <c r="G225" s="386"/>
      <c r="H225" s="386"/>
      <c r="I225" s="386"/>
      <c r="J225" s="386"/>
      <c r="K225" s="386"/>
      <c r="L225" s="386"/>
      <c r="M225" s="387"/>
      <c r="N225" s="385"/>
      <c r="O225" s="386"/>
      <c r="P225" s="386"/>
      <c r="Q225" s="386"/>
      <c r="R225" s="386"/>
      <c r="S225" s="386"/>
      <c r="T225" s="386"/>
      <c r="U225" s="386"/>
      <c r="V225" s="386"/>
      <c r="W225" s="386"/>
      <c r="X225" s="386"/>
      <c r="Y225" s="387"/>
    </row>
    <row r="226" spans="1:25" ht="14.25" x14ac:dyDescent="0.2">
      <c r="A226" s="383"/>
      <c r="B226" s="388"/>
      <c r="C226" s="389"/>
      <c r="D226" s="389"/>
      <c r="E226" s="389"/>
      <c r="F226" s="389"/>
      <c r="G226" s="389"/>
      <c r="H226" s="389"/>
      <c r="I226" s="389"/>
      <c r="J226" s="389"/>
      <c r="K226" s="389"/>
      <c r="L226" s="389"/>
      <c r="M226" s="390"/>
      <c r="N226" s="388"/>
      <c r="O226" s="389"/>
      <c r="P226" s="389"/>
      <c r="Q226" s="389"/>
      <c r="R226" s="389"/>
      <c r="S226" s="389"/>
      <c r="T226" s="389"/>
      <c r="U226" s="389"/>
      <c r="V226" s="389"/>
      <c r="W226" s="389"/>
      <c r="X226" s="389"/>
      <c r="Y226" s="390"/>
    </row>
    <row r="227" spans="1:25" ht="15.75" customHeight="1" thickBot="1" x14ac:dyDescent="0.25">
      <c r="A227" s="384"/>
      <c r="B227" s="391" t="str">
        <f>IF(ISBLANK(B225),"",CONCATENATE($E$17,$F$17,".",$G$17,".","0",RIGHT($B$215,1),".",RIGHT(L227,1),$A$50,"-",A225))</f>
        <v/>
      </c>
      <c r="C227" s="392"/>
      <c r="D227" s="393"/>
      <c r="E227" s="350"/>
      <c r="F227" s="350"/>
      <c r="G227" s="351"/>
      <c r="H227" s="352"/>
      <c r="I227" s="352"/>
      <c r="J227" s="352"/>
      <c r="K227" s="353"/>
      <c r="L227" s="345"/>
      <c r="M227" s="349"/>
      <c r="N227" s="391" t="str">
        <f>IF(ISBLANK(N225),"",CONCATENATE($E$17,$F$17,".",$G$17,".","0",RIGHT($N$215,1),".",RIGHT(X227,1),$A$50,"-",A225))</f>
        <v/>
      </c>
      <c r="O227" s="392"/>
      <c r="P227" s="393"/>
      <c r="Q227" s="350"/>
      <c r="R227" s="350"/>
      <c r="S227" s="351"/>
      <c r="T227" s="352"/>
      <c r="U227" s="352"/>
      <c r="V227" s="352"/>
      <c r="W227" s="353"/>
      <c r="X227" s="345"/>
      <c r="Y227" s="349"/>
    </row>
    <row r="228" spans="1:25" ht="15.75" thickTop="1" x14ac:dyDescent="0.2"/>
    <row r="229" spans="1:25" x14ac:dyDescent="0.25">
      <c r="A229" s="394" t="s">
        <v>269</v>
      </c>
      <c r="B229" s="394"/>
      <c r="C229" s="394"/>
      <c r="D229" s="394"/>
      <c r="E229" s="394"/>
      <c r="F229" s="394"/>
      <c r="G229" s="394"/>
      <c r="H229" s="394"/>
      <c r="I229" s="394"/>
      <c r="J229" s="394"/>
      <c r="K229" s="394"/>
      <c r="L229" s="394"/>
      <c r="M229" s="394"/>
      <c r="N229" s="394"/>
      <c r="O229" s="394"/>
      <c r="P229" s="394"/>
      <c r="Q229" s="394"/>
      <c r="R229" s="394"/>
      <c r="S229" s="394"/>
      <c r="T229" s="394"/>
      <c r="U229" s="394"/>
      <c r="V229" s="394"/>
      <c r="W229" s="394"/>
      <c r="X229" s="394"/>
      <c r="Y229" s="394"/>
    </row>
    <row r="232" spans="1:25" ht="18" x14ac:dyDescent="0.2">
      <c r="A232" s="398" t="s">
        <v>268</v>
      </c>
      <c r="B232" s="398"/>
      <c r="C232" s="398"/>
      <c r="D232" s="398"/>
      <c r="E232" s="398"/>
      <c r="F232" s="398"/>
      <c r="G232" s="398"/>
      <c r="H232" s="398"/>
      <c r="I232" s="398"/>
      <c r="J232" s="398"/>
      <c r="K232" s="398"/>
      <c r="L232" s="398"/>
      <c r="M232" s="398"/>
      <c r="N232" s="398"/>
      <c r="O232" s="398"/>
      <c r="P232" s="398"/>
      <c r="Q232" s="398"/>
      <c r="R232" s="398"/>
      <c r="S232" s="398"/>
      <c r="T232" s="398"/>
      <c r="U232" s="398"/>
      <c r="V232" s="398"/>
      <c r="W232" s="398"/>
      <c r="X232" s="398"/>
      <c r="Y232" s="398"/>
    </row>
    <row r="233" spans="1:25" ht="18" x14ac:dyDescent="0.2">
      <c r="A233" s="399" t="str">
        <f>A20</f>
        <v>Pentru seria de studenti 2023-2025</v>
      </c>
      <c r="B233" s="399"/>
      <c r="C233" s="399"/>
      <c r="D233" s="399"/>
      <c r="E233" s="399"/>
      <c r="F233" s="399"/>
      <c r="G233" s="399"/>
      <c r="H233" s="399"/>
      <c r="I233" s="399"/>
      <c r="J233" s="399"/>
      <c r="K233" s="399"/>
      <c r="L233" s="399"/>
      <c r="M233" s="399"/>
      <c r="N233" s="399"/>
      <c r="O233" s="399"/>
      <c r="P233" s="399"/>
      <c r="Q233" s="399"/>
      <c r="R233" s="399"/>
      <c r="S233" s="399"/>
      <c r="T233" s="399"/>
      <c r="U233" s="399"/>
      <c r="V233" s="399"/>
      <c r="W233" s="399"/>
      <c r="X233" s="399"/>
      <c r="Y233" s="399"/>
    </row>
    <row r="234" spans="1:25" ht="15.75" thickBot="1" x14ac:dyDescent="0.3">
      <c r="A234" s="400" t="str">
        <f>A63</f>
        <v>ANUL II (2024-2025)</v>
      </c>
      <c r="B234" s="400"/>
      <c r="C234" s="400"/>
      <c r="D234" s="400"/>
      <c r="E234" s="400"/>
      <c r="F234" s="400"/>
      <c r="G234" s="400"/>
      <c r="H234" s="400"/>
      <c r="I234" s="400"/>
      <c r="J234" s="400"/>
      <c r="K234" s="400"/>
      <c r="L234" s="400"/>
      <c r="M234" s="400"/>
      <c r="N234" s="400"/>
      <c r="O234" s="400"/>
      <c r="P234" s="400"/>
      <c r="Q234" s="400"/>
      <c r="R234" s="400"/>
      <c r="S234" s="400"/>
      <c r="T234" s="400"/>
      <c r="U234" s="400"/>
      <c r="V234" s="400"/>
      <c r="W234" s="400"/>
      <c r="X234" s="400"/>
      <c r="Y234" s="400"/>
    </row>
    <row r="235" spans="1:25" ht="16.5" thickTop="1" thickBot="1" x14ac:dyDescent="0.25">
      <c r="A235" s="99"/>
      <c r="B235" s="401" t="s">
        <v>2</v>
      </c>
      <c r="C235" s="402"/>
      <c r="D235" s="402"/>
      <c r="E235" s="402"/>
      <c r="F235" s="402"/>
      <c r="G235" s="402"/>
      <c r="H235" s="402"/>
      <c r="I235" s="402"/>
      <c r="J235" s="402"/>
      <c r="K235" s="402"/>
      <c r="L235" s="402"/>
      <c r="M235" s="403"/>
      <c r="N235" s="402" t="s">
        <v>3</v>
      </c>
      <c r="O235" s="402"/>
      <c r="P235" s="402"/>
      <c r="Q235" s="402"/>
      <c r="R235" s="402"/>
      <c r="S235" s="402"/>
      <c r="T235" s="402"/>
      <c r="U235" s="402"/>
      <c r="V235" s="402"/>
      <c r="W235" s="402"/>
      <c r="X235" s="402"/>
      <c r="Y235" s="403"/>
    </row>
    <row r="236" spans="1:25" ht="15" customHeight="1" thickTop="1" x14ac:dyDescent="0.2">
      <c r="A236" s="383" t="s">
        <v>33</v>
      </c>
      <c r="B236" s="385"/>
      <c r="C236" s="386"/>
      <c r="D236" s="386"/>
      <c r="E236" s="386"/>
      <c r="F236" s="386"/>
      <c r="G236" s="386"/>
      <c r="H236" s="386"/>
      <c r="I236" s="386"/>
      <c r="J236" s="386"/>
      <c r="K236" s="386"/>
      <c r="L236" s="386"/>
      <c r="M236" s="387"/>
      <c r="N236" s="385" t="s">
        <v>321</v>
      </c>
      <c r="O236" s="386"/>
      <c r="P236" s="386"/>
      <c r="Q236" s="386"/>
      <c r="R236" s="386"/>
      <c r="S236" s="386"/>
      <c r="T236" s="386"/>
      <c r="U236" s="386"/>
      <c r="V236" s="386"/>
      <c r="W236" s="386"/>
      <c r="X236" s="386"/>
      <c r="Y236" s="387"/>
    </row>
    <row r="237" spans="1:25" ht="14.25" customHeight="1" x14ac:dyDescent="0.2">
      <c r="A237" s="383"/>
      <c r="B237" s="388"/>
      <c r="C237" s="389"/>
      <c r="D237" s="389"/>
      <c r="E237" s="389"/>
      <c r="F237" s="389"/>
      <c r="G237" s="389"/>
      <c r="H237" s="389"/>
      <c r="I237" s="389"/>
      <c r="J237" s="389"/>
      <c r="K237" s="389"/>
      <c r="L237" s="389"/>
      <c r="M237" s="390"/>
      <c r="N237" s="388"/>
      <c r="O237" s="389"/>
      <c r="P237" s="389"/>
      <c r="Q237" s="389"/>
      <c r="R237" s="389"/>
      <c r="S237" s="389"/>
      <c r="T237" s="389"/>
      <c r="U237" s="389"/>
      <c r="V237" s="389"/>
      <c r="W237" s="389"/>
      <c r="X237" s="389"/>
      <c r="Y237" s="390"/>
    </row>
    <row r="238" spans="1:25" ht="15.75" thickBot="1" x14ac:dyDescent="0.25">
      <c r="A238" s="384"/>
      <c r="B238" s="391" t="str">
        <f>IF(ISBLANK(B236),"",CONCATENATE($E$17,$F$17,".",$G$17,".","0",RIGHT($B$235,1),".",RIGHT(L238,1),$A$50,"-",A236))</f>
        <v/>
      </c>
      <c r="C238" s="392"/>
      <c r="D238" s="393"/>
      <c r="E238" s="350"/>
      <c r="F238" s="350"/>
      <c r="G238" s="351"/>
      <c r="H238" s="352"/>
      <c r="I238" s="352"/>
      <c r="J238" s="352"/>
      <c r="K238" s="353"/>
      <c r="L238" s="345"/>
      <c r="M238" s="349"/>
      <c r="N238" s="391" t="str">
        <f>IF(ISBLANK(N236),"",CONCATENATE($E$17,$F$17,".",$G$17,".","0",RIGHT($N$235,1),".",RIGHT(X238,1),$A$50,"-",A236))</f>
        <v>M025.23.04.f10-01</v>
      </c>
      <c r="O238" s="392"/>
      <c r="P238" s="393"/>
      <c r="Q238" s="350">
        <v>2</v>
      </c>
      <c r="R238" s="350" t="s">
        <v>140</v>
      </c>
      <c r="S238" s="351">
        <v>0</v>
      </c>
      <c r="T238" s="352">
        <v>0</v>
      </c>
      <c r="U238" s="352">
        <v>28</v>
      </c>
      <c r="V238" s="352">
        <v>0</v>
      </c>
      <c r="W238" s="353"/>
      <c r="X238" s="345" t="s">
        <v>320</v>
      </c>
      <c r="Y238" s="349">
        <f>25*Q238-SUM(S238:W238)</f>
        <v>22</v>
      </c>
    </row>
    <row r="239" spans="1:25" thickTop="1" x14ac:dyDescent="0.2">
      <c r="A239" s="383" t="s">
        <v>34</v>
      </c>
      <c r="B239" s="395"/>
      <c r="C239" s="396"/>
      <c r="D239" s="396"/>
      <c r="E239" s="396"/>
      <c r="F239" s="396"/>
      <c r="G239" s="396"/>
      <c r="H239" s="396"/>
      <c r="I239" s="396"/>
      <c r="J239" s="396"/>
      <c r="K239" s="396"/>
      <c r="L239" s="396"/>
      <c r="M239" s="397"/>
      <c r="N239" s="385"/>
      <c r="O239" s="386"/>
      <c r="P239" s="386"/>
      <c r="Q239" s="386"/>
      <c r="R239" s="386"/>
      <c r="S239" s="386"/>
      <c r="T239" s="386"/>
      <c r="U239" s="386"/>
      <c r="V239" s="386"/>
      <c r="W239" s="386"/>
      <c r="X239" s="386"/>
      <c r="Y239" s="387"/>
    </row>
    <row r="240" spans="1:25" ht="14.25" x14ac:dyDescent="0.2">
      <c r="A240" s="383"/>
      <c r="B240" s="388"/>
      <c r="C240" s="389"/>
      <c r="D240" s="389"/>
      <c r="E240" s="389"/>
      <c r="F240" s="389"/>
      <c r="G240" s="389"/>
      <c r="H240" s="389"/>
      <c r="I240" s="389"/>
      <c r="J240" s="389"/>
      <c r="K240" s="389"/>
      <c r="L240" s="389"/>
      <c r="M240" s="390"/>
      <c r="N240" s="388"/>
      <c r="O240" s="389"/>
      <c r="P240" s="389"/>
      <c r="Q240" s="389"/>
      <c r="R240" s="389"/>
      <c r="S240" s="389"/>
      <c r="T240" s="389"/>
      <c r="U240" s="389"/>
      <c r="V240" s="389"/>
      <c r="W240" s="389"/>
      <c r="X240" s="389"/>
      <c r="Y240" s="390"/>
    </row>
    <row r="241" spans="1:25" ht="15.75" customHeight="1" thickBot="1" x14ac:dyDescent="0.25">
      <c r="A241" s="384"/>
      <c r="B241" s="391" t="str">
        <f>IF(ISBLANK(B239),"",CONCATENATE($E$17,$F$17,".",$G$17,".","0",RIGHT($B$235,1),".",RIGHT(L241,1),$A$50,"-",A239))</f>
        <v/>
      </c>
      <c r="C241" s="392"/>
      <c r="D241" s="393"/>
      <c r="E241" s="350"/>
      <c r="F241" s="350"/>
      <c r="G241" s="351"/>
      <c r="H241" s="352"/>
      <c r="I241" s="352"/>
      <c r="J241" s="352"/>
      <c r="K241" s="353"/>
      <c r="L241" s="345"/>
      <c r="M241" s="349"/>
      <c r="N241" s="391" t="str">
        <f>IF(ISBLANK(N239),"",CONCATENATE($E$17,$F$17,".",$G$17,".","0",RIGHT($N$235,1),".",RIGHT(X241,1),$A$50,"-",A239))</f>
        <v/>
      </c>
      <c r="O241" s="392"/>
      <c r="P241" s="393"/>
      <c r="Q241" s="350"/>
      <c r="R241" s="350"/>
      <c r="S241" s="351"/>
      <c r="T241" s="352"/>
      <c r="U241" s="352"/>
      <c r="V241" s="352"/>
      <c r="W241" s="353"/>
      <c r="X241" s="345"/>
      <c r="Y241" s="349"/>
    </row>
    <row r="242" spans="1:25" thickTop="1" x14ac:dyDescent="0.2">
      <c r="A242" s="382" t="s">
        <v>35</v>
      </c>
      <c r="B242" s="385"/>
      <c r="C242" s="386"/>
      <c r="D242" s="386"/>
      <c r="E242" s="386"/>
      <c r="F242" s="386"/>
      <c r="G242" s="386"/>
      <c r="H242" s="386"/>
      <c r="I242" s="386"/>
      <c r="J242" s="386"/>
      <c r="K242" s="386"/>
      <c r="L242" s="386"/>
      <c r="M242" s="387"/>
      <c r="N242" s="385"/>
      <c r="O242" s="386"/>
      <c r="P242" s="386"/>
      <c r="Q242" s="386"/>
      <c r="R242" s="386"/>
      <c r="S242" s="386"/>
      <c r="T242" s="386"/>
      <c r="U242" s="386"/>
      <c r="V242" s="386"/>
      <c r="W242" s="386"/>
      <c r="X242" s="386"/>
      <c r="Y242" s="387"/>
    </row>
    <row r="243" spans="1:25" ht="14.25" x14ac:dyDescent="0.2">
      <c r="A243" s="383"/>
      <c r="B243" s="388"/>
      <c r="C243" s="389"/>
      <c r="D243" s="389"/>
      <c r="E243" s="389"/>
      <c r="F243" s="389"/>
      <c r="G243" s="389"/>
      <c r="H243" s="389"/>
      <c r="I243" s="389"/>
      <c r="J243" s="389"/>
      <c r="K243" s="389"/>
      <c r="L243" s="389"/>
      <c r="M243" s="390"/>
      <c r="N243" s="388"/>
      <c r="O243" s="389"/>
      <c r="P243" s="389"/>
      <c r="Q243" s="389"/>
      <c r="R243" s="389"/>
      <c r="S243" s="389"/>
      <c r="T243" s="389"/>
      <c r="U243" s="389"/>
      <c r="V243" s="389"/>
      <c r="W243" s="389"/>
      <c r="X243" s="389"/>
      <c r="Y243" s="390"/>
    </row>
    <row r="244" spans="1:25" ht="15.75" customHeight="1" thickBot="1" x14ac:dyDescent="0.25">
      <c r="A244" s="384"/>
      <c r="B244" s="391" t="str">
        <f>IF(ISBLANK(B242),"",CONCATENATE($E$17,$F$17,".",$G$17,".","0",RIGHT($B$235,1),".",RIGHT(L244,1),$A$50,"-",A242))</f>
        <v/>
      </c>
      <c r="C244" s="392"/>
      <c r="D244" s="393"/>
      <c r="E244" s="350"/>
      <c r="F244" s="350"/>
      <c r="G244" s="351"/>
      <c r="H244" s="352"/>
      <c r="I244" s="352"/>
      <c r="J244" s="352"/>
      <c r="K244" s="353"/>
      <c r="L244" s="345"/>
      <c r="M244" s="349"/>
      <c r="N244" s="391" t="str">
        <f>IF(ISBLANK(N242),"",CONCATENATE($E$17,$F$17,".",$G$17,".","0",RIGHT($N$235,1),".",RIGHT(X244,1),$A$50,"-",A242))</f>
        <v/>
      </c>
      <c r="O244" s="392"/>
      <c r="P244" s="393"/>
      <c r="Q244" s="350"/>
      <c r="R244" s="350"/>
      <c r="S244" s="351"/>
      <c r="T244" s="352"/>
      <c r="U244" s="352"/>
      <c r="V244" s="352"/>
      <c r="W244" s="353"/>
      <c r="X244" s="345"/>
      <c r="Y244" s="349"/>
    </row>
    <row r="245" spans="1:25" thickTop="1" x14ac:dyDescent="0.2">
      <c r="A245" s="382" t="s">
        <v>36</v>
      </c>
      <c r="B245" s="385"/>
      <c r="C245" s="386"/>
      <c r="D245" s="386"/>
      <c r="E245" s="386"/>
      <c r="F245" s="386"/>
      <c r="G245" s="386"/>
      <c r="H245" s="386"/>
      <c r="I245" s="386"/>
      <c r="J245" s="386"/>
      <c r="K245" s="386"/>
      <c r="L245" s="386"/>
      <c r="M245" s="387"/>
      <c r="N245" s="385"/>
      <c r="O245" s="386"/>
      <c r="P245" s="386"/>
      <c r="Q245" s="386"/>
      <c r="R245" s="386"/>
      <c r="S245" s="386"/>
      <c r="T245" s="386"/>
      <c r="U245" s="386"/>
      <c r="V245" s="386"/>
      <c r="W245" s="386"/>
      <c r="X245" s="386"/>
      <c r="Y245" s="387"/>
    </row>
    <row r="246" spans="1:25" ht="14.25" x14ac:dyDescent="0.2">
      <c r="A246" s="383"/>
      <c r="B246" s="388"/>
      <c r="C246" s="389"/>
      <c r="D246" s="389"/>
      <c r="E246" s="389"/>
      <c r="F246" s="389"/>
      <c r="G246" s="389"/>
      <c r="H246" s="389"/>
      <c r="I246" s="389"/>
      <c r="J246" s="389"/>
      <c r="K246" s="389"/>
      <c r="L246" s="389"/>
      <c r="M246" s="390"/>
      <c r="N246" s="388"/>
      <c r="O246" s="389"/>
      <c r="P246" s="389"/>
      <c r="Q246" s="389"/>
      <c r="R246" s="389"/>
      <c r="S246" s="389"/>
      <c r="T246" s="389"/>
      <c r="U246" s="389"/>
      <c r="V246" s="389"/>
      <c r="W246" s="389"/>
      <c r="X246" s="389"/>
      <c r="Y246" s="390"/>
    </row>
    <row r="247" spans="1:25" ht="15.75" customHeight="1" thickBot="1" x14ac:dyDescent="0.25">
      <c r="A247" s="384"/>
      <c r="B247" s="391" t="str">
        <f>IF(ISBLANK(B245),"",CONCATENATE($E$17,$F$17,".",$G$17,".","0",RIGHT($B$235,1),".",RIGHT(L247,1),$A$50,"-",A245))</f>
        <v/>
      </c>
      <c r="C247" s="392"/>
      <c r="D247" s="393"/>
      <c r="E247" s="350"/>
      <c r="F247" s="350"/>
      <c r="G247" s="351"/>
      <c r="H247" s="352"/>
      <c r="I247" s="352"/>
      <c r="J247" s="352"/>
      <c r="K247" s="353"/>
      <c r="L247" s="345"/>
      <c r="M247" s="349"/>
      <c r="N247" s="391" t="str">
        <f>IF(ISBLANK(N245),"",CONCATENATE($E$17,$F$17,".",$G$17,".","0",RIGHT($N$235,1),".",RIGHT(X247,1),$A$50,"-",A245))</f>
        <v/>
      </c>
      <c r="O247" s="392"/>
      <c r="P247" s="393"/>
      <c r="Q247" s="350"/>
      <c r="R247" s="350"/>
      <c r="S247" s="351"/>
      <c r="T247" s="352"/>
      <c r="U247" s="352"/>
      <c r="V247" s="352"/>
      <c r="W247" s="353"/>
      <c r="X247" s="345"/>
      <c r="Y247" s="349"/>
    </row>
    <row r="248" spans="1:25" ht="15.75" thickTop="1" x14ac:dyDescent="0.2"/>
    <row r="249" spans="1:25" x14ac:dyDescent="0.25">
      <c r="A249" s="394" t="s">
        <v>269</v>
      </c>
      <c r="B249" s="394"/>
      <c r="C249" s="394"/>
      <c r="D249" s="394"/>
      <c r="E249" s="394"/>
      <c r="F249" s="394"/>
      <c r="G249" s="394"/>
      <c r="H249" s="394"/>
      <c r="I249" s="394"/>
      <c r="J249" s="394"/>
      <c r="K249" s="394"/>
      <c r="L249" s="394"/>
      <c r="M249" s="394"/>
      <c r="N249" s="394"/>
      <c r="O249" s="394"/>
      <c r="P249" s="394"/>
      <c r="Q249" s="394"/>
      <c r="R249" s="394"/>
      <c r="S249" s="394"/>
      <c r="T249" s="394"/>
      <c r="U249" s="394"/>
      <c r="V249" s="394"/>
      <c r="W249" s="394"/>
      <c r="X249" s="394"/>
      <c r="Y249" s="394"/>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506" t="s">
        <v>132</v>
      </c>
      <c r="B416" s="506"/>
      <c r="C416" s="506"/>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502"/>
      <c r="AX417" s="502"/>
      <c r="AY417" s="502"/>
      <c r="AZ417" s="502"/>
      <c r="BA417" s="197"/>
      <c r="BB417" s="503" t="s">
        <v>133</v>
      </c>
      <c r="BC417" s="503"/>
      <c r="BD417" s="503"/>
      <c r="BE417" s="198"/>
      <c r="BF417" s="198"/>
      <c r="BG417" s="198"/>
      <c r="BH417" s="503" t="s">
        <v>134</v>
      </c>
      <c r="BI417" s="503"/>
      <c r="BJ417" s="503"/>
      <c r="BK417" s="503"/>
      <c r="BL417" s="503"/>
      <c r="BM417" s="503"/>
      <c r="BN417" s="503"/>
      <c r="BO417" s="503"/>
      <c r="BP417" s="197"/>
      <c r="BQ417" s="198"/>
      <c r="BR417" s="503" t="s">
        <v>135</v>
      </c>
      <c r="BS417" s="503"/>
      <c r="BT417" s="503"/>
      <c r="BU417" s="503"/>
      <c r="BV417" s="503"/>
      <c r="BW417" s="503"/>
      <c r="BX417" s="503"/>
      <c r="BY417" s="503"/>
      <c r="BZ417" s="503"/>
      <c r="CA417" s="503"/>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503"/>
      <c r="T418" s="503"/>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503" t="s">
        <v>137</v>
      </c>
      <c r="AV418" s="503"/>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4</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4E,1D,0C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7</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4</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4E,2D,0C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8</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270</v>
      </c>
      <c r="B421" s="197"/>
      <c r="C421" s="207" t="s">
        <v>271</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4</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4E,1D,0C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8</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272</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2</v>
      </c>
      <c r="AY422" s="202">
        <f>COUNTIF($R$67,"C")+COUNTIF($R$70,"C")+COUNTIF($R$73,"C")+COUNTIF($R$76,"C")+COUNTIF($R$79,"C")+COUNTIF($R$82,"C")+COUNTIF($R$85,"C")+COUNTIF($R$88,"C")+COUNTIF($R$91,"C")</f>
        <v>0</v>
      </c>
      <c r="AZ422" s="202" t="str">
        <f t="shared" si="4"/>
        <v>1E,2D,0C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273</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13</v>
      </c>
      <c r="AX423" s="197">
        <f>SUM(AX419:AX422)</f>
        <v>6</v>
      </c>
      <c r="AY423" s="197">
        <f>SUM(AY419:AY422)</f>
        <v>0</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23</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503" t="s">
        <v>137</v>
      </c>
      <c r="AV426" s="503"/>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492" t="s">
        <v>226</v>
      </c>
      <c r="BB438" s="492"/>
      <c r="BC438" s="492"/>
      <c r="BD438" s="492"/>
      <c r="BE438" s="198"/>
      <c r="BF438" s="198"/>
      <c r="BG438" s="201" t="s">
        <v>229</v>
      </c>
      <c r="BH438" s="197"/>
      <c r="BI438" s="197"/>
      <c r="BJ438" s="197"/>
      <c r="BK438" s="197"/>
      <c r="BL438" s="197"/>
      <c r="BM438" s="492" t="s">
        <v>226</v>
      </c>
      <c r="BN438" s="492"/>
      <c r="BO438" s="492"/>
      <c r="BP438" s="492"/>
      <c r="BQ438" s="198"/>
      <c r="BR438" s="201" t="s">
        <v>230</v>
      </c>
      <c r="BS438" s="197"/>
      <c r="BT438" s="197"/>
      <c r="BU438" s="197"/>
      <c r="BV438" s="197"/>
      <c r="BW438" s="197"/>
      <c r="BX438" s="492" t="s">
        <v>226</v>
      </c>
      <c r="BY438" s="492"/>
      <c r="BZ438" s="492"/>
      <c r="CA438" s="492"/>
      <c r="CB438" s="197"/>
      <c r="CC438" s="201" t="s">
        <v>232</v>
      </c>
      <c r="CD438" s="197"/>
      <c r="CE438" s="197"/>
      <c r="CF438" s="197"/>
      <c r="CG438" s="197"/>
      <c r="CH438" s="197"/>
      <c r="CI438" s="492" t="s">
        <v>226</v>
      </c>
      <c r="CJ438" s="492"/>
      <c r="CK438" s="492"/>
      <c r="CL438" s="492"/>
      <c r="CM438" s="492" t="s">
        <v>231</v>
      </c>
      <c r="CN438" s="492"/>
      <c r="CO438" s="492"/>
      <c r="CP438" s="492"/>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disertație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Practică profesională 1</v>
      </c>
      <c r="AW444" s="202" t="str">
        <f>IF(COUNTIFS($N35,"=practic?*profes*"),$N35,"")</f>
        <v/>
      </c>
      <c r="AX444" s="202" t="str">
        <f>IF(COUNTIFS($B77,"=practic?*profes*"),$B77,"")</f>
        <v>Practică profesională 3</v>
      </c>
      <c r="AY444" s="202" t="str">
        <f>IF(COUNTIFS($N77,"=practic?*profes*"),$N77,"")</f>
        <v/>
      </c>
      <c r="AZ444" s="202"/>
      <c r="BA444" s="212">
        <f>IF(AV444="","",K37)</f>
        <v>147</v>
      </c>
      <c r="BB444" s="212" t="str">
        <f>IF(AW444="","",W37)</f>
        <v/>
      </c>
      <c r="BC444" s="212">
        <f>IF(AX444="","",K79)</f>
        <v>154</v>
      </c>
      <c r="BD444" s="212" t="str">
        <f>IF(AY444="","",W79)</f>
        <v/>
      </c>
      <c r="BE444" s="198"/>
      <c r="BF444" s="198"/>
      <c r="BG444" s="208"/>
      <c r="BH444" s="202" t="str">
        <f>IF(COUNTIFS($B35,"=practic?*cercet*"),$B35,"")</f>
        <v/>
      </c>
      <c r="BI444" s="202" t="str">
        <f>IF(COUNTIFS($N35,"=practic?*cercet*"),$N35,"")</f>
        <v/>
      </c>
      <c r="BJ444" s="202" t="str">
        <f>IF(COUNTIFS($B77,"=practic?*cercet*"),$B77,"")</f>
        <v/>
      </c>
      <c r="BK444" s="202" t="str">
        <f>IF(COUNTIFS($N77,"=practic?*cercet*"),$N77,"")</f>
        <v/>
      </c>
      <c r="BL444" s="202"/>
      <c r="BM444" s="212" t="str">
        <f>IF(BH444="","",K37)</f>
        <v/>
      </c>
      <c r="BN444" s="212" t="str">
        <f>IF(BI444="","",W37)</f>
        <v/>
      </c>
      <c r="BO444" s="212" t="str">
        <f>IF(BJ444="","",K79)</f>
        <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Practică profesională 2</v>
      </c>
      <c r="AX445" s="202" t="str">
        <f>IF(COUNTIFS($B80,"=practic?*profes*"),$B80,"")</f>
        <v/>
      </c>
      <c r="AY445" s="202" t="str">
        <f>IF(COUNTIFS($N80,"=practic?*profes*"),$N80,"")</f>
        <v/>
      </c>
      <c r="AZ445" s="202"/>
      <c r="BA445" s="212" t="str">
        <f>IF(AV445="","",K40)</f>
        <v/>
      </c>
      <c r="BB445" s="212">
        <f>IF(AW445="","",W40)</f>
        <v>147</v>
      </c>
      <c r="BC445" s="212" t="str">
        <f>IF(AX445="","",K82)</f>
        <v/>
      </c>
      <c r="BD445" s="212" t="str">
        <f>IF(AY445="","",W82)</f>
        <v/>
      </c>
      <c r="BE445" s="198"/>
      <c r="BF445" s="198"/>
      <c r="BG445" s="208"/>
      <c r="BH445" s="202" t="str">
        <f>IF(COUNTIFS($B38,"=practic?*cercet*"),$B38,"")</f>
        <v/>
      </c>
      <c r="BI445" s="202" t="str">
        <f>IF(COUNTIFS($N38,"=practic?*cercet*"),$N38,"")</f>
        <v/>
      </c>
      <c r="BJ445" s="202" t="str">
        <f>IF(COUNTIFS($B80,"=practic?*cercet*"),$B80,"")</f>
        <v/>
      </c>
      <c r="BK445" s="202" t="str">
        <f>IF(COUNTIFS($N80,"=practic?*cercet*"),$N80,"")</f>
        <v/>
      </c>
      <c r="BL445" s="202"/>
      <c r="BM445" s="212" t="str">
        <f>IF(BH445="","",K40)</f>
        <v/>
      </c>
      <c r="BN445" s="212" t="str">
        <f>IF(BI445="","",W40)</f>
        <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493" t="s">
        <v>228</v>
      </c>
      <c r="AV449" s="494"/>
      <c r="AW449" s="494"/>
      <c r="AX449" s="494"/>
      <c r="AY449" s="495"/>
      <c r="AZ449" s="202"/>
      <c r="BA449" s="212">
        <f>SUM(BA440:BA448)</f>
        <v>147</v>
      </c>
      <c r="BB449" s="212">
        <f t="shared" ref="BB449:BD449" si="7">SUM(BB440:BB448)</f>
        <v>147</v>
      </c>
      <c r="BC449" s="212">
        <f t="shared" si="7"/>
        <v>154</v>
      </c>
      <c r="BD449" s="212">
        <f t="shared" si="7"/>
        <v>0</v>
      </c>
      <c r="BE449" s="198"/>
      <c r="BF449" s="198"/>
      <c r="BG449" s="493" t="s">
        <v>228</v>
      </c>
      <c r="BH449" s="494"/>
      <c r="BI449" s="494"/>
      <c r="BJ449" s="494"/>
      <c r="BK449" s="495"/>
      <c r="BL449" s="202"/>
      <c r="BM449" s="212">
        <f>SUM(BM440:BM448)</f>
        <v>0</v>
      </c>
      <c r="BN449" s="212">
        <f t="shared" ref="BN449" si="8">SUM(BN440:BN448)</f>
        <v>0</v>
      </c>
      <c r="BO449" s="212">
        <f t="shared" ref="BO449" si="9">SUM(BO440:BO448)</f>
        <v>0</v>
      </c>
      <c r="BP449" s="212">
        <f t="shared" ref="BP449" si="10">SUM(BP440:BP448)</f>
        <v>0</v>
      </c>
      <c r="BQ449" s="198"/>
      <c r="BR449" s="493" t="s">
        <v>228</v>
      </c>
      <c r="BS449" s="494"/>
      <c r="BT449" s="494"/>
      <c r="BU449" s="494"/>
      <c r="BV449" s="495"/>
      <c r="BW449" s="202"/>
      <c r="BX449" s="212">
        <f>SUM(BX440:BX448)</f>
        <v>0</v>
      </c>
      <c r="BY449" s="212">
        <f t="shared" ref="BY449" si="11">SUM(BY440:BY448)</f>
        <v>0</v>
      </c>
      <c r="BZ449" s="212">
        <f t="shared" ref="BZ449" si="12">SUM(BZ440:BZ448)</f>
        <v>0</v>
      </c>
      <c r="CA449" s="212">
        <f t="shared" ref="CA449" si="13">SUM(CA440:CA448)</f>
        <v>0</v>
      </c>
      <c r="CB449" s="197"/>
      <c r="CC449" s="493" t="s">
        <v>228</v>
      </c>
      <c r="CD449" s="494"/>
      <c r="CE449" s="494"/>
      <c r="CF449" s="494"/>
      <c r="CG449" s="495"/>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SECURITATEA INFORMAȚIILOR ȘI A SISTEMLOR CIBERNETICE</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96" t="s">
        <v>163</v>
      </c>
      <c r="AU478" s="497"/>
      <c r="AV478" s="497"/>
      <c r="AW478" s="497"/>
      <c r="AX478" s="497"/>
      <c r="AY478" s="497"/>
      <c r="AZ478" s="497"/>
      <c r="BA478" s="497"/>
      <c r="BB478" s="497"/>
      <c r="BC478" s="497"/>
      <c r="BD478" s="497"/>
      <c r="BE478" s="497"/>
      <c r="BF478" s="497"/>
      <c r="BG478" s="497"/>
      <c r="BH478" s="497"/>
      <c r="BI478" s="497"/>
      <c r="BJ478" s="497"/>
      <c r="BK478" s="497"/>
      <c r="BL478" s="497"/>
      <c r="BM478" s="497"/>
      <c r="BN478" s="497"/>
      <c r="BO478" s="497"/>
      <c r="BP478" s="497"/>
      <c r="BQ478" s="497"/>
      <c r="BR478" s="498"/>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M025.23.01.V1</v>
      </c>
      <c r="AU480" s="204">
        <v>1</v>
      </c>
      <c r="AV480" s="204" t="str">
        <f>IF(COUNTIFS($B$23,"&lt;&gt;"&amp;"",$B$23,"&lt;&gt;*op?ional*",$B$23,"&lt;&gt;*Disciplin? facultativ?*"),$B$23,"")</f>
        <v>Tehnici criptografice moderne</v>
      </c>
      <c r="AW480" s="204">
        <f>IF($AV480="","",ROUND(RIGHT($B$22,1)/2,0))</f>
        <v>1</v>
      </c>
      <c r="AX480" s="204" t="str">
        <f>IF($AV480="","",RIGHT($B$22,1))</f>
        <v>1</v>
      </c>
      <c r="AY480" s="204" t="str">
        <f>IF($AV480="","",$F$25)</f>
        <v>E</v>
      </c>
      <c r="AZ480" s="204" t="str">
        <f>IF($AV480="","","DI")</f>
        <v>DI</v>
      </c>
      <c r="BA480" s="204">
        <f>IF(COUNTIFS($B$23,"&lt;&gt;"&amp;"",$B$23,"&lt;&gt;practic?*",$B$23,"&lt;&gt;*Elaborare proiect de diplom?*",$B$23,"&lt;&gt;*op?ional*",$B$23,"&lt;&gt;*Disciplin? facultativ?*", $B$23,"&lt;&gt;*Examen de diplom?*"),ROUND($G$25/14,1),"")</f>
        <v>2</v>
      </c>
      <c r="BB480" s="204">
        <f>IF(COUNTIFS($B$23,"&lt;&gt;"&amp;"",$B$23,"&lt;&gt;practic?*",$B$23,"&lt;&gt;*Elaborare proiect de diplom?*",$B$23,"&lt;&gt;*op?ional*",$B$23,"&lt;&gt;*Disciplin? facultativ?*", $B$23,"&lt;&gt;*Examen de diplom?*"),ROUND(($H$25+$I$25+$J$25)/14,1),"")</f>
        <v>2</v>
      </c>
      <c r="BC480" s="204">
        <f>IF(COUNTIFS($B$23,"&lt;&gt;"&amp;"",$B$23,"&lt;&gt;practic?*",$B$23,"&lt;&gt;*Elaborare proiect de diplom?*",$B$23,"&lt;&gt;*op?ional*",$B$23,"&lt;&gt;*Disciplin? facultativ?*", $B$23,"&lt;&gt;*Examen de diplom?*"),ROUND(($G$25+$H$25+$I$25+$J$25)/14,1),"")</f>
        <v>4</v>
      </c>
      <c r="BD480" s="206">
        <f>IF(COUNTIFS($B$23,"&lt;&gt;"&amp;"",$B$23,"&lt;&gt;practic?*",$B$23,"&lt;&gt;*Elaborare proiect de diplom?*",$B$23,"&lt;&gt;*op?ional*",$B$23,"&lt;&gt;*Disciplin? facultativ?*", $B$23,"&lt;&gt;*Examen de diplom?*"),$G$25,"")</f>
        <v>28</v>
      </c>
      <c r="BE480" s="204">
        <f>IF(COUNTIFS($B$23,"&lt;&gt;"&amp;"",$B$23,"&lt;&gt;practic?*",$B$23,"&lt;&gt;*Elaborare proiect de diplom?*",$B$23,"&lt;&gt;*op?ional*",$B$23,"&lt;&gt;*Disciplin? facultativ?*", $B$23,"&lt;&gt;*Examen de diplom?*"),($H$25+$I$25+$J$25),"")</f>
        <v>28</v>
      </c>
      <c r="BF480" s="204">
        <f>IF(COUNTIFS($B$23,"&lt;&gt;"&amp;"",$B$23,"&lt;&gt;practic?*",$B$23,"&lt;&gt;*Elaborare proiect de diplom?*",$B$23,"&lt;&gt;*op?ional*",$B$23,"&lt;&gt;*Disciplin? facultativ?*", $B$23,"&lt;&gt;*Examen de diplom?*"),($G$25+$H$25+$I$25+$J$25),"")</f>
        <v>56</v>
      </c>
      <c r="BG480" s="204"/>
      <c r="BH480" s="204" t="str">
        <f>IF(COUNTIF($AV480,"=*Elaborare proiect de diplom?*"),ROUND($J$21/14,1),"")</f>
        <v/>
      </c>
      <c r="BI480" s="206">
        <f>ROUND(BL480/14,1)</f>
        <v>0</v>
      </c>
      <c r="BJ480" s="204"/>
      <c r="BK480" s="204" t="str">
        <f>IF(COUNTIF($AV480,"=*Elaborare proiect de diplom?*"),$J$21,"")</f>
        <v/>
      </c>
      <c r="BL480" s="206">
        <f>IF(COUNTIFS($B$23,"&lt;&gt;"&amp;"",$B$23,"&lt;&gt;practic?*",$B$23,"&lt;&gt;*Elaborare proiect de diplom?*",$B$23,"&lt;&gt;*op?ional*",$B$23,"&lt;&gt;*Disciplin? facultativ?*", $B$23,"&lt;&gt;*Examen de diplom?*"),$K$25,"")</f>
        <v>0</v>
      </c>
      <c r="BM480" s="206">
        <f>ROUND(BN480/14,1)</f>
        <v>6.7</v>
      </c>
      <c r="BN480" s="206">
        <f>IF(COUNTIFS($B$23,"&lt;&gt;"&amp;"",$B$23,"&lt;&gt;practic?*",$B$23,"&lt;&gt;*Elaborare proiect de diplom?*",$B$23,"&lt;&gt;*op?ional*",$B$23,"&lt;&gt;*Disciplin? facultativ?*", $B$23,"&lt;&gt;*Examen de diplom?*"),$M$25,"")</f>
        <v>94</v>
      </c>
      <c r="BO480" s="204">
        <f>IF($AV480="","",$E$25)</f>
        <v>6</v>
      </c>
      <c r="BP480" s="206" t="str">
        <f>IF(COUNTIFS($B$23,"&lt;&gt;"&amp;"",$B$23,"&lt;&gt;practic?*",$B$23,"&lt;&gt;*op?ional*",$B$23,"&lt;&gt;*Disciplin? facultativ?*",$B$23,"&lt;&gt;*Examen de diplom?*"),$L$25,"")</f>
        <v>DCAV</v>
      </c>
      <c r="BQ480" s="206">
        <f>IF($AV480="","",IF($BC480&lt;&gt;"",$BC480,0)+IF($BI480&lt;&gt;"",$BI480,0)+IF($BM480&lt;&gt;"",$BM480,0))</f>
        <v>10.7</v>
      </c>
      <c r="BR480" s="204">
        <f>IF($AV$480="","",IF($BF$480&lt;&gt;"",$BF$480,0)+IF($BL$480&lt;&gt;"",$BL$480,0)+IF($BN$480&lt;&gt;"",$BN$480,0))</f>
        <v>150</v>
      </c>
      <c r="BS480" s="332">
        <f>IF(SUM(BA480:BB480)&gt;0,1,0)</f>
        <v>1</v>
      </c>
      <c r="BT480" s="208" t="str">
        <f>IF($AV480="","",CONCATENATE("20",G$17+AW480-1))</f>
        <v>2023</v>
      </c>
      <c r="BU480" s="197"/>
      <c r="BV480" s="197"/>
      <c r="BW480" s="197"/>
      <c r="BX480" s="202">
        <f>SUM(G25:J25)</f>
        <v>56</v>
      </c>
      <c r="BY480" s="503">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M025.23.01.A2</v>
      </c>
      <c r="AU481" s="202">
        <v>2</v>
      </c>
      <c r="AV481" s="204" t="str">
        <f>IF(COUNTIFS($B$26,"&lt;&gt;"&amp;"",$B$26,"&lt;&gt;*op?ional*",$B$26,"&lt;&gt;*Disciplin? facultativ?*"),$B$26,"")</f>
        <v>Securitatea rețelelor de calculatoare</v>
      </c>
      <c r="AW481" s="204">
        <f t="shared" ref="AW481:AW488" si="20">IF($AV481="","",ROUND(RIGHT($B$22,1)/2,0))</f>
        <v>1</v>
      </c>
      <c r="AX481" s="204" t="str">
        <f t="shared" ref="AX481:AX488" si="21">IF($AV481="","",RIGHT($B$22,1))</f>
        <v>1</v>
      </c>
      <c r="AY481" s="204" t="str">
        <f>IF($AV481="","",$F$28)</f>
        <v>E</v>
      </c>
      <c r="AZ481" s="204" t="str">
        <f t="shared" ref="AZ481:AZ488" si="22">IF($AV481="","","DI")</f>
        <v>DI</v>
      </c>
      <c r="BA481" s="204">
        <f>IF(COUNTIFS($B$26,"&lt;&gt;"&amp;"",$B$26,"&lt;&gt;practic?*",$B$26,"&lt;&gt;*Elaborare proiect de diplom?*",$B$26,"&lt;&gt;*op?ional*",$B$26,"&lt;&gt;*Disciplin? facultativ?*", $B$26,"&lt;&gt;*Examen de diplom?*"),ROUND($G$28/14,1),"")</f>
        <v>2</v>
      </c>
      <c r="BB481" s="204">
        <f>IF(COUNTIFS($B$26,"&lt;&gt;"&amp;"",$B$26,"&lt;&gt;practic?*",$B$26,"&lt;&gt;*Elaborare proiect de diplom?*",$B$26,"&lt;&gt;*op?ional*",$B$26,"&lt;&gt;*Disciplin? facultativ?*", $B$26,"&lt;&gt;*Examen de diplom?*"),ROUND(($H$28+$I$28+$J$28)/14,1),"")</f>
        <v>2</v>
      </c>
      <c r="BC481" s="204">
        <f>IF(COUNTIFS($B$26,"&lt;&gt;"&amp;"",$B$26,"&lt;&gt;practic?*",$B$26,"&lt;&gt;*Elaborare proiect de diplom?*",$B$26,"&lt;&gt;*op?ional*",$B$26,"&lt;&gt;*Disciplin? facultativ?*", $B$26,"&lt;&gt;*Examen de diplom?*"),ROUND(($G$28+$H$28+$I$28+$J$28)/14,1),"")</f>
        <v>4</v>
      </c>
      <c r="BD481" s="206">
        <f>IF(COUNTIFS($B$26,"&lt;&gt;"&amp;"",$B$26,"&lt;&gt;practic?*",$B$26,"&lt;&gt;*Elaborare proiect de diplom?*",$B$26,"&lt;&gt;*op?ional*",$B$26,"&lt;&gt;*Disciplin? facultativ?*", $B$26,"&lt;&gt;*Examen de diplom?*"),$G$28,"")</f>
        <v>28</v>
      </c>
      <c r="BE481" s="204">
        <f>IF(COUNTIFS($B$26,"&lt;&gt;"&amp;"",$B$26,"&lt;&gt;practic?*",$B$26,"&lt;&gt;*Elaborare proiect de diplom?*",$B$26,"&lt;&gt;*op?ional*",$B$26,"&lt;&gt;*Disciplin? facultativ?*", $B$26,"&lt;&gt;*Examen de diplom?*"),($H$28+$I$28+$J$28),"")</f>
        <v>28</v>
      </c>
      <c r="BF481" s="204">
        <f>IF(COUNTIFS($B$26,"&lt;&gt;"&amp;"",$B$26,"&lt;&gt;practic?*",$B$26,"&lt;&gt;*Elaborare proiect de diplom?*",$B$26,"&lt;&gt;*op?ional*",$B$26,"&lt;&gt;*Disciplin? facultativ?*", $B$26,"&lt;&gt;*Examen de diplom?*"),($G$28+$H$28+$I$28+$J$28),"")</f>
        <v>56</v>
      </c>
      <c r="BG481" s="202"/>
      <c r="BH481" s="204" t="str">
        <f>IF(COUNTIF($AV481,"=*Elaborare proiect de diplom?*"),ROUND($J$24/14,1),"")</f>
        <v/>
      </c>
      <c r="BI481" s="206">
        <f t="shared" ref="BI481:BI488" si="23">ROUND(BL481/14,1)</f>
        <v>0</v>
      </c>
      <c r="BJ481" s="202"/>
      <c r="BK481" s="204" t="str">
        <f>IF(COUNTIF($AV481,"=*Elaborare proiect de diplom?*"),$J$24,"")</f>
        <v/>
      </c>
      <c r="BL481" s="206">
        <f>IF(COUNTIFS($B$26,"&lt;&gt;"&amp;"",$B$26,"&lt;&gt;practic?*",$B$26,"&lt;&gt;*Elaborare proiect de diplom?*",$B$26,"&lt;&gt;*op?ional*",$B$26,"&lt;&gt;*Disciplin? facultativ?*", $B$26,"&lt;&gt;*Examen de diplom?*"),$K$28,"")</f>
        <v>0</v>
      </c>
      <c r="BM481" s="206">
        <f t="shared" ref="BM481:BM488" si="24">ROUND(BN481/14,1)</f>
        <v>6.7</v>
      </c>
      <c r="BN481" s="206">
        <f>IF(COUNTIFS($B$26,"&lt;&gt;"&amp;"",$B$26,"&lt;&gt;practic?*",$B$26,"&lt;&gt;*Elaborare proiect de diplom?*",$B$26,"&lt;&gt;*op?ional*",$B$26,"&lt;&gt;*Disciplin? facultativ?*", $B$26,"&lt;&gt;*Examen de diplom?*"),$M$28,"")</f>
        <v>94</v>
      </c>
      <c r="BO481" s="327">
        <f>IF($AV481="","",$E$28)</f>
        <v>6</v>
      </c>
      <c r="BP481" s="214" t="str">
        <f>IF(COUNTIFS($B$22,"&lt;&gt;"&amp;"",$B$22,"&lt;&gt;practic?*",$B$22,"&lt;&gt;*op?ional*",$B$22,"&lt;&gt;*Disciplin? facultativ?*",$B$22,"&lt;&gt;*Examen de diplom?*"),$L$28,"")</f>
        <v>DA</v>
      </c>
      <c r="BQ481" s="206">
        <f t="shared" ref="BQ481:BQ488" si="25">IF($AV481="","",IF($BC481&lt;&gt;"",$BC481,0)+IF($BI481&lt;&gt;"",$BI481,0)+IF($BM481&lt;&gt;"",$BM481,0))</f>
        <v>10.7</v>
      </c>
      <c r="BR481" s="202">
        <f>IF($AV$481="","",IF($BF$481&lt;&gt;"",$BF$481,0)+IF($BL$481&lt;&gt;"",$BL$481,0)+IF($BN$481&lt;&gt;"",$BN$481,0))</f>
        <v>150</v>
      </c>
      <c r="BS481" s="332">
        <f t="shared" ref="BS481:BS488" si="26">IF(SUM(BA481:BB481)&gt;0,1,0)</f>
        <v>1</v>
      </c>
      <c r="BT481" s="208" t="str">
        <f t="shared" ref="BT481:BT518" si="27">IF($AV481="","",CONCATENATE("20",G$17+AW481-1))</f>
        <v>2023</v>
      </c>
      <c r="BU481" s="197"/>
      <c r="BV481" s="197"/>
      <c r="BW481" s="197"/>
      <c r="BX481" s="202">
        <f>SUM(G28:J28)</f>
        <v>56</v>
      </c>
      <c r="BY481" s="503"/>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M025.23.01.V3</v>
      </c>
      <c r="AU482" s="202">
        <v>3</v>
      </c>
      <c r="AV482" s="204" t="str">
        <f>IF(COUNTIFS($B$29,"&lt;&gt;"&amp;"",$B$29,"&lt;&gt;*op?ional*",$B$29,"&lt;&gt;*Disciplin? facultativ?*"),$B$29,"")</f>
        <v>Securitatea aplicațiilor mobile</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1.5</v>
      </c>
      <c r="BC482" s="204">
        <f>IF(COUNTIFS($B$29,"&lt;&gt;"&amp;"",$B$29,"&lt;&gt;practic?*",$B$29,"&lt;&gt;*Elaborare proiect de diplom?*",$B$29,"&lt;&gt;*op?ional*",$B$29,"&lt;&gt;*Disciplin? facultativ?*", $B$29,"&lt;&gt;*Examen de diplom?*"),ROUND(($G$31+$H$31+$I$31+$J$31)/14,1),"")</f>
        <v>3.5</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21</v>
      </c>
      <c r="BF482" s="204">
        <f>IF(COUNTIFS($B$29,"&lt;&gt;"&amp;"",$B$29,"&lt;&gt;practic?*",$B$29,"&lt;&gt;*Elaborare proiect de diplom?*",$B$29,"&lt;&gt;*op?ional*",$B$29,"&lt;&gt;*Disciplin? facultativ?*", $B$29,"&lt;&gt;*Examen de diplom?*"),($G$31+$H$31+$I$31+$J$31),"")</f>
        <v>49</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5.4</v>
      </c>
      <c r="BN482" s="206">
        <f>IF(COUNTIFS($B$29,"&lt;&gt;"&amp;"",$B$29,"&lt;&gt;practic?*",$B$29,"&lt;&gt;*Elaborare proiect de diplom?*",$B$29,"&lt;&gt;*op?ional*",$B$29,"&lt;&gt;*Disciplin? facultativ?*", $B$29,"&lt;&gt;*Examen de diplom?*"),$M$31,"")</f>
        <v>76</v>
      </c>
      <c r="BO482" s="327">
        <f>IF($AV482="","",$E$31)</f>
        <v>5</v>
      </c>
      <c r="BP482" s="214" t="str">
        <f>IF(COUNTIFS($B$25,"&lt;&gt;"&amp;"",$B$25,"&lt;&gt;practic?*",$B$25,"&lt;&gt;*op?ional*",$B$25,"&lt;&gt;*Disciplin? facultativ?*",$B$25,"&lt;&gt;*Examen de diplom?*"),$L$31,"")</f>
        <v>DCAV</v>
      </c>
      <c r="BQ482" s="206">
        <f t="shared" si="25"/>
        <v>8.9</v>
      </c>
      <c r="BR482" s="202">
        <f>IF($AV$482="","",IF($BF$482&lt;&gt;"",$BF$482,0)+IF($BL$482&lt;&gt;"",$BL$482,0)+IF($BN$482&lt;&gt;"",$BN$482,0))</f>
        <v>125</v>
      </c>
      <c r="BS482" s="332">
        <f t="shared" si="26"/>
        <v>1</v>
      </c>
      <c r="BT482" s="208" t="str">
        <f t="shared" si="27"/>
        <v>2023</v>
      </c>
      <c r="BU482" s="197"/>
      <c r="BV482" s="197"/>
      <c r="BW482" s="197"/>
      <c r="BX482" s="202">
        <f>SUM(G31:J31)</f>
        <v>49</v>
      </c>
      <c r="BY482" s="503"/>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M025.23.01.V4</v>
      </c>
      <c r="AU483" s="202">
        <v>4</v>
      </c>
      <c r="AV483" s="204" t="str">
        <f>IF(COUNTIFS($B$32,"&lt;&gt;"&amp;"",$B$32,"&lt;&gt;*op?ional*",$B$32,"&lt;&gt;*Disciplin? facultativ?*"),$B$32,"")</f>
        <v>Securitatea aplicațiilor web</v>
      </c>
      <c r="AW483" s="204">
        <f t="shared" si="20"/>
        <v>1</v>
      </c>
      <c r="AX483" s="204" t="str">
        <f t="shared" si="21"/>
        <v>1</v>
      </c>
      <c r="AY483" s="204" t="str">
        <f>IF($AV483="","",$F$34)</f>
        <v>E</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2</v>
      </c>
      <c r="BC483" s="204">
        <f>IF(COUNTIFS($B$32,"&lt;&gt;"&amp;"",$B$32,"&lt;&gt;practic?*",$B$32,"&lt;&gt;*Elaborare proiect de diplom?*",$B$32,"&lt;&gt;*op?ional*",$B$32,"&lt;&gt;*Disciplin? facultativ?*", $B$32,"&lt;&gt;*Examen de diplom?*"),ROUND(($G$34+$H$34+$I$34+$J$34)/14,1),"")</f>
        <v>4</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28</v>
      </c>
      <c r="BF483" s="204">
        <f>IF(COUNTIFS($B$32,"&lt;&gt;"&amp;"",$B$32,"&lt;&gt;practic?*",$B$32,"&lt;&gt;*Elaborare proiect de diplom?*",$B$32,"&lt;&gt;*op?ional*",$B$32,"&lt;&gt;*Disciplin? facultativ?*", $B$32,"&lt;&gt;*Examen de diplom?*"),($G$34+$H$34+$I$34+$J$34),"")</f>
        <v>56</v>
      </c>
      <c r="BG483" s="202"/>
      <c r="BH483" s="204" t="str">
        <f>IF(COUNTIF($AV483,"=*Elaborare proiect de diplom?*"),ROUND($J$30/14,1),"")</f>
        <v/>
      </c>
      <c r="BI483" s="206">
        <f t="shared" si="23"/>
        <v>0</v>
      </c>
      <c r="BJ483" s="202"/>
      <c r="BK483" s="204" t="str">
        <f>IF(COUNTIF($AV483,"=*Elaborare proiect de diplom?*"),$J$30,"")</f>
        <v/>
      </c>
      <c r="BL483" s="206">
        <f>IF(COUNTIFS($B$32,"&lt;&gt;"&amp;"",$B$32,"&lt;&gt;practic?*",$B$32,"&lt;&gt;*Elaborare proiect de diplom?*",$B$32,"&lt;&gt;*op?ional*",$B$32,"&lt;&gt;*Disciplin? facultativ?*", $B$32,"&lt;&gt;*Examen de diplom?*"),$K$34,"")</f>
        <v>0</v>
      </c>
      <c r="BM483" s="206">
        <f t="shared" si="24"/>
        <v>6.7</v>
      </c>
      <c r="BN483" s="206">
        <f>IF(COUNTIFS($B$32,"&lt;&gt;"&amp;"",$B$32,"&lt;&gt;practic?*",$B$32,"&lt;&gt;*Elaborare proiect de diplom?*",$B$32,"&lt;&gt;*op?ional*",$B$32,"&lt;&gt;*Disciplin? facultativ?*", $B$32,"&lt;&gt;*Examen de diplom?*"),$M$34,"")</f>
        <v>94</v>
      </c>
      <c r="BO483" s="327">
        <f>IF($AV483="","",$E$34)</f>
        <v>6</v>
      </c>
      <c r="BP483" s="214" t="str">
        <f>IF(COUNTIFS($B$28,"&lt;&gt;"&amp;"",$B$28,"&lt;&gt;practic?*",$B$28,"&lt;&gt;*op?ional*",$B$28,"&lt;&gt;*Disciplin? facultativ?*",$B$28,"&lt;&gt;*Examen de diplom?*"),$L$34,"")</f>
        <v>DCAV</v>
      </c>
      <c r="BQ483" s="206">
        <f t="shared" si="25"/>
        <v>10.7</v>
      </c>
      <c r="BR483" s="202">
        <f>IF($AV$483="","",IF($BF$483&lt;&gt;"",$BF$483,0)+IF($BL$483&lt;&gt;"",$BL$483,0)+IF($BN$483&lt;&gt;"",$BN$483,0))</f>
        <v>150</v>
      </c>
      <c r="BS483" s="332">
        <f t="shared" si="26"/>
        <v>1</v>
      </c>
      <c r="BT483" s="208" t="str">
        <f t="shared" si="27"/>
        <v>2023</v>
      </c>
      <c r="BU483" s="197"/>
      <c r="BV483" s="197"/>
      <c r="BW483" s="197"/>
      <c r="BX483" s="202">
        <f>SUM(G34:J34)</f>
        <v>56</v>
      </c>
      <c r="BY483" s="503"/>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M025.23.01.V5</v>
      </c>
      <c r="AU484" s="202">
        <v>5</v>
      </c>
      <c r="AV484" s="204" t="str">
        <f>IF(COUNTIFS($B$35,"&lt;&gt;"&amp;"",$B$35,"&lt;&gt;*op?ional*",$B$35,"&lt;&gt;*Disciplin? facultativ?*"),$B$35,"")</f>
        <v>Practică profesională 1</v>
      </c>
      <c r="AW484" s="204">
        <f t="shared" si="20"/>
        <v>1</v>
      </c>
      <c r="AX484" s="204" t="str">
        <f t="shared" si="21"/>
        <v>1</v>
      </c>
      <c r="AY484" s="204" t="str">
        <f>IF($AV484="","",$F$37)</f>
        <v>D</v>
      </c>
      <c r="AZ484" s="204" t="str">
        <f t="shared" si="22"/>
        <v>DI</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f>IF($AV484="","",$E$37)</f>
        <v>7</v>
      </c>
      <c r="BP484" s="214" t="str">
        <f>IF(COUNTIFS($B$31,"&lt;&gt;"&amp;"",$B$31,"&lt;&gt;practic?*",$B$31,"&lt;&gt;*op?ional*",$B$31,"&lt;&gt;*Disciplin? facultativ?*",$B$31,"&lt;&gt;*Examen de diplom?*"),$L$37,"")</f>
        <v>DCAV</v>
      </c>
      <c r="BQ484" s="206" t="e">
        <f t="shared" si="25"/>
        <v>#VALUE!</v>
      </c>
      <c r="BR484" s="202">
        <f>IF($AV$484="","",IF($BF$484&lt;&gt;"",$BF$484,0)+IF($BL$484&lt;&gt;"",$BL$484,0)+IF($BN$484&lt;&gt;"",$BN$484,0))</f>
        <v>0</v>
      </c>
      <c r="BS484" s="332">
        <f t="shared" si="26"/>
        <v>0</v>
      </c>
      <c r="BT484" s="208" t="str">
        <f t="shared" si="27"/>
        <v>2023</v>
      </c>
      <c r="BU484" s="197"/>
      <c r="BV484" s="197"/>
      <c r="BW484" s="197"/>
      <c r="BX484" s="202">
        <f>SUM(G37:J37)</f>
        <v>0</v>
      </c>
      <c r="BY484" s="503"/>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503"/>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503"/>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503"/>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503"/>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96" t="s">
        <v>189</v>
      </c>
      <c r="AU489" s="499"/>
      <c r="AV489" s="499"/>
      <c r="AW489" s="499"/>
      <c r="AX489" s="499"/>
      <c r="AY489" s="499"/>
      <c r="AZ489" s="499"/>
      <c r="BA489" s="499"/>
      <c r="BB489" s="499"/>
      <c r="BC489" s="499"/>
      <c r="BD489" s="499"/>
      <c r="BE489" s="499"/>
      <c r="BF489" s="499"/>
      <c r="BG489" s="499"/>
      <c r="BH489" s="499"/>
      <c r="BI489" s="499"/>
      <c r="BJ489" s="499"/>
      <c r="BK489" s="499"/>
      <c r="BL489" s="499"/>
      <c r="BM489" s="499"/>
      <c r="BN489" s="499"/>
      <c r="BO489" s="499"/>
      <c r="BP489" s="499"/>
      <c r="BQ489" s="499"/>
      <c r="BR489" s="500"/>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M025.23.02.V1</v>
      </c>
      <c r="AU490" s="204">
        <v>1</v>
      </c>
      <c r="AV490" s="204" t="str">
        <f>IF(COUNTIFS($N$23,"&lt;&gt;"&amp;"",$N$23,"&lt;&gt;*op?ional*",$N$23,"&lt;&gt;*Disciplin? facultativ?*"),$N$23,"")</f>
        <v>Virusologie și vulnerabilități ale sistemelor informatice</v>
      </c>
      <c r="AW490" s="204">
        <f t="shared" ref="AW490:AW498" si="28">IF($AV490="","",ROUND(RIGHT($N$22,1)/2,0))</f>
        <v>1</v>
      </c>
      <c r="AX490" s="204" t="str">
        <f t="shared" ref="AX490:AX498" si="29">IF($AV490="","",RIGHT($N$22,1))</f>
        <v>2</v>
      </c>
      <c r="AY490" s="204" t="str">
        <f>IF($AV490="","",$R$25)</f>
        <v>E</v>
      </c>
      <c r="AZ490" s="204" t="str">
        <f>IF($AV490="","","DI")</f>
        <v>DI</v>
      </c>
      <c r="BA490" s="204">
        <f>IF(COUNTIFS($N$23,"&lt;&gt;"&amp;"",$N$23,"&lt;&gt;practic?*",$N$23,"&lt;&gt;*Elaborare proiect de diplom?*",$N$23,"&lt;&gt;*op?ional*",$N$23,"&lt;&gt;*Disciplin? facultativ?*", $N$23,"&lt;&gt;*Examen de diplom?*"),ROUND($S$25/14,1),"")</f>
        <v>2</v>
      </c>
      <c r="BB490" s="204">
        <f>IF(COUNTIFS($N$23,"&lt;&gt;"&amp;"",$N$23,"&lt;&gt;practic?*",$N$23,"&lt;&gt;*Elaborare proiect de diplom?*",$N$23,"&lt;&gt;*op?ional*",$N$23,"&lt;&gt;*Disciplin? facultativ?*", $N$23,"&lt;&gt;*Examen de diplom?*"),ROUND(($T$25+$U$25+$V$25)/14,1),"")</f>
        <v>1.5</v>
      </c>
      <c r="BC490" s="204">
        <f>IF(COUNTIFS($N$23,"&lt;&gt;"&amp;"",$N$23,"&lt;&gt;practic?*",$N$23,"&lt;&gt;*Elaborare proiect de diplom?*",$N$23,"&lt;&gt;*op?ional*",$N$23,"&lt;&gt;*Disciplin? facultativ?*", $N$23,"&lt;&gt;*Examen de diplom?*"),ROUND(($S$25+$T$25+$U$25+$V$25)/14,1),"")</f>
        <v>3.5</v>
      </c>
      <c r="BD490" s="206">
        <f>IF(COUNTIFS($N$23,"&lt;&gt;"&amp;"",$N$23,"&lt;&gt;practic?*",$N$23,"&lt;&gt;*Elaborare proiect de diplom?*",$N$23,"&lt;&gt;*op?ional*",$N$23,"&lt;&gt;*Disciplin? facultativ?*", $N$23,"&lt;&gt;*Examen de diplom?*"),$S$25,"")</f>
        <v>28</v>
      </c>
      <c r="BE490" s="204">
        <f>IF(COUNTIFS($N$23,"&lt;&gt;"&amp;"",$N$23,"&lt;&gt;practic?*",$N$23,"&lt;&gt;*Elaborare proiect de diplom?*",$N$23,"&lt;&gt;*op?ional*",$N$23,"&lt;&gt;*Disciplin? facultativ?*", $N$23,"&lt;&gt;*Examen de diplom?*"),($T$25+$U$25+$V$25),"")</f>
        <v>21</v>
      </c>
      <c r="BF490" s="204">
        <f>IF(COUNTIFS($N$23,"&lt;&gt;"&amp;"",$N$23,"&lt;&gt;practic?*",$N$23,"&lt;&gt;*Elaborare proiect de diplom?*",$N$23,"&lt;&gt;*op?ional*",$N$23,"&lt;&gt;*Disciplin? facultativ?*", $N$23,"&lt;&gt;*Examen de diplom?*"),($S$25+$T$25+$U$25+$V$25),"")</f>
        <v>49</v>
      </c>
      <c r="BG490" s="204"/>
      <c r="BH490" s="204" t="str">
        <f>IF(COUNTIF($AV490,"=*Elaborare proiect de diplom?*"),ROUND($V$21/14,1),"")</f>
        <v/>
      </c>
      <c r="BI490" s="206">
        <f>ROUND(BL490/14,1)</f>
        <v>0</v>
      </c>
      <c r="BJ490" s="204"/>
      <c r="BK490" s="204" t="str">
        <f>IF(COUNTIF($AV490,"=*Elaborare proiect de diplom?*"),$V$21,"")</f>
        <v/>
      </c>
      <c r="BL490" s="206">
        <f>IF(COUNTIFS($B$23,"&lt;&gt;"&amp;"",$B$23,"&lt;&gt;practic?*",$B$23,"&lt;&gt;*Elaborare proiect de diplom?*",$B$23,"&lt;&gt;*op?ional*",$B$23,"&lt;&gt;*Disciplin? facultativ?*", $B$23,"&lt;&gt;*Examen de diplom?*"),$W$25,"")</f>
        <v>0</v>
      </c>
      <c r="BM490" s="206">
        <f>ROUND(BN490/14,1)</f>
        <v>5.4</v>
      </c>
      <c r="BN490" s="206">
        <f>IF(COUNTIFS($B$23,"&lt;&gt;"&amp;"",$B$23,"&lt;&gt;practic?*",$B$23,"&lt;&gt;*Elaborare proiect de diplom?*",$B$23,"&lt;&gt;*op?ional*",$B$23,"&lt;&gt;*Disciplin? facultativ?*", $B$23,"&lt;&gt;*Examen de diplom?*"),$Y$25,"")</f>
        <v>76</v>
      </c>
      <c r="BO490" s="204">
        <f>IF($AV490="","",$Q$25)</f>
        <v>5</v>
      </c>
      <c r="BP490" s="206" t="str">
        <f>IF(COUNTIFS($B$23,"&lt;&gt;"&amp;"",$B$23,"&lt;&gt;practic?*",$B$23,"&lt;&gt;*op?ional*",$B$23,"&lt;&gt;*Disciplin? facultativ?*",$B$23,"&lt;&gt;*Examen de diplom?*"),$X$25,"")</f>
        <v>DCAV</v>
      </c>
      <c r="BQ490" s="206">
        <f>IF($AV490="","",IF($BC490&lt;&gt;"",$BC490,0)+IF($BI490&lt;&gt;"",$BI490,0)+IF($BM490&lt;&gt;"",$BM490,0))</f>
        <v>8.9</v>
      </c>
      <c r="BR490" s="204">
        <f>IF($AV$480="","",IF($NF$480&lt;&gt;"",$NF$480,0)+IF($NL$480&lt;&gt;"",$NL$480,0)+IF($NN$480&lt;&gt;"",$NN$480,0))</f>
        <v>0</v>
      </c>
      <c r="BS490" s="332">
        <f>IF(SUM(BA490:BB490)&gt;0,1,0)</f>
        <v>1</v>
      </c>
      <c r="BT490" s="208" t="str">
        <f t="shared" si="27"/>
        <v>2023</v>
      </c>
      <c r="BU490" s="197"/>
      <c r="BV490" s="197"/>
      <c r="BW490" s="197"/>
      <c r="BX490" s="202">
        <f>SUM(S25:V25)</f>
        <v>49</v>
      </c>
      <c r="BY490" s="503">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M025.23.02.A2</v>
      </c>
      <c r="AU491" s="202">
        <v>2</v>
      </c>
      <c r="AV491" s="204" t="str">
        <f>IF(COUNTIFS($N$26,"&lt;&gt;"&amp;"",$N$26,"&lt;&gt;*op?ional*",$N$26,"&lt;&gt;*Disciplin? facultativ?*"),$N$26,"")</f>
        <v>Securitatea aplicațiilor cloud</v>
      </c>
      <c r="AW491" s="204">
        <f t="shared" si="28"/>
        <v>1</v>
      </c>
      <c r="AX491" s="204" t="str">
        <f t="shared" si="29"/>
        <v>2</v>
      </c>
      <c r="AY491" s="204" t="str">
        <f>IF($AV491="","",$R$28)</f>
        <v>E</v>
      </c>
      <c r="AZ491" s="204" t="str">
        <f t="shared" ref="AZ491:AZ498" si="30">IF($AV491="","","DI")</f>
        <v>DI</v>
      </c>
      <c r="BA491" s="204">
        <f>IF(COUNTIFS($N$26,"&lt;&gt;"&amp;"",$N$26,"&lt;&gt;practic?*",$N$26,"&lt;&gt;*Elaborare proiect de diplom?*",$N$26,"&lt;&gt;*op?ional*",$N$26,"&lt;&gt;*Disciplin? facultativ?*", $N$26,"&lt;&gt;*Examen de diplom?*"),ROUND($S$28/14,1),"")</f>
        <v>2</v>
      </c>
      <c r="BB491" s="204">
        <f>IF(COUNTIFS($N$26,"&lt;&gt;"&amp;"",$N$26,"&lt;&gt;practic?*",$N$26,"&lt;&gt;*Elaborare proiect de diplom?*",$N$26,"&lt;&gt;*op?ional*",$N$26,"&lt;&gt;*Disciplin? facultativ?*", $N$26,"&lt;&gt;*Examen de diplom?*"),ROUND(($T$28+$U$28+$V$28)/14,1),"")</f>
        <v>1.5</v>
      </c>
      <c r="BC491" s="204">
        <f>IF(COUNTIFS($N$26,"&lt;&gt;"&amp;"",$N$26,"&lt;&gt;practic?*",$N$26,"&lt;&gt;*Elaborare proiect de diplom?*",$N$26,"&lt;&gt;*op?ional*",$N$26,"&lt;&gt;*Disciplin? facultativ?*", $N$26,"&lt;&gt;*Examen de diplom?*"),ROUND(($S$28+$T$28+$U$28+$V$28)/14,1),"")</f>
        <v>3.5</v>
      </c>
      <c r="BD491" s="206">
        <f>IF(COUNTIFS($N$26,"&lt;&gt;"&amp;"",$N$26,"&lt;&gt;practic?*",$N$26,"&lt;&gt;*Elaborare proiect de diplom?*",$N$26,"&lt;&gt;*op?ional*",$N$26,"&lt;&gt;*Disciplin? facultativ?*", $N$26,"&lt;&gt;*Examen de diplom?*"),$S$28,"")</f>
        <v>28</v>
      </c>
      <c r="BE491" s="204">
        <f>IF(COUNTIFS($N$26,"&lt;&gt;"&amp;"",$N$26,"&lt;&gt;practic?*",$N$26,"&lt;&gt;*Elaborare proiect de diplom?*",$N$26,"&lt;&gt;*op?ional*",$N$26,"&lt;&gt;*Disciplin? facultativ?*", $N$26,"&lt;&gt;*Examen de diplom?*"),($T$28+$U$28+$V$28),"")</f>
        <v>21</v>
      </c>
      <c r="BF491" s="204">
        <f>IF(COUNTIFS($N$26,"&lt;&gt;"&amp;"",$N$26,"&lt;&gt;practic?*",$N$26,"&lt;&gt;*Elaborare proiect de diplom?*",$N$26,"&lt;&gt;*op?ional*",$N$26,"&lt;&gt;*Disciplin? facultativ?*", $N$26,"&lt;&gt;*Examen de diplom?*"),($S$28+$T$28+$U$28+$V$28),"")</f>
        <v>49</v>
      </c>
      <c r="BG491" s="202"/>
      <c r="BH491" s="204" t="str">
        <f>IF(COUNTIF($AV491,"=*Elaborare proiect de diplom?*"),ROUND($V$24/14,1),"")</f>
        <v/>
      </c>
      <c r="BI491" s="206">
        <f t="shared" ref="BI491:BI498" si="31">ROUND(BL491/14,1)</f>
        <v>0</v>
      </c>
      <c r="BJ491" s="202"/>
      <c r="BK491" s="204" t="str">
        <f>IF(COUNTIF($AV491,"=*Elaborare proiect de diplom?*"),$V$24,"")</f>
        <v/>
      </c>
      <c r="BL491" s="206">
        <f>IF(COUNTIFS($B$26,"&lt;&gt;"&amp;"",$B$26,"&lt;&gt;practic?*",$B$26,"&lt;&gt;*Elaborare proiect de diplom?*",$B$26,"&lt;&gt;*op?ional*",$B$26,"&lt;&gt;*Disciplin? facultativ?*", $B$26,"&lt;&gt;*Examen de diplom?*"),$W$28,"")</f>
        <v>0</v>
      </c>
      <c r="BM491" s="206">
        <f t="shared" ref="BM491:BM498" si="32">ROUND(BN491/14,1)</f>
        <v>5.4</v>
      </c>
      <c r="BN491" s="206">
        <f>IF(COUNTIFS($B$26,"&lt;&gt;"&amp;"",$B$26,"&lt;&gt;practic?*",$B$26,"&lt;&gt;*Elaborare proiect de diplom?*",$B$26,"&lt;&gt;*op?ional*",$B$26,"&lt;&gt;*Disciplin? facultativ?*", $B$26,"&lt;&gt;*Examen de diplom?*"),$Y$28,"")</f>
        <v>76</v>
      </c>
      <c r="BO491" s="327">
        <f>IF($AV491="","",$Q$28)</f>
        <v>5</v>
      </c>
      <c r="BP491" s="214" t="str">
        <f>IF(COUNTIFS($B$22,"&lt;&gt;"&amp;"",$B$22,"&lt;&gt;practic?*",$B$22,"&lt;&gt;*op?ional*",$B$22,"&lt;&gt;*Disciplin? facultativ?*",$B$22,"&lt;&gt;*Examen de diplom?*"),$X$28,"")</f>
        <v>DA</v>
      </c>
      <c r="BQ491" s="206">
        <f t="shared" ref="BQ491:BQ498" si="33">IF($AV491="","",IF($BC491&lt;&gt;"",$BC491,0)+IF($BI491&lt;&gt;"",$BI491,0)+IF($BM491&lt;&gt;"",$BM491,0))</f>
        <v>8.9</v>
      </c>
      <c r="BR491" s="202">
        <f>IF($AV$481="","",IF($NF$481&lt;&gt;"",$NF$481,0)+IF($NL$481&lt;&gt;"",$NL$481,0)+IF($NN$481&lt;&gt;"",$NN$481,0))</f>
        <v>0</v>
      </c>
      <c r="BS491" s="332">
        <f t="shared" ref="BS491:BS509" si="34">IF(SUM(BA491:BB491)&gt;0,1,0)</f>
        <v>1</v>
      </c>
      <c r="BT491" s="208" t="str">
        <f t="shared" si="27"/>
        <v>2023</v>
      </c>
      <c r="BU491" s="197"/>
      <c r="BV491" s="197"/>
      <c r="BW491" s="197"/>
      <c r="BX491" s="202">
        <f>SUM(S28:V28)</f>
        <v>49</v>
      </c>
      <c r="BY491" s="503"/>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M025.23.02.S3-ij</v>
      </c>
      <c r="AU492" s="202">
        <v>3</v>
      </c>
      <c r="AV492" s="204" t="str">
        <f>IF(COUNTIFS($N$29,"&lt;&gt;"&amp;"",$N$29,"&lt;&gt;*op?ional*",$N$29,"&lt;&gt;*Disciplin? facultativ?*"),$N$29,"")</f>
        <v/>
      </c>
      <c r="AW492" s="204" t="str">
        <f t="shared" si="28"/>
        <v/>
      </c>
      <c r="AX492" s="204" t="str">
        <f t="shared" si="29"/>
        <v/>
      </c>
      <c r="AY492" s="204" t="str">
        <f>IF($AV492="","",$R$31)</f>
        <v/>
      </c>
      <c r="AZ492" s="204" t="str">
        <f t="shared" si="30"/>
        <v/>
      </c>
      <c r="BA492" s="204" t="str">
        <f>IF(COUNTIFS($N$29,"&lt;&gt;"&amp;"",$N$29,"&lt;&gt;practic?*",$N$29,"&lt;&gt;*Elaborare proiect de diplom?*",$N$29,"&lt;&gt;*op?ional*",$N$29,"&lt;&gt;*Disciplin? facultativ?*", $N$29,"&lt;&gt;*Examen de diplom?*"),ROUND($S$31/14,1),"")</f>
        <v/>
      </c>
      <c r="BB492" s="204" t="str">
        <f>IF(COUNTIFS($N$29,"&lt;&gt;"&amp;"",$N$29,"&lt;&gt;practic?*",$N$29,"&lt;&gt;*Elaborare proiect de diplom?*",$N$29,"&lt;&gt;*op?ional*",$N$29,"&lt;&gt;*Disciplin? facultativ?*", $N$29,"&lt;&gt;*Examen de diplom?*"),ROUND(($T$31+$U$31+$V$31)/14,1),"")</f>
        <v/>
      </c>
      <c r="BC492" s="204" t="str">
        <f>IF(COUNTIFS($N$29,"&lt;&gt;"&amp;"",$N$29,"&lt;&gt;practic?*",$N$29,"&lt;&gt;*Elaborare proiect de diplom?*",$N$29,"&lt;&gt;*op?ional*",$N$29,"&lt;&gt;*Disciplin? facultativ?*", $N$29,"&lt;&gt;*Examen de diplom?*"),ROUND(($S$31+$T$31+$U$31+$V$31)/14,1),"")</f>
        <v/>
      </c>
      <c r="BD492" s="206" t="str">
        <f>IF(COUNTIFS($N$29,"&lt;&gt;"&amp;"",$N$29,"&lt;&gt;practic?*",$N$29,"&lt;&gt;*Elaborare proiect de diplom?*",$N$29,"&lt;&gt;*op?ional*",$N$29,"&lt;&gt;*Disciplin? facultativ?*", $N$29,"&lt;&gt;*Examen de diplom?*"),$S$31,"")</f>
        <v/>
      </c>
      <c r="BE492" s="204" t="str">
        <f>IF(COUNTIFS($N$29,"&lt;&gt;"&amp;"",$N$29,"&lt;&gt;practic?*",$N$29,"&lt;&gt;*Elaborare proiect de diplom?*",$N$29,"&lt;&gt;*op?ional*",$N$29,"&lt;&gt;*Disciplin? facultativ?*", $N$29,"&lt;&gt;*Examen de diplom?*"),($T$31+$U$31+$V$31),"")</f>
        <v/>
      </c>
      <c r="BF492" s="204" t="str">
        <f>IF(COUNTIFS($N$29,"&lt;&gt;"&amp;"",$N$29,"&lt;&gt;practic?*",$N$29,"&lt;&gt;*Elaborare proiect de diplom?*",$N$29,"&lt;&gt;*op?ional*",$N$29,"&lt;&gt;*Disciplin? facultativ?*", $N$29,"&lt;&gt;*Examen de diplom?*"),($S$31+$T$31+$U$31+$V$31),"")</f>
        <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5.4</v>
      </c>
      <c r="BN492" s="206">
        <f>IF(COUNTIFS($B$29,"&lt;&gt;"&amp;"",$B$29,"&lt;&gt;practic?*",$B$29,"&lt;&gt;*Elaborare proiect de diplom?*",$B$29,"&lt;&gt;*op?ional*",$B$29,"&lt;&gt;*Disciplin? facultativ?*", $B$29,"&lt;&gt;*Examen de diplom?*"),$Y$31,"")</f>
        <v>76</v>
      </c>
      <c r="BO492" s="327" t="str">
        <f>IF($AV492="","",$Q$31)</f>
        <v/>
      </c>
      <c r="BP492" s="214" t="str">
        <f>IF(COUNTIFS($B$25,"&lt;&gt;"&amp;"",$B$25,"&lt;&gt;practic?*",$B$25,"&lt;&gt;*op?ional*",$B$25,"&lt;&gt;*Disciplin? facultativ?*",$B$25,"&lt;&gt;*Examen de diplom?*"),$X$31,"")</f>
        <v>DS</v>
      </c>
      <c r="BQ492" s="206" t="str">
        <f t="shared" si="33"/>
        <v/>
      </c>
      <c r="BR492" s="202">
        <f>IF($AV$482="","",IF($NF$482&lt;&gt;"",$NF$482,0)+IF($NL$482&lt;&gt;"",$NL$482,0)+IF($NN$482&lt;&gt;"",$NN$482,0))</f>
        <v>0</v>
      </c>
      <c r="BS492" s="332">
        <f t="shared" si="34"/>
        <v>0</v>
      </c>
      <c r="BT492" s="208" t="str">
        <f t="shared" si="27"/>
        <v/>
      </c>
      <c r="BU492" s="197"/>
      <c r="BV492" s="197"/>
      <c r="BW492" s="197"/>
      <c r="BX492" s="202">
        <f>SUM(S31:V31)</f>
        <v>49</v>
      </c>
      <c r="BY492" s="503"/>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M025.23.02.A4-ij</v>
      </c>
      <c r="AU493" s="204">
        <v>4</v>
      </c>
      <c r="AV493" s="204" t="str">
        <f>IF(COUNTIFS($N$32,"&lt;&gt;"&amp;"",$N$32,"&lt;&gt;*op?ional*",$N$32,"&lt;&gt;*Disciplin? facultativ?*"),$N$32,"")</f>
        <v/>
      </c>
      <c r="AW493" s="204" t="str">
        <f t="shared" si="28"/>
        <v/>
      </c>
      <c r="AX493" s="204" t="str">
        <f t="shared" si="29"/>
        <v/>
      </c>
      <c r="AY493" s="204" t="str">
        <f>IF($AV493="","",$R$34)</f>
        <v/>
      </c>
      <c r="AZ493" s="204" t="str">
        <f t="shared" si="30"/>
        <v/>
      </c>
      <c r="BA493" s="204" t="str">
        <f>IF(COUNTIFS($N$32,"&lt;&gt;"&amp;"",$N$32,"&lt;&gt;practic?*",$N$32,"&lt;&gt;*Elaborare proiect de diplom?*",$N$32,"&lt;&gt;*op?ional*",$N$32,"&lt;&gt;*Disciplin? facultativ?*", $N$32,"&lt;&gt;*Examen de diplom?*"),ROUND($S$34/14,1),"")</f>
        <v/>
      </c>
      <c r="BB493" s="204" t="str">
        <f>IF(COUNTIFS($N$32,"&lt;&gt;"&amp;"",$N$32,"&lt;&gt;practic?*",$N$32,"&lt;&gt;*Elaborare proiect de diplom?*",$N$32,"&lt;&gt;*op?ional*",$N$32,"&lt;&gt;*Disciplin? facultativ?*", $N$32,"&lt;&gt;*Examen de diplom?*"),ROUND(($T$34+$U$34+$V$34)/14,1),"")</f>
        <v/>
      </c>
      <c r="BC493" s="204" t="str">
        <f>IF(COUNTIFS($N$32,"&lt;&gt;"&amp;"",$N$32,"&lt;&gt;practic?*",$N$32,"&lt;&gt;*Elaborare proiect de diplom?*",$N$32,"&lt;&gt;*op?ional*",$N$32,"&lt;&gt;*Disciplin? facultativ?*", $N$32,"&lt;&gt;*Examen de diplom?*"),ROUND(($S$34+$T$34+$U$34+$V$34)/14,1),"")</f>
        <v/>
      </c>
      <c r="BD493" s="206" t="str">
        <f>IF(COUNTIFS($N$32,"&lt;&gt;"&amp;"",$N$32,"&lt;&gt;practic?*",$N$32,"&lt;&gt;*Elaborare proiect de diplom?*",$N$32,"&lt;&gt;*op?ional*",$N$32,"&lt;&gt;*Disciplin? facultativ?*", $N$32,"&lt;&gt;*Examen de diplom?*"),$S$34,"")</f>
        <v/>
      </c>
      <c r="BE493" s="204" t="str">
        <f>IF(COUNTIFS($N$32,"&lt;&gt;"&amp;"",$N$32,"&lt;&gt;practic?*",$N$32,"&lt;&gt;*Elaborare proiect de diplom?*",$N$32,"&lt;&gt;*op?ional*",$N$32,"&lt;&gt;*Disciplin? facultativ?*", $N$32,"&lt;&gt;*Examen de diplom?*"),($T$34+$U$34+$V$34),"")</f>
        <v/>
      </c>
      <c r="BF493" s="204" t="str">
        <f>IF(COUNTIFS($N$32,"&lt;&gt;"&amp;"",$N$32,"&lt;&gt;practic?*",$N$32,"&lt;&gt;*Elaborare proiect de diplom?*",$N$32,"&lt;&gt;*op?ional*",$N$32,"&lt;&gt;*Disciplin? facultativ?*", $N$32,"&lt;&gt;*Examen de diplom?*"),($S$34+$T$34+$U$34+$V$34),"")</f>
        <v/>
      </c>
      <c r="BG493" s="202"/>
      <c r="BH493" s="204" t="str">
        <f>IF(COUNTIF($AV493,"=*Elaborare proiect de diplom?*"),ROUND($V$30/14,1),"")</f>
        <v/>
      </c>
      <c r="BI493" s="206">
        <f t="shared" si="31"/>
        <v>0</v>
      </c>
      <c r="BJ493" s="202"/>
      <c r="BK493" s="204" t="str">
        <f>IF(COUNTIF($AV493,"=*Elaborare proiect de diplom?*"),$V$30,"")</f>
        <v/>
      </c>
      <c r="BL493" s="206">
        <f>IF(COUNTIFS($B$32,"&lt;&gt;"&amp;"",$B$32,"&lt;&gt;practic?*",$B$32,"&lt;&gt;*Elaborare proiect de diplom?*",$B$32,"&lt;&gt;*op?ional*",$B$32,"&lt;&gt;*Disciplin? facultativ?*", $B$32,"&lt;&gt;*Examen de diplom?*"),$W$34,"")</f>
        <v>0</v>
      </c>
      <c r="BM493" s="206">
        <f t="shared" si="32"/>
        <v>5.4</v>
      </c>
      <c r="BN493" s="206">
        <f>IF(COUNTIFS($B$32,"&lt;&gt;"&amp;"",$B$32,"&lt;&gt;practic?*",$B$32,"&lt;&gt;*Elaborare proiect de diplom?*",$B$32,"&lt;&gt;*op?ional*",$B$32,"&lt;&gt;*Disciplin? facultativ?*", $B$32,"&lt;&gt;*Examen de diplom?*"),$Y$34,"")</f>
        <v>76</v>
      </c>
      <c r="BO493" s="327" t="str">
        <f>IF($AV493="","",$Q$34)</f>
        <v/>
      </c>
      <c r="BP493" s="214" t="str">
        <f>IF(COUNTIFS($B$28,"&lt;&gt;"&amp;"",$B$28,"&lt;&gt;practic?*",$B$28,"&lt;&gt;*op?ional*",$B$28,"&lt;&gt;*Disciplin? facultativ?*",$B$28,"&lt;&gt;*Examen de diplom?*"),$X$34,"")</f>
        <v>DA</v>
      </c>
      <c r="BQ493" s="206" t="str">
        <f t="shared" si="33"/>
        <v/>
      </c>
      <c r="BR493" s="202">
        <f>IF($AV$483="","",IF($NF$483&lt;&gt;"",$NF$483,0)+IF($NL$483&lt;&gt;"",$NL$483,0)+IF($NN$483&lt;&gt;"",$NN$483,0))</f>
        <v>0</v>
      </c>
      <c r="BS493" s="332">
        <f t="shared" si="34"/>
        <v>0</v>
      </c>
      <c r="BT493" s="208" t="str">
        <f t="shared" si="27"/>
        <v/>
      </c>
      <c r="BU493" s="197"/>
      <c r="BV493" s="197"/>
      <c r="BW493" s="197"/>
      <c r="BX493" s="202">
        <f>SUM(S34:V34)</f>
        <v>49</v>
      </c>
      <c r="BY493" s="503"/>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M025.23.02.C5</v>
      </c>
      <c r="AU494" s="202">
        <v>5</v>
      </c>
      <c r="AV494" s="204" t="str">
        <f>IF(COUNTIFS($N$35,"&lt;&gt;"&amp;"",$N$35,"&lt;&gt;*op?ional*",$N$35,"&lt;&gt;*Disciplin? facultativ?*"),$N$35,"")</f>
        <v>Etică și integritate academică</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f>IF($AV$484="","",IF($NF$484&lt;&gt;"",$NF$484,0)+IF($NL$484&lt;&gt;"",$NL$484,0)+IF($NN$484&lt;&gt;"",$NN$484,0))</f>
        <v>0</v>
      </c>
      <c r="BS494" s="332">
        <f t="shared" si="34"/>
        <v>1</v>
      </c>
      <c r="BT494" s="208" t="str">
        <f t="shared" si="27"/>
        <v>2023</v>
      </c>
      <c r="BU494" s="197"/>
      <c r="BV494" s="197"/>
      <c r="BW494" s="197"/>
      <c r="BX494" s="202">
        <f>SUM(S37:V37)</f>
        <v>21</v>
      </c>
      <c r="BY494" s="503"/>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M025.23.02.V6</v>
      </c>
      <c r="AU495" s="202">
        <v>6</v>
      </c>
      <c r="AV495" s="204" t="str">
        <f>IF(COUNTIFS($N$38,"&lt;&gt;"&amp;"",$N$38,"&lt;&gt;*op?ional*",$N$38,"&lt;&gt;*Disciplin? facultativ?*"),$N$38,"")</f>
        <v>Practică profesională 2</v>
      </c>
      <c r="AW495" s="204">
        <f t="shared" si="28"/>
        <v>1</v>
      </c>
      <c r="AX495" s="204" t="str">
        <f t="shared" si="29"/>
        <v>2</v>
      </c>
      <c r="AY495" s="204" t="str">
        <f>IF($AV495="","",$R$40)</f>
        <v>D</v>
      </c>
      <c r="AZ495" s="204" t="str">
        <f t="shared" si="30"/>
        <v>DI</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f>IF($AV495="","",$Q$40)</f>
        <v>8</v>
      </c>
      <c r="BP495" s="214" t="str">
        <f>IF(COUNTIFS($B$34,"&lt;&gt;"&amp;"",$B$34,"&lt;&gt;practic?*",$B$34,"&lt;&gt;*op?ional*",$B$34,"&lt;&gt;*Disciplin? facultativ?*",$B$34,"&lt;&gt;*Examen de diplom?*"),$X$40,"")</f>
        <v>DCAV</v>
      </c>
      <c r="BQ495" s="206" t="e">
        <f t="shared" si="33"/>
        <v>#VALUE!</v>
      </c>
      <c r="BR495" s="202" t="str">
        <f>IF($AV$485="","",IF($NF$485&lt;&gt;"",$NF$485,0)+IF($NL$485&lt;&gt;"",$NL$485,0)+IF($NN$485&lt;&gt;"",$NN$485,0))</f>
        <v/>
      </c>
      <c r="BS495" s="332">
        <f t="shared" si="34"/>
        <v>0</v>
      </c>
      <c r="BT495" s="208" t="str">
        <f t="shared" si="27"/>
        <v>2023</v>
      </c>
      <c r="BU495" s="197"/>
      <c r="BV495" s="197"/>
      <c r="BW495" s="197"/>
      <c r="BX495" s="202">
        <f>SUM(S40:V40)</f>
        <v>0</v>
      </c>
      <c r="BY495" s="503"/>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503"/>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503"/>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503"/>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96" t="s">
        <v>190</v>
      </c>
      <c r="AU499" s="499"/>
      <c r="AV499" s="499"/>
      <c r="AW499" s="499"/>
      <c r="AX499" s="499"/>
      <c r="AY499" s="499"/>
      <c r="AZ499" s="499"/>
      <c r="BA499" s="499"/>
      <c r="BB499" s="499"/>
      <c r="BC499" s="499"/>
      <c r="BD499" s="499"/>
      <c r="BE499" s="499"/>
      <c r="BF499" s="499"/>
      <c r="BG499" s="499"/>
      <c r="BH499" s="499"/>
      <c r="BI499" s="499"/>
      <c r="BJ499" s="499"/>
      <c r="BK499" s="499"/>
      <c r="BL499" s="499"/>
      <c r="BM499" s="499"/>
      <c r="BN499" s="499"/>
      <c r="BO499" s="499"/>
      <c r="BP499" s="499"/>
      <c r="BQ499" s="499"/>
      <c r="BR499" s="500"/>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M025.23.03.V1</v>
      </c>
      <c r="AU500" s="204">
        <v>1</v>
      </c>
      <c r="AV500" s="204" t="str">
        <f>IF(COUNTIFS($B$65,"&lt;&gt;"&amp;"",$B$65,"&lt;&gt;*op?ional*",$B$65,"&lt;&gt;*Disciplin? facultativ?*"),$B$65,"")</f>
        <v>Securitate în sisteme embedded și automotive</v>
      </c>
      <c r="AW500" s="204">
        <f>IF($AV500="","",ROUND(RIGHT($B$64,1)/2,0))</f>
        <v>2</v>
      </c>
      <c r="AX500" s="204" t="str">
        <f>IF($AV500="","",RIGHT($B$64,1))</f>
        <v>3</v>
      </c>
      <c r="AY500" s="204" t="str">
        <f>IF($AV500="","",$F$67)</f>
        <v>E</v>
      </c>
      <c r="AZ500" s="204" t="str">
        <f>IF($AV500="","","DI")</f>
        <v>DI</v>
      </c>
      <c r="BA500" s="204">
        <f>IF(COUNTIFS($B$65,"&lt;&gt;"&amp;"",$B$65,"&lt;&gt;practic?*",$B$65,"&lt;&gt;*Elaborare proiect de diplom?*",$B$65,"&lt;&gt;*op?ional*",$B$65,"&lt;&gt;*Disciplin? facultativ?*", $B$65,"&lt;&gt;*Examen de diplom?*"),ROUND($G$67/14,1),"")</f>
        <v>2</v>
      </c>
      <c r="BB500" s="204">
        <f>IF(COUNTIFS($B$65,"&lt;&gt;"&amp;"",$B$65,"&lt;&gt;practic?*",$B$65,"&lt;&gt;*Elaborare proiect de diplom?*",$B$65,"&lt;&gt;*op?ional*",$B$65,"&lt;&gt;*Disciplin? facultativ?*", $B$65,"&lt;&gt;*Examen de diplom?*"),ROUND(($H$67+$I$67+$J$67)/14,1),"")</f>
        <v>2</v>
      </c>
      <c r="BC500" s="204">
        <f>IF(COUNTIFS($B$65,"&lt;&gt;"&amp;"",$B$65,"&lt;&gt;practic?*",$B$65,"&lt;&gt;*Elaborare proiect de diplom?*",$B$65,"&lt;&gt;*op?ional*",$B$65,"&lt;&gt;*Disciplin? facultativ?*", $B$65,"&lt;&gt;*Examen de diplom?*"),ROUND(($G$67+$H$67+$I$67+$J$67)/14,1),"")</f>
        <v>4</v>
      </c>
      <c r="BD500" s="206">
        <f>IF(COUNTIFS($B$65,"&lt;&gt;"&amp;"",$B$65,"&lt;&gt;practic?*",$B$65,"&lt;&gt;*Elaborare proiect de diplom?*",$B$65,"&lt;&gt;*op?ional*",$B$65,"&lt;&gt;*Disciplin? facultativ?*", $B$65,"&lt;&gt;*Examen de diplom?*"),$G$67,"")</f>
        <v>28</v>
      </c>
      <c r="BE500" s="204">
        <f>IF(COUNTIFS($B$65,"&lt;&gt;"&amp;"",$B$65,"&lt;&gt;practic?*",$B$65,"&lt;&gt;*Elaborare proiect de diplom?*",$B$65,"&lt;&gt;*op?ional*",$B$65,"&lt;&gt;*Disciplin? facultativ?*", $B$65,"&lt;&gt;*Examen de diplom?*"),($H$67+$I$67+$J$67),"")</f>
        <v>28</v>
      </c>
      <c r="BF500" s="204">
        <f>IF(COUNTIFS($B$65,"&lt;&gt;"&amp;"",$B$65,"&lt;&gt;practic?*",$B$65,"&lt;&gt;*Elaborare proiect de diplom?*",$B$65,"&lt;&gt;*op?ional*",$B$65,"&lt;&gt;*Disciplin? facultativ?*", $B$65,"&lt;&gt;*Examen de diplom?*"),($G$67+$H$67+$I$67+$J$67),"")</f>
        <v>56</v>
      </c>
      <c r="BG500" s="204"/>
      <c r="BH500" s="204" t="str">
        <f>IF(COUNTIF($AV500,"=*Elaborare proiect de diplom?*"),ROUND($J$21/14,1),"")</f>
        <v/>
      </c>
      <c r="BI500" s="206">
        <f>ROUND(BL500/14,1)</f>
        <v>0</v>
      </c>
      <c r="BJ500" s="204"/>
      <c r="BK500" s="204" t="str">
        <f>IF(COUNTIF($AV500,"=*Elaborare proiect de diplom?*"),$J$21,"")</f>
        <v/>
      </c>
      <c r="BL500" s="206">
        <f>IF(COUNTIFS($B$65,"&lt;&gt;"&amp;"",$B$65,"&lt;&gt;practic?*",$B$65,"&lt;&gt;*Elaborare proiect de diplom?*",$B$65,"&lt;&gt;*op?ional*",$B$65,"&lt;&gt;*Disciplin? facultativ?*", $B$65,"&lt;&gt;*Examen de diplom?*"),$K$67,"")</f>
        <v>0</v>
      </c>
      <c r="BM500" s="206">
        <f>ROUND(BN500/14,1)</f>
        <v>6.7</v>
      </c>
      <c r="BN500" s="206">
        <f>IF(COUNTIFS($B$65,"&lt;&gt;"&amp;"",$B$65,"&lt;&gt;practic?*",$B$65,"&lt;&gt;*Elaborare proiect de diplom?*",$B$65,"&lt;&gt;*op?ional*",$B$65,"&lt;&gt;*Disciplin? facultativ?*", $B$65,"&lt;&gt;*Examen de diplom?*"),$M$67,"")</f>
        <v>94</v>
      </c>
      <c r="BO500" s="204">
        <f>IF($AV500="","",$E$67)</f>
        <v>6</v>
      </c>
      <c r="BP500" s="206" t="str">
        <f>IF(COUNTIFS($B$65,"&lt;&gt;"&amp;"",$B$65,"&lt;&gt;practic?*",$B$65,"&lt;&gt;*op?ional*",$B$65,"&lt;&gt;*Disciplin? facultativ?*",$B$65,"&lt;&gt;*Examen de diplom?*"),$L$67,"")</f>
        <v>DCAV</v>
      </c>
      <c r="BQ500" s="206">
        <f>IF($AV500="","",IF($BC500&lt;&gt;"",$BC500,0)+IF($BI500&lt;&gt;"",$BI500,0)+IF($BM500&lt;&gt;"",$BM500,0))</f>
        <v>10.7</v>
      </c>
      <c r="BR500" s="204">
        <f>IF($AV$480="","",IF($BF$480&lt;&gt;"",$BF$480,0)+IF($BL$480&lt;&gt;"",$BL$480,0)+IF($BN$480&lt;&gt;"",$BN$480,0))</f>
        <v>150</v>
      </c>
      <c r="BS500" s="332">
        <f>IF(SUM(BA500:BB500)&gt;0,1,0)</f>
        <v>1</v>
      </c>
      <c r="BT500" s="208" t="str">
        <f t="shared" si="27"/>
        <v>2024</v>
      </c>
      <c r="BU500" s="197"/>
      <c r="BV500" s="197"/>
      <c r="BW500" s="197"/>
      <c r="BX500" s="202">
        <f>SUM(G67:J67)</f>
        <v>56</v>
      </c>
      <c r="BY500" s="503">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M025.23.03.A2</v>
      </c>
      <c r="AU501" s="202">
        <v>2</v>
      </c>
      <c r="AV501" s="204" t="str">
        <f>IF(COUNTIFS($B$68,"&lt;&gt;"&amp;"",$B$68,"&lt;&gt;*op?ional*",$B$68,"&lt;&gt;*Disciplin? facultativ?*"),$B$68,"")</f>
        <v>Securitatea sistemelor industriale</v>
      </c>
      <c r="AW501" s="204">
        <f t="shared" ref="AW501:AW508" si="35">IF($AV501="","",ROUND(RIGHT($B$64,1)/2,0))</f>
        <v>2</v>
      </c>
      <c r="AX501" s="204" t="str">
        <f t="shared" ref="AX501:AX508" si="36">IF($AV501="","",RIGHT($B$22,1))</f>
        <v>1</v>
      </c>
      <c r="AY501" s="204" t="str">
        <f>IF($AV501="","",$F$70)</f>
        <v>E</v>
      </c>
      <c r="AZ501" s="204" t="str">
        <f t="shared" ref="AZ501:AZ507" si="37">IF($AV501="","","DI")</f>
        <v>DI</v>
      </c>
      <c r="BA501" s="204">
        <f>IF(COUNTIFS($B$68,"&lt;&gt;"&amp;"",$B$68,"&lt;&gt;practic?*",$B$68,"&lt;&gt;*Elaborare proiect de diplom?*",$B$68,"&lt;&gt;*op?ional*",$B$68,"&lt;&gt;*Disciplin? facultativ?*", $B$68,"&lt;&gt;*Examen de diplom?*"),ROUND($G$70/14,1),"")</f>
        <v>2</v>
      </c>
      <c r="BB501" s="204">
        <f>IF(COUNTIFS($B$68,"&lt;&gt;"&amp;"",$B$68,"&lt;&gt;practic?*",$B$68,"&lt;&gt;*Elaborare proiect de diplom?*",$B$68,"&lt;&gt;*op?ional*",$B$68,"&lt;&gt;*Disciplin? facultativ?*", $B$68,"&lt;&gt;*Examen de diplom?*"),ROUND(($H$70+$I$70+$J$70)/14,1),"")</f>
        <v>2</v>
      </c>
      <c r="BC501" s="204">
        <f>IF(COUNTIFS($B$68,"&lt;&gt;"&amp;"",$B$68,"&lt;&gt;practic?*",$B$68,"&lt;&gt;*Elaborare proiect de diplom?*",$B$68,"&lt;&gt;*op?ional*",$B$68,"&lt;&gt;*Disciplin? facultativ?*", $B$68,"&lt;&gt;*Examen de diplom?*"),ROUND(($G$70+$H$70+$I$70+$J$70)/14,1),"")</f>
        <v>4</v>
      </c>
      <c r="BD501" s="206">
        <f>IF(COUNTIFS($B$68,"&lt;&gt;"&amp;"",$B$68,"&lt;&gt;practic?*",$B$68,"&lt;&gt;*Elaborare proiect de diplom?*",$B$68,"&lt;&gt;*op?ional*",$B$68,"&lt;&gt;*Disciplin? facultativ?*", $B$68,"&lt;&gt;*Examen de diplom?*"),$G$70,"")</f>
        <v>28</v>
      </c>
      <c r="BE501" s="204">
        <f>IF(COUNTIFS($B$68,"&lt;&gt;"&amp;"",$B$68,"&lt;&gt;practic?*",$B$68,"&lt;&gt;*Elaborare proiect de diplom?*",$B$68,"&lt;&gt;*op?ional*",$B$68,"&lt;&gt;*Disciplin? facultativ?*", $B$68,"&lt;&gt;*Examen de diplom?*"),($H$70+$I$70+$J$70),"")</f>
        <v>28</v>
      </c>
      <c r="BF501" s="204">
        <f>IF(COUNTIFS($B$68,"&lt;&gt;"&amp;"",$B$68,"&lt;&gt;practic?*",$B$68,"&lt;&gt;*Elaborare proiect de diplom?*",$B$68,"&lt;&gt;*op?ional*",$B$68,"&lt;&gt;*Disciplin? facultativ?*", $B$68,"&lt;&gt;*Examen de diplom?*"),($G$70+$H$70+$I$70+$J$70),"")</f>
        <v>56</v>
      </c>
      <c r="BG501" s="202"/>
      <c r="BH501" s="204" t="str">
        <f>IF(COUNTIF($AV501,"=*Elaborare proiect de diplom?*"),ROUND($J$24/14,1),"")</f>
        <v/>
      </c>
      <c r="BI501" s="206">
        <f t="shared" ref="BI501:BI508" si="38">ROUND(BL501/14,1)</f>
        <v>0</v>
      </c>
      <c r="BJ501" s="202"/>
      <c r="BK501" s="204" t="str">
        <f>IF(COUNTIF($AV501,"=*Elaborare proiect de diplom?*"),$J$24,"")</f>
        <v/>
      </c>
      <c r="BL501" s="206">
        <f>IF(COUNTIFS($B$68,"&lt;&gt;"&amp;"",$B$68,"&lt;&gt;practic?*",$B$68,"&lt;&gt;*Elaborare proiect de diplom?*",$B$68,"&lt;&gt;*op?ional*",$B$68,"&lt;&gt;*Disciplin? facultativ?*", $B$68,"&lt;&gt;*Examen de diplom?*"),$K$70,"")</f>
        <v>0</v>
      </c>
      <c r="BM501" s="206">
        <f t="shared" ref="BM501:BM508" si="39">ROUND(BN501/14,1)</f>
        <v>6.7</v>
      </c>
      <c r="BN501" s="206">
        <f>IF(COUNTIFS($B$68,"&lt;&gt;"&amp;"",$B$68,"&lt;&gt;practic?*",$B$68,"&lt;&gt;*Elaborare proiect de diplom?*",$B$68,"&lt;&gt;*op?ional*",$B$68,"&lt;&gt;*Disciplin? facultativ?*", $B$68,"&lt;&gt;*Examen de diplom?*"),$M$70,"")</f>
        <v>94</v>
      </c>
      <c r="BO501" s="327">
        <f>IF($AV501="","",$E$70)</f>
        <v>6</v>
      </c>
      <c r="BP501" s="214" t="str">
        <f>IF(COUNTIFS($B$22,"&lt;&gt;"&amp;"",$B$22,"&lt;&gt;practic?*",$B$22,"&lt;&gt;*op?ional*",$B$22,"&lt;&gt;*Disciplin? facultativ?*",$B$22,"&lt;&gt;*Examen de diplom?*"),$L$70,"")</f>
        <v>DA</v>
      </c>
      <c r="BQ501" s="206">
        <f t="shared" ref="BQ501:BQ508" si="40">IF($AV501="","",IF($BC501&lt;&gt;"",$BC501,0)+IF($BI501&lt;&gt;"",$BI501,0)+IF($BM501&lt;&gt;"",$BM501,0))</f>
        <v>10.7</v>
      </c>
      <c r="BR501" s="202">
        <f>IF($AV$481="","",IF($BF$481&lt;&gt;"",$BF$481,0)+IF($BL$481&lt;&gt;"",$BL$481,0)+IF($BN$481&lt;&gt;"",$BN$481,0))</f>
        <v>150</v>
      </c>
      <c r="BS501" s="332">
        <f t="shared" ref="BS501:BS508" si="41">IF(SUM(BA501:BB501)&gt;0,1,0)</f>
        <v>1</v>
      </c>
      <c r="BT501" s="208" t="str">
        <f t="shared" si="27"/>
        <v>2024</v>
      </c>
      <c r="BU501" s="197"/>
      <c r="BV501" s="197"/>
      <c r="BW501" s="197"/>
      <c r="BX501" s="202">
        <f>SUM(G70:J70)</f>
        <v>56</v>
      </c>
      <c r="BY501" s="503"/>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M025.23.03.A3-ij</v>
      </c>
      <c r="AU502" s="202">
        <v>3</v>
      </c>
      <c r="AV502" s="204" t="str">
        <f>IF(COUNTIFS($B$71,"&lt;&gt;"&amp;"",$B$71,"&lt;&gt;*op?ional*",$B$71,"&lt;&gt;*Disciplin? facultativ?*"),$B$71,"")</f>
        <v/>
      </c>
      <c r="AW502" s="204" t="str">
        <f t="shared" si="35"/>
        <v/>
      </c>
      <c r="AX502" s="204" t="str">
        <f t="shared" si="36"/>
        <v/>
      </c>
      <c r="AY502" s="204" t="str">
        <f>IF($AV502="","",$F$73)</f>
        <v/>
      </c>
      <c r="AZ502" s="204" t="str">
        <f t="shared" si="37"/>
        <v/>
      </c>
      <c r="BA502" s="204" t="str">
        <f>IF(COUNTIFS($B$71,"&lt;&gt;"&amp;"",$B$71,"&lt;&gt;practic?*",$B$71,"&lt;&gt;*Elaborare proiect de diplom?*",$B$71,"&lt;&gt;*op?ional*",$B$71,"&lt;&gt;*Disciplin? facultativ?*", $B$71,"&lt;&gt;*Examen de diplom?*"),ROUND($G$73/14,1),"")</f>
        <v/>
      </c>
      <c r="BB502" s="204" t="str">
        <f>IF(COUNTIFS($B$71,"&lt;&gt;"&amp;"",$B$71,"&lt;&gt;practic?*",$B$71,"&lt;&gt;*Elaborare proiect de diplom?*",$B$71,"&lt;&gt;*op?ional*",$B$71,"&lt;&gt;*Disciplin? facultativ?*", $B$71,"&lt;&gt;*Examen de diplom?*"),ROUND(($H$73+$I$73+$J$73)/14,1),"")</f>
        <v/>
      </c>
      <c r="BC502" s="204" t="str">
        <f>IF(COUNTIFS($B$71,"&lt;&gt;"&amp;"",$B$71,"&lt;&gt;practic?*",$B$71,"&lt;&gt;*Elaborare proiect de diplom?*",$B$71,"&lt;&gt;*op?ional*",$B$71,"&lt;&gt;*Disciplin? facultativ?*", $B$71,"&lt;&gt;*Examen de diplom?*"),ROUND(($G$73+$H$73+$I$73+$J$73)/14,1),"")</f>
        <v/>
      </c>
      <c r="BD502" s="206" t="str">
        <f>IF(COUNTIFS($B$71,"&lt;&gt;"&amp;"",$B$71,"&lt;&gt;practic?*",$B$71,"&lt;&gt;*Elaborare proiect de diplom?*",$B$71,"&lt;&gt;*op?ional*",$B$71,"&lt;&gt;*Disciplin? facultativ?*", $B$71,"&lt;&gt;*Examen de diplom?*"),$G$73,"")</f>
        <v/>
      </c>
      <c r="BE502" s="204" t="str">
        <f>IF(COUNTIFS($B$71,"&lt;&gt;"&amp;"",$B$71,"&lt;&gt;practic?*",$B$71,"&lt;&gt;*Elaborare proiect de diplom?*",$B$71,"&lt;&gt;*op?ional*",$B$71,"&lt;&gt;*Disciplin? facultativ?*", $B$71,"&lt;&gt;*Examen de diplom?*"),($H$73+$I$73+$J$73),"")</f>
        <v/>
      </c>
      <c r="BF502" s="204" t="str">
        <f>IF(COUNTIFS($B$71,"&lt;&gt;"&amp;"",$B$71,"&lt;&gt;practic?*",$B$71,"&lt;&gt;*Elaborare proiect de diplom?*",$B$71,"&lt;&gt;*op?ional*",$B$71,"&lt;&gt;*Disciplin? facultativ?*", $B$71,"&lt;&gt;*Examen de diplom?*"),($G$73+$H$73+$I$73+$J$73),"")</f>
        <v/>
      </c>
      <c r="BG502" s="202"/>
      <c r="BH502" s="204" t="str">
        <f>IF(COUNTIF($AV502,"=*Elaborare proiect de diplom?*"),ROUND($J$27/14,1),"")</f>
        <v/>
      </c>
      <c r="BI502" s="206" t="e">
        <f t="shared" si="38"/>
        <v>#VALUE!</v>
      </c>
      <c r="BJ502" s="202"/>
      <c r="BK502" s="204" t="str">
        <f>IF(COUNTIF($AV502,"=*Elaborare proiect de diplom?*"),$J$27,"")</f>
        <v/>
      </c>
      <c r="BL502" s="206" t="str">
        <f>IF(COUNTIFS($B$71,"&lt;&gt;"&amp;"",$B$71,"&lt;&gt;practic?*",$B$71,"&lt;&gt;*Elaborare proiect de diplom?*",$B$71,"&lt;&gt;*op?ional*",$B$71,"&lt;&gt;*Disciplin? facultativ?*", $B$71,"&lt;&gt;*Examen de diplom?*"),$K$73,"")</f>
        <v/>
      </c>
      <c r="BM502" s="206" t="e">
        <f t="shared" si="39"/>
        <v>#VALUE!</v>
      </c>
      <c r="BN502" s="206" t="str">
        <f>IF(COUNTIFS($B$71,"&lt;&gt;"&amp;"",$B$71,"&lt;&gt;practic?*",$B$71,"&lt;&gt;*Elaborare proiect de diplom?*",$B$71,"&lt;&gt;*op?ional*",$B$71,"&lt;&gt;*Disciplin? facultativ?*", $B$71,"&lt;&gt;*Examen de diplom?*"),$M$73,"")</f>
        <v/>
      </c>
      <c r="BO502" s="327" t="str">
        <f>IF($AV502="","",$E$73)</f>
        <v/>
      </c>
      <c r="BP502" s="214" t="str">
        <f>IF(COUNTIFS($B$25,"&lt;&gt;"&amp;"",$B$25,"&lt;&gt;practic?*",$B$25,"&lt;&gt;*op?ional*",$B$25,"&lt;&gt;*Disciplin? facultativ?*",$B$25,"&lt;&gt;*Examen de diplom?*"),$L$73,"")</f>
        <v>DA</v>
      </c>
      <c r="BQ502" s="206" t="str">
        <f t="shared" si="40"/>
        <v/>
      </c>
      <c r="BR502" s="202">
        <f>IF($AV$482="","",IF($BF$482&lt;&gt;"",$BF$482,0)+IF($BL$482&lt;&gt;"",$BL$482,0)+IF($BN$482&lt;&gt;"",$BN$482,0))</f>
        <v>125</v>
      </c>
      <c r="BS502" s="332">
        <f t="shared" si="41"/>
        <v>0</v>
      </c>
      <c r="BT502" s="208" t="str">
        <f t="shared" si="27"/>
        <v/>
      </c>
      <c r="BU502" s="197"/>
      <c r="BV502" s="197"/>
      <c r="BW502" s="197"/>
      <c r="BX502" s="202">
        <f>SUM(G73:J73)</f>
        <v>49</v>
      </c>
      <c r="BY502" s="503"/>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M025.23.03.A4-ij</v>
      </c>
      <c r="AU503" s="202">
        <v>4</v>
      </c>
      <c r="AV503" s="204" t="str">
        <f>IF(COUNTIFS($B$74,"&lt;&gt;"&amp;"",$B$74,"&lt;&gt;*op?ional*",$B$74,"&lt;&gt;*Disciplin? facultativ?*"),$B$74,"")</f>
        <v/>
      </c>
      <c r="AW503" s="204" t="str">
        <f t="shared" si="35"/>
        <v/>
      </c>
      <c r="AX503" s="204" t="str">
        <f t="shared" si="36"/>
        <v/>
      </c>
      <c r="AY503" s="204" t="str">
        <f>IF($AV503="","",$F$76)</f>
        <v/>
      </c>
      <c r="AZ503" s="204" t="str">
        <f t="shared" si="37"/>
        <v/>
      </c>
      <c r="BA503" s="204" t="str">
        <f>IF(COUNTIFS($B$74,"&lt;&gt;"&amp;"",$B$74,"&lt;&gt;practic?*",$B$74,"&lt;&gt;*Elaborare proiect de diplom?*",$B$74,"&lt;&gt;*op?ional*",$B$74,"&lt;&gt;*Disciplin? facultativ?*", $B$74,"&lt;&gt;*Examen de diplom?*"),ROUND($G$76/14,1),"")</f>
        <v/>
      </c>
      <c r="BB503" s="204" t="str">
        <f>IF(COUNTIFS($B$74,"&lt;&gt;"&amp;"",$B$74,"&lt;&gt;practic?*",$B$74,"&lt;&gt;*Elaborare proiect de diplom?*",$B$74,"&lt;&gt;*op?ional*",$B$74,"&lt;&gt;*Disciplin? facultativ?*", $B$74,"&lt;&gt;*Examen de diplom?*"),ROUND(($H$76+$I$76+$J$76)/14,1),"")</f>
        <v/>
      </c>
      <c r="BC503" s="204" t="str">
        <f>IF(COUNTIFS($B$74,"&lt;&gt;"&amp;"",$B$74,"&lt;&gt;practic?*",$B$74,"&lt;&gt;*Elaborare proiect de diplom?*",$B$74,"&lt;&gt;*op?ional*",$B$74,"&lt;&gt;*Disciplin? facultativ?*", $B$74,"&lt;&gt;*Examen de diplom?*"),ROUND(($G$76+$H$76+$I$76+$J$76)/14,1),"")</f>
        <v/>
      </c>
      <c r="BD503" s="206" t="str">
        <f>IF(COUNTIFS($B$74,"&lt;&gt;"&amp;"",$B$74,"&lt;&gt;practic?*",$B$74,"&lt;&gt;*Elaborare proiect de diplom?*",$B$74,"&lt;&gt;*op?ional*",$B$74,"&lt;&gt;*Disciplin? facultativ?*", $B$74,"&lt;&gt;*Examen de diplom?*"),$G$76,"")</f>
        <v/>
      </c>
      <c r="BE503" s="204" t="str">
        <f>IF(COUNTIFS($B$74,"&lt;&gt;"&amp;"",$B$74,"&lt;&gt;practic?*",$B$74,"&lt;&gt;*Elaborare proiect de diplom?*",$B$74,"&lt;&gt;*op?ional*",$B$74,"&lt;&gt;*Disciplin? facultativ?*", $B$74,"&lt;&gt;*Examen de diplom?*"),($H$76+$I$76+$J$76),"")</f>
        <v/>
      </c>
      <c r="BF503" s="204" t="str">
        <f>IF(COUNTIFS($B$74,"&lt;&gt;"&amp;"",$B$74,"&lt;&gt;practic?*",$B$74,"&lt;&gt;*Elaborare proiect de diplom?*",$B$74,"&lt;&gt;*op?ional*",$B$74,"&lt;&gt;*Disciplin? facultativ?*", $B$74,"&lt;&gt;*Examen de diplom?*"),($G$76+$H$76+$I$76+$J$76),"")</f>
        <v/>
      </c>
      <c r="BG503" s="202"/>
      <c r="BH503" s="204" t="str">
        <f>IF(COUNTIF($AV503,"=*Elaborare proiect de diplom?*"),ROUND($J$30/14,1),"")</f>
        <v/>
      </c>
      <c r="BI503" s="206" t="e">
        <f t="shared" si="38"/>
        <v>#VALUE!</v>
      </c>
      <c r="BJ503" s="202"/>
      <c r="BK503" s="204" t="str">
        <f>IF(COUNTIF($AV503,"=*Elaborare proiect de diplom?*"),$J$30,"")</f>
        <v/>
      </c>
      <c r="BL503" s="206" t="str">
        <f>IF(COUNTIFS($B$74,"&lt;&gt;"&amp;"",$B$74,"&lt;&gt;practic?*",$B$74,"&lt;&gt;*Elaborare proiect de diplom?*",$B$74,"&lt;&gt;*op?ional*",$B$74,"&lt;&gt;*Disciplin? facultativ?*", $B$74,"&lt;&gt;*Examen de diplom?*"),$K$76,"")</f>
        <v/>
      </c>
      <c r="BM503" s="206" t="e">
        <f t="shared" si="39"/>
        <v>#VALUE!</v>
      </c>
      <c r="BN503" s="206" t="str">
        <f>IF(COUNTIFS($B$74,"&lt;&gt;"&amp;"",$B$74,"&lt;&gt;practic?*",$B$74,"&lt;&gt;*Elaborare proiect de diplom?*",$B$74,"&lt;&gt;*op?ional*",$B$74,"&lt;&gt;*Disciplin? facultativ?*", $B$74,"&lt;&gt;*Examen de diplom?*"),$M$76,"")</f>
        <v/>
      </c>
      <c r="BO503" s="327" t="str">
        <f>IF($AV503="","",$E$76)</f>
        <v/>
      </c>
      <c r="BP503" s="214" t="str">
        <f>IF(COUNTIFS($B$28,"&lt;&gt;"&amp;"",$B$28,"&lt;&gt;practic?*",$B$28,"&lt;&gt;*op?ional*",$B$28,"&lt;&gt;*Disciplin? facultativ?*",$B$28,"&lt;&gt;*Examen de diplom?*"),$L$76,"")</f>
        <v>DA</v>
      </c>
      <c r="BQ503" s="206" t="str">
        <f t="shared" si="40"/>
        <v/>
      </c>
      <c r="BR503" s="202">
        <f>IF($AV$483="","",IF($BF$483&lt;&gt;"",$BF$483,0)+IF($BL$483&lt;&gt;"",$BL$483,0)+IF($BN$483&lt;&gt;"",$BN$483,0))</f>
        <v>150</v>
      </c>
      <c r="BS503" s="332">
        <f t="shared" si="41"/>
        <v>0</v>
      </c>
      <c r="BT503" s="208" t="str">
        <f t="shared" si="27"/>
        <v/>
      </c>
      <c r="BU503" s="197"/>
      <c r="BV503" s="197"/>
      <c r="BW503" s="197"/>
      <c r="BX503" s="202">
        <f>SUM(G76:J76)</f>
        <v>49</v>
      </c>
      <c r="BY503" s="503"/>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M025.23.03.V5</v>
      </c>
      <c r="AU504" s="202">
        <v>5</v>
      </c>
      <c r="AV504" s="204" t="str">
        <f>IF(COUNTIFS($B$77,"&lt;&gt;"&amp;"",$B$77,"&lt;&gt;*op?ional*",$B$77,"&lt;&gt;*Disciplin? facultativ?*"),$B$77,"")</f>
        <v>Practică profesională 3</v>
      </c>
      <c r="AW504" s="204">
        <f t="shared" si="35"/>
        <v>2</v>
      </c>
      <c r="AX504" s="204" t="str">
        <f t="shared" si="36"/>
        <v>1</v>
      </c>
      <c r="AY504" s="204" t="str">
        <f>IF($AV504="","",$F$79)</f>
        <v>D</v>
      </c>
      <c r="AZ504" s="204" t="str">
        <f t="shared" si="37"/>
        <v>DI</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f>IF($AV504="","",$E$79)</f>
        <v>8</v>
      </c>
      <c r="BP504" s="214" t="str">
        <f>IF(COUNTIFS($B$31,"&lt;&gt;"&amp;"",$B$31,"&lt;&gt;practic?*",$B$31,"&lt;&gt;*op?ional*",$B$31,"&lt;&gt;*Disciplin? facultativ?*",$B$31,"&lt;&gt;*Examen de diplom?*"),$L$79,"")</f>
        <v>DCAV</v>
      </c>
      <c r="BQ504" s="206" t="e">
        <f t="shared" si="40"/>
        <v>#VALUE!</v>
      </c>
      <c r="BR504" s="202">
        <f>IF($AV$484="","",IF($BF$484&lt;&gt;"",$BF$484,0)+IF($BL$484&lt;&gt;"",$BL$484,0)+IF($BN$484&lt;&gt;"",$BN$484,0))</f>
        <v>0</v>
      </c>
      <c r="BS504" s="332">
        <f t="shared" si="41"/>
        <v>0</v>
      </c>
      <c r="BT504" s="208" t="str">
        <f t="shared" si="27"/>
        <v>2024</v>
      </c>
      <c r="BU504" s="197"/>
      <c r="BV504" s="197"/>
      <c r="BW504" s="197"/>
      <c r="BX504" s="202">
        <f>SUM(G79:J79)</f>
        <v>0</v>
      </c>
      <c r="BY504" s="503"/>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503"/>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503"/>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503"/>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503"/>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96" t="s">
        <v>191</v>
      </c>
      <c r="AU509" s="499"/>
      <c r="AV509" s="499"/>
      <c r="AW509" s="499"/>
      <c r="AX509" s="499"/>
      <c r="AY509" s="499"/>
      <c r="AZ509" s="499"/>
      <c r="BA509" s="499"/>
      <c r="BB509" s="499"/>
      <c r="BC509" s="499"/>
      <c r="BD509" s="499"/>
      <c r="BE509" s="499"/>
      <c r="BF509" s="499"/>
      <c r="BG509" s="499"/>
      <c r="BH509" s="499"/>
      <c r="BI509" s="499"/>
      <c r="BJ509" s="499"/>
      <c r="BK509" s="499"/>
      <c r="BL509" s="499"/>
      <c r="BM509" s="499"/>
      <c r="BN509" s="499"/>
      <c r="BO509" s="499"/>
      <c r="BP509" s="499"/>
      <c r="BQ509" s="499"/>
      <c r="BR509" s="500"/>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M025.23.04.V1</v>
      </c>
      <c r="AU510" s="204">
        <v>1</v>
      </c>
      <c r="AV510" s="204" t="str">
        <f>IF(COUNTIFS($N$65,"&lt;&gt;"&amp;"",$N$65,"&lt;&gt;*op?ional*",$N$65,"&lt;&gt;*Disciplin? facultativ?*"),$N$65,"")</f>
        <v xml:space="preserve"> Practică pentru elaborarea disertației                                                                             </v>
      </c>
      <c r="AW510" s="204">
        <f>IF($AV510="","",ROUND(RIGHT($N$64,1)/2,0))</f>
        <v>2</v>
      </c>
      <c r="AX510" s="204" t="str">
        <f>IF($AV510="","",RIGHT($N$64,1))</f>
        <v>4</v>
      </c>
      <c r="AY510" s="204" t="str">
        <f>IF($AV510="","",$R$67)</f>
        <v>D</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f>ROUND(BL510/14,1)</f>
        <v>12</v>
      </c>
      <c r="BJ510" s="204"/>
      <c r="BK510" s="204" t="str">
        <f>IF(COUNTIF($AV510,"=*Elaborare proiect de diplom?*"),$V$21,"")</f>
        <v/>
      </c>
      <c r="BL510" s="206">
        <f>IF(COUNTIFS($B$65,"&lt;&gt;"&amp;"",$B$65,"&lt;&gt;practic?*",$B$65,"&lt;&gt;*Elaborare proiect de diplom?*",$B$65,"&lt;&gt;*op?ional*",$B$65,"&lt;&gt;*Disciplin? facultativ?*", $B$65,"&lt;&gt;*Examen de diplom?*"),$W$67,"")</f>
        <v>168</v>
      </c>
      <c r="BM510" s="206">
        <f>ROUND(BN510/14,1)</f>
        <v>14.8</v>
      </c>
      <c r="BN510" s="206">
        <f>IF(COUNTIFS($B$65,"&lt;&gt;"&amp;"",$B$65,"&lt;&gt;practic?*",$B$65,"&lt;&gt;*Elaborare proiect de diplom?*",$B$65,"&lt;&gt;*op?ional*",$B$65,"&lt;&gt;*Disciplin? facultativ?*", $B$65,"&lt;&gt;*Examen de diplom?*"),$Y$67,"")</f>
        <v>207</v>
      </c>
      <c r="BO510" s="204">
        <f>IF($AV510="","",$Q$67)</f>
        <v>15</v>
      </c>
      <c r="BP510" s="206" t="str">
        <f>IF(COUNTIFS($B$65,"&lt;&gt;"&amp;"",$B$65,"&lt;&gt;practic?*",$B$65,"&lt;&gt;*op?ional*",$B$65,"&lt;&gt;*Disciplin? facultativ?*",$B$65,"&lt;&gt;*Examen de diplom?*"),$X$67,"")</f>
        <v>DCAV</v>
      </c>
      <c r="BQ510" s="206">
        <f>IF($AV510="","",IF($BC510&lt;&gt;"",$BC510,0)+IF($BI510&lt;&gt;"",$BI510,0)+IF($BM510&lt;&gt;"",$BM510,0))</f>
        <v>26.8</v>
      </c>
      <c r="BR510" s="204">
        <f>IF($AV$480="","",IF($NF$480&lt;&gt;"",$NF$480,0)+IF($NL$480&lt;&gt;"",$NL$480,0)+IF($NN$480&lt;&gt;"",$NN$480,0))</f>
        <v>0</v>
      </c>
      <c r="BS510" s="332">
        <f>IF(SUM(BA510:BB510)&gt;0,1,0)</f>
        <v>0</v>
      </c>
      <c r="BT510" s="208" t="str">
        <f t="shared" si="27"/>
        <v>2024</v>
      </c>
      <c r="BU510" s="197"/>
      <c r="BV510" s="197"/>
      <c r="BW510" s="197"/>
      <c r="BX510" s="202">
        <f>SUM(S67:V67)</f>
        <v>0</v>
      </c>
      <c r="BY510" s="503">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M025.23.04.V2</v>
      </c>
      <c r="AU511" s="202">
        <v>2</v>
      </c>
      <c r="AV511" s="204" t="str">
        <f>IF(COUNTIFS($N$68,"&lt;&gt;"&amp;"",$N$68,"&lt;&gt;*op?ional*",$N$68,"&lt;&gt;*Disciplin? facultativ?*"),$N$68,"")</f>
        <v>Elaborarea lucrării de disertație</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f t="shared" ref="BI511:BI518" si="45">ROUND(BL511/14,1)</f>
        <v>14</v>
      </c>
      <c r="BJ511" s="202"/>
      <c r="BK511" s="204" t="str">
        <f>IF(COUNTIF($AV511,"=*Elaborare proiect de diplom?*"),$V$24,"")</f>
        <v/>
      </c>
      <c r="BL511" s="206">
        <f>IF(COUNTIFS($B$68,"&lt;&gt;"&amp;"",$B$68,"&lt;&gt;practic?*",$B$68,"&lt;&gt;*Elaborare proiect de diplom?*",$B$68,"&lt;&gt;*op?ional*",$B$68,"&lt;&gt;*Disciplin? facultativ?*", $B$68,"&lt;&gt;*Examen de diplom?*"),$W$70,"")</f>
        <v>196</v>
      </c>
      <c r="BM511" s="206">
        <f t="shared" ref="BM511:BM518" si="46">ROUND(BN511/14,1)</f>
        <v>12.8</v>
      </c>
      <c r="BN511" s="206">
        <f>IF(COUNTIFS($B$68,"&lt;&gt;"&amp;"",$B$68,"&lt;&gt;practic?*",$B$68,"&lt;&gt;*Elaborare proiect de diplom?*",$B$68,"&lt;&gt;*op?ional*",$B$68,"&lt;&gt;*Disciplin? facultativ?*", $B$68,"&lt;&gt;*Examen de diplom?*"),$Y$70,"")</f>
        <v>179</v>
      </c>
      <c r="BO511" s="327">
        <f>IF($AV511="","",$Q$70)</f>
        <v>15</v>
      </c>
      <c r="BP511" s="214" t="str">
        <f>IF(COUNTIFS($B$22,"&lt;&gt;"&amp;"",$B$22,"&lt;&gt;practic?*",$B$22,"&lt;&gt;*op?ional*",$B$22,"&lt;&gt;*Disciplin? facultativ?*",$B$22,"&lt;&gt;*Examen de diplom?*"),$X$70,"")</f>
        <v>DCAV</v>
      </c>
      <c r="BQ511" s="206">
        <f t="shared" ref="BQ511:BQ518" si="47">IF($AV511="","",IF($BC511&lt;&gt;"",$BC511,0)+IF($BI511&lt;&gt;"",$BI511,0)+IF($BM511&lt;&gt;"",$BM511,0))</f>
        <v>26.8</v>
      </c>
      <c r="BR511" s="202">
        <f>IF($AV$481="","",IF($NF$481&lt;&gt;"",$NF$481,0)+IF($NL$481&lt;&gt;"",$NL$481,0)+IF($NN$481&lt;&gt;"",$NN$481,0))</f>
        <v>0</v>
      </c>
      <c r="BS511" s="332">
        <f t="shared" ref="BS511:BS518" si="48">IF(SUM(BA511:BB511)&gt;0,1,0)</f>
        <v>0</v>
      </c>
      <c r="BT511" s="208" t="str">
        <f t="shared" si="27"/>
        <v>2024</v>
      </c>
      <c r="BU511" s="197"/>
      <c r="BV511" s="197"/>
      <c r="BW511" s="197"/>
      <c r="BX511" s="202">
        <f>SUM(S70:V70)</f>
        <v>0</v>
      </c>
      <c r="BY511" s="503"/>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M025.23.04.S3</v>
      </c>
      <c r="AU512" s="202">
        <v>3</v>
      </c>
      <c r="AV512" s="204" t="str">
        <f>IF(COUNTIFS($N$71,"&lt;&gt;"&amp;"",$N$71,"&lt;&gt;*op?ional*",$N$71,"&lt;&gt;*Disciplin? facultativ?*"),$N$71,"")</f>
        <v>Examen de disertație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t="e">
        <f t="shared" si="45"/>
        <v>#VALUE!</v>
      </c>
      <c r="BJ512" s="202"/>
      <c r="BK512" s="204" t="str">
        <f>IF(COUNTIF($AV512,"=*Elaborare proiect de diplom?*"),$V$27,"")</f>
        <v/>
      </c>
      <c r="BL512" s="206" t="str">
        <f>IF(COUNTIFS($B$71,"&lt;&gt;"&amp;"",$B$71,"&lt;&gt;practic?*",$B$71,"&lt;&gt;*Elaborare proiect de diplom?*",$B$71,"&lt;&gt;*op?ional*",$B$71,"&lt;&gt;*Disciplin? facultativ?*", $B$71,"&lt;&gt;*Examen de diplom?*"),$W$73,"")</f>
        <v/>
      </c>
      <c r="BM512" s="206" t="e">
        <f t="shared" si="46"/>
        <v>#VALUE!</v>
      </c>
      <c r="BN512" s="206" t="str">
        <f>IF(COUNTIFS($B$71,"&lt;&gt;"&amp;"",$B$71,"&lt;&gt;practic?*",$B$71,"&lt;&gt;*Elaborare proiect de diplom?*",$B$71,"&lt;&gt;*op?ional*",$B$71,"&lt;&gt;*Disciplin? facultativ?*", $B$71,"&lt;&gt;*Examen de diplom?*"),$Y$73,"")</f>
        <v/>
      </c>
      <c r="BO512" s="327">
        <f>IF($AV512="","",$Q$73)</f>
        <v>10</v>
      </c>
      <c r="BP512" s="214" t="str">
        <f>IF(COUNTIFS($B$67,"&lt;&gt;"&amp;"",$B$67,"&lt;&gt;practic?*",$B$67,"&lt;&gt;*op?ional*",$B$67,"&lt;&gt;*Disciplin? facultativ?*",$B$67,"&lt;&gt;*Examen de diplom?*"),$X$73,"")</f>
        <v>DS</v>
      </c>
      <c r="BQ512" s="206" t="e">
        <f t="shared" si="47"/>
        <v>#VALUE!</v>
      </c>
      <c r="BR512" s="202">
        <f>IF($AV$482="","",IF($NF$482&lt;&gt;"",$NF$482,0)+IF($NL$482&lt;&gt;"",$NL$482,0)+IF($NN$482&lt;&gt;"",$NN$482,0))</f>
        <v>0</v>
      </c>
      <c r="BS512" s="332">
        <f t="shared" si="48"/>
        <v>0</v>
      </c>
      <c r="BT512" s="208" t="str">
        <f t="shared" si="27"/>
        <v>2024</v>
      </c>
      <c r="BU512" s="197"/>
      <c r="BV512" s="197"/>
      <c r="BW512" s="197"/>
      <c r="BX512" s="202">
        <f>SUM(S73:V73)</f>
        <v>0</v>
      </c>
      <c r="BY512" s="503"/>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t="e">
        <f t="shared" si="45"/>
        <v>#VALUE!</v>
      </c>
      <c r="BJ513" s="202"/>
      <c r="BK513" s="204" t="str">
        <f>IF(COUNTIF($AV513,"=*Elaborare proiect de diplom?*"),$V$30,"")</f>
        <v/>
      </c>
      <c r="BL513" s="206" t="str">
        <f>IF(COUNTIFS($B$74,"&lt;&gt;"&amp;"",$B$74,"&lt;&gt;practic?*",$B$74,"&lt;&gt;*Elaborare proiect de diplom?*",$B$74,"&lt;&gt;*op?ional*",$B$74,"&lt;&gt;*Disciplin? facultativ?*", $B$74,"&lt;&gt;*Examen de diplom?*"),$W$76,"")</f>
        <v/>
      </c>
      <c r="BM513" s="206" t="e">
        <f t="shared" si="46"/>
        <v>#VALUE!</v>
      </c>
      <c r="BN513" s="206" t="str">
        <f>IF(COUNTIFS($B$74,"&lt;&gt;"&amp;"",$B$74,"&lt;&gt;practic?*",$B$74,"&lt;&gt;*Elaborare proiect de diplom?*",$B$74,"&lt;&gt;*op?ional*",$B$74,"&lt;&gt;*Disciplin? facultativ?*", $B$74,"&lt;&gt;*Examen de diplom?*"),$Y$76,"")</f>
        <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503"/>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f>IF($AV$484="","",IF($NF$484&lt;&gt;"",$NF$484,0)+IF($NL$484&lt;&gt;"",$NL$484,0)+IF($NN$484&lt;&gt;"",$NN$484,0))</f>
        <v>0</v>
      </c>
      <c r="BS514" s="332">
        <f t="shared" si="48"/>
        <v>0</v>
      </c>
      <c r="BT514" s="208" t="str">
        <f t="shared" si="27"/>
        <v/>
      </c>
      <c r="BU514" s="197"/>
      <c r="BV514" s="197"/>
      <c r="BW514" s="197"/>
      <c r="BX514" s="202">
        <f>SUM(S79:V79)</f>
        <v>0</v>
      </c>
      <c r="BY514" s="503"/>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503"/>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503"/>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503"/>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503"/>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96" t="s">
        <v>192</v>
      </c>
      <c r="AU520" s="499"/>
      <c r="AV520" s="499"/>
      <c r="AW520" s="499"/>
      <c r="AX520" s="499"/>
      <c r="AY520" s="499"/>
      <c r="AZ520" s="499"/>
      <c r="BA520" s="499"/>
      <c r="BB520" s="499"/>
      <c r="BC520" s="499"/>
      <c r="BD520" s="499"/>
      <c r="BE520" s="499"/>
      <c r="BF520" s="499"/>
      <c r="BG520" s="499"/>
      <c r="BH520" s="499"/>
      <c r="BI520" s="499"/>
      <c r="BJ520" s="499"/>
      <c r="BK520" s="499"/>
      <c r="BL520" s="499"/>
      <c r="BM520" s="499"/>
      <c r="BN520" s="499"/>
      <c r="BO520" s="499"/>
      <c r="BP520" s="499"/>
      <c r="BQ520" s="499"/>
      <c r="BR520" s="500"/>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96" t="s">
        <v>163</v>
      </c>
      <c r="AU521" s="497"/>
      <c r="AV521" s="497"/>
      <c r="AW521" s="497"/>
      <c r="AX521" s="497"/>
      <c r="AY521" s="497"/>
      <c r="AZ521" s="497"/>
      <c r="BA521" s="497"/>
      <c r="BB521" s="497"/>
      <c r="BC521" s="497"/>
      <c r="BD521" s="497"/>
      <c r="BE521" s="497"/>
      <c r="BF521" s="497"/>
      <c r="BG521" s="497"/>
      <c r="BH521" s="497"/>
      <c r="BI521" s="497"/>
      <c r="BJ521" s="497"/>
      <c r="BK521" s="497"/>
      <c r="BL521" s="497"/>
      <c r="BM521" s="497"/>
      <c r="BN521" s="497"/>
      <c r="BO521" s="497"/>
      <c r="BP521" s="497"/>
      <c r="BQ521" s="497"/>
      <c r="BR521" s="498"/>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
      </c>
      <c r="AU523" s="204">
        <v>1</v>
      </c>
      <c r="AV523" s="204" t="str">
        <f>IF(COUNTIFS($B$113,"&lt;&gt;"&amp;""),$B$113,"")</f>
        <v/>
      </c>
      <c r="AW523" s="204" t="str">
        <f t="shared" ref="AW523:AW532" si="50">IF($AV523="","",ROUND(RIGHT($B$112,1)/2,0))</f>
        <v/>
      </c>
      <c r="AX523" s="204" t="str">
        <f t="shared" ref="AX523:AX532" si="51">IF($AV523="","",RIGHT($B$112,1))</f>
        <v/>
      </c>
      <c r="AY523" s="204" t="str">
        <f>IF($AV523="","",$F$115)</f>
        <v/>
      </c>
      <c r="AZ523" s="204" t="str">
        <f>IF($AV523="","","DO")</f>
        <v/>
      </c>
      <c r="BA523" s="204" t="str">
        <f>IF(COUNTIFS($B$113,"&lt;&gt;"&amp;""),ROUND($G$115/14,1),"")</f>
        <v/>
      </c>
      <c r="BB523" s="204" t="str">
        <f>IF(COUNTIFS($B$113,"&lt;&gt;"&amp;""),ROUND(($H$115+$I$115+$J$115)/14,1),"")</f>
        <v/>
      </c>
      <c r="BC523" s="204" t="str">
        <f>IF(COUNTIFS($B$113,"&lt;&gt;"&amp;""),ROUND(($G$115+$H$115+$I$115+$J$115)/14,1),"")</f>
        <v/>
      </c>
      <c r="BD523" s="204" t="str">
        <f>IF(COUNTIFS($B$113,"&lt;&gt;"&amp;""),ROUND($G$115,1),"")</f>
        <v/>
      </c>
      <c r="BE523" s="204" t="str">
        <f>IF(COUNTIFS($B$113,"&lt;&gt;"&amp;""),ROUND(($H$115+$I$115+$J$115),1),"")</f>
        <v/>
      </c>
      <c r="BF523" s="204" t="str">
        <f>IF(COUNTIFS($B$113,"&lt;&gt;"&amp;""),ROUND(($G$115+$H$115+$I$115+$J$115),1),"")</f>
        <v/>
      </c>
      <c r="BG523" s="204"/>
      <c r="BH523" s="204"/>
      <c r="BI523" s="204"/>
      <c r="BJ523" s="204"/>
      <c r="BK523" s="204"/>
      <c r="BL523" s="204"/>
      <c r="BM523" s="204" t="str">
        <f>IF(COUNTIFS($B$113,"&lt;&gt;"&amp;""),IF($L$115&lt;&gt;"",ROUND($L$115/14,1),""),"")</f>
        <v/>
      </c>
      <c r="BN523" s="204" t="str">
        <f>IF(COUNTIFS($B$113,"&lt;&gt;"&amp;""),IF($L$115&lt;&gt;"",ROUND($L$115,1),""),"")</f>
        <v/>
      </c>
      <c r="BO523" s="204" t="str">
        <f>IF($AV523="","",$E$115)</f>
        <v/>
      </c>
      <c r="BP523" s="206" t="str">
        <f>IF(COUNTIFS($B$113,"&lt;&gt;"&amp;""),$K$115,"")</f>
        <v/>
      </c>
      <c r="BQ523" s="206" t="str">
        <f>IF($AV523="","",IF($BC523&lt;&gt;"",$BC523,0)+IF($BI523&lt;&gt;"",$BI523,0)+IF($BM523&lt;&gt;"",$BM523,0))</f>
        <v/>
      </c>
      <c r="BR523" s="204" t="str">
        <f>IF($AV523="","",IF($BF523&lt;&gt;"",$BF523,0)+IF($BL523&lt;&gt;"",$BL523,0)+IF($BN523&lt;&gt;"",$BN523,0))</f>
        <v/>
      </c>
      <c r="BT523" s="208" t="str">
        <f t="shared" si="49"/>
        <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
      </c>
      <c r="AU524" s="202">
        <v>2</v>
      </c>
      <c r="AV524" s="204" t="str">
        <f>IF(COUNTIFS($B$116,"&lt;&gt;"&amp;""),$B$116,"")</f>
        <v/>
      </c>
      <c r="AW524" s="204" t="str">
        <f t="shared" si="50"/>
        <v/>
      </c>
      <c r="AX524" s="204" t="str">
        <f t="shared" si="51"/>
        <v/>
      </c>
      <c r="AY524" s="204" t="str">
        <f>IF($AV524="","",$F$118)</f>
        <v/>
      </c>
      <c r="AZ524" s="204" t="str">
        <f t="shared" ref="AZ524:AZ532" si="52">IF($AV524="","","DO")</f>
        <v/>
      </c>
      <c r="BA524" s="204" t="str">
        <f>IF(COUNTIFS($B$116,"&lt;&gt;"&amp;""),ROUND($G$118/14,1),"")</f>
        <v/>
      </c>
      <c r="BB524" s="204" t="str">
        <f>IF(COUNTIFS($B$116,"&lt;&gt;"&amp;""),ROUND(($H$118+$I$118+$J$118)/14,1),"")</f>
        <v/>
      </c>
      <c r="BC524" s="204" t="str">
        <f>IF(COUNTIFS($B$116,"&lt;&gt;"&amp;""),ROUND(($G$118+$H$118+$I$118+$J$118)/14,1),"")</f>
        <v/>
      </c>
      <c r="BD524" s="204" t="str">
        <f>IF(COUNTIFS($B$116,"&lt;&gt;"&amp;""),ROUND($G$118,1),"")</f>
        <v/>
      </c>
      <c r="BE524" s="204" t="str">
        <f>IF(COUNTIFS($B$116,"&lt;&gt;"&amp;""),ROUND(($H$118+$I$118+$J$118),1),"")</f>
        <v/>
      </c>
      <c r="BF524" s="204" t="str">
        <f>IF(COUNTIFS($B$116,"&lt;&gt;"&amp;""),ROUND(($G$118+$H$118+$I$118+$J$118),1),"")</f>
        <v/>
      </c>
      <c r="BG524" s="202"/>
      <c r="BH524" s="204"/>
      <c r="BI524" s="204"/>
      <c r="BJ524" s="202"/>
      <c r="BK524" s="204"/>
      <c r="BL524" s="204"/>
      <c r="BM524" s="204" t="str">
        <f>IF(COUNTIFS($B$116,"&lt;&gt;"&amp;""),IF($L$118&lt;&gt;"",ROUND($L$118/14,1),""),"")</f>
        <v/>
      </c>
      <c r="BN524" s="204" t="str">
        <f>IF(COUNTIFS($B$116,"&lt;&gt;"&amp;""),IF($L$118&lt;&gt;"",ROUND($L$118,1),""),"")</f>
        <v/>
      </c>
      <c r="BO524" s="204" t="str">
        <f>IF($AV524="","",$E$118)</f>
        <v/>
      </c>
      <c r="BP524" s="206" t="str">
        <f>IF(COUNTIFS($B$116,"&lt;&gt;"&amp;""),$K$118,"")</f>
        <v/>
      </c>
      <c r="BQ524" s="206" t="str">
        <f t="shared" ref="BQ524:BQ532" si="53">IF($AV524="","",IF($BC524&lt;&gt;"",$BC524,0)+IF($BI524&lt;&gt;"",$BI524,0)+IF($BM524&lt;&gt;"",$BM524,0))</f>
        <v/>
      </c>
      <c r="BR524" s="204" t="str">
        <f t="shared" ref="BR524:BR532" si="54">IF($AV524="","",IF($BF524&lt;&gt;"",$BF524,0)+IF($BL524&lt;&gt;"",$BL524,0)+IF($BN524&lt;&gt;"",$BN524,0))</f>
        <v/>
      </c>
      <c r="BT524" s="208" t="str">
        <f t="shared" si="49"/>
        <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
      </c>
      <c r="AU525" s="202">
        <v>3</v>
      </c>
      <c r="AV525" s="204" t="str">
        <f>IF(COUNTIFS($B$119,"&lt;&gt;"&amp;""),$B$119,"")</f>
        <v/>
      </c>
      <c r="AW525" s="204" t="str">
        <f t="shared" si="50"/>
        <v/>
      </c>
      <c r="AX525" s="204" t="str">
        <f t="shared" si="51"/>
        <v/>
      </c>
      <c r="AY525" s="204" t="str">
        <f>IF($AV525="","",$F$121)</f>
        <v/>
      </c>
      <c r="AZ525" s="204" t="str">
        <f t="shared" si="52"/>
        <v/>
      </c>
      <c r="BA525" s="204" t="str">
        <f>IF(COUNTIFS($B$119,"&lt;&gt;"&amp;""),ROUND($G$121/14,1),"")</f>
        <v/>
      </c>
      <c r="BB525" s="204" t="str">
        <f>IF(COUNTIFS($B$119,"&lt;&gt;"&amp;""),ROUND(($H$121+$I$121+$J$121)/14,1),"")</f>
        <v/>
      </c>
      <c r="BC525" s="204" t="str">
        <f>IF(COUNTIFS($B$119,"&lt;&gt;"&amp;""),ROUND(($G$121+$H$121+$I$121+$J$121)/14,1),"")</f>
        <v/>
      </c>
      <c r="BD525" s="204" t="str">
        <f>IF(COUNTIFS($B$119,"&lt;&gt;"&amp;""),ROUND($G$121,1),"")</f>
        <v/>
      </c>
      <c r="BE525" s="204" t="str">
        <f>IF(COUNTIFS($B$119,"&lt;&gt;"&amp;""),ROUND(($H$121+$I$121+$J$121),1),"")</f>
        <v/>
      </c>
      <c r="BF525" s="204" t="str">
        <f>IF(COUNTIFS($B$119,"&lt;&gt;"&amp;""),ROUND(($G$121+$H$121+$I$121+$J$121),1),"")</f>
        <v/>
      </c>
      <c r="BG525" s="202"/>
      <c r="BH525" s="204"/>
      <c r="BI525" s="204"/>
      <c r="BJ525" s="202"/>
      <c r="BK525" s="204"/>
      <c r="BL525" s="204"/>
      <c r="BM525" s="204" t="str">
        <f>IF(COUNTIFS($B$119,"&lt;&gt;"&amp;""),IF($L$121&lt;&gt;"",ROUND($L$121/14,1),""),"")</f>
        <v/>
      </c>
      <c r="BN525" s="204" t="str">
        <f>IF(COUNTIFS($B$119,"&lt;&gt;"&amp;""),IF($L$121&lt;&gt;"",ROUND($L$121,1),""),"")</f>
        <v/>
      </c>
      <c r="BO525" s="204" t="str">
        <f>IF($AV525="","",$E$121)</f>
        <v/>
      </c>
      <c r="BP525" s="206" t="str">
        <f>IF(COUNTIFS($B$119,"&lt;&gt;"&amp;""),$K$121,"")</f>
        <v/>
      </c>
      <c r="BQ525" s="206" t="str">
        <f t="shared" si="53"/>
        <v/>
      </c>
      <c r="BR525" s="204" t="str">
        <f t="shared" si="54"/>
        <v/>
      </c>
      <c r="BT525" s="208" t="str">
        <f t="shared" si="49"/>
        <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
      </c>
      <c r="AU526" s="202">
        <v>4</v>
      </c>
      <c r="AV526" s="204" t="str">
        <f>IF(COUNTIFS($B$122,"&lt;&gt;"&amp;""),$B$122,"")</f>
        <v/>
      </c>
      <c r="AW526" s="204" t="str">
        <f t="shared" si="50"/>
        <v/>
      </c>
      <c r="AX526" s="204" t="str">
        <f t="shared" si="51"/>
        <v/>
      </c>
      <c r="AY526" s="204" t="str">
        <f>IF($AV526="","",$F$124)</f>
        <v/>
      </c>
      <c r="AZ526" s="204" t="str">
        <f t="shared" si="52"/>
        <v/>
      </c>
      <c r="BA526" s="204" t="str">
        <f>IF(COUNTIFS($B$122,"&lt;&gt;"&amp;""),ROUND($G$124/14,1),"")</f>
        <v/>
      </c>
      <c r="BB526" s="204" t="str">
        <f>IF(COUNTIFS($B$122,"&lt;&gt;"&amp;""),ROUND(($H$124+$I$124+$J$124)/14,1),"")</f>
        <v/>
      </c>
      <c r="BC526" s="204" t="str">
        <f>IF(COUNTIFS($B$122,"&lt;&gt;"&amp;""),ROUND(($G$124+$H$124+$I$124+$J$124)/14,1),"")</f>
        <v/>
      </c>
      <c r="BD526" s="204" t="str">
        <f>IF(COUNTIFS($B$122,"&lt;&gt;"&amp;""),ROUND($G$124,1),"")</f>
        <v/>
      </c>
      <c r="BE526" s="204" t="str">
        <f>IF(COUNTIFS($B$122,"&lt;&gt;"&amp;""),ROUND(($H$124+$I$124+$J$124),1),"")</f>
        <v/>
      </c>
      <c r="BF526" s="204" t="str">
        <f>IF(COUNTIFS($B$122,"&lt;&gt;"&amp;""),ROUND(($G$124+$H$124+$I$124+$J$124),1),"")</f>
        <v/>
      </c>
      <c r="BG526" s="202"/>
      <c r="BH526" s="204"/>
      <c r="BI526" s="204"/>
      <c r="BJ526" s="202"/>
      <c r="BK526" s="204"/>
      <c r="BL526" s="204"/>
      <c r="BM526" s="204" t="str">
        <f>IF(COUNTIFS($B$122,"&lt;&gt;"&amp;""),IF($L$124&lt;&gt;"",ROUND($L$124/14,1),""),"")</f>
        <v/>
      </c>
      <c r="BN526" s="204" t="str">
        <f>IF(COUNTIFS($B$122,"&lt;&gt;"&amp;""),IF($L$124&lt;&gt;"",ROUND($L$124,1),""),"")</f>
        <v/>
      </c>
      <c r="BO526" s="204" t="str">
        <f>IF($AV526="","",$E$124)</f>
        <v/>
      </c>
      <c r="BP526" s="206" t="str">
        <f>IF(COUNTIFS($B$122,"&lt;&gt;"&amp;""),$K$124,"")</f>
        <v/>
      </c>
      <c r="BQ526" s="206" t="str">
        <f t="shared" si="53"/>
        <v/>
      </c>
      <c r="BR526" s="204" t="str">
        <f t="shared" si="54"/>
        <v/>
      </c>
      <c r="BT526" s="208" t="str">
        <f t="shared" si="49"/>
        <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96" t="s">
        <v>189</v>
      </c>
      <c r="AU533" s="497"/>
      <c r="AV533" s="497"/>
      <c r="AW533" s="497"/>
      <c r="AX533" s="497"/>
      <c r="AY533" s="497"/>
      <c r="AZ533" s="497"/>
      <c r="BA533" s="497"/>
      <c r="BB533" s="497"/>
      <c r="BC533" s="497"/>
      <c r="BD533" s="497"/>
      <c r="BE533" s="497"/>
      <c r="BF533" s="497"/>
      <c r="BG533" s="497"/>
      <c r="BH533" s="497"/>
      <c r="BI533" s="497"/>
      <c r="BJ533" s="497"/>
      <c r="BK533" s="497"/>
      <c r="BL533" s="497"/>
      <c r="BM533" s="497"/>
      <c r="BN533" s="497"/>
      <c r="BO533" s="497"/>
      <c r="BP533" s="497"/>
      <c r="BQ533" s="497"/>
      <c r="BR533" s="498"/>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M025.23.02.S3-01</v>
      </c>
      <c r="AU534" s="204">
        <v>1</v>
      </c>
      <c r="AV534" s="204" t="str">
        <f>IF(COUNTIFS($N$113,"&lt;&gt;"&amp;""),$N$113,"")</f>
        <v>Disciplină opțională independentă 1
Standarde și metodologii pentru evaluarea securității</v>
      </c>
      <c r="AW534" s="204">
        <f t="shared" ref="AW534:AW543" si="55">IF($AV534="","",ROUND(RIGHT($N$112,1)/2,0))</f>
        <v>1</v>
      </c>
      <c r="AX534" s="204" t="str">
        <f t="shared" ref="AX534:AX543" si="56">IF($AV534="","",RIGHT($N$112,1))</f>
        <v>2</v>
      </c>
      <c r="AY534" s="204">
        <f>IF($AV534="","",$Q$184)</f>
        <v>0</v>
      </c>
      <c r="AZ534" s="204" t="str">
        <f>IF($AV534="","","DO")</f>
        <v>DO</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f>IF($AV534="","",$P$184)</f>
        <v>0</v>
      </c>
      <c r="BP534" s="206" t="str">
        <f>IF(COUNTIFS($M$181,"&lt;&gt;"&amp;""),$V$184,"")</f>
        <v/>
      </c>
      <c r="BQ534" s="206">
        <f>IF($AV534="","",IF($BC534&lt;&gt;"",$BC534,0)+IF($BI534&lt;&gt;"",$BI534,0)+IF($BM534&lt;&gt;"",$BM534,0))</f>
        <v>0</v>
      </c>
      <c r="BR534" s="204">
        <f>IF($AV534="","",IF($BF534&lt;&gt;"",$BF534,0)+IF($BL534&lt;&gt;"",$BL534,0)+IF($BN534&lt;&gt;"",$BN534,0))</f>
        <v>0</v>
      </c>
      <c r="BT534" s="208" t="str">
        <f t="shared" si="49"/>
        <v>2023</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M025.23.02.S3-02</v>
      </c>
      <c r="AU535" s="202">
        <v>2</v>
      </c>
      <c r="AV535" s="204" t="str">
        <f>IF(COUNTIFS($N$116,"&lt;&gt;"&amp;""),$N$116,"")</f>
        <v>Disciplină opțională independentă 1
Baze de date avansate</v>
      </c>
      <c r="AW535" s="204">
        <f t="shared" si="55"/>
        <v>1</v>
      </c>
      <c r="AX535" s="204" t="str">
        <f t="shared" si="56"/>
        <v>2</v>
      </c>
      <c r="AY535" s="204">
        <f>IF($AV535="","",$Q$187)</f>
        <v>8</v>
      </c>
      <c r="AZ535" s="204" t="str">
        <f t="shared" ref="AZ535:AZ543" si="57">IF($AV535="","","DO")</f>
        <v>DO</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f>IF($AV535="","",$P$187)</f>
        <v>0</v>
      </c>
      <c r="BP535" s="206" t="str">
        <f>IF(COUNTIFS($M$185,"&lt;&gt;"&amp;""),$V$187,"")</f>
        <v/>
      </c>
      <c r="BQ535" s="206">
        <f t="shared" ref="BQ535:BQ543" si="58">IF($AV535="","",IF($BC535&lt;&gt;"",$BC535,0)+IF($BI535&lt;&gt;"",$BI535,0)+IF($BM535&lt;&gt;"",$BM535,0))</f>
        <v>0</v>
      </c>
      <c r="BR535" s="204">
        <f t="shared" ref="BR535:BR543" si="59">IF($AV535="","",IF($BF535&lt;&gt;"",$BF535,0)+IF($BL535&lt;&gt;"",$BL535,0)+IF($BN535&lt;&gt;"",$BN535,0))</f>
        <v>0</v>
      </c>
      <c r="BT535" s="208" t="str">
        <f t="shared" si="49"/>
        <v>2023</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M025.23.02.S3-03</v>
      </c>
      <c r="AU536" s="202">
        <v>3</v>
      </c>
      <c r="AV536" s="204" t="str">
        <f>IF(COUNTIFS($N$119,"&lt;&gt;"&amp;""),$N$119,"")</f>
        <v>Disciplină opțională independentă 1
Sisteme bazate pe cunostințe</v>
      </c>
      <c r="AW536" s="204">
        <f t="shared" si="55"/>
        <v>1</v>
      </c>
      <c r="AX536" s="204" t="str">
        <f t="shared" si="56"/>
        <v>2</v>
      </c>
      <c r="AY536" s="204">
        <f>IF($AV536="","",$Q$190)</f>
        <v>0</v>
      </c>
      <c r="AZ536" s="204" t="str">
        <f t="shared" si="57"/>
        <v>DO</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CF={DA, DCAV, DS, DC}</v>
      </c>
      <c r="BP536" s="206" t="str">
        <f>IF(COUNTIFS($M$188,"&lt;&gt;"&amp;""),$V$190,"")</f>
        <v/>
      </c>
      <c r="BQ536" s="206">
        <f t="shared" si="58"/>
        <v>0</v>
      </c>
      <c r="BR536" s="204">
        <f t="shared" si="59"/>
        <v>0</v>
      </c>
      <c r="BT536" s="208" t="str">
        <f t="shared" si="49"/>
        <v>2023</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M025.23.02.S3-04</v>
      </c>
      <c r="AU537" s="202">
        <v>4</v>
      </c>
      <c r="AV537" s="204" t="str">
        <f>IF(COUNTIFS($N$122,"&lt;&gt;"&amp;""),$N$122,"")</f>
        <v>Disciplină opțională independentă 2
Securitatea informației în sisteme financiar-bancare</v>
      </c>
      <c r="AW537" s="204">
        <f t="shared" si="55"/>
        <v>1</v>
      </c>
      <c r="AX537" s="204" t="str">
        <f t="shared" si="56"/>
        <v>2</v>
      </c>
      <c r="AY537" s="204" t="str">
        <f>IF($AV537="","",$Q$193)</f>
        <v>DS- disciplina de sinteza</v>
      </c>
      <c r="AZ537" s="204" t="str">
        <f t="shared" si="57"/>
        <v>DO</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f>IF($AV537="","",$P$193)</f>
        <v>0</v>
      </c>
      <c r="BP537" s="206" t="str">
        <f>IF(COUNTIFS($M$191,"&lt;&gt;"&amp;""),$V$193,"")</f>
        <v/>
      </c>
      <c r="BQ537" s="206">
        <f t="shared" si="58"/>
        <v>0</v>
      </c>
      <c r="BR537" s="204">
        <f t="shared" si="59"/>
        <v>0</v>
      </c>
      <c r="BT537" s="208" t="str">
        <f t="shared" si="49"/>
        <v>2023</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M025.23.02.S3-05</v>
      </c>
      <c r="AU538" s="202">
        <v>5</v>
      </c>
      <c r="AV538" s="204" t="str">
        <f>IF(COUNTIFS($N$125,"&lt;&gt;"&amp;""),$N$125,"")</f>
        <v>Disciplină opțională independentă 2
Rețele neuronale, sisteme fuzzy și algoritmi genetici</v>
      </c>
      <c r="AW538" s="204">
        <f t="shared" si="55"/>
        <v>1</v>
      </c>
      <c r="AX538" s="204" t="str">
        <f t="shared" si="56"/>
        <v>2</v>
      </c>
      <c r="AY538" s="204">
        <f>IF($AV538="","",$Q$196)</f>
        <v>0</v>
      </c>
      <c r="AZ538" s="204" t="str">
        <f t="shared" si="57"/>
        <v>DO</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f>IF($AV538="","",$P$196)</f>
        <v>0</v>
      </c>
      <c r="BP538" s="206" t="str">
        <f>IF(COUNTIFS($M$194,"&lt;&gt;"&amp;""),$V$196,"")</f>
        <v/>
      </c>
      <c r="BQ538" s="206">
        <f t="shared" si="58"/>
        <v>0</v>
      </c>
      <c r="BR538" s="204">
        <f t="shared" si="59"/>
        <v>0</v>
      </c>
      <c r="BT538" s="208" t="str">
        <f t="shared" si="49"/>
        <v>2023</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96" t="s">
        <v>190</v>
      </c>
      <c r="AU544" s="497"/>
      <c r="AV544" s="497"/>
      <c r="AW544" s="497"/>
      <c r="AX544" s="497"/>
      <c r="AY544" s="497"/>
      <c r="AZ544" s="497"/>
      <c r="BA544" s="497"/>
      <c r="BB544" s="497"/>
      <c r="BC544" s="497"/>
      <c r="BD544" s="497"/>
      <c r="BE544" s="497"/>
      <c r="BF544" s="497"/>
      <c r="BG544" s="497"/>
      <c r="BH544" s="497"/>
      <c r="BI544" s="497"/>
      <c r="BJ544" s="497"/>
      <c r="BK544" s="497"/>
      <c r="BL544" s="497"/>
      <c r="BM544" s="497"/>
      <c r="BN544" s="497"/>
      <c r="BO544" s="497"/>
      <c r="BP544" s="497"/>
      <c r="BQ544" s="497"/>
      <c r="BR544" s="498"/>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M025.23.03.A3-01</v>
      </c>
      <c r="AU545" s="204">
        <v>1</v>
      </c>
      <c r="AV545" s="204" t="str">
        <f>IF(COUNTIFS($B$151,"&lt;&gt;"&amp;""),$B$151,"")</f>
        <v>Disciplină opțională independentă 3
Tratarea incidentelor de securitate și măsuri de prevenție</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1.5</v>
      </c>
      <c r="BC545" s="204">
        <f>IF(COUNTIFS($B$151,"&lt;&gt;"&amp;""),ROUND(($G$153+$H$153+$I$153+$J$153)/14,1),"")</f>
        <v>3.5</v>
      </c>
      <c r="BD545" s="204">
        <f>IF(COUNTIFS($B$151,"&lt;&gt;"&amp;""),ROUND($G$153,1),"")</f>
        <v>28</v>
      </c>
      <c r="BE545" s="204">
        <f>IF(COUNTIFS($B$151,"&lt;&gt;"&amp;""),ROUND(($H$153+$I$153+$J$153),1),"")</f>
        <v>21</v>
      </c>
      <c r="BF545" s="204">
        <f>IF(COUNTIFS($B$151,"&lt;&gt;"&amp;""),ROUND(($G$153+$H$153+$I$153+$J$153),1),"")</f>
        <v>49</v>
      </c>
      <c r="BG545" s="204"/>
      <c r="BH545" s="204"/>
      <c r="BI545" s="204"/>
      <c r="BJ545" s="204"/>
      <c r="BK545" s="204"/>
      <c r="BL545" s="204"/>
      <c r="BM545" s="204" t="e">
        <f>IF(COUNTIFS($B$151,"&lt;&gt;"&amp;""),IF($L$153&lt;&gt;"",ROUND($L$153/14,1),""),"")</f>
        <v>#VALUE!</v>
      </c>
      <c r="BN545" s="204" t="e">
        <f>IF(COUNTIFS($B$151,"&lt;&gt;"&amp;""),IF($L$153&lt;&gt;"",ROUND($L$153,1),""),"")</f>
        <v>#VALUE!</v>
      </c>
      <c r="BO545" s="204">
        <f>IF($AV545="","",$E$153)</f>
        <v>5</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M025.23.03.A3-02</v>
      </c>
      <c r="AU546" s="204">
        <v>2</v>
      </c>
      <c r="AV546" s="204" t="str">
        <f>IF(COUNTIFS($B$154,"&lt;&gt;"&amp;""),$B$154,"")</f>
        <v>Disciplină opțională independentă 3
Sisteme haotice</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1.5</v>
      </c>
      <c r="BC546" s="204">
        <f>IF(COUNTIFS($B$154,"&lt;&gt;"&amp;""),ROUND(($G$156+$H$156+$I$156+$J$156)/14,1),"")</f>
        <v>3.5</v>
      </c>
      <c r="BD546" s="204">
        <f>IF(COUNTIFS($B$154,"&lt;&gt;"&amp;""),ROUND($G$156,1),"")</f>
        <v>28</v>
      </c>
      <c r="BE546" s="204">
        <f>IF(COUNTIFS($B$154,"&lt;&gt;"&amp;""),ROUND(($H$156+$I$156+$J$156),1),"")</f>
        <v>21</v>
      </c>
      <c r="BF546" s="204">
        <f>IF(COUNTIFS($B$154,"&lt;&gt;"&amp;""),ROUND(($G$156+$H$156+$I$156+$J$156),1),"")</f>
        <v>49</v>
      </c>
      <c r="BG546" s="204"/>
      <c r="BH546" s="204"/>
      <c r="BI546" s="204"/>
      <c r="BJ546" s="204"/>
      <c r="BK546" s="204"/>
      <c r="BL546" s="204"/>
      <c r="BM546" s="204" t="e">
        <f>IF(COUNTIFS($B$154,"&lt;&gt;"&amp;""),IF($L$156&lt;&gt;"",ROUND($L$156/14,1),""),"")</f>
        <v>#VALUE!</v>
      </c>
      <c r="BN546" s="204" t="e">
        <f>IF(COUNTIFS($B$154,"&lt;&gt;"&amp;""),IF($L$156&lt;&gt;"",ROUND($L$156,1),""),"")</f>
        <v>#VALUE!</v>
      </c>
      <c r="BO546" s="204">
        <f>IF($AV546="","",$E$156)</f>
        <v>5</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M025.23.03.A3-03</v>
      </c>
      <c r="AU547" s="204">
        <v>3</v>
      </c>
      <c r="AV547" s="204" t="str">
        <f>IF(COUNTIFS($B$157,"&lt;&gt;"&amp;""),$B$157,"")</f>
        <v>Disciplină opțională independentă 3
Managementul proiectelor</v>
      </c>
      <c r="AW547" s="204">
        <f t="shared" si="60"/>
        <v>2</v>
      </c>
      <c r="AX547" s="204" t="str">
        <f t="shared" si="61"/>
        <v>3</v>
      </c>
      <c r="AY547" s="204" t="str">
        <f>IF($AV547="","",$F$159)</f>
        <v>E</v>
      </c>
      <c r="AZ547" s="204" t="str">
        <f t="shared" si="62"/>
        <v>DO</v>
      </c>
      <c r="BA547" s="204">
        <f>IF(COUNTIFS($B$157,"&lt;&gt;"&amp;""),ROUND($G$159/14,1),"")</f>
        <v>2</v>
      </c>
      <c r="BB547" s="204">
        <f>IF(COUNTIFS($B$157,"&lt;&gt;"&amp;""),ROUND(($H$159+$I$159+$J$159)/14,1),"")</f>
        <v>1.5</v>
      </c>
      <c r="BC547" s="204">
        <f>IF(COUNTIFS($B$157,"&lt;&gt;"&amp;""),ROUND(($G$159+$H$159+$I$159+$J$159)/14,1),"")</f>
        <v>3.5</v>
      </c>
      <c r="BD547" s="204">
        <f>IF(COUNTIFS($B$157,"&lt;&gt;"&amp;""),ROUND($G$159,1),"")</f>
        <v>28</v>
      </c>
      <c r="BE547" s="204">
        <f>IF(COUNTIFS($B$157,"&lt;&gt;"&amp;""),ROUND(($H$159+$I$159+$J$159),1),"")</f>
        <v>21</v>
      </c>
      <c r="BF547" s="204">
        <f>IF(COUNTIFS($B$157,"&lt;&gt;"&amp;""),ROUND(($G$159+$H$159+$I$159+$J$159),1),"")</f>
        <v>49</v>
      </c>
      <c r="BG547" s="204"/>
      <c r="BH547" s="204"/>
      <c r="BI547" s="204"/>
      <c r="BJ547" s="204"/>
      <c r="BK547" s="204"/>
      <c r="BL547" s="204"/>
      <c r="BM547" s="204" t="e">
        <f>IF(COUNTIFS($B$157,"&lt;&gt;"&amp;""),IF($L$159&lt;&gt;"",ROUND($L$159/14,1),""),"")</f>
        <v>#VALUE!</v>
      </c>
      <c r="BN547" s="204" t="e">
        <f>IF(COUNTIFS($B$157,"&lt;&gt;"&amp;""),IF($L$159&lt;&gt;"",ROUND($L$159,1),""),"")</f>
        <v>#VALUE!</v>
      </c>
      <c r="BO547" s="204">
        <f>IF($AV547="","",$E$159)</f>
        <v>5</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M025.23.03.A3-04</v>
      </c>
      <c r="AU548" s="204">
        <v>4</v>
      </c>
      <c r="AV548" s="204" t="str">
        <f>IF(COUNTIFS($B$160,"&lt;&gt;"&amp;""),$B$160,"")</f>
        <v>Disciplină opțională independentă 3
Tehnologii Java</v>
      </c>
      <c r="AW548" s="204">
        <f t="shared" si="60"/>
        <v>2</v>
      </c>
      <c r="AX548" s="204" t="str">
        <f t="shared" si="61"/>
        <v>3</v>
      </c>
      <c r="AY548" s="204" t="str">
        <f>IF($AV548="","",$F$162)</f>
        <v>E</v>
      </c>
      <c r="AZ548" s="204" t="str">
        <f t="shared" si="62"/>
        <v>DO</v>
      </c>
      <c r="BA548" s="204">
        <f>IF(COUNTIFS($B$160,"&lt;&gt;"&amp;""),ROUND($G$162/14,1),"")</f>
        <v>2</v>
      </c>
      <c r="BB548" s="204">
        <f>IF(COUNTIFS($B$160,"&lt;&gt;"&amp;""),ROUND(($H$162+$I$162+$J$162)/14,1),"")</f>
        <v>1.5</v>
      </c>
      <c r="BC548" s="204">
        <f>IF(COUNTIFS($B$160,"&lt;&gt;"&amp;""),ROUND(($G$162+$H$162+$I$162+$J$162)/14,1),"")</f>
        <v>3.5</v>
      </c>
      <c r="BD548" s="204">
        <f>IF(COUNTIFS($B$160,"&lt;&gt;"&amp;""),ROUND($G$162,1),"")</f>
        <v>28</v>
      </c>
      <c r="BE548" s="204">
        <f>IF(COUNTIFS($B$160,"&lt;&gt;"&amp;""),ROUND(($H$162+$I$162+$J$162),1),"")</f>
        <v>21</v>
      </c>
      <c r="BF548" s="204">
        <f>IF(COUNTIFS($B$160,"&lt;&gt;"&amp;""),ROUND(($G$162+$H$162+$I$162+$J$162),1),"")</f>
        <v>49</v>
      </c>
      <c r="BG548" s="204"/>
      <c r="BH548" s="204"/>
      <c r="BI548" s="204"/>
      <c r="BJ548" s="204"/>
      <c r="BK548" s="204"/>
      <c r="BL548" s="204"/>
      <c r="BM548" s="204" t="e">
        <f>IF(COUNTIFS($B$160,"&lt;&gt;"&amp;""),IF($L$162&lt;&gt;"",ROUND($L$162/14,1),""),"")</f>
        <v>#VALUE!</v>
      </c>
      <c r="BN548" s="204" t="e">
        <f>IF(COUNTIFS($B$160,"&lt;&gt;"&amp;""),IF($L$162&lt;&gt;"",ROUND($L$162,1),""),"")</f>
        <v>#VALUE!</v>
      </c>
      <c r="BO548" s="204">
        <f>IF($AV548="","",$E$162)</f>
        <v>5</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M025.23.03.A3-05</v>
      </c>
      <c r="AU549" s="204">
        <v>5</v>
      </c>
      <c r="AV549" s="204" t="str">
        <f>IF(COUNTIFS($B$163,"&lt;&gt;"&amp;""),$B$163,"")</f>
        <v>Disciplină opțională independentă 4
Comunicații de date intervehiculare</v>
      </c>
      <c r="AW549" s="204">
        <f t="shared" si="60"/>
        <v>2</v>
      </c>
      <c r="AX549" s="204" t="str">
        <f t="shared" si="61"/>
        <v>3</v>
      </c>
      <c r="AY549" s="204" t="str">
        <f>IF($AV549="","",$F$165)</f>
        <v>E</v>
      </c>
      <c r="AZ549" s="204" t="str">
        <f t="shared" si="62"/>
        <v>DO</v>
      </c>
      <c r="BA549" s="204">
        <f>IF(COUNTIFS($B$163,"&lt;&gt;"&amp;""),ROUND($G$165/14,1),"")</f>
        <v>2</v>
      </c>
      <c r="BB549" s="204">
        <f>IF(COUNTIFS($B$163,"&lt;&gt;"&amp;""),ROUND(($H$165+$I$165+$J$165)/14,1),"")</f>
        <v>1.5</v>
      </c>
      <c r="BC549" s="204">
        <f>IF(COUNTIFS($B$163,"&lt;&gt;"&amp;""),ROUND(($G$165+$H$165+$I$165+$J$165)/14,1),"")</f>
        <v>3.5</v>
      </c>
      <c r="BD549" s="204">
        <f>IF(COUNTIFS($B$163,"&lt;&gt;"&amp;""),ROUND($G$165,1),"")</f>
        <v>28</v>
      </c>
      <c r="BE549" s="204">
        <f>IF(COUNTIFS($B$163,"&lt;&gt;"&amp;""),ROUND(($H$165+$I$165+$J$165),1),"")</f>
        <v>21</v>
      </c>
      <c r="BF549" s="204">
        <f>IF(COUNTIFS($B$163,"&lt;&gt;"&amp;""),ROUND(($G$165+$H$165+$I$165+$J$165),1),"")</f>
        <v>49</v>
      </c>
      <c r="BG549" s="204"/>
      <c r="BH549" s="204"/>
      <c r="BI549" s="204"/>
      <c r="BJ549" s="204"/>
      <c r="BK549" s="204"/>
      <c r="BL549" s="204"/>
      <c r="BM549" s="204" t="e">
        <f>IF(COUNTIFS($B$163,"&lt;&gt;"&amp;""),IF($L$165&lt;&gt;"",ROUND($L$165/14,1),""),"")</f>
        <v>#VALUE!</v>
      </c>
      <c r="BN549" s="204" t="e">
        <f>IF(COUNTIFS($B$163,"&lt;&gt;"&amp;""),IF($L$165&lt;&gt;"",ROUND($L$165,1),""),"")</f>
        <v>#VALUE!</v>
      </c>
      <c r="BO549" s="204">
        <f>IF($AV549="","",$E$165)</f>
        <v>5</v>
      </c>
      <c r="BP549" s="206">
        <f>IF(COUNTIFS($B$163,"&lt;&gt;"&amp;""),$K$165,"")</f>
        <v>0</v>
      </c>
      <c r="BQ549" s="206" t="e">
        <f t="shared" si="63"/>
        <v>#VALUE!</v>
      </c>
      <c r="BR549" s="204" t="e">
        <f t="shared" si="64"/>
        <v>#VALUE!</v>
      </c>
      <c r="BT549" s="208" t="str">
        <f t="shared" si="49"/>
        <v>2024</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M025.23.03.A3-06</v>
      </c>
      <c r="AU550" s="204">
        <v>6</v>
      </c>
      <c r="AV550" s="204" t="str">
        <f>IF(COUNTIFS($B$166,"&lt;&gt;"&amp;""),$B$166,"")</f>
        <v>Disciplină opțională independentă 4
Modele bioinformatice</v>
      </c>
      <c r="AW550" s="204">
        <f t="shared" si="60"/>
        <v>2</v>
      </c>
      <c r="AX550" s="204" t="str">
        <f t="shared" si="61"/>
        <v>3</v>
      </c>
      <c r="AY550" s="204" t="str">
        <f>IF($AV550="","",$F$168)</f>
        <v>E</v>
      </c>
      <c r="AZ550" s="204" t="str">
        <f t="shared" si="62"/>
        <v>DO</v>
      </c>
      <c r="BA550" s="204">
        <f>IF(COUNTIFS($B$166,"&lt;&gt;"&amp;""),ROUND($G$168/14,1),"")</f>
        <v>2</v>
      </c>
      <c r="BB550" s="204">
        <f>IF(COUNTIFS($B$166,"&lt;&gt;"&amp;""),ROUND(($H$168+$I$168+$J$168)/14,1),"")</f>
        <v>1.5</v>
      </c>
      <c r="BC550" s="204">
        <f>IF(COUNTIFS($B$166,"&lt;&gt;"&amp;""),ROUND(($G$168+$H$168+$I$168+$J$168)/14,1),"")</f>
        <v>3.5</v>
      </c>
      <c r="BD550" s="204">
        <f>IF(COUNTIFS($B$166,"&lt;&gt;"&amp;""),ROUND($G$168,1),"")</f>
        <v>28</v>
      </c>
      <c r="BE550" s="204">
        <f>IF(COUNTIFS($B$166,"&lt;&gt;"&amp;""),ROUND(($H$168+$I$168+$J$168),1),"")</f>
        <v>21</v>
      </c>
      <c r="BF550" s="204">
        <f>IF(COUNTIFS($B$166,"&lt;&gt;"&amp;""),ROUND(($G$168+$H$168+$I$168+$J$168),1),"")</f>
        <v>49</v>
      </c>
      <c r="BG550" s="204"/>
      <c r="BH550" s="204"/>
      <c r="BI550" s="204"/>
      <c r="BJ550" s="204"/>
      <c r="BK550" s="204"/>
      <c r="BL550" s="204"/>
      <c r="BM550" s="204" t="e">
        <f>IF(COUNTIFS($B$166,"&lt;&gt;"&amp;""),IF($L$168&lt;&gt;"",ROUND($L$168/14,1),""),"")</f>
        <v>#VALUE!</v>
      </c>
      <c r="BN550" s="204" t="e">
        <f>IF(COUNTIFS($B$166,"&lt;&gt;"&amp;""),IF($L$168&lt;&gt;"",ROUND($L$168,1),""),"")</f>
        <v>#VALUE!</v>
      </c>
      <c r="BO550" s="204">
        <f>IF($AV550="","",$E$168)</f>
        <v>5</v>
      </c>
      <c r="BP550" s="206">
        <f>IF(COUNTIFS($B$166,"&lt;&gt;"&amp;""),$K$168,"")</f>
        <v>0</v>
      </c>
      <c r="BQ550" s="206" t="e">
        <f t="shared" si="63"/>
        <v>#VALUE!</v>
      </c>
      <c r="BR550" s="204" t="e">
        <f t="shared" si="64"/>
        <v>#VALUE!</v>
      </c>
      <c r="BT550" s="208" t="str">
        <f t="shared" si="49"/>
        <v>2024</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
      </c>
      <c r="AU551" s="204">
        <v>7</v>
      </c>
      <c r="AV551" s="204" t="str">
        <f>IF(COUNTIFS($B$169,"&lt;&gt;"&amp;""),$B$169,"")</f>
        <v/>
      </c>
      <c r="AW551" s="204" t="str">
        <f t="shared" si="60"/>
        <v/>
      </c>
      <c r="AX551" s="204" t="str">
        <f t="shared" si="61"/>
        <v/>
      </c>
      <c r="AY551" s="204" t="str">
        <f>IF($AV551="","",$F$171)</f>
        <v/>
      </c>
      <c r="AZ551" s="204" t="str">
        <f t="shared" si="62"/>
        <v/>
      </c>
      <c r="BA551" s="204" t="str">
        <f>IF(COUNTIFS($B$169,"&lt;&gt;"&amp;""),ROUND($G$171/14,1),"")</f>
        <v/>
      </c>
      <c r="BB551" s="204" t="str">
        <f>IF(COUNTIFS($B$169,"&lt;&gt;"&amp;""),ROUND(($H$171+$I$171+$J$171)/14,1),"")</f>
        <v/>
      </c>
      <c r="BC551" s="204" t="str">
        <f>IF(COUNTIFS($B$169,"&lt;&gt;"&amp;""),ROUND(($G$171+$H$171+$I$171+$J$171)/14,1),"")</f>
        <v/>
      </c>
      <c r="BD551" s="204" t="str">
        <f>IF(COUNTIFS($B$169,"&lt;&gt;"&amp;""),ROUND($G$171,1),"")</f>
        <v/>
      </c>
      <c r="BE551" s="204" t="str">
        <f>IF(COUNTIFS($B$169,"&lt;&gt;"&amp;""),ROUND(($H$171+$I$171+$J$171),1),"")</f>
        <v/>
      </c>
      <c r="BF551" s="204" t="str">
        <f>IF(COUNTIFS($B$169,"&lt;&gt;"&amp;""),ROUND(($G$171+$H$171+$I$171+$J$171),1),"")</f>
        <v/>
      </c>
      <c r="BG551" s="204"/>
      <c r="BH551" s="204"/>
      <c r="BI551" s="204"/>
      <c r="BJ551" s="204"/>
      <c r="BK551" s="204"/>
      <c r="BL551" s="204"/>
      <c r="BM551" s="204" t="str">
        <f>IF(COUNTIFS($B$169,"&lt;&gt;"&amp;""),IF($L$171&lt;&gt;"",ROUND($L$171/14,1),""),"")</f>
        <v/>
      </c>
      <c r="BN551" s="204" t="str">
        <f>IF(COUNTIFS($B$169,"&lt;&gt;"&amp;""),IF($L$171&lt;&gt;"",ROUND($L$171,1),""),"")</f>
        <v/>
      </c>
      <c r="BO551" s="204" t="str">
        <f>IF($AV551="","",$E$171)</f>
        <v/>
      </c>
      <c r="BP551" s="206" t="str">
        <f>IF(COUNTIFS($B$169,"&lt;&gt;"&amp;""),$K$171,"")</f>
        <v/>
      </c>
      <c r="BQ551" s="206" t="str">
        <f t="shared" si="63"/>
        <v/>
      </c>
      <c r="BR551" s="204" t="str">
        <f t="shared" si="64"/>
        <v/>
      </c>
      <c r="BT551" s="208" t="str">
        <f t="shared" si="49"/>
        <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
      </c>
      <c r="AU552" s="204">
        <v>8</v>
      </c>
      <c r="AV552" s="204" t="str">
        <f>IF(COUNTIFS($B$172,"&lt;&gt;"&amp;""),$B$172,"")</f>
        <v/>
      </c>
      <c r="AW552" s="204" t="str">
        <f t="shared" si="60"/>
        <v/>
      </c>
      <c r="AX552" s="204" t="str">
        <f t="shared" si="61"/>
        <v/>
      </c>
      <c r="AY552" s="204" t="str">
        <f>IF($AV552="","",$F$174)</f>
        <v/>
      </c>
      <c r="AZ552" s="204" t="str">
        <f t="shared" si="62"/>
        <v/>
      </c>
      <c r="BA552" s="204" t="str">
        <f>IF(COUNTIFS($B$172,"&lt;&gt;"&amp;""),ROUND($G$174/14,1),"")</f>
        <v/>
      </c>
      <c r="BB552" s="204" t="str">
        <f>IF(COUNTIFS($B$172,"&lt;&gt;"&amp;""),ROUND(($H$174+$I$174+$J$174)/14,1),"")</f>
        <v/>
      </c>
      <c r="BC552" s="204" t="str">
        <f>IF(COUNTIFS($B$172,"&lt;&gt;"&amp;""),ROUND(($G$174+$H$174+$I$174+$J$174)/14,1),"")</f>
        <v/>
      </c>
      <c r="BD552" s="204" t="str">
        <f>IF(COUNTIFS($B$172,"&lt;&gt;"&amp;""),ROUND($G$174,1),"")</f>
        <v/>
      </c>
      <c r="BE552" s="204" t="str">
        <f>IF(COUNTIFS($B$172,"&lt;&gt;"&amp;""),ROUND(($H$174+$I$174+$J$174),1),"")</f>
        <v/>
      </c>
      <c r="BF552" s="204" t="str">
        <f>IF(COUNTIFS($B$172,"&lt;&gt;"&amp;""),ROUND(($G$174+$H$174+$I$174+$J$174),1),"")</f>
        <v/>
      </c>
      <c r="BG552" s="204"/>
      <c r="BH552" s="204"/>
      <c r="BI552" s="204"/>
      <c r="BJ552" s="204"/>
      <c r="BK552" s="204"/>
      <c r="BL552" s="204"/>
      <c r="BM552" s="204" t="str">
        <f>IF(COUNTIFS($B$172,"&lt;&gt;"&amp;""),IF($L$174&lt;&gt;"",ROUND($L$174/14,1),""),"")</f>
        <v/>
      </c>
      <c r="BN552" s="204" t="str">
        <f>IF(COUNTIFS($B$172,"&lt;&gt;"&amp;""),IF($L$174&lt;&gt;"",ROUND($L$174,1),""),"")</f>
        <v/>
      </c>
      <c r="BO552" s="204" t="str">
        <f>IF($AV552="","",$E$174)</f>
        <v/>
      </c>
      <c r="BP552" s="206" t="str">
        <f>IF(COUNTIFS($B$172,"&lt;&gt;"&amp;""),$K$174,"")</f>
        <v/>
      </c>
      <c r="BQ552" s="206" t="str">
        <f t="shared" si="63"/>
        <v/>
      </c>
      <c r="BR552" s="204" t="str">
        <f t="shared" si="64"/>
        <v/>
      </c>
      <c r="BT552" s="208" t="str">
        <f t="shared" si="49"/>
        <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96" t="s">
        <v>191</v>
      </c>
      <c r="AU555" s="497"/>
      <c r="AV555" s="497"/>
      <c r="AW555" s="497"/>
      <c r="AX555" s="497"/>
      <c r="AY555" s="497"/>
      <c r="AZ555" s="497"/>
      <c r="BA555" s="497"/>
      <c r="BB555" s="497"/>
      <c r="BC555" s="497"/>
      <c r="BD555" s="497"/>
      <c r="BE555" s="497"/>
      <c r="BF555" s="497"/>
      <c r="BG555" s="497"/>
      <c r="BH555" s="497"/>
      <c r="BI555" s="497"/>
      <c r="BJ555" s="497"/>
      <c r="BK555" s="497"/>
      <c r="BL555" s="497"/>
      <c r="BM555" s="497"/>
      <c r="BN555" s="497"/>
      <c r="BO555" s="497"/>
      <c r="BP555" s="497"/>
      <c r="BQ555" s="497"/>
      <c r="BR555" s="498"/>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46:D46"/>
    <mergeCell ref="N46:P46"/>
    <mergeCell ref="A53:A55"/>
    <mergeCell ref="X55:Y55"/>
    <mergeCell ref="G55:K55"/>
    <mergeCell ref="L55:M55"/>
    <mergeCell ref="B55:C55"/>
    <mergeCell ref="N55:O55"/>
    <mergeCell ref="S55:V55"/>
    <mergeCell ref="E54:F54"/>
    <mergeCell ref="E53:F53"/>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D193:L193"/>
    <mergeCell ref="B198:E198"/>
    <mergeCell ref="B200:J200"/>
    <mergeCell ref="D195:F195"/>
    <mergeCell ref="N186:Y186"/>
    <mergeCell ref="A185:L186"/>
    <mergeCell ref="A187:C187"/>
    <mergeCell ref="O195:Y196"/>
    <mergeCell ref="N187:P187"/>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31:A133"/>
    <mergeCell ref="B131:M132"/>
    <mergeCell ref="N131:Y132"/>
    <mergeCell ref="B133:D133"/>
    <mergeCell ref="N133:P133"/>
    <mergeCell ref="A128:A130"/>
    <mergeCell ref="B128:M129"/>
    <mergeCell ref="N128:Y129"/>
    <mergeCell ref="B130:D130"/>
    <mergeCell ref="N130:P130"/>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INGINERIA SISTEMELOR, CALCULATOARE ȘI TEHNOLOGIA INFORMAȚIEI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INGINERIA SISTEMELOR</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SECURITATEA INFORMAȚIILOR ȘI A SISTEMLOR CIBERNETICE</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7" t="s">
        <v>104</v>
      </c>
      <c r="B9" s="508"/>
      <c r="C9" s="508"/>
      <c r="D9" s="508"/>
      <c r="E9" s="508"/>
      <c r="F9" s="508"/>
      <c r="G9" s="508"/>
      <c r="H9" s="508"/>
      <c r="I9" s="508"/>
      <c r="J9" s="508"/>
      <c r="K9" s="508"/>
      <c r="L9" s="508"/>
      <c r="M9" s="508"/>
      <c r="N9" s="508"/>
      <c r="O9" s="508"/>
      <c r="P9" s="508"/>
      <c r="Q9" s="508"/>
      <c r="R9" s="508"/>
      <c r="S9" s="508"/>
      <c r="T9" s="508"/>
      <c r="U9" s="508"/>
      <c r="V9" s="508"/>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09" t="s">
        <v>107</v>
      </c>
      <c r="C16" s="511"/>
      <c r="D16" s="512"/>
      <c r="E16" s="513"/>
    </row>
    <row r="17" spans="1:22" s="248" customFormat="1" ht="24" thickBot="1" x14ac:dyDescent="0.4">
      <c r="B17" s="510"/>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7" t="s">
        <v>113</v>
      </c>
      <c r="B22" s="508"/>
      <c r="C22" s="508"/>
      <c r="D22" s="508"/>
      <c r="E22" s="508"/>
      <c r="F22" s="508"/>
      <c r="G22" s="508"/>
      <c r="H22" s="508"/>
      <c r="I22" s="508"/>
      <c r="J22" s="508"/>
      <c r="K22" s="508"/>
      <c r="L22" s="508"/>
      <c r="M22" s="508"/>
      <c r="N22" s="508"/>
      <c r="O22" s="508"/>
      <c r="P22" s="508"/>
      <c r="Q22" s="508"/>
      <c r="R22" s="508"/>
      <c r="S22" s="508"/>
      <c r="T22" s="508"/>
      <c r="U22" s="508"/>
      <c r="V22" s="508"/>
    </row>
    <row r="23" spans="1:22" s="248" customFormat="1" ht="24" thickBot="1" x14ac:dyDescent="0.4">
      <c r="I23" s="265"/>
    </row>
    <row r="24" spans="1:22" s="248" customFormat="1" ht="23.25" x14ac:dyDescent="0.35">
      <c r="A24" s="514" t="s">
        <v>107</v>
      </c>
      <c r="B24" s="516" t="s">
        <v>114</v>
      </c>
      <c r="C24" s="517"/>
      <c r="D24" s="518" t="s">
        <v>115</v>
      </c>
      <c r="E24" s="519"/>
      <c r="F24" s="519"/>
      <c r="G24" s="519"/>
      <c r="H24" s="520"/>
      <c r="I24" s="266"/>
    </row>
    <row r="25" spans="1:22" s="248" customFormat="1" ht="45" customHeight="1" thickBot="1" x14ac:dyDescent="0.4">
      <c r="A25" s="515"/>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23" t="s">
        <v>212</v>
      </c>
      <c r="B29" s="524"/>
      <c r="C29" s="524"/>
      <c r="D29" s="524"/>
      <c r="E29" s="524"/>
      <c r="F29" s="524"/>
      <c r="G29" s="524"/>
      <c r="H29" s="524"/>
      <c r="I29" s="524"/>
      <c r="J29" s="524"/>
      <c r="K29" s="524"/>
      <c r="L29" s="524"/>
      <c r="M29" s="524"/>
      <c r="N29" s="524"/>
      <c r="O29" s="524"/>
      <c r="P29" s="524"/>
      <c r="Q29" s="524"/>
      <c r="R29" s="524"/>
      <c r="S29" s="524"/>
      <c r="T29" s="524"/>
      <c r="U29" s="524"/>
      <c r="V29" s="524"/>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7" t="s">
        <v>122</v>
      </c>
      <c r="B31" s="521"/>
      <c r="C31" s="521"/>
      <c r="D31" s="521"/>
      <c r="E31" s="521"/>
      <c r="F31" s="521"/>
      <c r="G31" s="521"/>
      <c r="H31" s="521"/>
      <c r="I31" s="521"/>
      <c r="J31" s="521"/>
      <c r="K31" s="521"/>
      <c r="L31" s="521"/>
      <c r="M31" s="521"/>
      <c r="N31" s="521"/>
      <c r="O31" s="521"/>
      <c r="P31" s="521"/>
      <c r="Q31" s="521"/>
      <c r="R31" s="521"/>
      <c r="S31" s="521"/>
      <c r="T31" s="521"/>
      <c r="U31" s="521"/>
      <c r="V31" s="521"/>
    </row>
    <row r="32" spans="1:22" s="248" customFormat="1" ht="23.25" x14ac:dyDescent="0.35">
      <c r="H32" s="275" t="s">
        <v>123</v>
      </c>
    </row>
    <row r="33" spans="1:22" s="248" customFormat="1" ht="23.25" x14ac:dyDescent="0.35">
      <c r="A33" s="248" t="s">
        <v>124</v>
      </c>
      <c r="G33" s="249">
        <f>SUM(G34:G36)</f>
        <v>19</v>
      </c>
      <c r="H33" s="276">
        <v>1</v>
      </c>
      <c r="I33" s="277"/>
    </row>
    <row r="34" spans="1:22" s="248" customFormat="1" ht="23.25" x14ac:dyDescent="0.35">
      <c r="A34" s="248" t="s">
        <v>125</v>
      </c>
      <c r="G34" s="249">
        <f>MASTER!AW423</f>
        <v>13</v>
      </c>
      <c r="H34" s="278">
        <f>G34/G33</f>
        <v>0.68421052631578949</v>
      </c>
      <c r="I34" s="277"/>
      <c r="K34" s="248" t="s">
        <v>126</v>
      </c>
      <c r="P34" s="279"/>
    </row>
    <row r="35" spans="1:22" s="248" customFormat="1" ht="23.25" x14ac:dyDescent="0.35">
      <c r="A35" s="248" t="s">
        <v>127</v>
      </c>
      <c r="G35" s="249">
        <f>MASTER!AX423</f>
        <v>6</v>
      </c>
      <c r="H35" s="278">
        <f>G35/G33</f>
        <v>0.31578947368421051</v>
      </c>
      <c r="I35" s="280"/>
    </row>
    <row r="36" spans="1:22" s="248" customFormat="1" ht="20.25" customHeight="1" x14ac:dyDescent="0.35">
      <c r="A36" s="281" t="s">
        <v>128</v>
      </c>
      <c r="B36" s="274"/>
      <c r="C36" s="274"/>
      <c r="D36" s="274"/>
      <c r="E36" s="274"/>
      <c r="F36" s="274"/>
      <c r="G36" s="249">
        <f>MASTER!AY423</f>
        <v>0</v>
      </c>
      <c r="H36" s="278">
        <f>G36/G33</f>
        <v>0</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7" t="s">
        <v>213</v>
      </c>
      <c r="B40" s="521"/>
      <c r="C40" s="521"/>
      <c r="D40" s="521"/>
      <c r="E40" s="521"/>
      <c r="F40" s="521"/>
      <c r="G40" s="521"/>
      <c r="H40" s="521"/>
      <c r="I40" s="521"/>
      <c r="J40" s="521"/>
      <c r="K40" s="521"/>
      <c r="L40" s="521"/>
      <c r="M40" s="521"/>
      <c r="N40" s="521"/>
      <c r="O40" s="521"/>
      <c r="P40" s="521"/>
      <c r="Q40" s="521"/>
      <c r="R40" s="521"/>
      <c r="S40" s="521"/>
      <c r="T40" s="521"/>
      <c r="U40" s="521"/>
      <c r="V40" s="521"/>
    </row>
    <row r="41" spans="1:22" s="248" customFormat="1" ht="23.25" x14ac:dyDescent="0.35"/>
    <row r="42" spans="1:22" s="248" customFormat="1" ht="23.25" x14ac:dyDescent="0.35">
      <c r="A42" s="525" t="s">
        <v>196</v>
      </c>
      <c r="B42" s="527" t="s">
        <v>197</v>
      </c>
      <c r="C42" s="528"/>
      <c r="D42" s="528"/>
      <c r="E42" s="529"/>
      <c r="F42" s="530" t="s">
        <v>235</v>
      </c>
      <c r="G42" s="283"/>
      <c r="H42" s="283"/>
      <c r="I42" s="283"/>
    </row>
    <row r="43" spans="1:22" s="248" customFormat="1" ht="23.25" x14ac:dyDescent="0.35">
      <c r="A43" s="526"/>
      <c r="B43" s="282" t="s">
        <v>198</v>
      </c>
      <c r="C43" s="282" t="s">
        <v>199</v>
      </c>
      <c r="D43" s="282" t="s">
        <v>200</v>
      </c>
      <c r="E43" s="284" t="s">
        <v>201</v>
      </c>
      <c r="F43" s="531"/>
    </row>
    <row r="44" spans="1:22" s="248" customFormat="1" ht="23.25" x14ac:dyDescent="0.35">
      <c r="A44" s="355" t="s">
        <v>202</v>
      </c>
      <c r="B44" s="285">
        <f>MASTER!E53/14</f>
        <v>15.5</v>
      </c>
      <c r="C44" s="285">
        <f>MASTER!Q53/14</f>
        <v>15.5</v>
      </c>
      <c r="D44" s="285">
        <f>MASTER!E95/14</f>
        <v>15</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26</v>
      </c>
      <c r="D45" s="285">
        <f>MASTER!E96/14</f>
        <v>26</v>
      </c>
      <c r="E45" s="286">
        <f>MASTER!Q96/14</f>
        <v>26</v>
      </c>
      <c r="F45" s="287">
        <f>SUM(B45:E45)*14</f>
        <v>1456</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448</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1.1904761904761905</v>
      </c>
      <c r="I54" s="296"/>
      <c r="K54" s="248" t="s">
        <v>242</v>
      </c>
    </row>
    <row r="55" spans="1:22" s="248" customFormat="1" ht="23.25" x14ac:dyDescent="0.35">
      <c r="G55" s="298"/>
    </row>
    <row r="56" spans="1:22" s="248" customFormat="1" ht="23.25" x14ac:dyDescent="0.35"/>
    <row r="59" spans="1:22" s="248" customFormat="1" ht="23.25" customHeight="1" x14ac:dyDescent="0.35">
      <c r="A59" s="507" t="s">
        <v>130</v>
      </c>
      <c r="B59" s="521"/>
      <c r="C59" s="521"/>
      <c r="D59" s="521"/>
      <c r="E59" s="521"/>
      <c r="F59" s="521"/>
      <c r="G59" s="521"/>
      <c r="H59" s="521"/>
      <c r="I59" s="521"/>
      <c r="J59" s="521"/>
      <c r="K59" s="521"/>
      <c r="L59" s="521"/>
      <c r="M59" s="521"/>
      <c r="N59" s="521"/>
      <c r="O59" s="521"/>
      <c r="P59" s="521"/>
      <c r="Q59" s="521"/>
      <c r="R59" s="521"/>
      <c r="S59" s="521"/>
      <c r="T59" s="521"/>
      <c r="U59" s="521"/>
      <c r="V59" s="521"/>
    </row>
    <row r="60" spans="1:22" s="248" customFormat="1" ht="23.25" x14ac:dyDescent="0.35"/>
    <row r="61" spans="1:22" ht="23.25" x14ac:dyDescent="0.35">
      <c r="A61" s="522" t="s">
        <v>209</v>
      </c>
      <c r="B61" s="522"/>
      <c r="C61" s="522"/>
      <c r="D61" s="522"/>
      <c r="E61" s="522"/>
      <c r="F61" s="522"/>
      <c r="G61" s="522"/>
      <c r="H61" s="522"/>
      <c r="I61" s="522"/>
      <c r="J61" s="522"/>
      <c r="K61" s="522"/>
      <c r="L61" s="522"/>
      <c r="M61" s="522"/>
    </row>
    <row r="62" spans="1:22" ht="23.25" x14ac:dyDescent="0.35">
      <c r="A62" s="522" t="s">
        <v>210</v>
      </c>
      <c r="B62" s="522"/>
      <c r="C62" s="522"/>
      <c r="D62" s="522"/>
      <c r="E62" s="522"/>
      <c r="F62" s="522"/>
      <c r="G62" s="522"/>
      <c r="H62" s="522"/>
      <c r="I62" s="522"/>
      <c r="J62" s="522"/>
      <c r="K62" s="522"/>
      <c r="L62" s="522"/>
      <c r="M62" s="522"/>
    </row>
    <row r="63" spans="1:22" ht="23.25" x14ac:dyDescent="0.35">
      <c r="A63" s="522" t="s">
        <v>211</v>
      </c>
      <c r="B63" s="522"/>
      <c r="C63" s="522"/>
      <c r="D63" s="522"/>
      <c r="E63" s="522"/>
      <c r="F63" s="522"/>
      <c r="G63" s="522"/>
      <c r="H63" s="522"/>
      <c r="I63" s="522"/>
      <c r="J63" s="522"/>
      <c r="K63" s="522"/>
      <c r="L63" s="522"/>
      <c r="M63" s="522"/>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59:V59"/>
    <mergeCell ref="A61:M61"/>
    <mergeCell ref="A62:M62"/>
    <mergeCell ref="A63:M63"/>
    <mergeCell ref="A29:V29"/>
    <mergeCell ref="A31:V31"/>
    <mergeCell ref="A40:V40"/>
    <mergeCell ref="A42:A43"/>
    <mergeCell ref="B42:E42"/>
    <mergeCell ref="F42:F43"/>
    <mergeCell ref="A9:V9"/>
    <mergeCell ref="B16:B17"/>
    <mergeCell ref="C16:E16"/>
    <mergeCell ref="A22:V22"/>
    <mergeCell ref="A24:A25"/>
    <mergeCell ref="B24:C24"/>
    <mergeCell ref="D24:H2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M025.23.01.V1</v>
      </c>
      <c r="B3" s="57">
        <f>MASTER!AU480</f>
        <v>1</v>
      </c>
      <c r="C3" s="57" t="str">
        <f>MASTER!AV480</f>
        <v>Tehnici criptografice moderne</v>
      </c>
      <c r="D3" s="57">
        <f>MASTER!AW480</f>
        <v>1</v>
      </c>
      <c r="E3" s="57" t="str">
        <f>MASTER!AX480</f>
        <v>1</v>
      </c>
      <c r="F3" s="57" t="str">
        <f>MASTER!AY480</f>
        <v>E</v>
      </c>
      <c r="G3" s="57" t="str">
        <f>MASTER!AZ480</f>
        <v>DI</v>
      </c>
      <c r="H3" s="57">
        <f>MASTER!BA480</f>
        <v>2</v>
      </c>
      <c r="I3" s="57">
        <f>MASTER!BB480</f>
        <v>2</v>
      </c>
      <c r="J3" s="57">
        <f>MASTER!BC480</f>
        <v>4</v>
      </c>
      <c r="K3" s="57">
        <f>MASTER!BD480</f>
        <v>28</v>
      </c>
      <c r="L3" s="57">
        <f>MASTER!BE480</f>
        <v>28</v>
      </c>
      <c r="M3" s="57">
        <f>MASTER!BF480</f>
        <v>56</v>
      </c>
      <c r="N3" s="57">
        <f>MASTER!BG480</f>
        <v>0</v>
      </c>
      <c r="O3" s="57" t="str">
        <f>MASTER!BH480</f>
        <v/>
      </c>
      <c r="P3" s="57">
        <f>MASTER!BI480</f>
        <v>0</v>
      </c>
      <c r="Q3" s="57">
        <f>MASTER!BJ480</f>
        <v>0</v>
      </c>
      <c r="R3" s="57" t="str">
        <f>MASTER!BK480</f>
        <v/>
      </c>
      <c r="S3" s="57">
        <f>MASTER!BL480</f>
        <v>0</v>
      </c>
      <c r="T3" s="57">
        <f>MASTER!BM480</f>
        <v>6.7</v>
      </c>
      <c r="U3" s="57">
        <f>MASTER!BN480</f>
        <v>94</v>
      </c>
      <c r="V3" s="57">
        <f>MASTER!BO480</f>
        <v>6</v>
      </c>
      <c r="W3" s="57" t="str">
        <f>MASTER!BP480</f>
        <v>DCAV</v>
      </c>
      <c r="X3" s="57">
        <f>MASTER!BQ480</f>
        <v>10.7</v>
      </c>
      <c r="Y3" s="57">
        <f>MASTER!BR480</f>
        <v>150</v>
      </c>
      <c r="Z3" s="57">
        <f>MASTER!BS480</f>
        <v>1</v>
      </c>
      <c r="AA3" t="str">
        <f>MASTER!H$6</f>
        <v>INGINERIA SISTEMELOR</v>
      </c>
      <c r="AB3">
        <f>MASTER!C$17</f>
        <v>20</v>
      </c>
      <c r="AC3" t="str">
        <f>MASTER!H$7</f>
        <v>SECURITATEA INFORMAȚIILOR ȘI A SISTEMLOR CIBERNETICE</v>
      </c>
      <c r="AD3">
        <f>MASTER!A$17</f>
        <v>20</v>
      </c>
      <c r="AE3">
        <f>MASTER!B$17</f>
        <v>60</v>
      </c>
      <c r="AF3">
        <f>MASTER!D$17</f>
        <v>0</v>
      </c>
      <c r="AG3" t="str">
        <f>MASTER!BT480</f>
        <v>2023</v>
      </c>
    </row>
    <row r="4" spans="1:33" x14ac:dyDescent="0.2">
      <c r="A4" s="57" t="str">
        <f>MASTER!AT481</f>
        <v>M025.23.01.A2</v>
      </c>
      <c r="B4" s="57">
        <f>MASTER!AU481</f>
        <v>2</v>
      </c>
      <c r="C4" s="57" t="str">
        <f>MASTER!AV481</f>
        <v>Securitatea rețelelor de calculatoare</v>
      </c>
      <c r="D4" s="57">
        <f>MASTER!AW481</f>
        <v>1</v>
      </c>
      <c r="E4" s="57" t="str">
        <f>MASTER!AX481</f>
        <v>1</v>
      </c>
      <c r="F4" s="57" t="str">
        <f>MASTER!AY481</f>
        <v>E</v>
      </c>
      <c r="G4" s="57" t="str">
        <f>MASTER!AZ481</f>
        <v>DI</v>
      </c>
      <c r="H4" s="57">
        <f>MASTER!BA481</f>
        <v>2</v>
      </c>
      <c r="I4" s="57">
        <f>MASTER!BB481</f>
        <v>2</v>
      </c>
      <c r="J4" s="57">
        <f>MASTER!BC481</f>
        <v>4</v>
      </c>
      <c r="K4" s="57">
        <f>MASTER!BD481</f>
        <v>28</v>
      </c>
      <c r="L4" s="57">
        <f>MASTER!BE481</f>
        <v>28</v>
      </c>
      <c r="M4" s="57">
        <f>MASTER!BF481</f>
        <v>56</v>
      </c>
      <c r="N4" s="57">
        <f>MASTER!BG481</f>
        <v>0</v>
      </c>
      <c r="O4" s="57" t="str">
        <f>MASTER!BH481</f>
        <v/>
      </c>
      <c r="P4" s="57">
        <f>MASTER!BI481</f>
        <v>0</v>
      </c>
      <c r="Q4" s="57">
        <f>MASTER!BJ481</f>
        <v>0</v>
      </c>
      <c r="R4" s="57" t="str">
        <f>MASTER!BK481</f>
        <v/>
      </c>
      <c r="S4" s="57">
        <f>MASTER!BL481</f>
        <v>0</v>
      </c>
      <c r="T4" s="57">
        <f>MASTER!BM481</f>
        <v>6.7</v>
      </c>
      <c r="U4" s="57">
        <f>MASTER!BN481</f>
        <v>94</v>
      </c>
      <c r="V4" s="57">
        <f>MASTER!BO481</f>
        <v>6</v>
      </c>
      <c r="W4" s="57" t="str">
        <f>MASTER!BP481</f>
        <v>DA</v>
      </c>
      <c r="X4" s="57">
        <f>MASTER!BQ481</f>
        <v>10.7</v>
      </c>
      <c r="Y4" s="57">
        <f>MASTER!BR481</f>
        <v>150</v>
      </c>
      <c r="Z4" s="57">
        <f>MASTER!BS481</f>
        <v>1</v>
      </c>
      <c r="AA4" t="str">
        <f>MASTER!H$6</f>
        <v>INGINERIA SISTEMELOR</v>
      </c>
      <c r="AB4">
        <f>MASTER!C$17</f>
        <v>20</v>
      </c>
      <c r="AC4" t="str">
        <f>MASTER!H$7</f>
        <v>SECURITATEA INFORMAȚIILOR ȘI A SISTEMLOR CIBERNETICE</v>
      </c>
      <c r="AD4">
        <f>MASTER!A$17</f>
        <v>20</v>
      </c>
      <c r="AE4">
        <f>MASTER!B$17</f>
        <v>60</v>
      </c>
      <c r="AF4">
        <f>MASTER!D$17</f>
        <v>0</v>
      </c>
      <c r="AG4" t="str">
        <f>MASTER!BT481</f>
        <v>2023</v>
      </c>
    </row>
    <row r="5" spans="1:33" x14ac:dyDescent="0.2">
      <c r="A5" s="57" t="str">
        <f>MASTER!AT482</f>
        <v>M025.23.01.V3</v>
      </c>
      <c r="B5" s="57">
        <f>MASTER!AU482</f>
        <v>3</v>
      </c>
      <c r="C5" s="57" t="str">
        <f>MASTER!AV482</f>
        <v>Securitatea aplicațiilor mobile</v>
      </c>
      <c r="D5" s="57">
        <f>MASTER!AW482</f>
        <v>1</v>
      </c>
      <c r="E5" s="57" t="str">
        <f>MASTER!AX482</f>
        <v>1</v>
      </c>
      <c r="F5" s="57" t="str">
        <f>MASTER!AY482</f>
        <v>E</v>
      </c>
      <c r="G5" s="57" t="str">
        <f>MASTER!AZ482</f>
        <v>DI</v>
      </c>
      <c r="H5" s="57">
        <f>MASTER!BA482</f>
        <v>2</v>
      </c>
      <c r="I5" s="57">
        <f>MASTER!BB482</f>
        <v>1.5</v>
      </c>
      <c r="J5" s="57">
        <f>MASTER!BC482</f>
        <v>3.5</v>
      </c>
      <c r="K5" s="57">
        <f>MASTER!BD482</f>
        <v>28</v>
      </c>
      <c r="L5" s="57">
        <f>MASTER!BE482</f>
        <v>21</v>
      </c>
      <c r="M5" s="57">
        <f>MASTER!BF482</f>
        <v>49</v>
      </c>
      <c r="N5" s="57">
        <f>MASTER!BG482</f>
        <v>0</v>
      </c>
      <c r="O5" s="57" t="str">
        <f>MASTER!BH482</f>
        <v/>
      </c>
      <c r="P5" s="57">
        <f>MASTER!BI482</f>
        <v>0</v>
      </c>
      <c r="Q5" s="57">
        <f>MASTER!BJ482</f>
        <v>0</v>
      </c>
      <c r="R5" s="57" t="str">
        <f>MASTER!BK482</f>
        <v/>
      </c>
      <c r="S5" s="57">
        <f>MASTER!BL482</f>
        <v>0</v>
      </c>
      <c r="T5" s="57">
        <f>MASTER!BM482</f>
        <v>5.4</v>
      </c>
      <c r="U5" s="57">
        <f>MASTER!BN482</f>
        <v>76</v>
      </c>
      <c r="V5" s="57">
        <f>MASTER!BO482</f>
        <v>5</v>
      </c>
      <c r="W5" s="57" t="str">
        <f>MASTER!BP482</f>
        <v>DCAV</v>
      </c>
      <c r="X5" s="57">
        <f>MASTER!BQ482</f>
        <v>8.9</v>
      </c>
      <c r="Y5" s="57">
        <f>MASTER!BR482</f>
        <v>125</v>
      </c>
      <c r="Z5" s="57">
        <f>MASTER!BS482</f>
        <v>1</v>
      </c>
      <c r="AA5" t="str">
        <f>MASTER!H$6</f>
        <v>INGINERIA SISTEMELOR</v>
      </c>
      <c r="AB5">
        <f>MASTER!C$17</f>
        <v>20</v>
      </c>
      <c r="AC5" t="str">
        <f>MASTER!H$7</f>
        <v>SECURITATEA INFORMAȚIILOR ȘI A SISTEMLOR CIBERNETICE</v>
      </c>
      <c r="AD5">
        <f>MASTER!A$17</f>
        <v>20</v>
      </c>
      <c r="AE5">
        <f>MASTER!B$17</f>
        <v>60</v>
      </c>
      <c r="AF5">
        <f>MASTER!D$17</f>
        <v>0</v>
      </c>
      <c r="AG5" t="str">
        <f>MASTER!BT482</f>
        <v>2023</v>
      </c>
    </row>
    <row r="6" spans="1:33" x14ac:dyDescent="0.2">
      <c r="A6" s="57" t="str">
        <f>MASTER!AT483</f>
        <v>M025.23.01.V4</v>
      </c>
      <c r="B6" s="57">
        <f>MASTER!AU483</f>
        <v>4</v>
      </c>
      <c r="C6" s="57" t="str">
        <f>MASTER!AV483</f>
        <v>Securitatea aplicațiilor web</v>
      </c>
      <c r="D6" s="57">
        <f>MASTER!AW483</f>
        <v>1</v>
      </c>
      <c r="E6" s="57" t="str">
        <f>MASTER!AX483</f>
        <v>1</v>
      </c>
      <c r="F6" s="57" t="str">
        <f>MASTER!AY483</f>
        <v>E</v>
      </c>
      <c r="G6" s="57" t="str">
        <f>MASTER!AZ483</f>
        <v>DI</v>
      </c>
      <c r="H6" s="57">
        <f>MASTER!BA483</f>
        <v>2</v>
      </c>
      <c r="I6" s="57">
        <f>MASTER!BB483</f>
        <v>2</v>
      </c>
      <c r="J6" s="57">
        <f>MASTER!BC483</f>
        <v>4</v>
      </c>
      <c r="K6" s="57">
        <f>MASTER!BD483</f>
        <v>28</v>
      </c>
      <c r="L6" s="57">
        <f>MASTER!BE483</f>
        <v>28</v>
      </c>
      <c r="M6" s="57">
        <f>MASTER!BF483</f>
        <v>56</v>
      </c>
      <c r="N6" s="57">
        <f>MASTER!BG483</f>
        <v>0</v>
      </c>
      <c r="O6" s="57" t="str">
        <f>MASTER!BH483</f>
        <v/>
      </c>
      <c r="P6" s="57">
        <f>MASTER!BI483</f>
        <v>0</v>
      </c>
      <c r="Q6" s="57">
        <f>MASTER!BJ483</f>
        <v>0</v>
      </c>
      <c r="R6" s="57" t="str">
        <f>MASTER!BK483</f>
        <v/>
      </c>
      <c r="S6" s="57">
        <f>MASTER!BL483</f>
        <v>0</v>
      </c>
      <c r="T6" s="57">
        <f>MASTER!BM483</f>
        <v>6.7</v>
      </c>
      <c r="U6" s="57">
        <f>MASTER!BN483</f>
        <v>94</v>
      </c>
      <c r="V6" s="57">
        <f>MASTER!BO483</f>
        <v>6</v>
      </c>
      <c r="W6" s="57" t="str">
        <f>MASTER!BP483</f>
        <v>DCAV</v>
      </c>
      <c r="X6" s="57">
        <f>MASTER!BQ483</f>
        <v>10.7</v>
      </c>
      <c r="Y6" s="57">
        <f>MASTER!BR483</f>
        <v>150</v>
      </c>
      <c r="Z6" s="57">
        <f>MASTER!BS483</f>
        <v>1</v>
      </c>
      <c r="AA6" t="str">
        <f>MASTER!H$6</f>
        <v>INGINERIA SISTEMELOR</v>
      </c>
      <c r="AB6">
        <f>MASTER!C$17</f>
        <v>20</v>
      </c>
      <c r="AC6" t="str">
        <f>MASTER!H$7</f>
        <v>SECURITATEA INFORMAȚIILOR ȘI A SISTEMLOR CIBERNETICE</v>
      </c>
      <c r="AD6">
        <f>MASTER!A$17</f>
        <v>20</v>
      </c>
      <c r="AE6">
        <f>MASTER!B$17</f>
        <v>60</v>
      </c>
      <c r="AF6">
        <f>MASTER!D$17</f>
        <v>0</v>
      </c>
      <c r="AG6" t="str">
        <f>MASTER!BT483</f>
        <v>2023</v>
      </c>
    </row>
    <row r="7" spans="1:33" x14ac:dyDescent="0.2">
      <c r="A7" s="57" t="str">
        <f>MASTER!AT484</f>
        <v>M025.23.01.V5</v>
      </c>
      <c r="B7" s="57">
        <f>MASTER!AU484</f>
        <v>5</v>
      </c>
      <c r="C7" s="57" t="str">
        <f>MASTER!AV484</f>
        <v>Practică profesională 1</v>
      </c>
      <c r="D7" s="57">
        <f>MASTER!AW484</f>
        <v>1</v>
      </c>
      <c r="E7" s="57" t="str">
        <f>MASTER!AX484</f>
        <v>1</v>
      </c>
      <c r="F7" s="57" t="str">
        <f>MASTER!AY484</f>
        <v>D</v>
      </c>
      <c r="G7" s="57" t="str">
        <f>MASTER!AZ484</f>
        <v>DI</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f>MASTER!BO484</f>
        <v>7</v>
      </c>
      <c r="W7" s="57" t="str">
        <f>MASTER!BP484</f>
        <v>DCAV</v>
      </c>
      <c r="X7" s="57" t="e">
        <f>MASTER!BQ484</f>
        <v>#VALUE!</v>
      </c>
      <c r="Y7" s="57">
        <f>MASTER!BR484</f>
        <v>0</v>
      </c>
      <c r="Z7" s="57">
        <f>MASTER!BS484</f>
        <v>0</v>
      </c>
      <c r="AA7" t="str">
        <f>MASTER!H$6</f>
        <v>INGINERIA SISTEMELOR</v>
      </c>
      <c r="AB7">
        <f>MASTER!C$17</f>
        <v>20</v>
      </c>
      <c r="AC7" t="str">
        <f>MASTER!H$7</f>
        <v>SECURITATEA INFORMAȚIILOR ȘI A SISTEMLOR CIBERNETICE</v>
      </c>
      <c r="AD7">
        <f>MASTER!A$17</f>
        <v>20</v>
      </c>
      <c r="AE7">
        <f>MASTER!B$17</f>
        <v>60</v>
      </c>
      <c r="AF7">
        <f>MASTER!D$17</f>
        <v>0</v>
      </c>
      <c r="AG7" t="str">
        <f>MASTER!BT484</f>
        <v>2023</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INGINERIA SISTEMELOR</v>
      </c>
      <c r="AB8">
        <f>MASTER!C$17</f>
        <v>20</v>
      </c>
      <c r="AC8" t="str">
        <f>MASTER!H$7</f>
        <v>SECURITATEA INFORMAȚIILOR ȘI A SISTEMLOR CIBERNETICE</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INGINERIA SISTEMELOR</v>
      </c>
      <c r="AB9">
        <f>MASTER!C$17</f>
        <v>20</v>
      </c>
      <c r="AC9" t="str">
        <f>MASTER!H$7</f>
        <v>SECURITATEA INFORMAȚIILOR ȘI A SISTEMLOR CIBERNETICE</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INGINERIA SISTEMELOR</v>
      </c>
      <c r="AB10">
        <f>MASTER!C$17</f>
        <v>20</v>
      </c>
      <c r="AC10" t="str">
        <f>MASTER!H$7</f>
        <v>SECURITATEA INFORMAȚIILOR ȘI A SISTEMLOR CIBERNETICE</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INGINERIA SISTEMELOR</v>
      </c>
      <c r="AB11">
        <f>MASTER!C$17</f>
        <v>20</v>
      </c>
      <c r="AC11" t="str">
        <f>MASTER!H$7</f>
        <v>SECURITATEA INFORMAȚIILOR ȘI A SISTEMLOR CIBERNETICE</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INGINERIA SISTEMELOR</v>
      </c>
      <c r="AB12">
        <f>MASTER!C$17</f>
        <v>20</v>
      </c>
      <c r="AC12" t="str">
        <f>MASTER!H$7</f>
        <v>SECURITATEA INFORMAȚIILOR ȘI A SISTEMLOR CIBERNETICE</v>
      </c>
      <c r="AD12">
        <f>MASTER!A$17</f>
        <v>20</v>
      </c>
      <c r="AE12">
        <f>MASTER!B$17</f>
        <v>60</v>
      </c>
      <c r="AF12">
        <f>MASTER!D$17</f>
        <v>0</v>
      </c>
      <c r="AG12" t="str">
        <f>MASTER!BT489</f>
        <v/>
      </c>
    </row>
    <row r="13" spans="1:33" x14ac:dyDescent="0.2">
      <c r="A13" s="57" t="str">
        <f>MASTER!AT490</f>
        <v>M025.23.02.V1</v>
      </c>
      <c r="B13" s="57">
        <f>MASTER!AU490</f>
        <v>1</v>
      </c>
      <c r="C13" s="57" t="str">
        <f>MASTER!AV490</f>
        <v>Virusologie și vulnerabilități ale sistemelor informatice</v>
      </c>
      <c r="D13" s="57">
        <f>MASTER!AW490</f>
        <v>1</v>
      </c>
      <c r="E13" s="57" t="str">
        <f>MASTER!AX490</f>
        <v>2</v>
      </c>
      <c r="F13" s="57" t="str">
        <f>MASTER!AY490</f>
        <v>E</v>
      </c>
      <c r="G13" s="57" t="str">
        <f>MASTER!AZ490</f>
        <v>DI</v>
      </c>
      <c r="H13" s="57">
        <f>MASTER!BA490</f>
        <v>2</v>
      </c>
      <c r="I13" s="57">
        <f>MASTER!BB490</f>
        <v>1.5</v>
      </c>
      <c r="J13" s="57">
        <f>MASTER!BC490</f>
        <v>3.5</v>
      </c>
      <c r="K13" s="57">
        <f>MASTER!BD490</f>
        <v>28</v>
      </c>
      <c r="L13" s="57">
        <f>MASTER!BE490</f>
        <v>21</v>
      </c>
      <c r="M13" s="57">
        <f>MASTER!BF490</f>
        <v>49</v>
      </c>
      <c r="N13" s="57">
        <f>MASTER!BG490</f>
        <v>0</v>
      </c>
      <c r="O13" s="57" t="str">
        <f>MASTER!BH490</f>
        <v/>
      </c>
      <c r="P13" s="57">
        <f>MASTER!BI490</f>
        <v>0</v>
      </c>
      <c r="Q13" s="57">
        <f>MASTER!BJ490</f>
        <v>0</v>
      </c>
      <c r="R13" s="57" t="str">
        <f>MASTER!BK490</f>
        <v/>
      </c>
      <c r="S13" s="57">
        <f>MASTER!BL490</f>
        <v>0</v>
      </c>
      <c r="T13" s="57">
        <f>MASTER!BM490</f>
        <v>5.4</v>
      </c>
      <c r="U13" s="57">
        <f>MASTER!BN490</f>
        <v>76</v>
      </c>
      <c r="V13" s="57">
        <f>MASTER!BO490</f>
        <v>5</v>
      </c>
      <c r="W13" s="57" t="str">
        <f>MASTER!BP490</f>
        <v>DCAV</v>
      </c>
      <c r="X13" s="57">
        <f>MASTER!BQ490</f>
        <v>8.9</v>
      </c>
      <c r="Y13" s="57">
        <f>MASTER!BR490</f>
        <v>0</v>
      </c>
      <c r="Z13" s="57">
        <f>MASTER!BS490</f>
        <v>1</v>
      </c>
      <c r="AA13" t="str">
        <f>MASTER!H$6</f>
        <v>INGINERIA SISTEMELOR</v>
      </c>
      <c r="AB13">
        <f>MASTER!C$17</f>
        <v>20</v>
      </c>
      <c r="AC13" t="str">
        <f>MASTER!H$7</f>
        <v>SECURITATEA INFORMAȚIILOR ȘI A SISTEMLOR CIBERNETICE</v>
      </c>
      <c r="AD13">
        <f>MASTER!A$17</f>
        <v>20</v>
      </c>
      <c r="AE13">
        <f>MASTER!B$17</f>
        <v>60</v>
      </c>
      <c r="AF13">
        <f>MASTER!D$17</f>
        <v>0</v>
      </c>
      <c r="AG13" t="str">
        <f>MASTER!BT490</f>
        <v>2023</v>
      </c>
    </row>
    <row r="14" spans="1:33" x14ac:dyDescent="0.2">
      <c r="A14" s="57" t="str">
        <f>MASTER!AT491</f>
        <v>M025.23.02.A2</v>
      </c>
      <c r="B14" s="57">
        <f>MASTER!AU491</f>
        <v>2</v>
      </c>
      <c r="C14" s="57" t="str">
        <f>MASTER!AV491</f>
        <v>Securitatea aplicațiilor cloud</v>
      </c>
      <c r="D14" s="57">
        <f>MASTER!AW491</f>
        <v>1</v>
      </c>
      <c r="E14" s="57" t="str">
        <f>MASTER!AX491</f>
        <v>2</v>
      </c>
      <c r="F14" s="57" t="str">
        <f>MASTER!AY491</f>
        <v>E</v>
      </c>
      <c r="G14" s="57" t="str">
        <f>MASTER!AZ491</f>
        <v>DI</v>
      </c>
      <c r="H14" s="57">
        <f>MASTER!BA491</f>
        <v>2</v>
      </c>
      <c r="I14" s="57">
        <f>MASTER!BB491</f>
        <v>1.5</v>
      </c>
      <c r="J14" s="57">
        <f>MASTER!BC491</f>
        <v>3.5</v>
      </c>
      <c r="K14" s="57">
        <f>MASTER!BD491</f>
        <v>28</v>
      </c>
      <c r="L14" s="57">
        <f>MASTER!BE491</f>
        <v>21</v>
      </c>
      <c r="M14" s="57">
        <f>MASTER!BF491</f>
        <v>49</v>
      </c>
      <c r="N14" s="57">
        <f>MASTER!BG491</f>
        <v>0</v>
      </c>
      <c r="O14" s="57" t="str">
        <f>MASTER!BH491</f>
        <v/>
      </c>
      <c r="P14" s="57">
        <f>MASTER!BI491</f>
        <v>0</v>
      </c>
      <c r="Q14" s="57">
        <f>MASTER!BJ491</f>
        <v>0</v>
      </c>
      <c r="R14" s="57" t="str">
        <f>MASTER!BK491</f>
        <v/>
      </c>
      <c r="S14" s="57">
        <f>MASTER!BL491</f>
        <v>0</v>
      </c>
      <c r="T14" s="57">
        <f>MASTER!BM491</f>
        <v>5.4</v>
      </c>
      <c r="U14" s="57">
        <f>MASTER!BN491</f>
        <v>76</v>
      </c>
      <c r="V14" s="57">
        <f>MASTER!BO491</f>
        <v>5</v>
      </c>
      <c r="W14" s="57" t="str">
        <f>MASTER!BP491</f>
        <v>DA</v>
      </c>
      <c r="X14" s="57">
        <f>MASTER!BQ491</f>
        <v>8.9</v>
      </c>
      <c r="Y14" s="57">
        <f>MASTER!BR491</f>
        <v>0</v>
      </c>
      <c r="Z14" s="57">
        <f>MASTER!BS491</f>
        <v>1</v>
      </c>
      <c r="AA14" t="str">
        <f>MASTER!H$6</f>
        <v>INGINERIA SISTEMELOR</v>
      </c>
      <c r="AB14">
        <f>MASTER!C$17</f>
        <v>20</v>
      </c>
      <c r="AC14" t="str">
        <f>MASTER!H$7</f>
        <v>SECURITATEA INFORMAȚIILOR ȘI A SISTEMLOR CIBERNETICE</v>
      </c>
      <c r="AD14">
        <f>MASTER!A$17</f>
        <v>20</v>
      </c>
      <c r="AE14">
        <f>MASTER!B$17</f>
        <v>60</v>
      </c>
      <c r="AF14">
        <f>MASTER!D$17</f>
        <v>0</v>
      </c>
      <c r="AG14" t="str">
        <f>MASTER!BT491</f>
        <v>2023</v>
      </c>
    </row>
    <row r="15" spans="1:33" x14ac:dyDescent="0.2">
      <c r="A15" s="57" t="str">
        <f>MASTER!AT492</f>
        <v>M025.23.02.S3-ij</v>
      </c>
      <c r="B15" s="57">
        <f>MASTER!AU492</f>
        <v>3</v>
      </c>
      <c r="C15" s="57" t="str">
        <f>MASTER!AV492</f>
        <v/>
      </c>
      <c r="D15" s="57" t="str">
        <f>MASTER!AW492</f>
        <v/>
      </c>
      <c r="E15" s="57" t="str">
        <f>MASTER!AX492</f>
        <v/>
      </c>
      <c r="F15" s="57" t="str">
        <f>MASTER!AY492</f>
        <v/>
      </c>
      <c r="G15" s="57" t="str">
        <f>MASTER!AZ492</f>
        <v/>
      </c>
      <c r="H15" s="57" t="str">
        <f>MASTER!BA492</f>
        <v/>
      </c>
      <c r="I15" s="57" t="str">
        <f>MASTER!BB492</f>
        <v/>
      </c>
      <c r="J15" s="57" t="str">
        <f>MASTER!BC492</f>
        <v/>
      </c>
      <c r="K15" s="57" t="str">
        <f>MASTER!BD492</f>
        <v/>
      </c>
      <c r="L15" s="57" t="str">
        <f>MASTER!BE492</f>
        <v/>
      </c>
      <c r="M15" s="57" t="str">
        <f>MASTER!BF492</f>
        <v/>
      </c>
      <c r="N15" s="57">
        <f>MASTER!BG492</f>
        <v>0</v>
      </c>
      <c r="O15" s="57" t="str">
        <f>MASTER!BH492</f>
        <v/>
      </c>
      <c r="P15" s="57">
        <f>MASTER!BI492</f>
        <v>0</v>
      </c>
      <c r="Q15" s="57">
        <f>MASTER!BJ492</f>
        <v>0</v>
      </c>
      <c r="R15" s="57" t="str">
        <f>MASTER!BK492</f>
        <v/>
      </c>
      <c r="S15" s="57">
        <f>MASTER!BL492</f>
        <v>0</v>
      </c>
      <c r="T15" s="57">
        <f>MASTER!BM492</f>
        <v>5.4</v>
      </c>
      <c r="U15" s="57">
        <f>MASTER!BN492</f>
        <v>76</v>
      </c>
      <c r="V15" s="57" t="str">
        <f>MASTER!BO492</f>
        <v/>
      </c>
      <c r="W15" s="57" t="str">
        <f>MASTER!BP492</f>
        <v>DS</v>
      </c>
      <c r="X15" s="57" t="str">
        <f>MASTER!BQ492</f>
        <v/>
      </c>
      <c r="Y15" s="57">
        <f>MASTER!BR492</f>
        <v>0</v>
      </c>
      <c r="Z15" s="57">
        <f>MASTER!BS492</f>
        <v>0</v>
      </c>
      <c r="AA15" t="str">
        <f>MASTER!H$6</f>
        <v>INGINERIA SISTEMELOR</v>
      </c>
      <c r="AB15">
        <f>MASTER!C$17</f>
        <v>20</v>
      </c>
      <c r="AC15" t="str">
        <f>MASTER!H$7</f>
        <v>SECURITATEA INFORMAȚIILOR ȘI A SISTEMLOR CIBERNETICE</v>
      </c>
      <c r="AD15">
        <f>MASTER!A$17</f>
        <v>20</v>
      </c>
      <c r="AE15">
        <f>MASTER!B$17</f>
        <v>60</v>
      </c>
      <c r="AF15">
        <f>MASTER!D$17</f>
        <v>0</v>
      </c>
      <c r="AG15" t="str">
        <f>MASTER!BT492</f>
        <v/>
      </c>
    </row>
    <row r="16" spans="1:33" x14ac:dyDescent="0.2">
      <c r="A16" s="57" t="str">
        <f>MASTER!AT493</f>
        <v>M025.23.02.A4-ij</v>
      </c>
      <c r="B16" s="57">
        <f>MASTER!AU493</f>
        <v>4</v>
      </c>
      <c r="C16" s="57" t="str">
        <f>MASTER!AV493</f>
        <v/>
      </c>
      <c r="D16" s="57" t="str">
        <f>MASTER!AW493</f>
        <v/>
      </c>
      <c r="E16" s="57" t="str">
        <f>MASTER!AX493</f>
        <v/>
      </c>
      <c r="F16" s="57" t="str">
        <f>MASTER!AY493</f>
        <v/>
      </c>
      <c r="G16" s="57" t="str">
        <f>MASTER!AZ493</f>
        <v/>
      </c>
      <c r="H16" s="57" t="str">
        <f>MASTER!BA493</f>
        <v/>
      </c>
      <c r="I16" s="57" t="str">
        <f>MASTER!BB493</f>
        <v/>
      </c>
      <c r="J16" s="57" t="str">
        <f>MASTER!BC493</f>
        <v/>
      </c>
      <c r="K16" s="57" t="str">
        <f>MASTER!BD493</f>
        <v/>
      </c>
      <c r="L16" s="57" t="str">
        <f>MASTER!BE493</f>
        <v/>
      </c>
      <c r="M16" s="57" t="str">
        <f>MASTER!BF493</f>
        <v/>
      </c>
      <c r="N16" s="57">
        <f>MASTER!BG493</f>
        <v>0</v>
      </c>
      <c r="O16" s="57" t="str">
        <f>MASTER!BH493</f>
        <v/>
      </c>
      <c r="P16" s="57">
        <f>MASTER!BI493</f>
        <v>0</v>
      </c>
      <c r="Q16" s="57">
        <f>MASTER!BJ493</f>
        <v>0</v>
      </c>
      <c r="R16" s="57" t="str">
        <f>MASTER!BK493</f>
        <v/>
      </c>
      <c r="S16" s="57">
        <f>MASTER!BL493</f>
        <v>0</v>
      </c>
      <c r="T16" s="57">
        <f>MASTER!BM493</f>
        <v>5.4</v>
      </c>
      <c r="U16" s="57">
        <f>MASTER!BN493</f>
        <v>76</v>
      </c>
      <c r="V16" s="57" t="str">
        <f>MASTER!BO493</f>
        <v/>
      </c>
      <c r="W16" s="57" t="str">
        <f>MASTER!BP493</f>
        <v>DA</v>
      </c>
      <c r="X16" s="57" t="str">
        <f>MASTER!BQ493</f>
        <v/>
      </c>
      <c r="Y16" s="57">
        <f>MASTER!BR493</f>
        <v>0</v>
      </c>
      <c r="Z16" s="57">
        <f>MASTER!BS493</f>
        <v>0</v>
      </c>
      <c r="AA16" t="str">
        <f>MASTER!H$6</f>
        <v>INGINERIA SISTEMELOR</v>
      </c>
      <c r="AB16">
        <f>MASTER!C$17</f>
        <v>20</v>
      </c>
      <c r="AC16" t="str">
        <f>MASTER!H$7</f>
        <v>SECURITATEA INFORMAȚIILOR ȘI A SISTEMLOR CIBERNETICE</v>
      </c>
      <c r="AD16">
        <f>MASTER!A$17</f>
        <v>20</v>
      </c>
      <c r="AE16">
        <f>MASTER!B$17</f>
        <v>60</v>
      </c>
      <c r="AF16">
        <f>MASTER!D$17</f>
        <v>0</v>
      </c>
      <c r="AG16" t="str">
        <f>MASTER!BT493</f>
        <v/>
      </c>
    </row>
    <row r="17" spans="1:33" x14ac:dyDescent="0.2">
      <c r="A17" s="57" t="str">
        <f>MASTER!AT494</f>
        <v>M025.23.02.C5</v>
      </c>
      <c r="B17" s="57">
        <f>MASTER!AU494</f>
        <v>5</v>
      </c>
      <c r="C17" s="57" t="str">
        <f>MASTER!AV494</f>
        <v>Etică și integritate academică</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f>MASTER!BR494</f>
        <v>0</v>
      </c>
      <c r="Z17" s="57">
        <f>MASTER!BS494</f>
        <v>1</v>
      </c>
      <c r="AA17" t="str">
        <f>MASTER!H$6</f>
        <v>INGINERIA SISTEMELOR</v>
      </c>
      <c r="AB17">
        <f>MASTER!C$17</f>
        <v>20</v>
      </c>
      <c r="AC17" t="str">
        <f>MASTER!H$7</f>
        <v>SECURITATEA INFORMAȚIILOR ȘI A SISTEMLOR CIBERNETICE</v>
      </c>
      <c r="AD17">
        <f>MASTER!A$17</f>
        <v>20</v>
      </c>
      <c r="AE17">
        <f>MASTER!B$17</f>
        <v>60</v>
      </c>
      <c r="AF17">
        <f>MASTER!D$17</f>
        <v>0</v>
      </c>
      <c r="AG17" t="str">
        <f>MASTER!BT494</f>
        <v>2023</v>
      </c>
    </row>
    <row r="18" spans="1:33" x14ac:dyDescent="0.2">
      <c r="A18" s="57" t="str">
        <f>MASTER!AT495</f>
        <v>M025.23.02.V6</v>
      </c>
      <c r="B18" s="57">
        <f>MASTER!AU495</f>
        <v>6</v>
      </c>
      <c r="C18" s="57" t="str">
        <f>MASTER!AV495</f>
        <v>Practică profesională 2</v>
      </c>
      <c r="D18" s="57">
        <f>MASTER!AW495</f>
        <v>1</v>
      </c>
      <c r="E18" s="57" t="str">
        <f>MASTER!AX495</f>
        <v>2</v>
      </c>
      <c r="F18" s="57" t="str">
        <f>MASTER!AY495</f>
        <v>D</v>
      </c>
      <c r="G18" s="57" t="str">
        <f>MASTER!AZ495</f>
        <v>DI</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f>MASTER!BO495</f>
        <v>8</v>
      </c>
      <c r="W18" s="57" t="str">
        <f>MASTER!BP495</f>
        <v>DCAV</v>
      </c>
      <c r="X18" s="57" t="e">
        <f>MASTER!BQ495</f>
        <v>#VALUE!</v>
      </c>
      <c r="Y18" s="57" t="str">
        <f>MASTER!BR495</f>
        <v/>
      </c>
      <c r="Z18" s="57">
        <f>MASTER!BS495</f>
        <v>0</v>
      </c>
      <c r="AA18" t="str">
        <f>MASTER!H$6</f>
        <v>INGINERIA SISTEMELOR</v>
      </c>
      <c r="AB18">
        <f>MASTER!C$17</f>
        <v>20</v>
      </c>
      <c r="AC18" t="str">
        <f>MASTER!H$7</f>
        <v>SECURITATEA INFORMAȚIILOR ȘI A SISTEMLOR CIBERNETICE</v>
      </c>
      <c r="AD18">
        <f>MASTER!A$17</f>
        <v>20</v>
      </c>
      <c r="AE18">
        <f>MASTER!B$17</f>
        <v>60</v>
      </c>
      <c r="AF18">
        <f>MASTER!D$17</f>
        <v>0</v>
      </c>
      <c r="AG18" t="str">
        <f>MASTER!BT495</f>
        <v>2023</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INGINERIA SISTEMELOR</v>
      </c>
      <c r="AB19">
        <f>MASTER!C$17</f>
        <v>20</v>
      </c>
      <c r="AC19" t="str">
        <f>MASTER!H$7</f>
        <v>SECURITATEA INFORMAȚIILOR ȘI A SISTEMLOR CIBERNETICE</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INGINERIA SISTEMELOR</v>
      </c>
      <c r="AB20">
        <f>MASTER!C$17</f>
        <v>20</v>
      </c>
      <c r="AC20" t="str">
        <f>MASTER!H$7</f>
        <v>SECURITATEA INFORMAȚIILOR ȘI A SISTEMLOR CIBERNETICE</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INGINERIA SISTEMELOR</v>
      </c>
      <c r="AB21">
        <f>MASTER!C$17</f>
        <v>20</v>
      </c>
      <c r="AC21" t="str">
        <f>MASTER!H$7</f>
        <v>SECURITATEA INFORMAȚIILOR ȘI A SISTEMLOR CIBERNETICE</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INGINERIA SISTEMELOR</v>
      </c>
      <c r="AB22">
        <f>MASTER!C$17</f>
        <v>20</v>
      </c>
      <c r="AC22" t="str">
        <f>MASTER!H$7</f>
        <v>SECURITATEA INFORMAȚIILOR ȘI A SISTEMLOR CIBERNETICE</v>
      </c>
      <c r="AD22">
        <f>MASTER!A$17</f>
        <v>20</v>
      </c>
      <c r="AE22">
        <f>MASTER!B$17</f>
        <v>60</v>
      </c>
      <c r="AF22">
        <f>MASTER!D$17</f>
        <v>0</v>
      </c>
      <c r="AG22" t="str">
        <f>MASTER!BT499</f>
        <v/>
      </c>
    </row>
    <row r="23" spans="1:33" x14ac:dyDescent="0.2">
      <c r="A23" s="57" t="str">
        <f>MASTER!AT500</f>
        <v>M025.23.03.V1</v>
      </c>
      <c r="B23" s="57">
        <f>MASTER!AU500</f>
        <v>1</v>
      </c>
      <c r="C23" s="57" t="str">
        <f>MASTER!AV500</f>
        <v>Securitate în sisteme embedded și automotive</v>
      </c>
      <c r="D23" s="57">
        <f>MASTER!AW500</f>
        <v>2</v>
      </c>
      <c r="E23" s="57" t="str">
        <f>MASTER!AX500</f>
        <v>3</v>
      </c>
      <c r="F23" s="57" t="str">
        <f>MASTER!AY500</f>
        <v>E</v>
      </c>
      <c r="G23" s="57" t="str">
        <f>MASTER!AZ500</f>
        <v>DI</v>
      </c>
      <c r="H23" s="57">
        <f>MASTER!BA500</f>
        <v>2</v>
      </c>
      <c r="I23" s="57">
        <f>MASTER!BB500</f>
        <v>2</v>
      </c>
      <c r="J23" s="57">
        <f>MASTER!BC500</f>
        <v>4</v>
      </c>
      <c r="K23" s="57">
        <f>MASTER!BD500</f>
        <v>28</v>
      </c>
      <c r="L23" s="57">
        <f>MASTER!BE500</f>
        <v>28</v>
      </c>
      <c r="M23" s="57">
        <f>MASTER!BF500</f>
        <v>56</v>
      </c>
      <c r="N23" s="57">
        <f>MASTER!BG500</f>
        <v>0</v>
      </c>
      <c r="O23" s="57" t="str">
        <f>MASTER!BH500</f>
        <v/>
      </c>
      <c r="P23" s="57">
        <f>MASTER!BI500</f>
        <v>0</v>
      </c>
      <c r="Q23" s="57">
        <f>MASTER!BJ500</f>
        <v>0</v>
      </c>
      <c r="R23" s="57" t="str">
        <f>MASTER!BK500</f>
        <v/>
      </c>
      <c r="S23" s="57">
        <f>MASTER!BL500</f>
        <v>0</v>
      </c>
      <c r="T23" s="57">
        <f>MASTER!BM500</f>
        <v>6.7</v>
      </c>
      <c r="U23" s="57">
        <f>MASTER!BN500</f>
        <v>94</v>
      </c>
      <c r="V23" s="57">
        <f>MASTER!BO500</f>
        <v>6</v>
      </c>
      <c r="W23" s="57" t="str">
        <f>MASTER!BP500</f>
        <v>DCAV</v>
      </c>
      <c r="X23" s="57">
        <f>MASTER!BQ500</f>
        <v>10.7</v>
      </c>
      <c r="Y23" s="57">
        <f>MASTER!BR500</f>
        <v>150</v>
      </c>
      <c r="Z23" s="57">
        <f>MASTER!BS500</f>
        <v>1</v>
      </c>
      <c r="AA23" t="str">
        <f>MASTER!H$6</f>
        <v>INGINERIA SISTEMELOR</v>
      </c>
      <c r="AB23">
        <f>MASTER!C$17</f>
        <v>20</v>
      </c>
      <c r="AC23" t="str">
        <f>MASTER!H$7</f>
        <v>SECURITATEA INFORMAȚIILOR ȘI A SISTEMLOR CIBERNETICE</v>
      </c>
      <c r="AD23">
        <f>MASTER!A$17</f>
        <v>20</v>
      </c>
      <c r="AE23">
        <f>MASTER!B$17</f>
        <v>60</v>
      </c>
      <c r="AF23">
        <f>MASTER!D$17</f>
        <v>0</v>
      </c>
      <c r="AG23" t="str">
        <f>MASTER!BT500</f>
        <v>2024</v>
      </c>
    </row>
    <row r="24" spans="1:33" x14ac:dyDescent="0.2">
      <c r="A24" s="57" t="str">
        <f>MASTER!AT501</f>
        <v>M025.23.03.A2</v>
      </c>
      <c r="B24" s="57">
        <f>MASTER!AU501</f>
        <v>2</v>
      </c>
      <c r="C24" s="57" t="str">
        <f>MASTER!AV501</f>
        <v>Securitatea sistemelor industriale</v>
      </c>
      <c r="D24" s="57">
        <f>MASTER!AW501</f>
        <v>2</v>
      </c>
      <c r="E24" s="57" t="str">
        <f>MASTER!AX501</f>
        <v>1</v>
      </c>
      <c r="F24" s="57" t="str">
        <f>MASTER!AY501</f>
        <v>E</v>
      </c>
      <c r="G24" s="57" t="str">
        <f>MASTER!AZ501</f>
        <v>DI</v>
      </c>
      <c r="H24" s="57">
        <f>MASTER!BA501</f>
        <v>2</v>
      </c>
      <c r="I24" s="57">
        <f>MASTER!BB501</f>
        <v>2</v>
      </c>
      <c r="J24" s="57">
        <f>MASTER!BC501</f>
        <v>4</v>
      </c>
      <c r="K24" s="57">
        <f>MASTER!BD501</f>
        <v>28</v>
      </c>
      <c r="L24" s="57">
        <f>MASTER!BE501</f>
        <v>28</v>
      </c>
      <c r="M24" s="57">
        <f>MASTER!BF501</f>
        <v>56</v>
      </c>
      <c r="N24" s="57">
        <f>MASTER!BG501</f>
        <v>0</v>
      </c>
      <c r="O24" s="57" t="str">
        <f>MASTER!BH501</f>
        <v/>
      </c>
      <c r="P24" s="57">
        <f>MASTER!BI501</f>
        <v>0</v>
      </c>
      <c r="Q24" s="57">
        <f>MASTER!BJ501</f>
        <v>0</v>
      </c>
      <c r="R24" s="57" t="str">
        <f>MASTER!BK501</f>
        <v/>
      </c>
      <c r="S24" s="57">
        <f>MASTER!BL501</f>
        <v>0</v>
      </c>
      <c r="T24" s="57">
        <f>MASTER!BM501</f>
        <v>6.7</v>
      </c>
      <c r="U24" s="57">
        <f>MASTER!BN501</f>
        <v>94</v>
      </c>
      <c r="V24" s="57">
        <f>MASTER!BO501</f>
        <v>6</v>
      </c>
      <c r="W24" s="57" t="str">
        <f>MASTER!BP501</f>
        <v>DA</v>
      </c>
      <c r="X24" s="57">
        <f>MASTER!BQ501</f>
        <v>10.7</v>
      </c>
      <c r="Y24" s="57">
        <f>MASTER!BR501</f>
        <v>150</v>
      </c>
      <c r="Z24" s="57">
        <f>MASTER!BS501</f>
        <v>1</v>
      </c>
      <c r="AA24" t="str">
        <f>MASTER!H$6</f>
        <v>INGINERIA SISTEMELOR</v>
      </c>
      <c r="AB24">
        <f>MASTER!C$17</f>
        <v>20</v>
      </c>
      <c r="AC24" t="str">
        <f>MASTER!H$7</f>
        <v>SECURITATEA INFORMAȚIILOR ȘI A SISTEMLOR CIBERNETICE</v>
      </c>
      <c r="AD24">
        <f>MASTER!A$17</f>
        <v>20</v>
      </c>
      <c r="AE24">
        <f>MASTER!B$17</f>
        <v>60</v>
      </c>
      <c r="AF24">
        <f>MASTER!D$17</f>
        <v>0</v>
      </c>
      <c r="AG24" t="str">
        <f>MASTER!BT501</f>
        <v>2024</v>
      </c>
    </row>
    <row r="25" spans="1:33" x14ac:dyDescent="0.2">
      <c r="A25" s="57" t="str">
        <f>MASTER!AT502</f>
        <v>M025.23.03.A3-ij</v>
      </c>
      <c r="B25" s="57">
        <f>MASTER!AU502</f>
        <v>3</v>
      </c>
      <c r="C25" s="57" t="str">
        <f>MASTER!AV502</f>
        <v/>
      </c>
      <c r="D25" s="57" t="str">
        <f>MASTER!AW502</f>
        <v/>
      </c>
      <c r="E25" s="57" t="str">
        <f>MASTER!AX502</f>
        <v/>
      </c>
      <c r="F25" s="57" t="str">
        <f>MASTER!AY502</f>
        <v/>
      </c>
      <c r="G25" s="57" t="str">
        <f>MASTER!AZ502</f>
        <v/>
      </c>
      <c r="H25" s="57" t="str">
        <f>MASTER!BA502</f>
        <v/>
      </c>
      <c r="I25" s="57" t="str">
        <f>MASTER!BB502</f>
        <v/>
      </c>
      <c r="J25" s="57" t="str">
        <f>MASTER!BC502</f>
        <v/>
      </c>
      <c r="K25" s="57" t="str">
        <f>MASTER!BD502</f>
        <v/>
      </c>
      <c r="L25" s="57" t="str">
        <f>MASTER!BE502</f>
        <v/>
      </c>
      <c r="M25" s="57" t="str">
        <f>MASTER!BF502</f>
        <v/>
      </c>
      <c r="N25" s="57">
        <f>MASTER!BG502</f>
        <v>0</v>
      </c>
      <c r="O25" s="57" t="str">
        <f>MASTER!BH502</f>
        <v/>
      </c>
      <c r="P25" s="57" t="e">
        <f>MASTER!BI502</f>
        <v>#VALUE!</v>
      </c>
      <c r="Q25" s="57">
        <f>MASTER!BJ502</f>
        <v>0</v>
      </c>
      <c r="R25" s="57" t="str">
        <f>MASTER!BK502</f>
        <v/>
      </c>
      <c r="S25" s="57" t="str">
        <f>MASTER!BL502</f>
        <v/>
      </c>
      <c r="T25" s="57" t="e">
        <f>MASTER!BM502</f>
        <v>#VALUE!</v>
      </c>
      <c r="U25" s="57" t="str">
        <f>MASTER!BN502</f>
        <v/>
      </c>
      <c r="V25" s="57" t="str">
        <f>MASTER!BO502</f>
        <v/>
      </c>
      <c r="W25" s="57" t="str">
        <f>MASTER!BP502</f>
        <v>DA</v>
      </c>
      <c r="X25" s="57" t="str">
        <f>MASTER!BQ502</f>
        <v/>
      </c>
      <c r="Y25" s="57">
        <f>MASTER!BR502</f>
        <v>125</v>
      </c>
      <c r="Z25" s="57">
        <f>MASTER!BS502</f>
        <v>0</v>
      </c>
      <c r="AA25" t="str">
        <f>MASTER!H$6</f>
        <v>INGINERIA SISTEMELOR</v>
      </c>
      <c r="AB25">
        <f>MASTER!C$17</f>
        <v>20</v>
      </c>
      <c r="AC25" t="str">
        <f>MASTER!H$7</f>
        <v>SECURITATEA INFORMAȚIILOR ȘI A SISTEMLOR CIBERNETICE</v>
      </c>
      <c r="AD25">
        <f>MASTER!A$17</f>
        <v>20</v>
      </c>
      <c r="AE25">
        <f>MASTER!B$17</f>
        <v>60</v>
      </c>
      <c r="AF25">
        <f>MASTER!D$17</f>
        <v>0</v>
      </c>
      <c r="AG25" t="str">
        <f>MASTER!BT502</f>
        <v/>
      </c>
    </row>
    <row r="26" spans="1:33" x14ac:dyDescent="0.2">
      <c r="A26" s="57" t="str">
        <f>MASTER!AT503</f>
        <v>M025.23.03.A4-ij</v>
      </c>
      <c r="B26" s="57">
        <f>MASTER!AU503</f>
        <v>4</v>
      </c>
      <c r="C26" s="57" t="str">
        <f>MASTER!AV503</f>
        <v/>
      </c>
      <c r="D26" s="57" t="str">
        <f>MASTER!AW503</f>
        <v/>
      </c>
      <c r="E26" s="57" t="str">
        <f>MASTER!AX503</f>
        <v/>
      </c>
      <c r="F26" s="57" t="str">
        <f>MASTER!AY503</f>
        <v/>
      </c>
      <c r="G26" s="57" t="str">
        <f>MASTER!AZ503</f>
        <v/>
      </c>
      <c r="H26" s="57" t="str">
        <f>MASTER!BA503</f>
        <v/>
      </c>
      <c r="I26" s="57" t="str">
        <f>MASTER!BB503</f>
        <v/>
      </c>
      <c r="J26" s="57" t="str">
        <f>MASTER!BC503</f>
        <v/>
      </c>
      <c r="K26" s="57" t="str">
        <f>MASTER!BD503</f>
        <v/>
      </c>
      <c r="L26" s="57" t="str">
        <f>MASTER!BE503</f>
        <v/>
      </c>
      <c r="M26" s="57" t="str">
        <f>MASTER!BF503</f>
        <v/>
      </c>
      <c r="N26" s="57">
        <f>MASTER!BG503</f>
        <v>0</v>
      </c>
      <c r="O26" s="57" t="str">
        <f>MASTER!BH503</f>
        <v/>
      </c>
      <c r="P26" s="57" t="e">
        <f>MASTER!BI503</f>
        <v>#VALUE!</v>
      </c>
      <c r="Q26" s="57">
        <f>MASTER!BJ503</f>
        <v>0</v>
      </c>
      <c r="R26" s="57" t="str">
        <f>MASTER!BK503</f>
        <v/>
      </c>
      <c r="S26" s="57" t="str">
        <f>MASTER!BL503</f>
        <v/>
      </c>
      <c r="T26" s="57" t="e">
        <f>MASTER!BM503</f>
        <v>#VALUE!</v>
      </c>
      <c r="U26" s="57" t="str">
        <f>MASTER!BN503</f>
        <v/>
      </c>
      <c r="V26" s="57" t="str">
        <f>MASTER!BO503</f>
        <v/>
      </c>
      <c r="W26" s="57" t="str">
        <f>MASTER!BP503</f>
        <v>DA</v>
      </c>
      <c r="X26" s="57" t="str">
        <f>MASTER!BQ503</f>
        <v/>
      </c>
      <c r="Y26" s="57">
        <f>MASTER!BR503</f>
        <v>150</v>
      </c>
      <c r="Z26" s="57">
        <f>MASTER!BS503</f>
        <v>0</v>
      </c>
      <c r="AA26" t="str">
        <f>MASTER!H$6</f>
        <v>INGINERIA SISTEMELOR</v>
      </c>
      <c r="AB26">
        <f>MASTER!C$17</f>
        <v>20</v>
      </c>
      <c r="AC26" t="str">
        <f>MASTER!H$7</f>
        <v>SECURITATEA INFORMAȚIILOR ȘI A SISTEMLOR CIBERNETICE</v>
      </c>
      <c r="AD26">
        <f>MASTER!A$17</f>
        <v>20</v>
      </c>
      <c r="AE26">
        <f>MASTER!B$17</f>
        <v>60</v>
      </c>
      <c r="AF26">
        <f>MASTER!D$17</f>
        <v>0</v>
      </c>
      <c r="AG26" t="str">
        <f>MASTER!BT503</f>
        <v/>
      </c>
    </row>
    <row r="27" spans="1:33" x14ac:dyDescent="0.2">
      <c r="A27" s="57" t="str">
        <f>MASTER!AT504</f>
        <v>M025.23.03.V5</v>
      </c>
      <c r="B27" s="57">
        <f>MASTER!AU504</f>
        <v>5</v>
      </c>
      <c r="C27" s="57" t="str">
        <f>MASTER!AV504</f>
        <v>Practică profesională 3</v>
      </c>
      <c r="D27" s="57">
        <f>MASTER!AW504</f>
        <v>2</v>
      </c>
      <c r="E27" s="57" t="str">
        <f>MASTER!AX504</f>
        <v>1</v>
      </c>
      <c r="F27" s="57" t="str">
        <f>MASTER!AY504</f>
        <v>D</v>
      </c>
      <c r="G27" s="57" t="str">
        <f>MASTER!AZ504</f>
        <v>DI</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f>MASTER!BO504</f>
        <v>8</v>
      </c>
      <c r="W27" s="57" t="str">
        <f>MASTER!BP504</f>
        <v>DCAV</v>
      </c>
      <c r="X27" s="57" t="e">
        <f>MASTER!BQ504</f>
        <v>#VALUE!</v>
      </c>
      <c r="Y27" s="57">
        <f>MASTER!BR504</f>
        <v>0</v>
      </c>
      <c r="Z27" s="57">
        <f>MASTER!BS504</f>
        <v>0</v>
      </c>
      <c r="AA27" t="str">
        <f>MASTER!H$6</f>
        <v>INGINERIA SISTEMELOR</v>
      </c>
      <c r="AB27">
        <f>MASTER!C$17</f>
        <v>20</v>
      </c>
      <c r="AC27" t="str">
        <f>MASTER!H$7</f>
        <v>SECURITATEA INFORMAȚIILOR ȘI A SISTEMLOR CIBERNETICE</v>
      </c>
      <c r="AD27">
        <f>MASTER!A$17</f>
        <v>20</v>
      </c>
      <c r="AE27">
        <f>MASTER!B$17</f>
        <v>60</v>
      </c>
      <c r="AF27">
        <f>MASTER!D$17</f>
        <v>0</v>
      </c>
      <c r="AG27" t="str">
        <f>MASTER!BT504</f>
        <v>2024</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INGINERIA SISTEMELOR</v>
      </c>
      <c r="AB28">
        <f>MASTER!C$17</f>
        <v>20</v>
      </c>
      <c r="AC28" t="str">
        <f>MASTER!H$7</f>
        <v>SECURITATEA INFORMAȚIILOR ȘI A SISTEMLOR CIBERNETICE</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INGINERIA SISTEMELOR</v>
      </c>
      <c r="AB29">
        <f>MASTER!C$17</f>
        <v>20</v>
      </c>
      <c r="AC29" t="str">
        <f>MASTER!H$7</f>
        <v>SECURITATEA INFORMAȚIILOR ȘI A SISTEMLOR CIBERNETICE</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INGINERIA SISTEMELOR</v>
      </c>
      <c r="AB30">
        <f>MASTER!C$17</f>
        <v>20</v>
      </c>
      <c r="AC30" t="str">
        <f>MASTER!H$7</f>
        <v>SECURITATEA INFORMAȚIILOR ȘI A SISTEMLOR CIBERNETICE</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INGINERIA SISTEMELOR</v>
      </c>
      <c r="AB31">
        <f>MASTER!C$17</f>
        <v>20</v>
      </c>
      <c r="AC31" t="str">
        <f>MASTER!H$7</f>
        <v>SECURITATEA INFORMAȚIILOR ȘI A SISTEMLOR CIBERNETICE</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INGINERIA SISTEMELOR</v>
      </c>
      <c r="AB32">
        <f>MASTER!C$17</f>
        <v>20</v>
      </c>
      <c r="AC32" t="str">
        <f>MASTER!H$7</f>
        <v>SECURITATEA INFORMAȚIILOR ȘI A SISTEMLOR CIBERNETICE</v>
      </c>
      <c r="AD32">
        <f>MASTER!A$17</f>
        <v>20</v>
      </c>
      <c r="AE32">
        <f>MASTER!B$17</f>
        <v>60</v>
      </c>
      <c r="AF32">
        <f>MASTER!D$17</f>
        <v>0</v>
      </c>
      <c r="AG32" t="str">
        <f>MASTER!BT509</f>
        <v/>
      </c>
    </row>
    <row r="33" spans="1:33" x14ac:dyDescent="0.2">
      <c r="A33" s="57" t="str">
        <f>MASTER!AT510</f>
        <v>M025.23.04.V1</v>
      </c>
      <c r="B33" s="57">
        <f>MASTER!AU510</f>
        <v>1</v>
      </c>
      <c r="C33" s="57" t="str">
        <f>MASTER!AV510</f>
        <v xml:space="preserve"> Practică pentru elaborarea disertației                                                                             </v>
      </c>
      <c r="D33" s="57">
        <f>MASTER!AW510</f>
        <v>2</v>
      </c>
      <c r="E33" s="57" t="str">
        <f>MASTER!AX510</f>
        <v>4</v>
      </c>
      <c r="F33" s="57" t="str">
        <f>MASTER!AY510</f>
        <v>D</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f>MASTER!BI510</f>
        <v>12</v>
      </c>
      <c r="Q33" s="57">
        <f>MASTER!BJ510</f>
        <v>0</v>
      </c>
      <c r="R33" s="57" t="str">
        <f>MASTER!BK510</f>
        <v/>
      </c>
      <c r="S33" s="57">
        <f>MASTER!BL510</f>
        <v>168</v>
      </c>
      <c r="T33" s="57">
        <f>MASTER!BM510</f>
        <v>14.8</v>
      </c>
      <c r="U33" s="57">
        <f>MASTER!BN510</f>
        <v>207</v>
      </c>
      <c r="V33" s="57">
        <f>MASTER!BO510</f>
        <v>15</v>
      </c>
      <c r="W33" s="57" t="str">
        <f>MASTER!BP510</f>
        <v>DCAV</v>
      </c>
      <c r="X33" s="57">
        <f>MASTER!BQ510</f>
        <v>26.8</v>
      </c>
      <c r="Y33" s="57">
        <f>MASTER!BR510</f>
        <v>0</v>
      </c>
      <c r="Z33" s="57">
        <f>MASTER!BS510</f>
        <v>0</v>
      </c>
      <c r="AA33" t="str">
        <f>MASTER!H$6</f>
        <v>INGINERIA SISTEMELOR</v>
      </c>
      <c r="AB33">
        <f>MASTER!C$17</f>
        <v>20</v>
      </c>
      <c r="AC33" t="str">
        <f>MASTER!H$7</f>
        <v>SECURITATEA INFORMAȚIILOR ȘI A SISTEMLOR CIBERNETICE</v>
      </c>
      <c r="AD33">
        <f>MASTER!A$17</f>
        <v>20</v>
      </c>
      <c r="AE33">
        <f>MASTER!B$17</f>
        <v>60</v>
      </c>
      <c r="AF33">
        <f>MASTER!D$17</f>
        <v>0</v>
      </c>
      <c r="AG33" t="str">
        <f>MASTER!BT510</f>
        <v>2024</v>
      </c>
    </row>
    <row r="34" spans="1:33" x14ac:dyDescent="0.2">
      <c r="A34" s="57" t="str">
        <f>MASTER!AT511</f>
        <v>M025.23.04.V2</v>
      </c>
      <c r="B34" s="57">
        <f>MASTER!AU511</f>
        <v>2</v>
      </c>
      <c r="C34" s="57" t="str">
        <f>MASTER!AV511</f>
        <v>Elaborarea lucrării de disertație</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f>MASTER!BI511</f>
        <v>14</v>
      </c>
      <c r="Q34" s="57">
        <f>MASTER!BJ511</f>
        <v>0</v>
      </c>
      <c r="R34" s="57" t="str">
        <f>MASTER!BK511</f>
        <v/>
      </c>
      <c r="S34" s="57">
        <f>MASTER!BL511</f>
        <v>196</v>
      </c>
      <c r="T34" s="57">
        <f>MASTER!BM511</f>
        <v>12.8</v>
      </c>
      <c r="U34" s="57">
        <f>MASTER!BN511</f>
        <v>179</v>
      </c>
      <c r="V34" s="57">
        <f>MASTER!BO511</f>
        <v>15</v>
      </c>
      <c r="W34" s="57" t="str">
        <f>MASTER!BP511</f>
        <v>DCAV</v>
      </c>
      <c r="X34" s="57">
        <f>MASTER!BQ511</f>
        <v>26.8</v>
      </c>
      <c r="Y34" s="57">
        <f>MASTER!BR511</f>
        <v>0</v>
      </c>
      <c r="Z34" s="57">
        <f>MASTER!BS511</f>
        <v>0</v>
      </c>
      <c r="AA34" t="str">
        <f>MASTER!H$6</f>
        <v>INGINERIA SISTEMELOR</v>
      </c>
      <c r="AB34">
        <f>MASTER!C$17</f>
        <v>20</v>
      </c>
      <c r="AC34" t="str">
        <f>MASTER!H$7</f>
        <v>SECURITATEA INFORMAȚIILOR ȘI A SISTEMLOR CIBERNETICE</v>
      </c>
      <c r="AD34">
        <f>MASTER!A$17</f>
        <v>20</v>
      </c>
      <c r="AE34">
        <f>MASTER!B$17</f>
        <v>60</v>
      </c>
      <c r="AF34">
        <f>MASTER!D$17</f>
        <v>0</v>
      </c>
      <c r="AG34" t="str">
        <f>MASTER!BT511</f>
        <v>2024</v>
      </c>
    </row>
    <row r="35" spans="1:33" x14ac:dyDescent="0.2">
      <c r="A35" s="57" t="str">
        <f>MASTER!AT512</f>
        <v>M025.23.04.S3</v>
      </c>
      <c r="B35" s="57">
        <f>MASTER!AU512</f>
        <v>3</v>
      </c>
      <c r="C35" s="57" t="str">
        <f>MASTER!AV512</f>
        <v>Examen de disertație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t="e">
        <f>MASTER!BI512</f>
        <v>#VALUE!</v>
      </c>
      <c r="Q35" s="57">
        <f>MASTER!BJ512</f>
        <v>0</v>
      </c>
      <c r="R35" s="57" t="str">
        <f>MASTER!BK512</f>
        <v/>
      </c>
      <c r="S35" s="57" t="str">
        <f>MASTER!BL512</f>
        <v/>
      </c>
      <c r="T35" s="57" t="e">
        <f>MASTER!BM512</f>
        <v>#VALUE!</v>
      </c>
      <c r="U35" s="57" t="str">
        <f>MASTER!BN512</f>
        <v/>
      </c>
      <c r="V35" s="57">
        <f>MASTER!BO512</f>
        <v>10</v>
      </c>
      <c r="W35" s="57" t="str">
        <f>MASTER!BP512</f>
        <v>DS</v>
      </c>
      <c r="X35" s="57" t="e">
        <f>MASTER!BQ512</f>
        <v>#VALUE!</v>
      </c>
      <c r="Y35" s="57">
        <f>MASTER!BR512</f>
        <v>0</v>
      </c>
      <c r="Z35" s="57">
        <f>MASTER!BS512</f>
        <v>0</v>
      </c>
      <c r="AA35" t="str">
        <f>MASTER!H$6</f>
        <v>INGINERIA SISTEMELOR</v>
      </c>
      <c r="AB35">
        <f>MASTER!C$17</f>
        <v>20</v>
      </c>
      <c r="AC35" t="str">
        <f>MASTER!H$7</f>
        <v>SECURITATEA INFORMAȚIILOR ȘI A SISTEMLOR CIBERNETICE</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t="e">
        <f>MASTER!BI513</f>
        <v>#VALUE!</v>
      </c>
      <c r="Q36" s="57">
        <f>MASTER!BJ513</f>
        <v>0</v>
      </c>
      <c r="R36" s="57" t="str">
        <f>MASTER!BK513</f>
        <v/>
      </c>
      <c r="S36" s="57" t="str">
        <f>MASTER!BL513</f>
        <v/>
      </c>
      <c r="T36" s="57" t="e">
        <f>MASTER!BM513</f>
        <v>#VALUE!</v>
      </c>
      <c r="U36" s="57" t="str">
        <f>MASTER!BN513</f>
        <v/>
      </c>
      <c r="V36" s="57" t="str">
        <f>MASTER!BO513</f>
        <v/>
      </c>
      <c r="W36" s="57">
        <f>MASTER!BP513</f>
        <v>0</v>
      </c>
      <c r="X36" s="57" t="str">
        <f>MASTER!BQ513</f>
        <v/>
      </c>
      <c r="Y36" s="57">
        <f>MASTER!BR513</f>
        <v>0</v>
      </c>
      <c r="Z36" s="57">
        <f>MASTER!BS513</f>
        <v>0</v>
      </c>
      <c r="AA36" t="str">
        <f>MASTER!H$6</f>
        <v>INGINERIA SISTEMELOR</v>
      </c>
      <c r="AB36">
        <f>MASTER!C$17</f>
        <v>20</v>
      </c>
      <c r="AC36" t="str">
        <f>MASTER!H$7</f>
        <v>SECURITATEA INFORMAȚIILOR ȘI A SISTEMLOR CIBERNETICE</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f>MASTER!BR514</f>
        <v>0</v>
      </c>
      <c r="Z37" s="57">
        <f>MASTER!BS514</f>
        <v>0</v>
      </c>
      <c r="AA37" t="str">
        <f>MASTER!H$6</f>
        <v>INGINERIA SISTEMELOR</v>
      </c>
      <c r="AB37">
        <f>MASTER!C$17</f>
        <v>20</v>
      </c>
      <c r="AC37" t="str">
        <f>MASTER!H$7</f>
        <v>SECURITATEA INFORMAȚIILOR ȘI A SISTEMLOR CIBERNETICE</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INGINERIA SISTEMELOR</v>
      </c>
      <c r="AB38">
        <f>MASTER!C$17</f>
        <v>20</v>
      </c>
      <c r="AC38" t="str">
        <f>MASTER!H$7</f>
        <v>SECURITATEA INFORMAȚIILOR ȘI A SISTEMLOR CIBERNETICE</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INGINERIA SISTEMELOR</v>
      </c>
      <c r="AB39">
        <f>MASTER!C$17</f>
        <v>20</v>
      </c>
      <c r="AC39" t="str">
        <f>MASTER!H$7</f>
        <v>SECURITATEA INFORMAȚIILOR ȘI A SISTEMLOR CIBERNETICE</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INGINERIA SISTEMELOR</v>
      </c>
      <c r="AB40">
        <f>MASTER!C$17</f>
        <v>20</v>
      </c>
      <c r="AC40" t="str">
        <f>MASTER!H$7</f>
        <v>SECURITATEA INFORMAȚIILOR ȘI A SISTEMLOR CIBERNETICE</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INGINERIA SISTEMELOR</v>
      </c>
      <c r="AB41">
        <f>MASTER!C$17</f>
        <v>20</v>
      </c>
      <c r="AC41" t="str">
        <f>MASTER!H$7</f>
        <v>SECURITATEA INFORMAȚIILOR ȘI A SISTEMLOR CIBERNETICE</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INGINERIA SISTEMELOR</v>
      </c>
      <c r="AB42">
        <f>MASTER!C$17</f>
        <v>20</v>
      </c>
      <c r="AC42" t="str">
        <f>MASTER!H$7</f>
        <v>SECURITATEA INFORMAȚIILOR ȘI A SISTEMLOR CIBERNETICE</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INGINERIA SISTEMELOR</v>
      </c>
      <c r="AB43">
        <f>MASTER!C$17</f>
        <v>20</v>
      </c>
      <c r="AC43" t="str">
        <f>MASTER!H$7</f>
        <v>SECURITATEA INFORMAȚIILOR ȘI A SISTEMLOR CIBERNETICE</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INGINERIA SISTEMELOR</v>
      </c>
      <c r="AB44">
        <f>MASTER!C$17</f>
        <v>20</v>
      </c>
      <c r="AC44" t="str">
        <f>MASTER!H$7</f>
        <v>SECURITATEA INFORMAȚIILOR ȘI A SISTEMLOR CIBERNETICE</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INGINERIA SISTEMELOR</v>
      </c>
      <c r="AB45">
        <f>MASTER!C$17</f>
        <v>20</v>
      </c>
      <c r="AC45" t="str">
        <f>MASTER!H$7</f>
        <v>SECURITATEA INFORMAȚIILOR ȘI A SISTEMLOR CIBERNETICE</v>
      </c>
      <c r="AD45">
        <f>MASTER!A$17</f>
        <v>20</v>
      </c>
      <c r="AE45">
        <f>MASTER!B$17</f>
        <v>60</v>
      </c>
      <c r="AF45">
        <f>MASTER!D$17</f>
        <v>0</v>
      </c>
      <c r="AG45" t="e">
        <f>MASTER!BT522</f>
        <v>#VALUE!</v>
      </c>
    </row>
    <row r="46" spans="1:33" x14ac:dyDescent="0.2">
      <c r="A46" s="57" t="str">
        <f>MASTER!AT523</f>
        <v/>
      </c>
      <c r="B46" s="57">
        <f>MASTER!AU523</f>
        <v>1</v>
      </c>
      <c r="C46" s="57" t="str">
        <f>MASTER!AV523</f>
        <v/>
      </c>
      <c r="D46" s="57" t="str">
        <f>MASTER!AW523</f>
        <v/>
      </c>
      <c r="E46" s="57" t="str">
        <f>MASTER!AX523</f>
        <v/>
      </c>
      <c r="F46" s="57" t="str">
        <f>MASTER!AY523</f>
        <v/>
      </c>
      <c r="G46" s="57" t="str">
        <f>MASTER!AZ523</f>
        <v/>
      </c>
      <c r="H46" s="57" t="str">
        <f>MASTER!BA523</f>
        <v/>
      </c>
      <c r="I46" s="57" t="str">
        <f>MASTER!BB523</f>
        <v/>
      </c>
      <c r="J46" s="57" t="str">
        <f>MASTER!BC523</f>
        <v/>
      </c>
      <c r="K46" s="57" t="str">
        <f>MASTER!BD523</f>
        <v/>
      </c>
      <c r="L46" s="57" t="str">
        <f>MASTER!BE523</f>
        <v/>
      </c>
      <c r="M46" s="57" t="str">
        <f>MASTER!BF523</f>
        <v/>
      </c>
      <c r="N46" s="57">
        <f>MASTER!BG523</f>
        <v>0</v>
      </c>
      <c r="O46" s="57">
        <f>MASTER!BH523</f>
        <v>0</v>
      </c>
      <c r="P46" s="57">
        <f>MASTER!BI523</f>
        <v>0</v>
      </c>
      <c r="Q46" s="57">
        <f>MASTER!BJ523</f>
        <v>0</v>
      </c>
      <c r="R46" s="57">
        <f>MASTER!BK523</f>
        <v>0</v>
      </c>
      <c r="S46" s="57">
        <f>MASTER!BL523</f>
        <v>0</v>
      </c>
      <c r="T46" s="57" t="str">
        <f>MASTER!BM523</f>
        <v/>
      </c>
      <c r="U46" s="57" t="str">
        <f>MASTER!BN523</f>
        <v/>
      </c>
      <c r="V46" s="57" t="str">
        <f>MASTER!BO523</f>
        <v/>
      </c>
      <c r="W46" s="57" t="str">
        <f>MASTER!BP523</f>
        <v/>
      </c>
      <c r="X46" s="57" t="str">
        <f>MASTER!BQ523</f>
        <v/>
      </c>
      <c r="Y46" s="57" t="str">
        <f>MASTER!BR523</f>
        <v/>
      </c>
      <c r="Z46" s="57">
        <f>MASTER!BS523</f>
        <v>0</v>
      </c>
      <c r="AA46" t="str">
        <f>MASTER!H$6</f>
        <v>INGINERIA SISTEMELOR</v>
      </c>
      <c r="AB46">
        <f>MASTER!C$17</f>
        <v>20</v>
      </c>
      <c r="AC46" t="str">
        <f>MASTER!H$7</f>
        <v>SECURITATEA INFORMAȚIILOR ȘI A SISTEMLOR CIBERNETICE</v>
      </c>
      <c r="AD46">
        <f>MASTER!A$17</f>
        <v>20</v>
      </c>
      <c r="AE46">
        <f>MASTER!B$17</f>
        <v>60</v>
      </c>
      <c r="AF46">
        <f>MASTER!D$17</f>
        <v>0</v>
      </c>
      <c r="AG46" t="str">
        <f>MASTER!BT523</f>
        <v/>
      </c>
    </row>
    <row r="47" spans="1:33" x14ac:dyDescent="0.2">
      <c r="A47" s="57" t="str">
        <f>MASTER!AT524</f>
        <v/>
      </c>
      <c r="B47" s="57">
        <f>MASTER!AU524</f>
        <v>2</v>
      </c>
      <c r="C47" s="57" t="str">
        <f>MASTER!AV524</f>
        <v/>
      </c>
      <c r="D47" s="57" t="str">
        <f>MASTER!AW524</f>
        <v/>
      </c>
      <c r="E47" s="57" t="str">
        <f>MASTER!AX524</f>
        <v/>
      </c>
      <c r="F47" s="57" t="str">
        <f>MASTER!AY524</f>
        <v/>
      </c>
      <c r="G47" s="57" t="str">
        <f>MASTER!AZ524</f>
        <v/>
      </c>
      <c r="H47" s="57" t="str">
        <f>MASTER!BA524</f>
        <v/>
      </c>
      <c r="I47" s="57" t="str">
        <f>MASTER!BB524</f>
        <v/>
      </c>
      <c r="J47" s="57" t="str">
        <f>MASTER!BC524</f>
        <v/>
      </c>
      <c r="K47" s="57" t="str">
        <f>MASTER!BD524</f>
        <v/>
      </c>
      <c r="L47" s="57" t="str">
        <f>MASTER!BE524</f>
        <v/>
      </c>
      <c r="M47" s="57" t="str">
        <f>MASTER!BF524</f>
        <v/>
      </c>
      <c r="N47" s="57">
        <f>MASTER!BG524</f>
        <v>0</v>
      </c>
      <c r="O47" s="57">
        <f>MASTER!BH524</f>
        <v>0</v>
      </c>
      <c r="P47" s="57">
        <f>MASTER!BI524</f>
        <v>0</v>
      </c>
      <c r="Q47" s="57">
        <f>MASTER!BJ524</f>
        <v>0</v>
      </c>
      <c r="R47" s="57">
        <f>MASTER!BK524</f>
        <v>0</v>
      </c>
      <c r="S47" s="57">
        <f>MASTER!BL524</f>
        <v>0</v>
      </c>
      <c r="T47" s="57" t="str">
        <f>MASTER!BM524</f>
        <v/>
      </c>
      <c r="U47" s="57" t="str">
        <f>MASTER!BN524</f>
        <v/>
      </c>
      <c r="V47" s="57" t="str">
        <f>MASTER!BO524</f>
        <v/>
      </c>
      <c r="W47" s="57" t="str">
        <f>MASTER!BP524</f>
        <v/>
      </c>
      <c r="X47" s="57" t="str">
        <f>MASTER!BQ524</f>
        <v/>
      </c>
      <c r="Y47" s="57" t="str">
        <f>MASTER!BR524</f>
        <v/>
      </c>
      <c r="Z47" s="57">
        <f>MASTER!BS524</f>
        <v>0</v>
      </c>
      <c r="AA47" t="str">
        <f>MASTER!H$6</f>
        <v>INGINERIA SISTEMELOR</v>
      </c>
      <c r="AB47">
        <f>MASTER!C$17</f>
        <v>20</v>
      </c>
      <c r="AC47" t="str">
        <f>MASTER!H$7</f>
        <v>SECURITATEA INFORMAȚIILOR ȘI A SISTEMLOR CIBERNETICE</v>
      </c>
      <c r="AD47">
        <f>MASTER!A$17</f>
        <v>20</v>
      </c>
      <c r="AE47">
        <f>MASTER!B$17</f>
        <v>60</v>
      </c>
      <c r="AF47">
        <f>MASTER!D$17</f>
        <v>0</v>
      </c>
      <c r="AG47" t="str">
        <f>MASTER!BT524</f>
        <v/>
      </c>
    </row>
    <row r="48" spans="1:33" x14ac:dyDescent="0.2">
      <c r="A48" s="57" t="str">
        <f>MASTER!AT525</f>
        <v/>
      </c>
      <c r="B48" s="57">
        <f>MASTER!AU525</f>
        <v>3</v>
      </c>
      <c r="C48" s="57" t="str">
        <f>MASTER!AV525</f>
        <v/>
      </c>
      <c r="D48" s="57" t="str">
        <f>MASTER!AW525</f>
        <v/>
      </c>
      <c r="E48" s="57" t="str">
        <f>MASTER!AX525</f>
        <v/>
      </c>
      <c r="F48" s="57" t="str">
        <f>MASTER!AY525</f>
        <v/>
      </c>
      <c r="G48" s="57" t="str">
        <f>MASTER!AZ525</f>
        <v/>
      </c>
      <c r="H48" s="57" t="str">
        <f>MASTER!BA525</f>
        <v/>
      </c>
      <c r="I48" s="57" t="str">
        <f>MASTER!BB525</f>
        <v/>
      </c>
      <c r="J48" s="57" t="str">
        <f>MASTER!BC525</f>
        <v/>
      </c>
      <c r="K48" s="57" t="str">
        <f>MASTER!BD525</f>
        <v/>
      </c>
      <c r="L48" s="57" t="str">
        <f>MASTER!BE525</f>
        <v/>
      </c>
      <c r="M48" s="57" t="str">
        <f>MASTER!BF525</f>
        <v/>
      </c>
      <c r="N48" s="57">
        <f>MASTER!BG525</f>
        <v>0</v>
      </c>
      <c r="O48" s="57">
        <f>MASTER!BH525</f>
        <v>0</v>
      </c>
      <c r="P48" s="57">
        <f>MASTER!BI525</f>
        <v>0</v>
      </c>
      <c r="Q48" s="57">
        <f>MASTER!BJ525</f>
        <v>0</v>
      </c>
      <c r="R48" s="57">
        <f>MASTER!BK525</f>
        <v>0</v>
      </c>
      <c r="S48" s="57">
        <f>MASTER!BL525</f>
        <v>0</v>
      </c>
      <c r="T48" s="57" t="str">
        <f>MASTER!BM525</f>
        <v/>
      </c>
      <c r="U48" s="57" t="str">
        <f>MASTER!BN525</f>
        <v/>
      </c>
      <c r="V48" s="57" t="str">
        <f>MASTER!BO525</f>
        <v/>
      </c>
      <c r="W48" s="57" t="str">
        <f>MASTER!BP525</f>
        <v/>
      </c>
      <c r="X48" s="57" t="str">
        <f>MASTER!BQ525</f>
        <v/>
      </c>
      <c r="Y48" s="57" t="str">
        <f>MASTER!BR525</f>
        <v/>
      </c>
      <c r="Z48" s="57">
        <f>MASTER!BS525</f>
        <v>0</v>
      </c>
      <c r="AA48" t="str">
        <f>MASTER!H$6</f>
        <v>INGINERIA SISTEMELOR</v>
      </c>
      <c r="AB48">
        <f>MASTER!C$17</f>
        <v>20</v>
      </c>
      <c r="AC48" t="str">
        <f>MASTER!H$7</f>
        <v>SECURITATEA INFORMAȚIILOR ȘI A SISTEMLOR CIBERNETICE</v>
      </c>
      <c r="AD48">
        <f>MASTER!A$17</f>
        <v>20</v>
      </c>
      <c r="AE48">
        <f>MASTER!B$17</f>
        <v>60</v>
      </c>
      <c r="AF48">
        <f>MASTER!D$17</f>
        <v>0</v>
      </c>
      <c r="AG48" t="str">
        <f>MASTER!BT525</f>
        <v/>
      </c>
    </row>
    <row r="49" spans="1:33" x14ac:dyDescent="0.2">
      <c r="A49" s="57" t="str">
        <f>MASTER!AT526</f>
        <v/>
      </c>
      <c r="B49" s="57">
        <f>MASTER!AU526</f>
        <v>4</v>
      </c>
      <c r="C49" s="57" t="str">
        <f>MASTER!AV526</f>
        <v/>
      </c>
      <c r="D49" s="57" t="str">
        <f>MASTER!AW526</f>
        <v/>
      </c>
      <c r="E49" s="57" t="str">
        <f>MASTER!AX526</f>
        <v/>
      </c>
      <c r="F49" s="57" t="str">
        <f>MASTER!AY526</f>
        <v/>
      </c>
      <c r="G49" s="57" t="str">
        <f>MASTER!AZ526</f>
        <v/>
      </c>
      <c r="H49" s="57" t="str">
        <f>MASTER!BA526</f>
        <v/>
      </c>
      <c r="I49" s="57" t="str">
        <f>MASTER!BB526</f>
        <v/>
      </c>
      <c r="J49" s="57" t="str">
        <f>MASTER!BC526</f>
        <v/>
      </c>
      <c r="K49" s="57" t="str">
        <f>MASTER!BD526</f>
        <v/>
      </c>
      <c r="L49" s="57" t="str">
        <f>MASTER!BE526</f>
        <v/>
      </c>
      <c r="M49" s="57" t="str">
        <f>MASTER!BF526</f>
        <v/>
      </c>
      <c r="N49" s="57">
        <f>MASTER!BG526</f>
        <v>0</v>
      </c>
      <c r="O49" s="57">
        <f>MASTER!BH526</f>
        <v>0</v>
      </c>
      <c r="P49" s="57">
        <f>MASTER!BI526</f>
        <v>0</v>
      </c>
      <c r="Q49" s="57">
        <f>MASTER!BJ526</f>
        <v>0</v>
      </c>
      <c r="R49" s="57">
        <f>MASTER!BK526</f>
        <v>0</v>
      </c>
      <c r="S49" s="57">
        <f>MASTER!BL526</f>
        <v>0</v>
      </c>
      <c r="T49" s="57" t="str">
        <f>MASTER!BM526</f>
        <v/>
      </c>
      <c r="U49" s="57" t="str">
        <f>MASTER!BN526</f>
        <v/>
      </c>
      <c r="V49" s="57" t="str">
        <f>MASTER!BO526</f>
        <v/>
      </c>
      <c r="W49" s="57" t="str">
        <f>MASTER!BP526</f>
        <v/>
      </c>
      <c r="X49" s="57" t="str">
        <f>MASTER!BQ526</f>
        <v/>
      </c>
      <c r="Y49" s="57" t="str">
        <f>MASTER!BR526</f>
        <v/>
      </c>
      <c r="Z49" s="57">
        <f>MASTER!BS526</f>
        <v>0</v>
      </c>
      <c r="AA49" t="str">
        <f>MASTER!H$6</f>
        <v>INGINERIA SISTEMELOR</v>
      </c>
      <c r="AB49">
        <f>MASTER!C$17</f>
        <v>20</v>
      </c>
      <c r="AC49" t="str">
        <f>MASTER!H$7</f>
        <v>SECURITATEA INFORMAȚIILOR ȘI A SISTEMLOR CIBERNETICE</v>
      </c>
      <c r="AD49">
        <f>MASTER!A$17</f>
        <v>20</v>
      </c>
      <c r="AE49">
        <f>MASTER!B$17</f>
        <v>60</v>
      </c>
      <c r="AF49">
        <f>MASTER!D$17</f>
        <v>0</v>
      </c>
      <c r="AG49" t="str">
        <f>MASTER!BT526</f>
        <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INGINERIA SISTEMELOR</v>
      </c>
      <c r="AB50">
        <f>MASTER!C$17</f>
        <v>20</v>
      </c>
      <c r="AC50" t="str">
        <f>MASTER!H$7</f>
        <v>SECURITATEA INFORMAȚIILOR ȘI A SISTEMLOR CIBERNETICE</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INGINERIA SISTEMELOR</v>
      </c>
      <c r="AB51">
        <f>MASTER!C$17</f>
        <v>20</v>
      </c>
      <c r="AC51" t="str">
        <f>MASTER!H$7</f>
        <v>SECURITATEA INFORMAȚIILOR ȘI A SISTEMLOR CIBERNETICE</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INGINERIA SISTEMELOR</v>
      </c>
      <c r="AB52">
        <f>MASTER!C$17</f>
        <v>20</v>
      </c>
      <c r="AC52" t="str">
        <f>MASTER!H$7</f>
        <v>SECURITATEA INFORMAȚIILOR ȘI A SISTEMLOR CIBERNETICE</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INGINERIA SISTEMELOR</v>
      </c>
      <c r="AB53">
        <f>MASTER!C$17</f>
        <v>20</v>
      </c>
      <c r="AC53" t="str">
        <f>MASTER!H$7</f>
        <v>SECURITATEA INFORMAȚIILOR ȘI A SISTEMLOR CIBERNETICE</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INGINERIA SISTEMELOR</v>
      </c>
      <c r="AB54">
        <f>MASTER!C$17</f>
        <v>20</v>
      </c>
      <c r="AC54" t="str">
        <f>MASTER!H$7</f>
        <v>SECURITATEA INFORMAȚIILOR ȘI A SISTEMLOR CIBERNETICE</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INGINERIA SISTEMELOR</v>
      </c>
      <c r="AB55">
        <f>MASTER!C$17</f>
        <v>20</v>
      </c>
      <c r="AC55" t="str">
        <f>MASTER!H$7</f>
        <v>SECURITATEA INFORMAȚIILOR ȘI A SISTEMLOR CIBERNETICE</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INGINERIA SISTEMELOR</v>
      </c>
      <c r="AB56">
        <f>MASTER!C$17</f>
        <v>20</v>
      </c>
      <c r="AC56" t="str">
        <f>MASTER!H$7</f>
        <v>SECURITATEA INFORMAȚIILOR ȘI A SISTEMLOR CIBERNETICE</v>
      </c>
      <c r="AD56">
        <f>MASTER!A$17</f>
        <v>20</v>
      </c>
      <c r="AE56">
        <f>MASTER!B$17</f>
        <v>60</v>
      </c>
      <c r="AF56">
        <f>MASTER!D$17</f>
        <v>0</v>
      </c>
      <c r="AG56" t="str">
        <f>MASTER!BT533</f>
        <v/>
      </c>
    </row>
    <row r="57" spans="1:33" x14ac:dyDescent="0.2">
      <c r="A57" s="57" t="str">
        <f>MASTER!AT534</f>
        <v>M025.23.02.S3-01</v>
      </c>
      <c r="B57" s="57">
        <f>MASTER!AU534</f>
        <v>1</v>
      </c>
      <c r="C57" s="57" t="str">
        <f>MASTER!AV534</f>
        <v>Disciplină opțională independentă 1
Standarde și metodologii pentru evaluarea securității</v>
      </c>
      <c r="D57" s="57">
        <f>MASTER!AW534</f>
        <v>1</v>
      </c>
      <c r="E57" s="57" t="str">
        <f>MASTER!AX534</f>
        <v>2</v>
      </c>
      <c r="F57" s="57">
        <f>MASTER!AY534</f>
        <v>0</v>
      </c>
      <c r="G57" s="57" t="str">
        <f>MASTER!AZ534</f>
        <v>DO</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f>MASTER!BO534</f>
        <v>0</v>
      </c>
      <c r="W57" s="57" t="str">
        <f>MASTER!BP534</f>
        <v/>
      </c>
      <c r="X57" s="57">
        <f>MASTER!BQ534</f>
        <v>0</v>
      </c>
      <c r="Y57" s="57">
        <f>MASTER!BR534</f>
        <v>0</v>
      </c>
      <c r="Z57" s="57">
        <f>MASTER!BS534</f>
        <v>0</v>
      </c>
      <c r="AA57" t="str">
        <f>MASTER!H$6</f>
        <v>INGINERIA SISTEMELOR</v>
      </c>
      <c r="AB57">
        <f>MASTER!C$17</f>
        <v>20</v>
      </c>
      <c r="AC57" t="str">
        <f>MASTER!H$7</f>
        <v>SECURITATEA INFORMAȚIILOR ȘI A SISTEMLOR CIBERNETICE</v>
      </c>
      <c r="AD57">
        <f>MASTER!A$17</f>
        <v>20</v>
      </c>
      <c r="AE57">
        <f>MASTER!B$17</f>
        <v>60</v>
      </c>
      <c r="AF57">
        <f>MASTER!D$17</f>
        <v>0</v>
      </c>
      <c r="AG57" t="str">
        <f>MASTER!BT534</f>
        <v>2023</v>
      </c>
    </row>
    <row r="58" spans="1:33" x14ac:dyDescent="0.2">
      <c r="A58" s="57" t="str">
        <f>MASTER!AT535</f>
        <v>M025.23.02.S3-02</v>
      </c>
      <c r="B58" s="57">
        <f>MASTER!AU535</f>
        <v>2</v>
      </c>
      <c r="C58" s="57" t="str">
        <f>MASTER!AV535</f>
        <v>Disciplină opțională independentă 1
Baze de date avansate</v>
      </c>
      <c r="D58" s="57">
        <f>MASTER!AW535</f>
        <v>1</v>
      </c>
      <c r="E58" s="57" t="str">
        <f>MASTER!AX535</f>
        <v>2</v>
      </c>
      <c r="F58" s="57">
        <f>MASTER!AY535</f>
        <v>8</v>
      </c>
      <c r="G58" s="57" t="str">
        <f>MASTER!AZ535</f>
        <v>DO</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f>MASTER!BO535</f>
        <v>0</v>
      </c>
      <c r="W58" s="57" t="str">
        <f>MASTER!BP535</f>
        <v/>
      </c>
      <c r="X58" s="57">
        <f>MASTER!BQ535</f>
        <v>0</v>
      </c>
      <c r="Y58" s="57">
        <f>MASTER!BR535</f>
        <v>0</v>
      </c>
      <c r="Z58" s="57">
        <f>MASTER!BS535</f>
        <v>0</v>
      </c>
      <c r="AA58" t="str">
        <f>MASTER!H$6</f>
        <v>INGINERIA SISTEMELOR</v>
      </c>
      <c r="AB58">
        <f>MASTER!C$17</f>
        <v>20</v>
      </c>
      <c r="AC58" t="str">
        <f>MASTER!H$7</f>
        <v>SECURITATEA INFORMAȚIILOR ȘI A SISTEMLOR CIBERNETICE</v>
      </c>
      <c r="AD58">
        <f>MASTER!A$17</f>
        <v>20</v>
      </c>
      <c r="AE58">
        <f>MASTER!B$17</f>
        <v>60</v>
      </c>
      <c r="AF58">
        <f>MASTER!D$17</f>
        <v>0</v>
      </c>
      <c r="AG58" t="str">
        <f>MASTER!BT535</f>
        <v>2023</v>
      </c>
    </row>
    <row r="59" spans="1:33" x14ac:dyDescent="0.2">
      <c r="A59" s="57" t="str">
        <f>MASTER!AT536</f>
        <v>M025.23.02.S3-03</v>
      </c>
      <c r="B59" s="57">
        <f>MASTER!AU536</f>
        <v>3</v>
      </c>
      <c r="C59" s="57" t="str">
        <f>MASTER!AV536</f>
        <v>Disciplină opțională independentă 1
Sisteme bazate pe cunostințe</v>
      </c>
      <c r="D59" s="57">
        <f>MASTER!AW536</f>
        <v>1</v>
      </c>
      <c r="E59" s="57" t="str">
        <f>MASTER!AX536</f>
        <v>2</v>
      </c>
      <c r="F59" s="57">
        <f>MASTER!AY536</f>
        <v>0</v>
      </c>
      <c r="G59" s="57" t="str">
        <f>MASTER!AZ536</f>
        <v>DO</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CF={DA, DCAV, DS, DC}</v>
      </c>
      <c r="W59" s="57" t="str">
        <f>MASTER!BP536</f>
        <v/>
      </c>
      <c r="X59" s="57">
        <f>MASTER!BQ536</f>
        <v>0</v>
      </c>
      <c r="Y59" s="57">
        <f>MASTER!BR536</f>
        <v>0</v>
      </c>
      <c r="Z59" s="57">
        <f>MASTER!BS536</f>
        <v>0</v>
      </c>
      <c r="AA59" t="str">
        <f>MASTER!H$6</f>
        <v>INGINERIA SISTEMELOR</v>
      </c>
      <c r="AB59">
        <f>MASTER!C$17</f>
        <v>20</v>
      </c>
      <c r="AC59" t="str">
        <f>MASTER!H$7</f>
        <v>SECURITATEA INFORMAȚIILOR ȘI A SISTEMLOR CIBERNETICE</v>
      </c>
      <c r="AD59">
        <f>MASTER!A$17</f>
        <v>20</v>
      </c>
      <c r="AE59">
        <f>MASTER!B$17</f>
        <v>60</v>
      </c>
      <c r="AF59">
        <f>MASTER!D$17</f>
        <v>0</v>
      </c>
      <c r="AG59" t="str">
        <f>MASTER!BT536</f>
        <v>2023</v>
      </c>
    </row>
    <row r="60" spans="1:33" x14ac:dyDescent="0.2">
      <c r="A60" s="57" t="str">
        <f>MASTER!AT537</f>
        <v>M025.23.02.S3-04</v>
      </c>
      <c r="B60" s="57">
        <f>MASTER!AU537</f>
        <v>4</v>
      </c>
      <c r="C60" s="57" t="str">
        <f>MASTER!AV537</f>
        <v>Disciplină opțională independentă 2
Securitatea informației în sisteme financiar-bancare</v>
      </c>
      <c r="D60" s="57">
        <f>MASTER!AW537</f>
        <v>1</v>
      </c>
      <c r="E60" s="57" t="str">
        <f>MASTER!AX537</f>
        <v>2</v>
      </c>
      <c r="F60" s="57" t="str">
        <f>MASTER!AY537</f>
        <v>DS- disciplina de sinteza</v>
      </c>
      <c r="G60" s="57" t="str">
        <f>MASTER!AZ537</f>
        <v>DO</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f>MASTER!BO537</f>
        <v>0</v>
      </c>
      <c r="W60" s="57" t="str">
        <f>MASTER!BP537</f>
        <v/>
      </c>
      <c r="X60" s="57">
        <f>MASTER!BQ537</f>
        <v>0</v>
      </c>
      <c r="Y60" s="57">
        <f>MASTER!BR537</f>
        <v>0</v>
      </c>
      <c r="Z60" s="57">
        <f>MASTER!BS537</f>
        <v>0</v>
      </c>
      <c r="AA60" t="str">
        <f>MASTER!H$6</f>
        <v>INGINERIA SISTEMELOR</v>
      </c>
      <c r="AB60">
        <f>MASTER!C$17</f>
        <v>20</v>
      </c>
      <c r="AC60" t="str">
        <f>MASTER!H$7</f>
        <v>SECURITATEA INFORMAȚIILOR ȘI A SISTEMLOR CIBERNETICE</v>
      </c>
      <c r="AD60">
        <f>MASTER!A$17</f>
        <v>20</v>
      </c>
      <c r="AE60">
        <f>MASTER!B$17</f>
        <v>60</v>
      </c>
      <c r="AF60">
        <f>MASTER!D$17</f>
        <v>0</v>
      </c>
      <c r="AG60" t="str">
        <f>MASTER!BT537</f>
        <v>2023</v>
      </c>
    </row>
    <row r="61" spans="1:33" x14ac:dyDescent="0.2">
      <c r="A61" s="57" t="str">
        <f>MASTER!AT538</f>
        <v>M025.23.02.S3-05</v>
      </c>
      <c r="B61" s="57">
        <f>MASTER!AU538</f>
        <v>5</v>
      </c>
      <c r="C61" s="57" t="str">
        <f>MASTER!AV538</f>
        <v>Disciplină opțională independentă 2
Rețele neuronale, sisteme fuzzy și algoritmi genetici</v>
      </c>
      <c r="D61" s="57">
        <f>MASTER!AW538</f>
        <v>1</v>
      </c>
      <c r="E61" s="57" t="str">
        <f>MASTER!AX538</f>
        <v>2</v>
      </c>
      <c r="F61" s="57">
        <f>MASTER!AY538</f>
        <v>0</v>
      </c>
      <c r="G61" s="57" t="str">
        <f>MASTER!AZ538</f>
        <v>DO</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f>MASTER!BO538</f>
        <v>0</v>
      </c>
      <c r="W61" s="57" t="str">
        <f>MASTER!BP538</f>
        <v/>
      </c>
      <c r="X61" s="57">
        <f>MASTER!BQ538</f>
        <v>0</v>
      </c>
      <c r="Y61" s="57">
        <f>MASTER!BR538</f>
        <v>0</v>
      </c>
      <c r="Z61" s="57">
        <f>MASTER!BS538</f>
        <v>0</v>
      </c>
      <c r="AA61" t="str">
        <f>MASTER!H$6</f>
        <v>INGINERIA SISTEMELOR</v>
      </c>
      <c r="AB61">
        <f>MASTER!C$17</f>
        <v>20</v>
      </c>
      <c r="AC61" t="str">
        <f>MASTER!H$7</f>
        <v>SECURITATEA INFORMAȚIILOR ȘI A SISTEMLOR CIBERNETICE</v>
      </c>
      <c r="AD61">
        <f>MASTER!A$17</f>
        <v>20</v>
      </c>
      <c r="AE61">
        <f>MASTER!B$17</f>
        <v>60</v>
      </c>
      <c r="AF61">
        <f>MASTER!D$17</f>
        <v>0</v>
      </c>
      <c r="AG61" t="str">
        <f>MASTER!BT538</f>
        <v>2023</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INGINERIA SISTEMELOR</v>
      </c>
      <c r="AB62">
        <f>MASTER!C$17</f>
        <v>20</v>
      </c>
      <c r="AC62" t="str">
        <f>MASTER!H$7</f>
        <v>SECURITATEA INFORMAȚIILOR ȘI A SISTEMLOR CIBERNETICE</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INGINERIA SISTEMELOR</v>
      </c>
      <c r="AB63">
        <f>MASTER!C$17</f>
        <v>20</v>
      </c>
      <c r="AC63" t="str">
        <f>MASTER!H$7</f>
        <v>SECURITATEA INFORMAȚIILOR ȘI A SISTEMLOR CIBERNETICE</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INGINERIA SISTEMELOR</v>
      </c>
      <c r="AB64">
        <f>MASTER!C$17</f>
        <v>20</v>
      </c>
      <c r="AC64" t="str">
        <f>MASTER!H$7</f>
        <v>SECURITATEA INFORMAȚIILOR ȘI A SISTEMLOR CIBERNETICE</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INGINERIA SISTEMELOR</v>
      </c>
      <c r="AB65">
        <f>MASTER!C$17</f>
        <v>20</v>
      </c>
      <c r="AC65" t="str">
        <f>MASTER!H$7</f>
        <v>SECURITATEA INFORMAȚIILOR ȘI A SISTEMLOR CIBERNETICE</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INGINERIA SISTEMELOR</v>
      </c>
      <c r="AB66">
        <f>MASTER!C$17</f>
        <v>20</v>
      </c>
      <c r="AC66" t="str">
        <f>MASTER!H$7</f>
        <v>SECURITATEA INFORMAȚIILOR ȘI A SISTEMLOR CIBERNETICE</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INGINERIA SISTEMELOR</v>
      </c>
      <c r="AB67">
        <f>MASTER!C$17</f>
        <v>20</v>
      </c>
      <c r="AC67" t="str">
        <f>MASTER!H$7</f>
        <v>SECURITATEA INFORMAȚIILOR ȘI A SISTEMLOR CIBERNETICE</v>
      </c>
      <c r="AD67">
        <f>MASTER!A$17</f>
        <v>20</v>
      </c>
      <c r="AE67">
        <f>MASTER!B$17</f>
        <v>60</v>
      </c>
      <c r="AF67">
        <f>MASTER!D$17</f>
        <v>0</v>
      </c>
      <c r="AG67" t="str">
        <f>MASTER!BT544</f>
        <v/>
      </c>
    </row>
    <row r="68" spans="1:33" x14ac:dyDescent="0.2">
      <c r="A68" s="57" t="str">
        <f>MASTER!AT545</f>
        <v>M025.23.03.A3-01</v>
      </c>
      <c r="B68" s="57">
        <f>MASTER!AU545</f>
        <v>1</v>
      </c>
      <c r="C68" s="57" t="str">
        <f>MASTER!AV545</f>
        <v>Disciplină opțională independentă 3
Tratarea incidentelor de securitate și măsuri de prevenție</v>
      </c>
      <c r="D68" s="57">
        <f>MASTER!AW545</f>
        <v>2</v>
      </c>
      <c r="E68" s="57" t="str">
        <f>MASTER!AX545</f>
        <v>3</v>
      </c>
      <c r="F68" s="57" t="str">
        <f>MASTER!AY545</f>
        <v>E</v>
      </c>
      <c r="G68" s="57" t="str">
        <f>MASTER!AZ545</f>
        <v>DO</v>
      </c>
      <c r="H68" s="57">
        <f>MASTER!BA545</f>
        <v>2</v>
      </c>
      <c r="I68" s="57">
        <f>MASTER!BB545</f>
        <v>1.5</v>
      </c>
      <c r="J68" s="57">
        <f>MASTER!BC545</f>
        <v>3.5</v>
      </c>
      <c r="K68" s="57">
        <f>MASTER!BD545</f>
        <v>28</v>
      </c>
      <c r="L68" s="57">
        <f>MASTER!BE545</f>
        <v>21</v>
      </c>
      <c r="M68" s="57">
        <f>MASTER!BF545</f>
        <v>49</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5</v>
      </c>
      <c r="W68" s="57">
        <f>MASTER!BP545</f>
        <v>0</v>
      </c>
      <c r="X68" s="57" t="e">
        <f>MASTER!BQ545</f>
        <v>#VALUE!</v>
      </c>
      <c r="Y68" s="57" t="e">
        <f>MASTER!BR545</f>
        <v>#VALUE!</v>
      </c>
      <c r="Z68" s="57">
        <f>MASTER!BS545</f>
        <v>0</v>
      </c>
      <c r="AA68" t="str">
        <f>MASTER!H$6</f>
        <v>INGINERIA SISTEMELOR</v>
      </c>
      <c r="AB68">
        <f>MASTER!C$17</f>
        <v>20</v>
      </c>
      <c r="AC68" t="str">
        <f>MASTER!H$7</f>
        <v>SECURITATEA INFORMAȚIILOR ȘI A SISTEMLOR CIBERNETICE</v>
      </c>
      <c r="AD68">
        <f>MASTER!A$17</f>
        <v>20</v>
      </c>
      <c r="AE68">
        <f>MASTER!B$17</f>
        <v>60</v>
      </c>
      <c r="AF68">
        <f>MASTER!D$17</f>
        <v>0</v>
      </c>
      <c r="AG68" t="str">
        <f>MASTER!BT545</f>
        <v>2024</v>
      </c>
    </row>
    <row r="69" spans="1:33" x14ac:dyDescent="0.2">
      <c r="A69" s="57" t="str">
        <f>MASTER!AT546</f>
        <v>M025.23.03.A3-02</v>
      </c>
      <c r="B69" s="57">
        <f>MASTER!AU546</f>
        <v>2</v>
      </c>
      <c r="C69" s="57" t="str">
        <f>MASTER!AV546</f>
        <v>Disciplină opțională independentă 3
Sisteme haotice</v>
      </c>
      <c r="D69" s="57">
        <f>MASTER!AW546</f>
        <v>2</v>
      </c>
      <c r="E69" s="57" t="str">
        <f>MASTER!AX546</f>
        <v>3</v>
      </c>
      <c r="F69" s="57" t="str">
        <f>MASTER!AY546</f>
        <v>E</v>
      </c>
      <c r="G69" s="57" t="str">
        <f>MASTER!AZ546</f>
        <v>DO</v>
      </c>
      <c r="H69" s="57">
        <f>MASTER!BA546</f>
        <v>2</v>
      </c>
      <c r="I69" s="57">
        <f>MASTER!BB546</f>
        <v>1.5</v>
      </c>
      <c r="J69" s="57">
        <f>MASTER!BC546</f>
        <v>3.5</v>
      </c>
      <c r="K69" s="57">
        <f>MASTER!BD546</f>
        <v>28</v>
      </c>
      <c r="L69" s="57">
        <f>MASTER!BE546</f>
        <v>21</v>
      </c>
      <c r="M69" s="57">
        <f>MASTER!BF546</f>
        <v>49</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5</v>
      </c>
      <c r="W69" s="57">
        <f>MASTER!BP546</f>
        <v>0</v>
      </c>
      <c r="X69" s="57" t="e">
        <f>MASTER!BQ546</f>
        <v>#VALUE!</v>
      </c>
      <c r="Y69" s="57" t="e">
        <f>MASTER!BR546</f>
        <v>#VALUE!</v>
      </c>
      <c r="Z69" s="57">
        <f>MASTER!BS546</f>
        <v>0</v>
      </c>
      <c r="AA69" t="str">
        <f>MASTER!H$6</f>
        <v>INGINERIA SISTEMELOR</v>
      </c>
      <c r="AB69">
        <f>MASTER!C$17</f>
        <v>20</v>
      </c>
      <c r="AC69" t="str">
        <f>MASTER!H$7</f>
        <v>SECURITATEA INFORMAȚIILOR ȘI A SISTEMLOR CIBERNETICE</v>
      </c>
      <c r="AD69">
        <f>MASTER!A$17</f>
        <v>20</v>
      </c>
      <c r="AE69">
        <f>MASTER!B$17</f>
        <v>60</v>
      </c>
      <c r="AF69">
        <f>MASTER!D$17</f>
        <v>0</v>
      </c>
      <c r="AG69" t="str">
        <f>MASTER!BT546</f>
        <v>2024</v>
      </c>
    </row>
    <row r="70" spans="1:33" x14ac:dyDescent="0.2">
      <c r="A70" s="57" t="str">
        <f>MASTER!AT547</f>
        <v>M025.23.03.A3-03</v>
      </c>
      <c r="B70" s="57">
        <f>MASTER!AU547</f>
        <v>3</v>
      </c>
      <c r="C70" s="57" t="str">
        <f>MASTER!AV547</f>
        <v>Disciplină opțională independentă 3
Managementul proiectelor</v>
      </c>
      <c r="D70" s="57">
        <f>MASTER!AW547</f>
        <v>2</v>
      </c>
      <c r="E70" s="57" t="str">
        <f>MASTER!AX547</f>
        <v>3</v>
      </c>
      <c r="F70" s="57" t="str">
        <f>MASTER!AY547</f>
        <v>E</v>
      </c>
      <c r="G70" s="57" t="str">
        <f>MASTER!AZ547</f>
        <v>DO</v>
      </c>
      <c r="H70" s="57">
        <f>MASTER!BA547</f>
        <v>2</v>
      </c>
      <c r="I70" s="57">
        <f>MASTER!BB547</f>
        <v>1.5</v>
      </c>
      <c r="J70" s="57">
        <f>MASTER!BC547</f>
        <v>3.5</v>
      </c>
      <c r="K70" s="57">
        <f>MASTER!BD547</f>
        <v>28</v>
      </c>
      <c r="L70" s="57">
        <f>MASTER!BE547</f>
        <v>21</v>
      </c>
      <c r="M70" s="57">
        <f>MASTER!BF547</f>
        <v>49</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5</v>
      </c>
      <c r="W70" s="57">
        <f>MASTER!BP547</f>
        <v>0</v>
      </c>
      <c r="X70" s="57" t="e">
        <f>MASTER!BQ547</f>
        <v>#VALUE!</v>
      </c>
      <c r="Y70" s="57" t="e">
        <f>MASTER!BR547</f>
        <v>#VALUE!</v>
      </c>
      <c r="Z70" s="57">
        <f>MASTER!BS547</f>
        <v>0</v>
      </c>
      <c r="AA70" t="str">
        <f>MASTER!H$6</f>
        <v>INGINERIA SISTEMELOR</v>
      </c>
      <c r="AB70">
        <f>MASTER!C$17</f>
        <v>20</v>
      </c>
      <c r="AC70" t="str">
        <f>MASTER!H$7</f>
        <v>SECURITATEA INFORMAȚIILOR ȘI A SISTEMLOR CIBERNETICE</v>
      </c>
      <c r="AD70">
        <f>MASTER!A$17</f>
        <v>20</v>
      </c>
      <c r="AE70">
        <f>MASTER!B$17</f>
        <v>60</v>
      </c>
      <c r="AF70">
        <f>MASTER!D$17</f>
        <v>0</v>
      </c>
      <c r="AG70" t="str">
        <f>MASTER!BT547</f>
        <v>2024</v>
      </c>
    </row>
    <row r="71" spans="1:33" x14ac:dyDescent="0.2">
      <c r="A71" s="57" t="str">
        <f>MASTER!AT548</f>
        <v>M025.23.03.A3-04</v>
      </c>
      <c r="B71" s="57">
        <f>MASTER!AU548</f>
        <v>4</v>
      </c>
      <c r="C71" s="57" t="str">
        <f>MASTER!AV548</f>
        <v>Disciplină opțională independentă 3
Tehnologii Java</v>
      </c>
      <c r="D71" s="57">
        <f>MASTER!AW548</f>
        <v>2</v>
      </c>
      <c r="E71" s="57" t="str">
        <f>MASTER!AX548</f>
        <v>3</v>
      </c>
      <c r="F71" s="57" t="str">
        <f>MASTER!AY548</f>
        <v>E</v>
      </c>
      <c r="G71" s="57" t="str">
        <f>MASTER!AZ548</f>
        <v>DO</v>
      </c>
      <c r="H71" s="57">
        <f>MASTER!BA548</f>
        <v>2</v>
      </c>
      <c r="I71" s="57">
        <f>MASTER!BB548</f>
        <v>1.5</v>
      </c>
      <c r="J71" s="57">
        <f>MASTER!BC548</f>
        <v>3.5</v>
      </c>
      <c r="K71" s="57">
        <f>MASTER!BD548</f>
        <v>28</v>
      </c>
      <c r="L71" s="57">
        <f>MASTER!BE548</f>
        <v>21</v>
      </c>
      <c r="M71" s="57">
        <f>MASTER!BF548</f>
        <v>49</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5</v>
      </c>
      <c r="W71" s="57">
        <f>MASTER!BP548</f>
        <v>0</v>
      </c>
      <c r="X71" s="57" t="e">
        <f>MASTER!BQ548</f>
        <v>#VALUE!</v>
      </c>
      <c r="Y71" s="57" t="e">
        <f>MASTER!BR548</f>
        <v>#VALUE!</v>
      </c>
      <c r="Z71" s="57">
        <f>MASTER!BS548</f>
        <v>0</v>
      </c>
      <c r="AA71" t="str">
        <f>MASTER!H$6</f>
        <v>INGINERIA SISTEMELOR</v>
      </c>
      <c r="AB71">
        <f>MASTER!C$17</f>
        <v>20</v>
      </c>
      <c r="AC71" t="str">
        <f>MASTER!H$7</f>
        <v>SECURITATEA INFORMAȚIILOR ȘI A SISTEMLOR CIBERNETICE</v>
      </c>
      <c r="AD71">
        <f>MASTER!A$17</f>
        <v>20</v>
      </c>
      <c r="AE71">
        <f>MASTER!B$17</f>
        <v>60</v>
      </c>
      <c r="AF71">
        <f>MASTER!D$17</f>
        <v>0</v>
      </c>
      <c r="AG71" t="str">
        <f>MASTER!BT548</f>
        <v>2024</v>
      </c>
    </row>
    <row r="72" spans="1:33" x14ac:dyDescent="0.2">
      <c r="A72" s="57" t="str">
        <f>MASTER!AT549</f>
        <v>M025.23.03.A3-05</v>
      </c>
      <c r="B72" s="57">
        <f>MASTER!AU549</f>
        <v>5</v>
      </c>
      <c r="C72" s="57" t="str">
        <f>MASTER!AV549</f>
        <v>Disciplină opțională independentă 4
Comunicații de date intervehiculare</v>
      </c>
      <c r="D72" s="57">
        <f>MASTER!AW549</f>
        <v>2</v>
      </c>
      <c r="E72" s="57" t="str">
        <f>MASTER!AX549</f>
        <v>3</v>
      </c>
      <c r="F72" s="57" t="str">
        <f>MASTER!AY549</f>
        <v>E</v>
      </c>
      <c r="G72" s="57" t="str">
        <f>MASTER!AZ549</f>
        <v>DO</v>
      </c>
      <c r="H72" s="57">
        <f>MASTER!BA549</f>
        <v>2</v>
      </c>
      <c r="I72" s="57">
        <f>MASTER!BB549</f>
        <v>1.5</v>
      </c>
      <c r="J72" s="57">
        <f>MASTER!BC549</f>
        <v>3.5</v>
      </c>
      <c r="K72" s="57">
        <f>MASTER!BD549</f>
        <v>28</v>
      </c>
      <c r="L72" s="57">
        <f>MASTER!BE549</f>
        <v>21</v>
      </c>
      <c r="M72" s="57">
        <f>MASTER!BF549</f>
        <v>49</v>
      </c>
      <c r="N72" s="57">
        <f>MASTER!BG549</f>
        <v>0</v>
      </c>
      <c r="O72" s="57">
        <f>MASTER!BH549</f>
        <v>0</v>
      </c>
      <c r="P72" s="57">
        <f>MASTER!BI549</f>
        <v>0</v>
      </c>
      <c r="Q72" s="57">
        <f>MASTER!BJ549</f>
        <v>0</v>
      </c>
      <c r="R72" s="57">
        <f>MASTER!BK549</f>
        <v>0</v>
      </c>
      <c r="S72" s="57">
        <f>MASTER!BL549</f>
        <v>0</v>
      </c>
      <c r="T72" s="57" t="e">
        <f>MASTER!BM549</f>
        <v>#VALUE!</v>
      </c>
      <c r="U72" s="57" t="e">
        <f>MASTER!BN549</f>
        <v>#VALUE!</v>
      </c>
      <c r="V72" s="57">
        <f>MASTER!BO549</f>
        <v>5</v>
      </c>
      <c r="W72" s="57">
        <f>MASTER!BP549</f>
        <v>0</v>
      </c>
      <c r="X72" s="57" t="e">
        <f>MASTER!BQ549</f>
        <v>#VALUE!</v>
      </c>
      <c r="Y72" s="57" t="e">
        <f>MASTER!BR549</f>
        <v>#VALUE!</v>
      </c>
      <c r="Z72" s="57">
        <f>MASTER!BS549</f>
        <v>0</v>
      </c>
      <c r="AA72" t="str">
        <f>MASTER!H$6</f>
        <v>INGINERIA SISTEMELOR</v>
      </c>
      <c r="AB72">
        <f>MASTER!C$17</f>
        <v>20</v>
      </c>
      <c r="AC72" t="str">
        <f>MASTER!H$7</f>
        <v>SECURITATEA INFORMAȚIILOR ȘI A SISTEMLOR CIBERNETICE</v>
      </c>
      <c r="AD72">
        <f>MASTER!A$17</f>
        <v>20</v>
      </c>
      <c r="AE72">
        <f>MASTER!B$17</f>
        <v>60</v>
      </c>
      <c r="AF72">
        <f>MASTER!D$17</f>
        <v>0</v>
      </c>
      <c r="AG72" t="str">
        <f>MASTER!BT549</f>
        <v>2024</v>
      </c>
    </row>
    <row r="73" spans="1:33" x14ac:dyDescent="0.2">
      <c r="A73" s="57" t="str">
        <f>MASTER!AT550</f>
        <v>M025.23.03.A3-06</v>
      </c>
      <c r="B73" s="57">
        <f>MASTER!AU550</f>
        <v>6</v>
      </c>
      <c r="C73" s="57" t="str">
        <f>MASTER!AV550</f>
        <v>Disciplină opțională independentă 4
Modele bioinformatice</v>
      </c>
      <c r="D73" s="57">
        <f>MASTER!AW550</f>
        <v>2</v>
      </c>
      <c r="E73" s="57" t="str">
        <f>MASTER!AX550</f>
        <v>3</v>
      </c>
      <c r="F73" s="57" t="str">
        <f>MASTER!AY550</f>
        <v>E</v>
      </c>
      <c r="G73" s="57" t="str">
        <f>MASTER!AZ550</f>
        <v>DO</v>
      </c>
      <c r="H73" s="57">
        <f>MASTER!BA550</f>
        <v>2</v>
      </c>
      <c r="I73" s="57">
        <f>MASTER!BB550</f>
        <v>1.5</v>
      </c>
      <c r="J73" s="57">
        <f>MASTER!BC550</f>
        <v>3.5</v>
      </c>
      <c r="K73" s="57">
        <f>MASTER!BD550</f>
        <v>28</v>
      </c>
      <c r="L73" s="57">
        <f>MASTER!BE550</f>
        <v>21</v>
      </c>
      <c r="M73" s="57">
        <f>MASTER!BF550</f>
        <v>49</v>
      </c>
      <c r="N73" s="57">
        <f>MASTER!BG550</f>
        <v>0</v>
      </c>
      <c r="O73" s="57">
        <f>MASTER!BH550</f>
        <v>0</v>
      </c>
      <c r="P73" s="57">
        <f>MASTER!BI550</f>
        <v>0</v>
      </c>
      <c r="Q73" s="57">
        <f>MASTER!BJ550</f>
        <v>0</v>
      </c>
      <c r="R73" s="57">
        <f>MASTER!BK550</f>
        <v>0</v>
      </c>
      <c r="S73" s="57">
        <f>MASTER!BL550</f>
        <v>0</v>
      </c>
      <c r="T73" s="57" t="e">
        <f>MASTER!BM550</f>
        <v>#VALUE!</v>
      </c>
      <c r="U73" s="57" t="e">
        <f>MASTER!BN550</f>
        <v>#VALUE!</v>
      </c>
      <c r="V73" s="57">
        <f>MASTER!BO550</f>
        <v>5</v>
      </c>
      <c r="W73" s="57">
        <f>MASTER!BP550</f>
        <v>0</v>
      </c>
      <c r="X73" s="57" t="e">
        <f>MASTER!BQ550</f>
        <v>#VALUE!</v>
      </c>
      <c r="Y73" s="57" t="e">
        <f>MASTER!BR550</f>
        <v>#VALUE!</v>
      </c>
      <c r="Z73" s="57">
        <f>MASTER!BS550</f>
        <v>0</v>
      </c>
      <c r="AA73" t="str">
        <f>MASTER!H$6</f>
        <v>INGINERIA SISTEMELOR</v>
      </c>
      <c r="AB73">
        <f>MASTER!C$17</f>
        <v>20</v>
      </c>
      <c r="AC73" t="str">
        <f>MASTER!H$7</f>
        <v>SECURITATEA INFORMAȚIILOR ȘI A SISTEMLOR CIBERNETICE</v>
      </c>
      <c r="AD73">
        <f>MASTER!A$17</f>
        <v>20</v>
      </c>
      <c r="AE73">
        <f>MASTER!B$17</f>
        <v>60</v>
      </c>
      <c r="AF73">
        <f>MASTER!D$17</f>
        <v>0</v>
      </c>
      <c r="AG73" t="str">
        <f>MASTER!BT550</f>
        <v>2024</v>
      </c>
    </row>
    <row r="74" spans="1:33" x14ac:dyDescent="0.2">
      <c r="A74" s="57" t="str">
        <f>MASTER!AT551</f>
        <v/>
      </c>
      <c r="B74" s="57">
        <f>MASTER!AU551</f>
        <v>7</v>
      </c>
      <c r="C74" s="57" t="str">
        <f>MASTER!AV551</f>
        <v/>
      </c>
      <c r="D74" s="57" t="str">
        <f>MASTER!AW551</f>
        <v/>
      </c>
      <c r="E74" s="57" t="str">
        <f>MASTER!AX551</f>
        <v/>
      </c>
      <c r="F74" s="57" t="str">
        <f>MASTER!AY551</f>
        <v/>
      </c>
      <c r="G74" s="57" t="str">
        <f>MASTER!AZ551</f>
        <v/>
      </c>
      <c r="H74" s="57" t="str">
        <f>MASTER!BA551</f>
        <v/>
      </c>
      <c r="I74" s="57" t="str">
        <f>MASTER!BB551</f>
        <v/>
      </c>
      <c r="J74" s="57" t="str">
        <f>MASTER!BC551</f>
        <v/>
      </c>
      <c r="K74" s="57" t="str">
        <f>MASTER!BD551</f>
        <v/>
      </c>
      <c r="L74" s="57" t="str">
        <f>MASTER!BE551</f>
        <v/>
      </c>
      <c r="M74" s="57" t="str">
        <f>MASTER!BF551</f>
        <v/>
      </c>
      <c r="N74" s="57">
        <f>MASTER!BG551</f>
        <v>0</v>
      </c>
      <c r="O74" s="57">
        <f>MASTER!BH551</f>
        <v>0</v>
      </c>
      <c r="P74" s="57">
        <f>MASTER!BI551</f>
        <v>0</v>
      </c>
      <c r="Q74" s="57">
        <f>MASTER!BJ551</f>
        <v>0</v>
      </c>
      <c r="R74" s="57">
        <f>MASTER!BK551</f>
        <v>0</v>
      </c>
      <c r="S74" s="57">
        <f>MASTER!BL551</f>
        <v>0</v>
      </c>
      <c r="T74" s="57" t="str">
        <f>MASTER!BM551</f>
        <v/>
      </c>
      <c r="U74" s="57" t="str">
        <f>MASTER!BN551</f>
        <v/>
      </c>
      <c r="V74" s="57" t="str">
        <f>MASTER!BO551</f>
        <v/>
      </c>
      <c r="W74" s="57" t="str">
        <f>MASTER!BP551</f>
        <v/>
      </c>
      <c r="X74" s="57" t="str">
        <f>MASTER!BQ551</f>
        <v/>
      </c>
      <c r="Y74" s="57" t="str">
        <f>MASTER!BR551</f>
        <v/>
      </c>
      <c r="Z74" s="57">
        <f>MASTER!BS551</f>
        <v>0</v>
      </c>
      <c r="AA74" t="str">
        <f>MASTER!H$6</f>
        <v>INGINERIA SISTEMELOR</v>
      </c>
      <c r="AB74">
        <f>MASTER!C$17</f>
        <v>20</v>
      </c>
      <c r="AC74" t="str">
        <f>MASTER!H$7</f>
        <v>SECURITATEA INFORMAȚIILOR ȘI A SISTEMLOR CIBERNETICE</v>
      </c>
      <c r="AD74">
        <f>MASTER!A$17</f>
        <v>20</v>
      </c>
      <c r="AE74">
        <f>MASTER!B$17</f>
        <v>60</v>
      </c>
      <c r="AF74">
        <f>MASTER!D$17</f>
        <v>0</v>
      </c>
      <c r="AG74" t="str">
        <f>MASTER!BT551</f>
        <v/>
      </c>
    </row>
    <row r="75" spans="1:33" x14ac:dyDescent="0.2">
      <c r="A75" s="57" t="str">
        <f>MASTER!AT552</f>
        <v/>
      </c>
      <c r="B75" s="57">
        <f>MASTER!AU552</f>
        <v>8</v>
      </c>
      <c r="C75" s="57" t="str">
        <f>MASTER!AV552</f>
        <v/>
      </c>
      <c r="D75" s="57" t="str">
        <f>MASTER!AW552</f>
        <v/>
      </c>
      <c r="E75" s="57" t="str">
        <f>MASTER!AX552</f>
        <v/>
      </c>
      <c r="F75" s="57" t="str">
        <f>MASTER!AY552</f>
        <v/>
      </c>
      <c r="G75" s="57" t="str">
        <f>MASTER!AZ552</f>
        <v/>
      </c>
      <c r="H75" s="57" t="str">
        <f>MASTER!BA552</f>
        <v/>
      </c>
      <c r="I75" s="57" t="str">
        <f>MASTER!BB552</f>
        <v/>
      </c>
      <c r="J75" s="57" t="str">
        <f>MASTER!BC552</f>
        <v/>
      </c>
      <c r="K75" s="57" t="str">
        <f>MASTER!BD552</f>
        <v/>
      </c>
      <c r="L75" s="57" t="str">
        <f>MASTER!BE552</f>
        <v/>
      </c>
      <c r="M75" s="57" t="str">
        <f>MASTER!BF552</f>
        <v/>
      </c>
      <c r="N75" s="57">
        <f>MASTER!BG552</f>
        <v>0</v>
      </c>
      <c r="O75" s="57">
        <f>MASTER!BH552</f>
        <v>0</v>
      </c>
      <c r="P75" s="57">
        <f>MASTER!BI552</f>
        <v>0</v>
      </c>
      <c r="Q75" s="57">
        <f>MASTER!BJ552</f>
        <v>0</v>
      </c>
      <c r="R75" s="57">
        <f>MASTER!BK552</f>
        <v>0</v>
      </c>
      <c r="S75" s="57">
        <f>MASTER!BL552</f>
        <v>0</v>
      </c>
      <c r="T75" s="57" t="str">
        <f>MASTER!BM552</f>
        <v/>
      </c>
      <c r="U75" s="57" t="str">
        <f>MASTER!BN552</f>
        <v/>
      </c>
      <c r="V75" s="57" t="str">
        <f>MASTER!BO552</f>
        <v/>
      </c>
      <c r="W75" s="57" t="str">
        <f>MASTER!BP552</f>
        <v/>
      </c>
      <c r="X75" s="57" t="str">
        <f>MASTER!BQ552</f>
        <v/>
      </c>
      <c r="Y75" s="57" t="str">
        <f>MASTER!BR552</f>
        <v/>
      </c>
      <c r="Z75" s="57">
        <f>MASTER!BS552</f>
        <v>0</v>
      </c>
      <c r="AA75" t="str">
        <f>MASTER!H$6</f>
        <v>INGINERIA SISTEMELOR</v>
      </c>
      <c r="AB75">
        <f>MASTER!C$17</f>
        <v>20</v>
      </c>
      <c r="AC75" t="str">
        <f>MASTER!H$7</f>
        <v>SECURITATEA INFORMAȚIILOR ȘI A SISTEMLOR CIBERNETICE</v>
      </c>
      <c r="AD75">
        <f>MASTER!A$17</f>
        <v>20</v>
      </c>
      <c r="AE75">
        <f>MASTER!B$17</f>
        <v>60</v>
      </c>
      <c r="AF75">
        <f>MASTER!D$17</f>
        <v>0</v>
      </c>
      <c r="AG75" t="str">
        <f>MASTER!BT552</f>
        <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INGINERIA SISTEMELOR</v>
      </c>
      <c r="AB76">
        <f>MASTER!C$17</f>
        <v>20</v>
      </c>
      <c r="AC76" t="str">
        <f>MASTER!H$7</f>
        <v>SECURITATEA INFORMAȚIILOR ȘI A SISTEMLOR CIBERNETICE</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INGINERIA SISTEMELOR</v>
      </c>
      <c r="AB77">
        <f>MASTER!C$17</f>
        <v>20</v>
      </c>
      <c r="AC77" t="str">
        <f>MASTER!H$7</f>
        <v>SECURITATEA INFORMAȚIILOR ȘI A SISTEMLOR CIBERNETICE</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INGINERIA SISTEMELOR</v>
      </c>
      <c r="AB78">
        <f>MASTER!C$17</f>
        <v>20</v>
      </c>
      <c r="AC78" t="str">
        <f>MASTER!H$7</f>
        <v>SECURITATEA INFORMAȚIILOR ȘI A SISTEMLOR CIBERNETICE</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INGINERIA SISTEMELOR</v>
      </c>
      <c r="AB79">
        <f>MASTER!C$17</f>
        <v>20</v>
      </c>
      <c r="AC79" t="str">
        <f>MASTER!H$7</f>
        <v>SECURITATEA INFORMAȚIILOR ȘI A SISTEMLOR CIBERNETICE</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INGINERIA SISTEMELOR</v>
      </c>
      <c r="AB80">
        <f>MASTER!C$17</f>
        <v>20</v>
      </c>
      <c r="AC80" t="str">
        <f>MASTER!H$7</f>
        <v>SECURITATEA INFORMAȚIILOR ȘI A SISTEMLOR CIBERNETICE</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INGINERIA SISTEMELOR</v>
      </c>
      <c r="AB81">
        <f>MASTER!C$17</f>
        <v>20</v>
      </c>
      <c r="AC81" t="str">
        <f>MASTER!H$7</f>
        <v>SECURITATEA INFORMAȚIILOR ȘI A SISTEMLOR CIBERNETICE</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INGINERIA SISTEMELOR</v>
      </c>
      <c r="AB82">
        <f>MASTER!C$17</f>
        <v>20</v>
      </c>
      <c r="AC82" t="str">
        <f>MASTER!H$7</f>
        <v>SECURITATEA INFORMAȚIILOR ȘI A SISTEMLOR CIBERNETICE</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INGINERIA SISTEMELOR</v>
      </c>
      <c r="AB83">
        <f>MASTER!C$17</f>
        <v>20</v>
      </c>
      <c r="AC83" t="str">
        <f>MASTER!H$7</f>
        <v>SECURITATEA INFORMAȚIILOR ȘI A SISTEMLOR CIBERNETICE</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INGINERIA SISTEMELOR</v>
      </c>
      <c r="AB84">
        <f>MASTER!C$17</f>
        <v>20</v>
      </c>
      <c r="AC84" t="str">
        <f>MASTER!H$7</f>
        <v>SECURITATEA INFORMAȚIILOR ȘI A SISTEMLOR CIBERNETICE</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INGINERIA SISTEMELOR</v>
      </c>
      <c r="AB85">
        <f>MASTER!C$17</f>
        <v>20</v>
      </c>
      <c r="AC85" t="str">
        <f>MASTER!H$7</f>
        <v>SECURITATEA INFORMAȚIILOR ȘI A SISTEMLOR CIBERNETICE</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INGINERIA SISTEMELOR</v>
      </c>
      <c r="AB86">
        <f>MASTER!C$17</f>
        <v>20</v>
      </c>
      <c r="AC86" t="str">
        <f>MASTER!H$7</f>
        <v>SECURITATEA INFORMAȚIILOR ȘI A SISTEMLOR CIBERNETICE</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INGINERIA SISTEMELOR</v>
      </c>
      <c r="AB87">
        <f>MASTER!C$17</f>
        <v>20</v>
      </c>
      <c r="AC87" t="str">
        <f>MASTER!H$7</f>
        <v>SECURITATEA INFORMAȚIILOR ȘI A SISTEMLOR CIBERNETICE</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INGINERIA SISTEMELOR</v>
      </c>
      <c r="AB88">
        <f>MASTER!C$17</f>
        <v>20</v>
      </c>
      <c r="AC88" t="str">
        <f>MASTER!H$7</f>
        <v>SECURITATEA INFORMAȚIILOR ȘI A SISTEMLOR CIBERNETICE</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2022-08-22T10:30:11Z</cp:lastPrinted>
  <dcterms:created xsi:type="dcterms:W3CDTF">2005-09-25T13:40:53Z</dcterms:created>
  <dcterms:modified xsi:type="dcterms:W3CDTF">2023-07-05T14:16:15Z</dcterms:modified>
</cp:coreProperties>
</file>