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dmin\Desktop\HUB\ProyectoFinal2019-\Actividades\Femp03011\"/>
    </mc:Choice>
  </mc:AlternateContent>
  <xr:revisionPtr revIDLastSave="0" documentId="13_ncr:1_{26FF3FBE-A2E1-4D9A-9F5A-2BA4F5F50603}" xr6:coauthVersionLast="44" xr6:coauthVersionMax="44" xr10:uidLastSave="{00000000-0000-0000-0000-000000000000}"/>
  <bookViews>
    <workbookView xWindow="-120" yWindow="-120" windowWidth="29040" windowHeight="15840" activeTab="1" xr2:uid="{00000000-000D-0000-FFFF-FFFF00000000}"/>
  </bookViews>
  <sheets>
    <sheet name="Formula" sheetId="1" r:id="rId1"/>
    <sheet name="Hoja2" sheetId="2" r:id="rId2"/>
    <sheet name="Constantes" sheetId="3" r:id="rId3"/>
    <sheet name="Observacione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5" i="1" l="1"/>
  <c r="C11" i="1" l="1"/>
  <c r="C10" i="1"/>
  <c r="C9" i="1"/>
  <c r="C8" i="1"/>
  <c r="B6"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B61" i="2"/>
  <c r="B62" i="2"/>
  <c r="B63" i="2"/>
  <c r="B64" i="2"/>
  <c r="B65" i="2"/>
  <c r="B58" i="3"/>
  <c r="B57" i="3"/>
  <c r="B56" i="3"/>
  <c r="B55" i="3"/>
  <c r="B54" i="3"/>
  <c r="B44" i="3"/>
  <c r="B43" i="3"/>
  <c r="B42" i="3"/>
  <c r="B41" i="3"/>
  <c r="B40" i="3"/>
  <c r="C22" i="3"/>
  <c r="B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B66" i="2" l="1"/>
  <c r="C65" i="2"/>
  <c r="D65" i="2" s="1"/>
  <c r="C64" i="2"/>
  <c r="D64" i="2" s="1"/>
  <c r="C61" i="2"/>
  <c r="D61" i="2" s="1"/>
  <c r="C63" i="2"/>
  <c r="D63" i="2" s="1"/>
  <c r="C62" i="2"/>
  <c r="D62" i="2" s="1"/>
  <c r="C66" i="2" l="1"/>
  <c r="D66" i="2" s="1"/>
  <c r="B11" i="2" l="1"/>
  <c r="B39" i="2" l="1"/>
  <c r="E39" i="2" s="1"/>
  <c r="B47" i="2"/>
  <c r="E47" i="2" s="1"/>
  <c r="B48" i="2"/>
  <c r="E48" i="2" s="1"/>
  <c r="B29" i="2"/>
  <c r="E29" i="2" s="1"/>
  <c r="B46" i="2"/>
  <c r="E46" i="2" s="1"/>
  <c r="B34" i="2"/>
  <c r="E34" i="2" s="1"/>
  <c r="C27" i="2"/>
  <c r="E27" i="2" s="1"/>
  <c r="B43" i="2"/>
  <c r="E43" i="2" s="1"/>
  <c r="B28" i="2"/>
  <c r="E28" i="2" s="1"/>
  <c r="B44" i="2"/>
  <c r="E44" i="2" s="1"/>
  <c r="B33" i="2"/>
  <c r="E33" i="2" s="1"/>
  <c r="B45" i="2"/>
  <c r="E45" i="2" s="1"/>
  <c r="B38" i="2"/>
  <c r="E38" i="2" s="1"/>
  <c r="B35" i="2" l="1"/>
  <c r="E35" i="2" s="1"/>
  <c r="B51" i="2"/>
  <c r="E51" i="2" s="1"/>
  <c r="B40" i="2"/>
  <c r="E40" i="2" s="1"/>
  <c r="B49" i="2"/>
  <c r="E49" i="2" s="1"/>
  <c r="B30" i="2"/>
  <c r="E30" i="2" s="1"/>
  <c r="B50" i="2"/>
  <c r="E50" i="2" s="1"/>
  <c r="B31" i="2"/>
  <c r="E31" i="2" s="1"/>
  <c r="C20" i="2" s="1"/>
  <c r="B54" i="2"/>
  <c r="E54" i="2" s="1"/>
  <c r="B36" i="2"/>
  <c r="E36" i="2" s="1"/>
  <c r="B52" i="2"/>
  <c r="E52" i="2" s="1"/>
  <c r="B41" i="2"/>
  <c r="E41" i="2" s="1"/>
  <c r="B53" i="2"/>
  <c r="E53" i="2" s="1"/>
  <c r="B55" i="2"/>
  <c r="E55" i="2" s="1"/>
  <c r="B32" i="2"/>
  <c r="E32" i="2" s="1"/>
  <c r="B56" i="2"/>
  <c r="E56" i="2" s="1"/>
  <c r="B37" i="2"/>
  <c r="E37" i="2" s="1"/>
  <c r="B57" i="2"/>
  <c r="E57" i="2" s="1"/>
  <c r="B42" i="2"/>
  <c r="E42" i="2" s="1"/>
  <c r="D20" i="2" l="1"/>
  <c r="B20" i="2"/>
  <c r="B8" i="2"/>
  <c r="I18" i="2"/>
  <c r="I17" i="2"/>
  <c r="I16" i="2"/>
  <c r="I15" i="2" l="1"/>
  <c r="H20" i="2"/>
  <c r="G20" i="2"/>
  <c r="F20" i="2" l="1"/>
  <c r="E20" i="2"/>
  <c r="B7" i="2"/>
  <c r="I19" i="2" l="1"/>
  <c r="I20" i="2" s="1"/>
</calcChain>
</file>

<file path=xl/sharedStrings.xml><?xml version="1.0" encoding="utf-8"?>
<sst xmlns="http://schemas.openxmlformats.org/spreadsheetml/2006/main" count="184" uniqueCount="164">
  <si>
    <t xml:space="preserve">Formula: </t>
  </si>
  <si>
    <r>
      <t>∆V</t>
    </r>
    <r>
      <rPr>
        <vertAlign val="subscript"/>
        <sz val="14"/>
        <color theme="1"/>
        <rFont val="Times New Roman"/>
        <family val="1"/>
      </rPr>
      <t xml:space="preserve">j </t>
    </r>
    <r>
      <rPr>
        <sz val="12"/>
        <color theme="1"/>
        <rFont val="Times New Roman"/>
        <family val="1"/>
      </rPr>
      <t xml:space="preserve"> (ventas)</t>
    </r>
  </si>
  <si>
    <r>
      <t>∆Co</t>
    </r>
    <r>
      <rPr>
        <vertAlign val="subscript"/>
        <sz val="14"/>
        <color theme="1"/>
        <rFont val="Times New Roman"/>
        <family val="1"/>
      </rPr>
      <t>j (Costos operativos)</t>
    </r>
  </si>
  <si>
    <r>
      <t xml:space="preserve">t </t>
    </r>
    <r>
      <rPr>
        <vertAlign val="subscript"/>
        <sz val="14"/>
        <color theme="1"/>
        <rFont val="Times New Roman"/>
        <family val="1"/>
      </rPr>
      <t>(Irae)</t>
    </r>
  </si>
  <si>
    <r>
      <t>II</t>
    </r>
    <r>
      <rPr>
        <vertAlign val="superscript"/>
        <sz val="14"/>
        <color theme="1"/>
        <rFont val="Times New Roman"/>
        <family val="1"/>
      </rPr>
      <t>+</t>
    </r>
    <r>
      <rPr>
        <vertAlign val="subscript"/>
        <sz val="14"/>
        <color theme="1"/>
        <rFont val="Times New Roman"/>
        <family val="1"/>
      </rPr>
      <t>j (Invercion inicial)</t>
    </r>
  </si>
  <si>
    <t xml:space="preserve">Ventas: </t>
  </si>
  <si>
    <t>Año 0</t>
  </si>
  <si>
    <t>Año 1</t>
  </si>
  <si>
    <t>Año 2</t>
  </si>
  <si>
    <t>Año 3</t>
  </si>
  <si>
    <t>Año 4</t>
  </si>
  <si>
    <t xml:space="preserve">Venta del Software </t>
  </si>
  <si>
    <t xml:space="preserve">Totales: </t>
  </si>
  <si>
    <t xml:space="preserve">Precio de cada tipo de venta </t>
  </si>
  <si>
    <t xml:space="preserve">Precio = (Costos fijos + Costos variables) + Utilidad </t>
  </si>
  <si>
    <t xml:space="preserve">Cotos variables </t>
  </si>
  <si>
    <t xml:space="preserve">Total </t>
  </si>
  <si>
    <t xml:space="preserve">Costos operativos </t>
  </si>
  <si>
    <t>Costos fijos</t>
  </si>
  <si>
    <t xml:space="preserve">Dep=(costo de adquisicion - valor residual) / vida util </t>
  </si>
  <si>
    <t>Nombre del B/U</t>
  </si>
  <si>
    <t xml:space="preserve">Costo adquisicion </t>
  </si>
  <si>
    <t xml:space="preserve">Vida util </t>
  </si>
  <si>
    <t>Resultados</t>
  </si>
  <si>
    <t>Nombre</t>
  </si>
  <si>
    <t>Terminal</t>
  </si>
  <si>
    <t>Monitor</t>
  </si>
  <si>
    <t>Disco duro</t>
  </si>
  <si>
    <t xml:space="preserve">Router </t>
  </si>
  <si>
    <t>Ups</t>
  </si>
  <si>
    <t>Utilidad (%)</t>
  </si>
  <si>
    <t>Costos Fijos (mensuales)</t>
  </si>
  <si>
    <t>Arquiler</t>
  </si>
  <si>
    <t xml:space="preserve">Seguridad </t>
  </si>
  <si>
    <t>MPLS</t>
  </si>
  <si>
    <t>Total</t>
  </si>
  <si>
    <t xml:space="preserve">Aumeno anual(%) </t>
  </si>
  <si>
    <t>Valor (US$)</t>
  </si>
  <si>
    <t xml:space="preserve">Cotisacion del dólar </t>
  </si>
  <si>
    <t>Año</t>
  </si>
  <si>
    <r>
      <t>∆Am</t>
    </r>
    <r>
      <rPr>
        <vertAlign val="subscript"/>
        <sz val="14"/>
        <color theme="1"/>
        <rFont val="Times New Roman"/>
        <family val="1"/>
      </rPr>
      <t>j (depresiacion B/U)</t>
    </r>
  </si>
  <si>
    <t xml:space="preserve">Amortizacion de los bienes de uso </t>
  </si>
  <si>
    <t xml:space="preserve">Salario esperado para los socios por hora </t>
  </si>
  <si>
    <t>Numero de horas trabajados por dia</t>
  </si>
  <si>
    <t>Numeros de dias trabajados por mes</t>
  </si>
  <si>
    <t>Costos variables (Constantes)</t>
  </si>
  <si>
    <t xml:space="preserve">Numero de socios </t>
  </si>
  <si>
    <t xml:space="preserve">Costo salarial total por mes durante año 0 </t>
  </si>
  <si>
    <t>Costo salarial total por mes durante año 1</t>
  </si>
  <si>
    <t>Costo salarial total por mes durante año 2</t>
  </si>
  <si>
    <t>Costo salarial total por mes durante año 3</t>
  </si>
  <si>
    <t>Costo salarial total por mes durante año 4</t>
  </si>
  <si>
    <t>Pesos</t>
  </si>
  <si>
    <t xml:space="preserve">Dolares </t>
  </si>
  <si>
    <t xml:space="preserve">Totales Por año </t>
  </si>
  <si>
    <t xml:space="preserve">Total anual </t>
  </si>
  <si>
    <t>valor (UYU)</t>
  </si>
  <si>
    <t xml:space="preserve">Variables principales: </t>
  </si>
  <si>
    <t xml:space="preserve">Con proyecto </t>
  </si>
  <si>
    <t xml:space="preserve">Sin proyecto </t>
  </si>
  <si>
    <t>Electricidad</t>
  </si>
  <si>
    <t>Flujo de fondos</t>
  </si>
  <si>
    <t>Instalacion del hardware  (plan economico)</t>
  </si>
  <si>
    <t>Instalacion del hardware  (plan recomendado )</t>
  </si>
  <si>
    <t>Instalacion del hardware  (plan premiun)</t>
  </si>
  <si>
    <t>Venta del Software (7 meses)</t>
  </si>
  <si>
    <t>Instalacion del hardware Recomendado (2 meses)    AÑO 0</t>
  </si>
  <si>
    <t>Instalacion del hardware Recomendado (2 meses)    AÑO 1</t>
  </si>
  <si>
    <t>Instalacion del hardware Recomendado (2 meses)    AÑO 2</t>
  </si>
  <si>
    <t>Instalacion del hardware Economico (2 meses)         AÑO 3</t>
  </si>
  <si>
    <t>Instalacion del hardware Economico (2 meses)         AÑO 4</t>
  </si>
  <si>
    <t xml:space="preserve">Planes para el equipamiento </t>
  </si>
  <si>
    <t xml:space="preserve">Economico </t>
  </si>
  <si>
    <t xml:space="preserve">Recomendando </t>
  </si>
  <si>
    <t xml:space="preserve">Premiun </t>
  </si>
  <si>
    <t>OSE</t>
  </si>
  <si>
    <t xml:space="preserve">Seguro </t>
  </si>
  <si>
    <t>BSE</t>
  </si>
  <si>
    <t xml:space="preserve">BPS patronal </t>
  </si>
  <si>
    <t xml:space="preserve">Fonasa </t>
  </si>
  <si>
    <t>SemiCompleto</t>
  </si>
  <si>
    <t xml:space="preserve">Completo </t>
  </si>
  <si>
    <t xml:space="preserve">Planes de soporte (Durante un mes) </t>
  </si>
  <si>
    <t>Instalacion del hardware Premiun (2 meses)               AÑO 0</t>
  </si>
  <si>
    <t>Instalacion del hardware Economico (2 meses)          AÑO 1</t>
  </si>
  <si>
    <t>Instalacion del hardware Economico (2 meses)          AÑO 0</t>
  </si>
  <si>
    <t>Instalacion del hardware Premiun (2 meses)               AÑO 1</t>
  </si>
  <si>
    <t>Instalacion del hardware Economico (2 meses)          AÑO 2</t>
  </si>
  <si>
    <t>Instalacion del hardware Premiun (2 meses)               AÑO 2</t>
  </si>
  <si>
    <t>Instalacion del hardware Recomendado (2 meses)   AÑO 3</t>
  </si>
  <si>
    <t>Instalacion del hardware Premiun (2 meses)              AÑO 3</t>
  </si>
  <si>
    <t>Instalacion del hardware Recomendado (2 meses)   AÑO 4</t>
  </si>
  <si>
    <t>Instalacion del hardware Premiun (2 meses)              AÑO 4</t>
  </si>
  <si>
    <t>Basico</t>
  </si>
  <si>
    <t>Aumento del la hora de trabajo por dia no laborable</t>
  </si>
  <si>
    <t>Nº de dias no laborables trabajados</t>
  </si>
  <si>
    <t>Dias laborables trabajados</t>
  </si>
  <si>
    <t>Horas de trabajo entre todos los empleados por dia</t>
  </si>
  <si>
    <t xml:space="preserve">Costo de venta de la hora de trabajo </t>
  </si>
  <si>
    <t>Soporte Basico</t>
  </si>
  <si>
    <t>Soporte SemiCompleto</t>
  </si>
  <si>
    <t xml:space="preserve">Soporte Completo </t>
  </si>
  <si>
    <t xml:space="preserve">Año 1 </t>
  </si>
  <si>
    <t xml:space="preserve">Año 3 </t>
  </si>
  <si>
    <t xml:space="preserve">Año 2 </t>
  </si>
  <si>
    <t xml:space="preserve">Salario Extra calculado por dia no laboral </t>
  </si>
  <si>
    <r>
      <t xml:space="preserve">Flujo de fondos </t>
    </r>
    <r>
      <rPr>
        <sz val="28"/>
        <color theme="1"/>
        <rFont val="Times New Roman"/>
        <family val="1"/>
      </rPr>
      <t xml:space="preserve">(segunda entrega) </t>
    </r>
  </si>
  <si>
    <t>Observaciones</t>
  </si>
  <si>
    <t>Obj 1 (Observacion 1)</t>
  </si>
  <si>
    <t>Obj1</t>
  </si>
  <si>
    <t>Ya que no tiene sentido que nuestra compañía no desarrolle el proyecto, se considera como 0</t>
  </si>
  <si>
    <t>Obj2</t>
  </si>
  <si>
    <t xml:space="preserve">En esta tabla se marcan las cantidades de cada producto venido a lo largo de cada año </t>
  </si>
  <si>
    <t>Obj3</t>
  </si>
  <si>
    <t>Soporte Basico Año 0</t>
  </si>
  <si>
    <t>Soporte Basico Año 1</t>
  </si>
  <si>
    <t>Soporte Basico Año 2</t>
  </si>
  <si>
    <t>Soporte Basico Año 3</t>
  </si>
  <si>
    <t>Soporte Basico Año 4</t>
  </si>
  <si>
    <t>Soporte SemiCompleto Año 0</t>
  </si>
  <si>
    <t>Soporte SemiCompleto Año 1</t>
  </si>
  <si>
    <t>Soporte SemiCompleto Año 2</t>
  </si>
  <si>
    <t>Soporte SemiCompleto Año 3</t>
  </si>
  <si>
    <t>Soporte SemiCompleto Año 4</t>
  </si>
  <si>
    <t>Soporte Completo  Año 0</t>
  </si>
  <si>
    <t>Soporte Completo  Año 1</t>
  </si>
  <si>
    <t>Soporte Completo  Año 2</t>
  </si>
  <si>
    <t>Soporte Completo  Año 3</t>
  </si>
  <si>
    <t>Soporte Completo  Año 4</t>
  </si>
  <si>
    <t>Con la intención de cubrir los costos fijos, de los costos operativos, cada precio de venta tiene incluido los correspondientes costos fijos a la duración del desarrollo del servicio o producto a desarrollar</t>
  </si>
  <si>
    <t>Obj4</t>
  </si>
  <si>
    <t xml:space="preserve">Se calculan estimando entre multiples precios de la plaza, no es exacto </t>
  </si>
  <si>
    <t>Obj5</t>
  </si>
  <si>
    <t xml:space="preserve">Aumento del salario de los socios, en días no laborables </t>
  </si>
  <si>
    <t>Obj6</t>
  </si>
  <si>
    <t xml:space="preserve">Presupuesto del equipamiento de hardware necesario por lo clientes para el funcionamiento del sistema  </t>
  </si>
  <si>
    <t>Obj7</t>
  </si>
  <si>
    <t>Obj 7</t>
  </si>
  <si>
    <t>Numero de dias no laborables, como sabado, domingo y feriados no laborables, los cuales los socios trabajaran. Se considera 9 dias ya que en algunos meses hay un feriado no laborable, en los que no se cobra igual para ayudar en algo a 
pagar los gastos operativos</t>
  </si>
  <si>
    <t>Obj8</t>
  </si>
  <si>
    <t xml:space="preserve">Cotización estimada por el docente durante el resto del año y 4 mas   </t>
  </si>
  <si>
    <t>Obj9</t>
  </si>
  <si>
    <t xml:space="preserve">A diferencia del salario por hora de los empleados, este valor será el cobrado a los clientes por ahora de trabajo de empleado </t>
  </si>
  <si>
    <t>Obj10</t>
  </si>
  <si>
    <t xml:space="preserve">Para no pagar horas extras de forma rutinaria, los socios primeramente solo trabajaran 8 horas y de lunes a viernes. Siendo un estimado de 4 semanas, ya que un mes no son puramente 4 semanas (7*4=28, cuando generalmente son 30/31),
 se toman 2 días laborales mas  </t>
  </si>
  <si>
    <t>Obj11</t>
  </si>
  <si>
    <t xml:space="preserve">Los socios no suelen trabajar días no laborables, pero en el caso que estén realizando un Soporte que se trabajen días no laborables, los costos operativos variables cambiaran, ya que tenemos que añadirle a ello a los salarios de los socios 
dichas horas trabajadas, con el aumento correspondiente por trabajo en días no laborables    </t>
  </si>
  <si>
    <t>Obj12</t>
  </si>
  <si>
    <t>Cotos Variables  Obj12</t>
  </si>
  <si>
    <t xml:space="preserve">Los costos variables se calculan con todos la sección tributaria, salarial y compra de equipamiento para la realización de la instalación del hardware, variando su valor en el tipo de instalación que se haga     </t>
  </si>
  <si>
    <r>
      <t>(∆V</t>
    </r>
    <r>
      <rPr>
        <vertAlign val="subscript"/>
        <sz val="40"/>
        <color theme="1"/>
        <rFont val="Times New Roman"/>
        <family val="1"/>
      </rPr>
      <t xml:space="preserve">j </t>
    </r>
    <r>
      <rPr>
        <sz val="40"/>
        <color theme="1"/>
        <rFont val="Times New Roman"/>
        <family val="1"/>
      </rPr>
      <t>- ∆Co</t>
    </r>
    <r>
      <rPr>
        <vertAlign val="subscript"/>
        <sz val="40"/>
        <color theme="1"/>
        <rFont val="Times New Roman"/>
        <family val="1"/>
      </rPr>
      <t xml:space="preserve">j </t>
    </r>
    <r>
      <rPr>
        <sz val="40"/>
        <color theme="1"/>
        <rFont val="Times New Roman"/>
        <family val="1"/>
      </rPr>
      <t>- ∆Am</t>
    </r>
    <r>
      <rPr>
        <vertAlign val="subscript"/>
        <sz val="40"/>
        <color theme="1"/>
        <rFont val="Times New Roman"/>
        <family val="1"/>
      </rPr>
      <t xml:space="preserve">j </t>
    </r>
    <r>
      <rPr>
        <sz val="40"/>
        <color theme="1"/>
        <rFont val="Times New Roman"/>
        <family val="1"/>
      </rPr>
      <t>) * (1-t) + ∆Am</t>
    </r>
    <r>
      <rPr>
        <vertAlign val="subscript"/>
        <sz val="40"/>
        <color theme="1"/>
        <rFont val="Times New Roman"/>
        <family val="1"/>
      </rPr>
      <t>j</t>
    </r>
    <r>
      <rPr>
        <sz val="40"/>
        <color theme="1"/>
        <rFont val="Times New Roman"/>
        <family val="1"/>
      </rPr>
      <t xml:space="preserve"> - II</t>
    </r>
    <r>
      <rPr>
        <vertAlign val="superscript"/>
        <sz val="40"/>
        <color theme="1"/>
        <rFont val="Times New Roman"/>
        <family val="1"/>
      </rPr>
      <t>+</t>
    </r>
    <r>
      <rPr>
        <vertAlign val="subscript"/>
        <sz val="40"/>
        <color theme="1"/>
        <rFont val="Times New Roman"/>
        <family val="1"/>
      </rPr>
      <t xml:space="preserve">j </t>
    </r>
  </si>
  <si>
    <r>
      <t xml:space="preserve">Valor residual  </t>
    </r>
    <r>
      <rPr>
        <b/>
        <sz val="11"/>
        <color theme="8" tint="-0.249977111117893"/>
        <rFont val="Times New Roman"/>
        <family val="1"/>
      </rPr>
      <t>(Obj4)</t>
    </r>
  </si>
  <si>
    <r>
      <t xml:space="preserve">Cotos fijos </t>
    </r>
    <r>
      <rPr>
        <b/>
        <sz val="11"/>
        <color theme="8" tint="-0.249977111117893"/>
        <rFont val="Times New Roman"/>
        <family val="1"/>
      </rPr>
      <t>(Obj3)</t>
    </r>
  </si>
  <si>
    <t>∆Vtas</t>
  </si>
  <si>
    <t>∆C.V</t>
  </si>
  <si>
    <t>∆C.F</t>
  </si>
  <si>
    <t>G.A.I</t>
  </si>
  <si>
    <t>I.R.A.E</t>
  </si>
  <si>
    <t>G.D.I</t>
  </si>
  <si>
    <t>Amortizacion</t>
  </si>
  <si>
    <t>∆Amortizacion</t>
  </si>
  <si>
    <t>I.I</t>
  </si>
  <si>
    <t>FF</t>
  </si>
  <si>
    <t>Calculos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</si>
</sst>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UYU]_-;\-* #,##0.00\ [$UYU]_-;_-* &quot;-&quot;??\ [$UYU]_-;_-@_-"/>
    <numFmt numFmtId="165" formatCode="_-* #,##0.00\ [$USD]_-;\-* #,##0.00\ [$USD]_-;_-* &quot;-&quot;??\ [$USD]_-;_-@_-"/>
    <numFmt numFmtId="166" formatCode="_-[$$-340A]\ * #,##0.00_-;\-[$$-340A]\ * #,##0.00_-;_-[$$-340A]\ * &quot;-&quot;??_-;_-@_-"/>
    <numFmt numFmtId="167" formatCode="_ [$$-2C0A]\ * #,##0.00_ ;_ [$$-2C0A]\ * \-#,##0.00_ ;_ [$$-2C0A]\ * &quot;-&quot;??_ ;_ @_ "/>
    <numFmt numFmtId="168" formatCode="_-[$$-2C0A]\ * #,##0.00_-;\-[$$-2C0A]\ * #,##0.00_-;_-[$$-2C0A]\ * &quot;-&quot;??_-;_-@_-"/>
    <numFmt numFmtId="169" formatCode="_ [$$-340A]* #,##0.00_ ;_ [$$-340A]* \-#,##0.00_ ;_ [$$-340A]* &quot;-&quot;??_ ;_ @_ "/>
  </numFmts>
  <fonts count="24" x14ac:knownFonts="1">
    <font>
      <sz val="11"/>
      <color theme="1"/>
      <name val="Calibri"/>
      <family val="2"/>
      <scheme val="minor"/>
    </font>
    <font>
      <sz val="11"/>
      <color theme="1"/>
      <name val="Times New Roman"/>
      <family val="1"/>
    </font>
    <font>
      <sz val="12"/>
      <color theme="1"/>
      <name val="Times New Roman"/>
      <family val="1"/>
    </font>
    <font>
      <sz val="14"/>
      <color theme="1"/>
      <name val="Times New Roman"/>
      <family val="1"/>
    </font>
    <font>
      <b/>
      <sz val="16"/>
      <color theme="1"/>
      <name val="Times New Roman"/>
      <family val="1"/>
    </font>
    <font>
      <b/>
      <sz val="14"/>
      <color theme="1"/>
      <name val="Times New Roman"/>
      <family val="1"/>
    </font>
    <font>
      <vertAlign val="subscript"/>
      <sz val="14"/>
      <color theme="1"/>
      <name val="Times New Roman"/>
      <family val="1"/>
    </font>
    <font>
      <vertAlign val="superscript"/>
      <sz val="14"/>
      <color theme="1"/>
      <name val="Times New Roman"/>
      <family val="1"/>
    </font>
    <font>
      <sz val="8"/>
      <name val="Calibri"/>
      <family val="2"/>
      <scheme val="minor"/>
    </font>
    <font>
      <b/>
      <sz val="11"/>
      <color theme="1"/>
      <name val="Times New Roman"/>
      <family val="1"/>
    </font>
    <font>
      <b/>
      <sz val="12"/>
      <color theme="1"/>
      <name val="Times New Roman"/>
      <family val="1"/>
    </font>
    <font>
      <b/>
      <sz val="11"/>
      <color theme="1"/>
      <name val="Calibri"/>
      <family val="2"/>
      <scheme val="minor"/>
    </font>
    <font>
      <sz val="72"/>
      <color theme="1"/>
      <name val="Times New Roman"/>
      <family val="1"/>
    </font>
    <font>
      <sz val="28"/>
      <color theme="1"/>
      <name val="Times New Roman"/>
      <family val="1"/>
    </font>
    <font>
      <b/>
      <sz val="11"/>
      <color theme="8" tint="-0.249977111117893"/>
      <name val="Times New Roman"/>
      <family val="1"/>
    </font>
    <font>
      <b/>
      <sz val="40"/>
      <color theme="1"/>
      <name val="Times New Roman"/>
      <family val="1"/>
    </font>
    <font>
      <sz val="40"/>
      <color theme="1"/>
      <name val="Times New Roman"/>
      <family val="1"/>
    </font>
    <font>
      <vertAlign val="subscript"/>
      <sz val="40"/>
      <color theme="1"/>
      <name val="Times New Roman"/>
      <family val="1"/>
    </font>
    <font>
      <vertAlign val="superscript"/>
      <sz val="40"/>
      <color theme="1"/>
      <name val="Times New Roman"/>
      <family val="1"/>
    </font>
    <font>
      <sz val="40"/>
      <color theme="0"/>
      <name val="Times New Roman"/>
      <family val="1"/>
    </font>
    <font>
      <b/>
      <sz val="25"/>
      <color theme="1"/>
      <name val="Times New Roman"/>
      <family val="1"/>
    </font>
    <font>
      <sz val="25"/>
      <color theme="1"/>
      <name val="Times New Roman"/>
      <family val="1"/>
    </font>
    <font>
      <sz val="25"/>
      <color theme="1"/>
      <name val="Calibri"/>
      <family val="2"/>
      <scheme val="minor"/>
    </font>
    <font>
      <sz val="20"/>
      <color theme="1"/>
      <name val="Times New Roman"/>
      <family val="1"/>
    </font>
  </fonts>
  <fills count="5">
    <fill>
      <patternFill patternType="none"/>
    </fill>
    <fill>
      <patternFill patternType="gray125"/>
    </fill>
    <fill>
      <patternFill patternType="solid">
        <fgColor rgb="FF3399FF"/>
        <bgColor indexed="64"/>
      </patternFill>
    </fill>
    <fill>
      <patternFill patternType="solid">
        <fgColor theme="7" tint="0.79998168889431442"/>
        <bgColor indexed="64"/>
      </patternFill>
    </fill>
    <fill>
      <patternFill patternType="solid">
        <fgColor theme="8" tint="0.39997558519241921"/>
        <bgColor indexed="64"/>
      </patternFill>
    </fill>
  </fills>
  <borders count="8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ck">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ck">
        <color indexed="64"/>
      </left>
      <right style="medium">
        <color indexed="64"/>
      </right>
      <top/>
      <bottom/>
      <diagonal/>
    </border>
    <border>
      <left style="thin">
        <color indexed="64"/>
      </left>
      <right/>
      <top/>
      <bottom style="thin">
        <color indexed="64"/>
      </bottom>
      <diagonal/>
    </border>
    <border>
      <left style="thick">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ck">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ck">
        <color indexed="64"/>
      </left>
      <right style="medium">
        <color indexed="64"/>
      </right>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ck">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ck">
        <color indexed="64"/>
      </bottom>
      <diagonal/>
    </border>
    <border>
      <left style="mediumDashed">
        <color indexed="64"/>
      </left>
      <right style="mediumDashed">
        <color indexed="64"/>
      </right>
      <top style="mediumDashed">
        <color indexed="64"/>
      </top>
      <bottom style="mediumDashed">
        <color indexed="64"/>
      </bottom>
      <diagonal/>
    </border>
    <border>
      <left/>
      <right/>
      <top style="thick">
        <color indexed="64"/>
      </top>
      <bottom style="medium">
        <color indexed="64"/>
      </bottom>
      <diagonal/>
    </border>
    <border>
      <left style="thin">
        <color indexed="64"/>
      </left>
      <right/>
      <top style="thick">
        <color indexed="64"/>
      </top>
      <bottom style="medium">
        <color indexed="64"/>
      </bottom>
      <diagonal/>
    </border>
    <border>
      <left style="mediumDashed">
        <color indexed="64"/>
      </left>
      <right style="mediumDashed">
        <color indexed="64"/>
      </right>
      <top style="mediumDashed">
        <color indexed="64"/>
      </top>
      <bottom/>
      <diagonal/>
    </border>
    <border>
      <left style="mediumDashed">
        <color indexed="64"/>
      </left>
      <right style="mediumDashed">
        <color indexed="64"/>
      </right>
      <top/>
      <bottom/>
      <diagonal/>
    </border>
    <border>
      <left style="mediumDashed">
        <color indexed="64"/>
      </left>
      <right style="mediumDashed">
        <color indexed="64"/>
      </right>
      <top/>
      <bottom style="mediumDashed">
        <color indexed="64"/>
      </bottom>
      <diagonal/>
    </border>
    <border>
      <left/>
      <right style="mediumDashed">
        <color indexed="64"/>
      </right>
      <top style="mediumDashed">
        <color indexed="64"/>
      </top>
      <bottom style="mediumDashed">
        <color indexed="64"/>
      </bottom>
      <diagonal/>
    </border>
    <border>
      <left style="thin">
        <color indexed="64"/>
      </left>
      <right/>
      <top style="medium">
        <color indexed="64"/>
      </top>
      <bottom style="thin">
        <color indexed="64"/>
      </bottom>
      <diagonal/>
    </border>
    <border>
      <left/>
      <right style="mediumDashed">
        <color indexed="64"/>
      </right>
      <top style="mediumDashed">
        <color indexed="64"/>
      </top>
      <bottom/>
      <diagonal/>
    </border>
    <border>
      <left/>
      <right style="mediumDashed">
        <color indexed="64"/>
      </right>
      <top/>
      <bottom style="mediumDashed">
        <color indexed="64"/>
      </bottom>
      <diagonal/>
    </border>
    <border>
      <left style="medium">
        <color indexed="64"/>
      </left>
      <right style="medium">
        <color indexed="64"/>
      </right>
      <top style="thin">
        <color indexed="64"/>
      </top>
      <bottom style="medium">
        <color indexed="64"/>
      </bottom>
      <diagonal/>
    </border>
    <border>
      <left/>
      <right style="mediumDashed">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3">
    <xf numFmtId="0" fontId="0" fillId="0" borderId="0" xfId="0"/>
    <xf numFmtId="0" fontId="1" fillId="0" borderId="1" xfId="0" applyFont="1" applyBorder="1"/>
    <xf numFmtId="0" fontId="1" fillId="0" borderId="5" xfId="0" applyFont="1" applyBorder="1"/>
    <xf numFmtId="0" fontId="1" fillId="0" borderId="2" xfId="0" applyFont="1" applyBorder="1"/>
    <xf numFmtId="0" fontId="9" fillId="0" borderId="1" xfId="0" applyFont="1" applyBorder="1"/>
    <xf numFmtId="0" fontId="1" fillId="0" borderId="6" xfId="0" applyFont="1" applyBorder="1"/>
    <xf numFmtId="0" fontId="1" fillId="0" borderId="0" xfId="0" applyFont="1" applyBorder="1"/>
    <xf numFmtId="0" fontId="1" fillId="0" borderId="8" xfId="0" applyFont="1" applyBorder="1"/>
    <xf numFmtId="0" fontId="0" fillId="0" borderId="0" xfId="0" applyBorder="1"/>
    <xf numFmtId="0" fontId="9" fillId="0" borderId="8" xfId="0" applyFont="1" applyFill="1" applyBorder="1" applyAlignment="1">
      <alignment horizontal="left"/>
    </xf>
    <xf numFmtId="0" fontId="10" fillId="0" borderId="1" xfId="0" applyFont="1" applyBorder="1"/>
    <xf numFmtId="0" fontId="1" fillId="0" borderId="0" xfId="0" applyFont="1"/>
    <xf numFmtId="165" fontId="1" fillId="0" borderId="1" xfId="0" applyNumberFormat="1" applyFont="1" applyBorder="1"/>
    <xf numFmtId="0" fontId="9" fillId="0" borderId="16" xfId="0" applyFont="1" applyBorder="1" applyAlignment="1">
      <alignment horizontal="right"/>
    </xf>
    <xf numFmtId="0" fontId="1" fillId="0" borderId="20" xfId="0" applyFont="1" applyBorder="1"/>
    <xf numFmtId="0" fontId="1" fillId="0" borderId="22" xfId="0" applyFont="1" applyBorder="1"/>
    <xf numFmtId="0" fontId="9" fillId="0" borderId="15" xfId="0" applyFont="1" applyBorder="1"/>
    <xf numFmtId="0" fontId="1" fillId="0" borderId="15" xfId="0" applyFont="1" applyBorder="1"/>
    <xf numFmtId="165" fontId="1" fillId="0" borderId="21" xfId="0" applyNumberFormat="1" applyFont="1" applyBorder="1"/>
    <xf numFmtId="0" fontId="1" fillId="0" borderId="21" xfId="0" applyFont="1" applyBorder="1"/>
    <xf numFmtId="0" fontId="1" fillId="0" borderId="24" xfId="0" applyFont="1" applyBorder="1"/>
    <xf numFmtId="0" fontId="1" fillId="0" borderId="25" xfId="0" applyFont="1" applyBorder="1"/>
    <xf numFmtId="166" fontId="1" fillId="0" borderId="19" xfId="0" applyNumberFormat="1" applyFont="1" applyBorder="1"/>
    <xf numFmtId="166" fontId="1" fillId="0" borderId="26" xfId="0" applyNumberFormat="1" applyFont="1" applyBorder="1"/>
    <xf numFmtId="166" fontId="1" fillId="0" borderId="23" xfId="0" applyNumberFormat="1" applyFont="1" applyBorder="1"/>
    <xf numFmtId="167" fontId="1" fillId="0" borderId="1" xfId="0" applyNumberFormat="1" applyFont="1" applyBorder="1"/>
    <xf numFmtId="167" fontId="1" fillId="0" borderId="21" xfId="0" applyNumberFormat="1" applyFont="1" applyBorder="1"/>
    <xf numFmtId="0" fontId="1" fillId="0" borderId="27" xfId="0" applyFont="1" applyBorder="1"/>
    <xf numFmtId="167" fontId="1" fillId="0" borderId="27" xfId="0" applyNumberFormat="1" applyFont="1" applyBorder="1"/>
    <xf numFmtId="0" fontId="1" fillId="0" borderId="28" xfId="0" applyFont="1" applyBorder="1"/>
    <xf numFmtId="166" fontId="1" fillId="0" borderId="29" xfId="0" applyNumberFormat="1" applyFont="1" applyBorder="1"/>
    <xf numFmtId="0" fontId="1" fillId="0" borderId="30" xfId="0" applyFont="1" applyBorder="1"/>
    <xf numFmtId="166" fontId="1" fillId="0" borderId="31" xfId="0" applyNumberFormat="1" applyFont="1" applyBorder="1"/>
    <xf numFmtId="0" fontId="0" fillId="0" borderId="32" xfId="0" applyBorder="1"/>
    <xf numFmtId="167" fontId="9" fillId="0" borderId="17" xfId="0" applyNumberFormat="1" applyFont="1" applyBorder="1"/>
    <xf numFmtId="167" fontId="1" fillId="0" borderId="18" xfId="0" applyNumberFormat="1" applyFont="1" applyBorder="1"/>
    <xf numFmtId="167" fontId="1" fillId="0" borderId="15" xfId="0" applyNumberFormat="1" applyFont="1" applyBorder="1"/>
    <xf numFmtId="167" fontId="1" fillId="0" borderId="17" xfId="0" applyNumberFormat="1" applyFont="1" applyBorder="1"/>
    <xf numFmtId="0" fontId="1" fillId="0" borderId="0" xfId="0" applyFont="1" applyBorder="1" applyAlignment="1"/>
    <xf numFmtId="10" fontId="1" fillId="0" borderId="0" xfId="0" applyNumberFormat="1" applyFont="1" applyBorder="1"/>
    <xf numFmtId="0" fontId="5" fillId="0" borderId="0" xfId="0" applyFont="1" applyBorder="1"/>
    <xf numFmtId="10" fontId="2" fillId="0" borderId="0" xfId="0" applyNumberFormat="1" applyFont="1" applyBorder="1"/>
    <xf numFmtId="167" fontId="1" fillId="0" borderId="33" xfId="0" applyNumberFormat="1" applyFont="1" applyBorder="1"/>
    <xf numFmtId="0" fontId="1" fillId="0" borderId="34" xfId="0" applyFont="1" applyBorder="1"/>
    <xf numFmtId="166" fontId="1" fillId="0" borderId="35" xfId="0" applyNumberFormat="1" applyFont="1" applyBorder="1"/>
    <xf numFmtId="0" fontId="0" fillId="0" borderId="1" xfId="0" applyBorder="1"/>
    <xf numFmtId="0" fontId="0" fillId="0" borderId="5" xfId="0" applyBorder="1"/>
    <xf numFmtId="0" fontId="0" fillId="0" borderId="27" xfId="0" applyBorder="1"/>
    <xf numFmtId="0" fontId="0" fillId="0" borderId="37" xfId="0" applyBorder="1"/>
    <xf numFmtId="169" fontId="9" fillId="0" borderId="17" xfId="0" applyNumberFormat="1" applyFont="1" applyBorder="1"/>
    <xf numFmtId="0" fontId="0" fillId="0" borderId="0" xfId="0" applyAlignment="1"/>
    <xf numFmtId="0" fontId="9" fillId="0" borderId="1" xfId="0" applyFont="1" applyBorder="1" applyAlignment="1">
      <alignment wrapText="1"/>
    </xf>
    <xf numFmtId="0" fontId="11" fillId="0" borderId="0" xfId="0" applyFont="1" applyBorder="1"/>
    <xf numFmtId="0" fontId="0" fillId="0" borderId="0" xfId="0" applyBorder="1" applyAlignment="1"/>
    <xf numFmtId="0" fontId="0" fillId="0" borderId="3" xfId="0" applyBorder="1" applyAlignment="1">
      <alignment horizontal="left"/>
    </xf>
    <xf numFmtId="0" fontId="0" fillId="0" borderId="38" xfId="0" applyBorder="1" applyAlignment="1">
      <alignment horizontal="left"/>
    </xf>
    <xf numFmtId="0" fontId="0" fillId="0" borderId="3" xfId="0" applyBorder="1" applyAlignment="1">
      <alignment horizontal="left" wrapText="1"/>
    </xf>
    <xf numFmtId="0" fontId="0" fillId="0" borderId="4" xfId="0" applyBorder="1" applyAlignment="1">
      <alignment horizontal="left"/>
    </xf>
    <xf numFmtId="0" fontId="0" fillId="0" borderId="1" xfId="0" applyBorder="1" applyAlignment="1">
      <alignment horizontal="left"/>
    </xf>
    <xf numFmtId="0" fontId="0" fillId="0" borderId="15" xfId="0" applyBorder="1" applyAlignment="1">
      <alignment horizontal="left"/>
    </xf>
    <xf numFmtId="0" fontId="1" fillId="0" borderId="14" xfId="0" applyFont="1" applyBorder="1" applyAlignment="1">
      <alignment horizontal="center"/>
    </xf>
    <xf numFmtId="9" fontId="1" fillId="0" borderId="3" xfId="0" applyNumberFormat="1"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167" fontId="1" fillId="0" borderId="4" xfId="0" applyNumberFormat="1" applyFont="1" applyBorder="1" applyAlignment="1">
      <alignment horizontal="center"/>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1" xfId="0" applyFont="1" applyBorder="1" applyAlignment="1">
      <alignment horizontal="left" vertical="center"/>
    </xf>
    <xf numFmtId="0" fontId="0" fillId="0" borderId="40" xfId="0" applyBorder="1" applyAlignment="1">
      <alignment horizontal="left"/>
    </xf>
    <xf numFmtId="0" fontId="0" fillId="0" borderId="41" xfId="0" applyBorder="1" applyAlignment="1">
      <alignment horizontal="left"/>
    </xf>
    <xf numFmtId="0" fontId="1" fillId="0" borderId="2" xfId="0" applyFont="1" applyBorder="1" applyAlignment="1">
      <alignment horizontal="right"/>
    </xf>
    <xf numFmtId="0" fontId="0" fillId="0" borderId="42" xfId="0" applyBorder="1"/>
    <xf numFmtId="0" fontId="3" fillId="0" borderId="43" xfId="0" applyFont="1" applyBorder="1" applyAlignment="1">
      <alignment horizontal="left" vertical="center"/>
    </xf>
    <xf numFmtId="0" fontId="3" fillId="0" borderId="44" xfId="0" applyFont="1" applyBorder="1" applyAlignment="1">
      <alignment horizontal="left" vertical="center"/>
    </xf>
    <xf numFmtId="0" fontId="5" fillId="0" borderId="30" xfId="0" applyFont="1" applyBorder="1" applyAlignment="1">
      <alignment horizontal="center"/>
    </xf>
    <xf numFmtId="0" fontId="9" fillId="0" borderId="9" xfId="0" applyFont="1" applyBorder="1" applyAlignment="1">
      <alignment horizontal="center"/>
    </xf>
    <xf numFmtId="0" fontId="9" fillId="0" borderId="46" xfId="0" applyFont="1" applyBorder="1" applyAlignment="1">
      <alignment horizontal="center"/>
    </xf>
    <xf numFmtId="0" fontId="9" fillId="0" borderId="47" xfId="0" applyFont="1" applyBorder="1" applyAlignment="1">
      <alignment horizontal="center"/>
    </xf>
    <xf numFmtId="0" fontId="9" fillId="0" borderId="11" xfId="0" applyFont="1" applyBorder="1" applyAlignment="1">
      <alignment horizontal="center"/>
    </xf>
    <xf numFmtId="167" fontId="1" fillId="0" borderId="52" xfId="0" applyNumberFormat="1" applyFont="1" applyBorder="1"/>
    <xf numFmtId="0" fontId="1" fillId="0" borderId="53" xfId="0" applyFont="1" applyBorder="1"/>
    <xf numFmtId="166" fontId="1" fillId="0" borderId="54" xfId="0" applyNumberFormat="1" applyFont="1" applyBorder="1"/>
    <xf numFmtId="0" fontId="1" fillId="0" borderId="55" xfId="0" applyFont="1" applyBorder="1"/>
    <xf numFmtId="167" fontId="1" fillId="0" borderId="45" xfId="0" applyNumberFormat="1" applyFont="1" applyBorder="1"/>
    <xf numFmtId="167" fontId="1" fillId="0" borderId="56" xfId="0" applyNumberFormat="1" applyFont="1" applyBorder="1"/>
    <xf numFmtId="167" fontId="1" fillId="0" borderId="57" xfId="0" applyNumberFormat="1" applyFont="1" applyBorder="1"/>
    <xf numFmtId="167" fontId="1" fillId="0" borderId="4" xfId="0" applyNumberFormat="1" applyFont="1" applyBorder="1"/>
    <xf numFmtId="0" fontId="1" fillId="0" borderId="58" xfId="0" applyFont="1" applyBorder="1"/>
    <xf numFmtId="0" fontId="1" fillId="0" borderId="59" xfId="0" applyFont="1" applyBorder="1"/>
    <xf numFmtId="0" fontId="1" fillId="0" borderId="60" xfId="0" applyFont="1" applyBorder="1"/>
    <xf numFmtId="0" fontId="1" fillId="0" borderId="36" xfId="0" applyFont="1" applyBorder="1"/>
    <xf numFmtId="0" fontId="9" fillId="0" borderId="42" xfId="0" applyFont="1" applyBorder="1"/>
    <xf numFmtId="0" fontId="9" fillId="0" borderId="11" xfId="0" applyFont="1" applyBorder="1"/>
    <xf numFmtId="0" fontId="1" fillId="0" borderId="45" xfId="0" applyFont="1" applyBorder="1"/>
    <xf numFmtId="0" fontId="1" fillId="0" borderId="4" xfId="0" applyFont="1" applyBorder="1"/>
    <xf numFmtId="0" fontId="1" fillId="0" borderId="62" xfId="0" applyFont="1" applyBorder="1"/>
    <xf numFmtId="0" fontId="1" fillId="0" borderId="63" xfId="0" applyFont="1" applyBorder="1" applyAlignment="1">
      <alignment horizontal="right"/>
    </xf>
    <xf numFmtId="0" fontId="1" fillId="0" borderId="60" xfId="0" applyFont="1" applyBorder="1" applyAlignment="1">
      <alignment horizontal="right"/>
    </xf>
    <xf numFmtId="0" fontId="1" fillId="0" borderId="64" xfId="0" applyFont="1" applyBorder="1" applyAlignment="1">
      <alignment horizontal="right"/>
    </xf>
    <xf numFmtId="0" fontId="5" fillId="3" borderId="9" xfId="0" applyFont="1" applyFill="1" applyBorder="1" applyAlignment="1">
      <alignment horizontal="center"/>
    </xf>
    <xf numFmtId="0" fontId="5" fillId="3" borderId="10" xfId="0" applyFont="1" applyFill="1" applyBorder="1" applyAlignment="1">
      <alignment horizontal="center"/>
    </xf>
    <xf numFmtId="0" fontId="5" fillId="3" borderId="11" xfId="0" applyFont="1" applyFill="1" applyBorder="1" applyAlignment="1">
      <alignment horizontal="center"/>
    </xf>
    <xf numFmtId="0" fontId="4" fillId="3" borderId="42" xfId="0" applyFont="1" applyFill="1" applyBorder="1"/>
    <xf numFmtId="0" fontId="5" fillId="3" borderId="48" xfId="0" applyFont="1" applyFill="1" applyBorder="1" applyAlignment="1">
      <alignment horizontal="center"/>
    </xf>
    <xf numFmtId="0" fontId="5" fillId="3" borderId="49" xfId="0" applyFont="1" applyFill="1" applyBorder="1" applyAlignment="1">
      <alignment horizontal="center"/>
    </xf>
    <xf numFmtId="0" fontId="1" fillId="3" borderId="50" xfId="0" applyFont="1" applyFill="1" applyBorder="1" applyAlignment="1">
      <alignment horizontal="center"/>
    </xf>
    <xf numFmtId="0" fontId="1" fillId="3" borderId="51" xfId="0" applyFont="1" applyFill="1" applyBorder="1" applyAlignment="1">
      <alignment horizontal="center"/>
    </xf>
    <xf numFmtId="0" fontId="1" fillId="3" borderId="49" xfId="0" applyFont="1" applyFill="1" applyBorder="1" applyAlignment="1">
      <alignment horizontal="center"/>
    </xf>
    <xf numFmtId="0" fontId="9" fillId="0" borderId="42" xfId="0" applyFont="1" applyBorder="1" applyAlignment="1">
      <alignment wrapText="1"/>
    </xf>
    <xf numFmtId="0" fontId="9" fillId="0" borderId="66" xfId="0" applyFont="1" applyBorder="1"/>
    <xf numFmtId="167" fontId="1" fillId="0" borderId="30" xfId="0" applyNumberFormat="1" applyFont="1" applyBorder="1" applyAlignment="1">
      <alignment horizontal="left"/>
    </xf>
    <xf numFmtId="167" fontId="1" fillId="0" borderId="2" xfId="0" applyNumberFormat="1" applyFont="1" applyBorder="1" applyAlignment="1">
      <alignment horizontal="left"/>
    </xf>
    <xf numFmtId="167" fontId="1" fillId="0" borderId="25" xfId="0" applyNumberFormat="1" applyFont="1" applyBorder="1" applyAlignment="1">
      <alignment horizontal="left"/>
    </xf>
    <xf numFmtId="167" fontId="1" fillId="0" borderId="67" xfId="0" applyNumberFormat="1" applyFont="1" applyBorder="1"/>
    <xf numFmtId="0" fontId="5" fillId="3" borderId="42" xfId="0" applyFont="1" applyFill="1" applyBorder="1" applyAlignment="1"/>
    <xf numFmtId="165" fontId="1" fillId="0" borderId="27" xfId="0" applyNumberFormat="1" applyFont="1" applyBorder="1"/>
    <xf numFmtId="0" fontId="4" fillId="3" borderId="9" xfId="0" applyFont="1" applyFill="1" applyBorder="1" applyAlignment="1">
      <alignment horizontal="center"/>
    </xf>
    <xf numFmtId="0" fontId="4" fillId="3" borderId="11" xfId="0" applyFont="1" applyFill="1" applyBorder="1" applyAlignment="1">
      <alignment horizontal="center"/>
    </xf>
    <xf numFmtId="0" fontId="4" fillId="3" borderId="10" xfId="0" applyFont="1" applyFill="1" applyBorder="1" applyAlignment="1">
      <alignment horizontal="center"/>
    </xf>
    <xf numFmtId="0" fontId="1" fillId="0" borderId="42" xfId="0" applyFont="1" applyBorder="1"/>
    <xf numFmtId="0" fontId="1" fillId="0" borderId="42" xfId="0" applyFont="1" applyBorder="1" applyAlignment="1">
      <alignment horizontal="left"/>
    </xf>
    <xf numFmtId="164" fontId="1" fillId="0" borderId="42" xfId="0" applyNumberFormat="1" applyFont="1" applyBorder="1" applyAlignment="1">
      <alignment horizontal="left"/>
    </xf>
    <xf numFmtId="0" fontId="1" fillId="0" borderId="14" xfId="0" applyFont="1" applyBorder="1"/>
    <xf numFmtId="0" fontId="1" fillId="0" borderId="42" xfId="0" applyFont="1" applyBorder="1" applyAlignment="1">
      <alignment horizontal="center"/>
    </xf>
    <xf numFmtId="0" fontId="1" fillId="0" borderId="63" xfId="0" applyFont="1" applyBorder="1" applyAlignment="1">
      <alignment horizontal="center"/>
    </xf>
    <xf numFmtId="0" fontId="1" fillId="0" borderId="15" xfId="0" applyFont="1" applyBorder="1" applyAlignment="1">
      <alignment horizontal="center"/>
    </xf>
    <xf numFmtId="0" fontId="1" fillId="0" borderId="60" xfId="0" applyFont="1" applyBorder="1" applyAlignment="1">
      <alignment horizontal="center"/>
    </xf>
    <xf numFmtId="0" fontId="1" fillId="0" borderId="24" xfId="0" applyFont="1" applyBorder="1" applyAlignment="1">
      <alignment horizontal="center"/>
    </xf>
    <xf numFmtId="0" fontId="1" fillId="0" borderId="75" xfId="0" applyFont="1" applyBorder="1" applyAlignment="1">
      <alignment horizontal="center"/>
    </xf>
    <xf numFmtId="165" fontId="1" fillId="0" borderId="12" xfId="0" applyNumberFormat="1" applyFont="1" applyBorder="1"/>
    <xf numFmtId="165" fontId="1" fillId="0" borderId="8" xfId="0" applyNumberFormat="1" applyFont="1" applyBorder="1"/>
    <xf numFmtId="165" fontId="1" fillId="0" borderId="20" xfId="0" applyNumberFormat="1" applyFont="1" applyBorder="1"/>
    <xf numFmtId="0" fontId="1" fillId="0" borderId="13" xfId="0" applyFont="1" applyBorder="1"/>
    <xf numFmtId="167" fontId="1" fillId="0" borderId="14" xfId="0" applyNumberFormat="1" applyFont="1" applyBorder="1"/>
    <xf numFmtId="167" fontId="1" fillId="0" borderId="24" xfId="0" applyNumberFormat="1" applyFont="1" applyBorder="1"/>
    <xf numFmtId="0" fontId="10" fillId="0" borderId="13" xfId="0" applyFont="1" applyBorder="1"/>
    <xf numFmtId="165" fontId="1" fillId="0" borderId="14" xfId="0" applyNumberFormat="1" applyFont="1" applyBorder="1"/>
    <xf numFmtId="165" fontId="1" fillId="0" borderId="15" xfId="0" applyNumberFormat="1" applyFont="1" applyBorder="1"/>
    <xf numFmtId="0" fontId="1" fillId="0" borderId="15" xfId="0" applyNumberFormat="1" applyFont="1" applyBorder="1"/>
    <xf numFmtId="10" fontId="1" fillId="0" borderId="15" xfId="0" applyNumberFormat="1" applyFont="1" applyBorder="1"/>
    <xf numFmtId="0" fontId="1" fillId="0" borderId="21" xfId="0" applyFont="1" applyFill="1" applyBorder="1"/>
    <xf numFmtId="10" fontId="1" fillId="0" borderId="24" xfId="0" applyNumberFormat="1" applyFont="1" applyBorder="1"/>
    <xf numFmtId="168" fontId="1" fillId="0" borderId="14" xfId="0" applyNumberFormat="1" applyFont="1" applyBorder="1"/>
    <xf numFmtId="168" fontId="1" fillId="0" borderId="15" xfId="0" applyNumberFormat="1" applyFont="1" applyBorder="1"/>
    <xf numFmtId="168" fontId="1" fillId="0" borderId="24" xfId="0" applyNumberFormat="1" applyFont="1" applyBorder="1"/>
    <xf numFmtId="10" fontId="1" fillId="0" borderId="42" xfId="0" applyNumberFormat="1" applyFont="1" applyBorder="1" applyAlignment="1"/>
    <xf numFmtId="167" fontId="1" fillId="0" borderId="80" xfId="0" applyNumberFormat="1" applyFont="1" applyBorder="1" applyAlignment="1" applyProtection="1">
      <alignment horizontal="center" vertical="center"/>
      <protection locked="0"/>
    </xf>
    <xf numFmtId="167" fontId="1" fillId="0" borderId="39" xfId="0" applyNumberFormat="1" applyFont="1" applyBorder="1" applyAlignment="1" applyProtection="1">
      <alignment horizontal="center" vertical="center"/>
      <protection locked="0"/>
    </xf>
    <xf numFmtId="0" fontId="1" fillId="0" borderId="72" xfId="0" applyFont="1" applyBorder="1" applyAlignment="1">
      <alignment horizontal="right" vertical="center"/>
    </xf>
    <xf numFmtId="0" fontId="1" fillId="0" borderId="81" xfId="0" applyFont="1" applyBorder="1" applyAlignment="1">
      <alignment horizontal="right" vertical="center"/>
    </xf>
    <xf numFmtId="167" fontId="1" fillId="0" borderId="82" xfId="0" applyNumberFormat="1" applyFont="1" applyBorder="1" applyAlignment="1">
      <alignment horizontal="center"/>
    </xf>
    <xf numFmtId="0" fontId="1" fillId="0" borderId="38" xfId="0" applyFont="1" applyBorder="1" applyAlignment="1">
      <alignment horizontal="right"/>
    </xf>
    <xf numFmtId="9" fontId="1" fillId="0" borderId="82" xfId="0" applyNumberFormat="1" applyFont="1" applyBorder="1" applyAlignment="1">
      <alignment horizontal="center"/>
    </xf>
    <xf numFmtId="9" fontId="1" fillId="0" borderId="38" xfId="0" applyNumberFormat="1" applyFont="1" applyBorder="1" applyAlignment="1">
      <alignment horizontal="center"/>
    </xf>
    <xf numFmtId="0" fontId="1" fillId="0" borderId="82" xfId="0" applyFont="1" applyBorder="1" applyAlignment="1">
      <alignment horizontal="center"/>
    </xf>
    <xf numFmtId="0" fontId="1" fillId="0" borderId="38" xfId="0" applyFont="1" applyBorder="1" applyAlignment="1">
      <alignment horizontal="center"/>
    </xf>
    <xf numFmtId="167" fontId="1" fillId="0" borderId="83" xfId="0" applyNumberFormat="1" applyFont="1" applyBorder="1" applyAlignment="1">
      <alignment horizontal="center"/>
    </xf>
    <xf numFmtId="167" fontId="1" fillId="0" borderId="56" xfId="0" applyNumberFormat="1" applyFont="1" applyBorder="1" applyAlignment="1">
      <alignment horizontal="center"/>
    </xf>
    <xf numFmtId="165" fontId="1" fillId="0" borderId="22" xfId="0" applyNumberFormat="1" applyFont="1" applyBorder="1" applyAlignment="1">
      <alignment horizontal="center"/>
    </xf>
    <xf numFmtId="165" fontId="1" fillId="0" borderId="41" xfId="0" applyNumberFormat="1" applyFont="1" applyBorder="1" applyAlignment="1">
      <alignment horizontal="center"/>
    </xf>
    <xf numFmtId="167" fontId="1" fillId="0" borderId="61" xfId="0" applyNumberFormat="1" applyFont="1" applyBorder="1"/>
    <xf numFmtId="0" fontId="1" fillId="0" borderId="84" xfId="0" applyFont="1" applyBorder="1" applyAlignment="1">
      <alignment horizontal="right"/>
    </xf>
    <xf numFmtId="0" fontId="9" fillId="4" borderId="73" xfId="0" applyFont="1" applyFill="1" applyBorder="1" applyAlignment="1">
      <alignment horizontal="center" vertical="center"/>
    </xf>
    <xf numFmtId="0" fontId="9" fillId="4" borderId="76" xfId="0" applyFont="1" applyFill="1" applyBorder="1" applyAlignment="1">
      <alignment horizontal="center" vertical="center"/>
    </xf>
    <xf numFmtId="0" fontId="9" fillId="4" borderId="74" xfId="0" applyFont="1" applyFill="1" applyBorder="1" applyAlignment="1">
      <alignment horizontal="center" vertical="center"/>
    </xf>
    <xf numFmtId="0" fontId="9" fillId="4" borderId="71" xfId="0" applyFont="1" applyFill="1" applyBorder="1" applyAlignment="1">
      <alignment vertical="center"/>
    </xf>
    <xf numFmtId="0" fontId="9" fillId="4" borderId="68" xfId="0" applyFont="1" applyFill="1" applyBorder="1" applyAlignment="1">
      <alignment horizontal="center" vertical="center"/>
    </xf>
    <xf numFmtId="0" fontId="9" fillId="4" borderId="69" xfId="0" applyFont="1" applyFill="1" applyBorder="1" applyAlignment="1">
      <alignment horizontal="center" vertical="center"/>
    </xf>
    <xf numFmtId="0" fontId="9" fillId="4" borderId="70" xfId="0" applyFont="1" applyFill="1" applyBorder="1" applyAlignment="1">
      <alignment horizontal="center" vertical="center"/>
    </xf>
    <xf numFmtId="0" fontId="9" fillId="4" borderId="73" xfId="0" applyFont="1" applyFill="1" applyBorder="1" applyAlignment="1">
      <alignment horizontal="left" vertical="center"/>
    </xf>
    <xf numFmtId="0" fontId="9" fillId="4" borderId="74" xfId="0" applyFont="1" applyFill="1" applyBorder="1" applyAlignment="1">
      <alignment horizontal="left" vertical="center"/>
    </xf>
    <xf numFmtId="0" fontId="9" fillId="4" borderId="65" xfId="0" applyFont="1" applyFill="1" applyBorder="1" applyAlignment="1">
      <alignment vertical="center"/>
    </xf>
    <xf numFmtId="0" fontId="9" fillId="4" borderId="11" xfId="0" applyFont="1" applyFill="1" applyBorder="1" applyAlignment="1">
      <alignment vertical="center"/>
    </xf>
    <xf numFmtId="0" fontId="9" fillId="4" borderId="76" xfId="0" applyFont="1" applyFill="1" applyBorder="1" applyAlignment="1">
      <alignment horizontal="left" vertical="center"/>
    </xf>
    <xf numFmtId="0" fontId="9" fillId="4" borderId="68" xfId="0" applyFont="1" applyFill="1" applyBorder="1" applyAlignment="1">
      <alignment horizontal="left" vertical="center"/>
    </xf>
    <xf numFmtId="0" fontId="9" fillId="4" borderId="69" xfId="0" applyFont="1" applyFill="1" applyBorder="1" applyAlignment="1">
      <alignment horizontal="left" vertical="center"/>
    </xf>
    <xf numFmtId="0" fontId="9" fillId="4" borderId="70" xfId="0" applyFont="1" applyFill="1" applyBorder="1" applyAlignment="1">
      <alignment horizontal="left" vertical="center"/>
    </xf>
    <xf numFmtId="0" fontId="15" fillId="0" borderId="6" xfId="0" applyFont="1" applyBorder="1"/>
    <xf numFmtId="0" fontId="16" fillId="0" borderId="6" xfId="0" applyFont="1" applyBorder="1"/>
    <xf numFmtId="0" fontId="16" fillId="0" borderId="0" xfId="0" applyFont="1" applyBorder="1"/>
    <xf numFmtId="0" fontId="19" fillId="2" borderId="6" xfId="0" applyFont="1" applyFill="1" applyBorder="1"/>
    <xf numFmtId="0" fontId="0" fillId="0" borderId="7" xfId="0" applyBorder="1"/>
    <xf numFmtId="0" fontId="12" fillId="0" borderId="6" xfId="0" applyFont="1" applyBorder="1" applyAlignment="1">
      <alignment horizontal="left" vertical="center"/>
    </xf>
    <xf numFmtId="0" fontId="12" fillId="0" borderId="0" xfId="0" applyFont="1" applyBorder="1" applyAlignment="1">
      <alignment horizontal="left" vertical="center"/>
    </xf>
    <xf numFmtId="0" fontId="12" fillId="0" borderId="85" xfId="0" applyFont="1" applyBorder="1" applyAlignment="1">
      <alignment horizontal="left" vertical="center"/>
    </xf>
    <xf numFmtId="0" fontId="12" fillId="0" borderId="32" xfId="0" applyFont="1" applyBorder="1" applyAlignment="1">
      <alignment horizontal="left" vertical="center"/>
    </xf>
    <xf numFmtId="0" fontId="12" fillId="0" borderId="86" xfId="0" applyFont="1" applyBorder="1" applyAlignment="1">
      <alignment horizontal="left" vertical="center"/>
    </xf>
    <xf numFmtId="0" fontId="1" fillId="0" borderId="78" xfId="0" applyFont="1" applyBorder="1"/>
    <xf numFmtId="0" fontId="1" fillId="0" borderId="32" xfId="0" applyFont="1" applyBorder="1"/>
    <xf numFmtId="0" fontId="16" fillId="0" borderId="0" xfId="0" applyFont="1" applyBorder="1" applyAlignment="1">
      <alignment horizontal="left" vertical="center"/>
    </xf>
    <xf numFmtId="164" fontId="19" fillId="2" borderId="0" xfId="0" applyNumberFormat="1" applyFont="1" applyFill="1" applyBorder="1" applyAlignment="1">
      <alignment horizontal="center" vertical="center"/>
    </xf>
    <xf numFmtId="0" fontId="0" fillId="0" borderId="86" xfId="0" applyBorder="1"/>
    <xf numFmtId="0" fontId="20" fillId="3" borderId="42" xfId="0" applyFont="1" applyFill="1" applyBorder="1" applyAlignment="1">
      <alignment horizontal="center"/>
    </xf>
    <xf numFmtId="0" fontId="22" fillId="0" borderId="42" xfId="0" applyFont="1" applyBorder="1" applyAlignment="1">
      <alignment horizontal="center"/>
    </xf>
    <xf numFmtId="0" fontId="21" fillId="0" borderId="42" xfId="0" applyFont="1" applyBorder="1" applyAlignment="1">
      <alignment horizontal="center"/>
    </xf>
    <xf numFmtId="0" fontId="21" fillId="0" borderId="63" xfId="0" applyFont="1" applyBorder="1" applyAlignment="1">
      <alignment horizontal="center"/>
    </xf>
    <xf numFmtId="0" fontId="21" fillId="0" borderId="60" xfId="0" applyFont="1" applyBorder="1" applyAlignment="1">
      <alignment horizontal="center"/>
    </xf>
    <xf numFmtId="0" fontId="22" fillId="0" borderId="60" xfId="0" applyFont="1" applyBorder="1" applyAlignment="1">
      <alignment horizontal="center"/>
    </xf>
    <xf numFmtId="0" fontId="22" fillId="0" borderId="75" xfId="0" applyFont="1" applyBorder="1" applyAlignment="1">
      <alignment horizontal="center"/>
    </xf>
    <xf numFmtId="167" fontId="23" fillId="0" borderId="77" xfId="0" applyNumberFormat="1" applyFont="1" applyBorder="1" applyAlignment="1" applyProtection="1">
      <alignment horizontal="center" vertical="center"/>
      <protection locked="0"/>
    </xf>
    <xf numFmtId="167" fontId="23" fillId="0" borderId="79" xfId="0" applyNumberFormat="1" applyFont="1" applyBorder="1" applyAlignment="1" applyProtection="1">
      <alignment horizontal="center" vertical="center"/>
      <protection locked="0"/>
    </xf>
    <xf numFmtId="167" fontId="23" fillId="0" borderId="82" xfId="0" applyNumberFormat="1" applyFont="1" applyBorder="1" applyAlignment="1" applyProtection="1">
      <alignment horizontal="center" vertical="center"/>
      <protection locked="0"/>
    </xf>
    <xf numFmtId="167" fontId="23" fillId="0" borderId="38" xfId="0" applyNumberFormat="1"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colors>
    <mruColors>
      <color rgb="FF99FF66"/>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2670711</xdr:colOff>
      <xdr:row>0</xdr:row>
      <xdr:rowOff>0</xdr:rowOff>
    </xdr:from>
    <xdr:to>
      <xdr:col>4</xdr:col>
      <xdr:colOff>421226</xdr:colOff>
      <xdr:row>0</xdr:row>
      <xdr:rowOff>2181224</xdr:rowOff>
    </xdr:to>
    <xdr:pic>
      <xdr:nvPicPr>
        <xdr:cNvPr id="3" name="Imagen 2">
          <a:extLst>
            <a:ext uri="{FF2B5EF4-FFF2-40B4-BE49-F238E27FC236}">
              <a16:creationId xmlns:a16="http://schemas.microsoft.com/office/drawing/2014/main" id="{8E0A728E-BC35-4AA8-84D0-D45961123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27529" y="0"/>
          <a:ext cx="2183970" cy="21812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1361642</xdr:colOff>
      <xdr:row>0</xdr:row>
      <xdr:rowOff>17319</xdr:rowOff>
    </xdr:from>
    <xdr:to>
      <xdr:col>8</xdr:col>
      <xdr:colOff>554182</xdr:colOff>
      <xdr:row>0</xdr:row>
      <xdr:rowOff>2529031</xdr:rowOff>
    </xdr:to>
    <xdr:pic>
      <xdr:nvPicPr>
        <xdr:cNvPr id="2" name="Imagen 1">
          <a:extLst>
            <a:ext uri="{FF2B5EF4-FFF2-40B4-BE49-F238E27FC236}">
              <a16:creationId xmlns:a16="http://schemas.microsoft.com/office/drawing/2014/main" id="{3E75BA47-DAE4-41B8-8CB0-BFA72FC37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37824" y="17319"/>
          <a:ext cx="2569585" cy="25117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371476</xdr:colOff>
      <xdr:row>0</xdr:row>
      <xdr:rowOff>104775</xdr:rowOff>
    </xdr:from>
    <xdr:to>
      <xdr:col>8</xdr:col>
      <xdr:colOff>467320</xdr:colOff>
      <xdr:row>0</xdr:row>
      <xdr:rowOff>1771650</xdr:rowOff>
    </xdr:to>
    <xdr:pic>
      <xdr:nvPicPr>
        <xdr:cNvPr id="2" name="Imagen 1">
          <a:extLst>
            <a:ext uri="{FF2B5EF4-FFF2-40B4-BE49-F238E27FC236}">
              <a16:creationId xmlns:a16="http://schemas.microsoft.com/office/drawing/2014/main" id="{AB8F8224-CFCE-4133-A77E-EDC2A9CC3C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73101" y="104775"/>
          <a:ext cx="1619844" cy="1666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2598965</xdr:colOff>
      <xdr:row>0</xdr:row>
      <xdr:rowOff>40822</xdr:rowOff>
    </xdr:from>
    <xdr:to>
      <xdr:col>8</xdr:col>
      <xdr:colOff>530678</xdr:colOff>
      <xdr:row>0</xdr:row>
      <xdr:rowOff>1422208</xdr:rowOff>
    </xdr:to>
    <xdr:pic>
      <xdr:nvPicPr>
        <xdr:cNvPr id="2" name="Imagen 1">
          <a:extLst>
            <a:ext uri="{FF2B5EF4-FFF2-40B4-BE49-F238E27FC236}">
              <a16:creationId xmlns:a16="http://schemas.microsoft.com/office/drawing/2014/main" id="{7B93FE5C-467C-47D7-9DC4-A2ACFBAB5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64644" y="40822"/>
          <a:ext cx="1360713" cy="13813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zoomScale="55" zoomScaleNormal="55" workbookViewId="0">
      <selection activeCell="B5" sqref="B5:D5"/>
    </sheetView>
  </sheetViews>
  <sheetFormatPr baseColWidth="10" defaultRowHeight="15" x14ac:dyDescent="0.25"/>
  <cols>
    <col min="1" max="1" width="57.5703125" customWidth="1"/>
    <col min="2" max="2" width="62" style="8" customWidth="1"/>
    <col min="3" max="3" width="49.140625" customWidth="1"/>
    <col min="4" max="4" width="66.42578125" customWidth="1"/>
  </cols>
  <sheetData>
    <row r="1" spans="1:5" ht="182.25" customHeight="1" thickBot="1" x14ac:dyDescent="0.3">
      <c r="A1" s="184" t="s">
        <v>106</v>
      </c>
      <c r="B1" s="185"/>
      <c r="C1" s="185"/>
      <c r="D1" s="185"/>
      <c r="E1" s="186"/>
    </row>
    <row r="2" spans="1:5" x14ac:dyDescent="0.25">
      <c r="A2" s="5"/>
      <c r="B2" s="187"/>
      <c r="C2" s="187"/>
      <c r="D2" s="187"/>
      <c r="E2" s="181"/>
    </row>
    <row r="3" spans="1:5" ht="57.75" x14ac:dyDescent="0.65">
      <c r="A3" s="177" t="s">
        <v>0</v>
      </c>
      <c r="B3" s="189" t="s">
        <v>150</v>
      </c>
      <c r="C3" s="189"/>
      <c r="D3" s="189"/>
      <c r="E3" s="181"/>
    </row>
    <row r="4" spans="1:5" ht="15" customHeight="1" x14ac:dyDescent="0.7">
      <c r="A4" s="178"/>
      <c r="B4" s="179"/>
      <c r="C4" s="179"/>
      <c r="D4" s="8"/>
      <c r="E4" s="181"/>
    </row>
    <row r="5" spans="1:5" ht="50.25" x14ac:dyDescent="0.7">
      <c r="A5" s="180" t="s">
        <v>61</v>
      </c>
      <c r="B5" s="190">
        <f>(Hoja2!B6-Hoja2!B7-Hoja2!B8)*(1-Hoja2!B9)+Hoja2!B8-Hoja2!B11</f>
        <v>-5919481.0449000001</v>
      </c>
      <c r="C5" s="190"/>
      <c r="D5" s="190"/>
      <c r="E5" s="181"/>
    </row>
    <row r="6" spans="1:5" ht="18" customHeight="1" thickBot="1" x14ac:dyDescent="0.3">
      <c r="A6" s="5"/>
      <c r="B6" s="188"/>
      <c r="C6" s="188"/>
      <c r="D6" s="33"/>
      <c r="E6" s="181"/>
    </row>
    <row r="7" spans="1:5" ht="31.5" thickBot="1" x14ac:dyDescent="0.45">
      <c r="A7" s="192" t="s">
        <v>24</v>
      </c>
      <c r="B7" s="192"/>
      <c r="C7" s="192" t="s">
        <v>163</v>
      </c>
      <c r="D7" s="192"/>
      <c r="E7" s="181"/>
    </row>
    <row r="8" spans="1:5" ht="31.5" x14ac:dyDescent="0.45">
      <c r="A8" s="195" t="s">
        <v>153</v>
      </c>
      <c r="B8" s="195"/>
      <c r="C8" s="199">
        <f>Hoja2!I20</f>
        <v>24831184.520133331</v>
      </c>
      <c r="D8" s="200"/>
      <c r="E8" s="181"/>
    </row>
    <row r="9" spans="1:5" ht="31.5" x14ac:dyDescent="0.45">
      <c r="A9" s="196" t="s">
        <v>154</v>
      </c>
      <c r="B9" s="196"/>
      <c r="C9" s="201">
        <f>SUM(Hoja2!C61:C65)</f>
        <v>28746102.399999999</v>
      </c>
      <c r="D9" s="202"/>
      <c r="E9" s="181"/>
    </row>
    <row r="10" spans="1:5" ht="32.25" x14ac:dyDescent="0.5">
      <c r="A10" s="197" t="s">
        <v>155</v>
      </c>
      <c r="B10" s="197"/>
      <c r="C10" s="201">
        <f>SUM(Hoja2!B61:B65)</f>
        <v>3267883.6799999997</v>
      </c>
      <c r="D10" s="202"/>
      <c r="E10" s="181"/>
    </row>
    <row r="11" spans="1:5" ht="32.25" x14ac:dyDescent="0.5">
      <c r="A11" s="197" t="s">
        <v>160</v>
      </c>
      <c r="B11" s="197"/>
      <c r="C11" s="201">
        <f>SUM(Hoja2!E70:E98)</f>
        <v>2800.5</v>
      </c>
      <c r="D11" s="202"/>
      <c r="E11" s="181"/>
    </row>
    <row r="12" spans="1:5" ht="32.25" x14ac:dyDescent="0.5">
      <c r="A12" s="197" t="s">
        <v>156</v>
      </c>
      <c r="B12" s="197"/>
      <c r="C12" s="197"/>
      <c r="D12" s="197"/>
      <c r="E12" s="181"/>
    </row>
    <row r="13" spans="1:5" ht="32.25" x14ac:dyDescent="0.5">
      <c r="A13" s="197" t="s">
        <v>157</v>
      </c>
      <c r="B13" s="197"/>
      <c r="C13" s="197"/>
      <c r="D13" s="197"/>
      <c r="E13" s="181"/>
    </row>
    <row r="14" spans="1:5" ht="32.25" x14ac:dyDescent="0.5">
      <c r="A14" s="197" t="s">
        <v>158</v>
      </c>
      <c r="B14" s="197"/>
      <c r="C14" s="197"/>
      <c r="D14" s="197"/>
      <c r="E14" s="181"/>
    </row>
    <row r="15" spans="1:5" ht="32.25" x14ac:dyDescent="0.5">
      <c r="A15" s="197" t="s">
        <v>159</v>
      </c>
      <c r="B15" s="197"/>
      <c r="C15" s="197"/>
      <c r="D15" s="197"/>
      <c r="E15" s="181"/>
    </row>
    <row r="16" spans="1:5" ht="33" thickBot="1" x14ac:dyDescent="0.55000000000000004">
      <c r="A16" s="198" t="s">
        <v>161</v>
      </c>
      <c r="B16" s="198"/>
      <c r="C16" s="198"/>
      <c r="D16" s="198"/>
      <c r="E16" s="181"/>
    </row>
    <row r="17" spans="1:5" ht="32.25" customHeight="1" thickBot="1" x14ac:dyDescent="0.55000000000000004">
      <c r="A17" s="193" t="s">
        <v>162</v>
      </c>
      <c r="B17" s="193"/>
      <c r="C17" s="194"/>
      <c r="D17" s="194"/>
      <c r="E17" s="181"/>
    </row>
    <row r="18" spans="1:5" x14ac:dyDescent="0.25">
      <c r="A18" s="8"/>
      <c r="C18" s="8"/>
      <c r="D18" s="187"/>
      <c r="E18" s="181"/>
    </row>
    <row r="19" spans="1:5" ht="15" customHeight="1" thickBot="1" x14ac:dyDescent="0.3">
      <c r="A19" s="33"/>
      <c r="B19" s="33"/>
      <c r="C19" s="33"/>
      <c r="D19" s="33"/>
      <c r="E19" s="191"/>
    </row>
    <row r="20" spans="1:5" x14ac:dyDescent="0.25">
      <c r="A20" s="8"/>
      <c r="C20" s="8"/>
    </row>
    <row r="22" spans="1:5" x14ac:dyDescent="0.25">
      <c r="A22" s="52"/>
      <c r="B22" s="53"/>
      <c r="C22" s="53"/>
      <c r="D22" s="53"/>
    </row>
    <row r="23" spans="1:5" x14ac:dyDescent="0.25">
      <c r="A23" s="52"/>
      <c r="B23" s="53"/>
      <c r="C23" s="53"/>
      <c r="D23" s="53"/>
    </row>
    <row r="24" spans="1:5" x14ac:dyDescent="0.25">
      <c r="A24" s="52"/>
      <c r="B24" s="53"/>
      <c r="C24" s="53"/>
      <c r="D24" s="53"/>
    </row>
    <row r="25" spans="1:5" x14ac:dyDescent="0.25">
      <c r="B25" s="53"/>
      <c r="C25" s="50"/>
      <c r="D25" s="50"/>
    </row>
    <row r="26" spans="1:5" x14ac:dyDescent="0.25">
      <c r="B26" s="53"/>
      <c r="C26" s="50"/>
      <c r="D26" s="50"/>
    </row>
    <row r="27" spans="1:5" x14ac:dyDescent="0.25">
      <c r="B27" s="53"/>
      <c r="C27" s="50"/>
      <c r="D27" s="50"/>
    </row>
    <row r="28" spans="1:5" x14ac:dyDescent="0.25">
      <c r="B28" s="53"/>
      <c r="C28" s="50"/>
      <c r="D28" s="50"/>
    </row>
  </sheetData>
  <mergeCells count="25">
    <mergeCell ref="A16:B16"/>
    <mergeCell ref="A17:B17"/>
    <mergeCell ref="C7:D7"/>
    <mergeCell ref="C8:D8"/>
    <mergeCell ref="C9:D9"/>
    <mergeCell ref="C10:D10"/>
    <mergeCell ref="C11:D11"/>
    <mergeCell ref="C12:D12"/>
    <mergeCell ref="C13:D13"/>
    <mergeCell ref="C14:D14"/>
    <mergeCell ref="C15:D15"/>
    <mergeCell ref="C16:D16"/>
    <mergeCell ref="C17:D17"/>
    <mergeCell ref="A7:B7"/>
    <mergeCell ref="A8:B8"/>
    <mergeCell ref="A9:B9"/>
    <mergeCell ref="A10:B10"/>
    <mergeCell ref="A11:B11"/>
    <mergeCell ref="B3:D3"/>
    <mergeCell ref="B5:D5"/>
    <mergeCell ref="A1:E1"/>
    <mergeCell ref="A12:B12"/>
    <mergeCell ref="A13:B13"/>
    <mergeCell ref="A14:B14"/>
    <mergeCell ref="A15:B15"/>
  </mergeCells>
  <phoneticPr fontId="8" type="noConversion"/>
  <pageMargins left="0.7" right="0.7" top="0.75" bottom="0.75" header="0.3" footer="0.3"/>
  <pageSetup paperSize="9" scale="4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9F275-8C24-4239-85F2-B9427284E4F8}">
  <dimension ref="A1:J98"/>
  <sheetViews>
    <sheetView tabSelected="1" topLeftCell="A4" zoomScale="85" zoomScaleNormal="85" workbookViewId="0">
      <selection sqref="A1:J1"/>
    </sheetView>
  </sheetViews>
  <sheetFormatPr baseColWidth="10" defaultRowHeight="15" x14ac:dyDescent="0.25"/>
  <cols>
    <col min="1" max="1" width="81.7109375" customWidth="1"/>
    <col min="2" max="2" width="50" customWidth="1"/>
    <col min="3" max="3" width="47" customWidth="1"/>
    <col min="4" max="4" width="30" bestFit="1" customWidth="1"/>
    <col min="5" max="5" width="41.7109375" customWidth="1"/>
    <col min="6" max="6" width="53.85546875" bestFit="1" customWidth="1"/>
    <col min="7" max="7" width="58" bestFit="1" customWidth="1"/>
    <col min="8" max="8" width="50.5703125" bestFit="1" customWidth="1"/>
    <col min="9" max="9" width="17.140625" bestFit="1" customWidth="1"/>
    <col min="10" max="10" width="24.28515625" bestFit="1" customWidth="1"/>
    <col min="19" max="19" width="17.7109375" customWidth="1"/>
  </cols>
  <sheetData>
    <row r="1" spans="1:10" ht="205.5" customHeight="1" x14ac:dyDescent="0.25">
      <c r="A1" s="182" t="s">
        <v>106</v>
      </c>
      <c r="B1" s="183"/>
      <c r="C1" s="183"/>
      <c r="D1" s="183"/>
      <c r="E1" s="183"/>
      <c r="F1" s="183"/>
      <c r="G1" s="183"/>
      <c r="H1" s="183"/>
      <c r="I1" s="183"/>
      <c r="J1" s="183"/>
    </row>
    <row r="3" spans="1:10" ht="15.75" thickBot="1" x14ac:dyDescent="0.3"/>
    <row r="4" spans="1:10" ht="19.5" thickBot="1" x14ac:dyDescent="0.35">
      <c r="A4" s="99" t="s">
        <v>57</v>
      </c>
      <c r="B4" s="100"/>
      <c r="C4" s="100"/>
      <c r="D4" s="100"/>
      <c r="E4" s="101"/>
    </row>
    <row r="5" spans="1:10" ht="19.5" thickBot="1" x14ac:dyDescent="0.35">
      <c r="A5" s="74"/>
      <c r="B5" s="75" t="s">
        <v>58</v>
      </c>
      <c r="C5" s="76"/>
      <c r="D5" s="77" t="s">
        <v>59</v>
      </c>
      <c r="E5" s="78"/>
    </row>
    <row r="6" spans="1:10" ht="21" thickBot="1" x14ac:dyDescent="0.4">
      <c r="A6" s="71" t="s">
        <v>1</v>
      </c>
      <c r="B6" s="146">
        <f>Hoja2!I20</f>
        <v>24831184.520133331</v>
      </c>
      <c r="C6" s="147"/>
      <c r="D6" s="148">
        <v>0</v>
      </c>
      <c r="E6" s="149"/>
      <c r="F6" s="169" t="s">
        <v>108</v>
      </c>
    </row>
    <row r="7" spans="1:10" ht="21" thickBot="1" x14ac:dyDescent="0.4">
      <c r="A7" s="71" t="s">
        <v>2</v>
      </c>
      <c r="B7" s="150">
        <f>SUM(Hoja2!B66:C66)</f>
        <v>32013986.079999998</v>
      </c>
      <c r="C7" s="64"/>
      <c r="D7" s="70">
        <v>0</v>
      </c>
      <c r="E7" s="151"/>
      <c r="F7" s="173"/>
    </row>
    <row r="8" spans="1:10" ht="21" thickBot="1" x14ac:dyDescent="0.4">
      <c r="A8" s="71" t="s">
        <v>40</v>
      </c>
      <c r="B8" s="150">
        <f>SUM(Hoja2!E70:E98)</f>
        <v>2800.5</v>
      </c>
      <c r="C8" s="64"/>
      <c r="D8" s="70">
        <v>0</v>
      </c>
      <c r="E8" s="151"/>
      <c r="F8" s="170"/>
    </row>
    <row r="9" spans="1:10" ht="21" thickBot="1" x14ac:dyDescent="0.4">
      <c r="A9" s="71" t="s">
        <v>3</v>
      </c>
      <c r="B9" s="152">
        <v>0.25</v>
      </c>
      <c r="C9" s="61"/>
      <c r="D9" s="61"/>
      <c r="E9" s="153"/>
    </row>
    <row r="10" spans="1:10" ht="15" customHeight="1" x14ac:dyDescent="0.25">
      <c r="A10" s="72" t="s">
        <v>4</v>
      </c>
      <c r="B10" s="154" t="s">
        <v>52</v>
      </c>
      <c r="C10" s="63"/>
      <c r="D10" s="62" t="s">
        <v>53</v>
      </c>
      <c r="E10" s="155"/>
    </row>
    <row r="11" spans="1:10" ht="15" customHeight="1" thickBot="1" x14ac:dyDescent="0.3">
      <c r="A11" s="73"/>
      <c r="B11" s="156">
        <f>D11*Constantes!B26</f>
        <v>533080</v>
      </c>
      <c r="C11" s="157"/>
      <c r="D11" s="158">
        <v>13327</v>
      </c>
      <c r="E11" s="159"/>
    </row>
    <row r="13" spans="1:10" ht="15.75" thickBot="1" x14ac:dyDescent="0.3"/>
    <row r="14" spans="1:10" ht="21.75" thickTop="1" thickBot="1" x14ac:dyDescent="0.35">
      <c r="A14" s="102" t="s">
        <v>5</v>
      </c>
      <c r="B14" s="91" t="s">
        <v>11</v>
      </c>
      <c r="C14" s="91" t="s">
        <v>99</v>
      </c>
      <c r="D14" s="91" t="s">
        <v>100</v>
      </c>
      <c r="E14" s="91" t="s">
        <v>101</v>
      </c>
      <c r="F14" s="91" t="s">
        <v>62</v>
      </c>
      <c r="G14" s="91" t="s">
        <v>63</v>
      </c>
      <c r="H14" s="91" t="s">
        <v>64</v>
      </c>
      <c r="I14" s="109" t="s">
        <v>55</v>
      </c>
      <c r="J14" s="174" t="s">
        <v>111</v>
      </c>
    </row>
    <row r="15" spans="1:10" x14ac:dyDescent="0.25">
      <c r="A15" s="96" t="s">
        <v>6</v>
      </c>
      <c r="B15" s="93"/>
      <c r="C15" s="27"/>
      <c r="D15" s="47"/>
      <c r="E15" s="47"/>
      <c r="F15" s="27"/>
      <c r="G15" s="27"/>
      <c r="H15" s="31"/>
      <c r="I15" s="110">
        <f>B15*Hoja2!E27+C15*Hoja2!E28+F15*Hoja2!E43+G15*Hoja2!E44+Hoja2!E45*H15+D15*Hoja2!E33+E15*Hoja2!E38</f>
        <v>0</v>
      </c>
      <c r="J15" s="175"/>
    </row>
    <row r="16" spans="1:10" x14ac:dyDescent="0.25">
      <c r="A16" s="97" t="s">
        <v>7</v>
      </c>
      <c r="B16" s="94">
        <v>1</v>
      </c>
      <c r="C16" s="1">
        <v>4</v>
      </c>
      <c r="D16" s="45">
        <v>3</v>
      </c>
      <c r="E16" s="45"/>
      <c r="F16" s="1"/>
      <c r="G16" s="1">
        <v>1</v>
      </c>
      <c r="H16" s="3"/>
      <c r="I16" s="111">
        <f>B16*Hoja2!E27+C16*Hoja2!E29+F16*Hoja2!E46+G16*Hoja2!E47+Hoja2!E48*H16+D16*Hoja2!E34+E16*Hoja2!E39</f>
        <v>10793581.323733332</v>
      </c>
      <c r="J16" s="175"/>
    </row>
    <row r="17" spans="1:10" x14ac:dyDescent="0.25">
      <c r="A17" s="97" t="s">
        <v>8</v>
      </c>
      <c r="B17" s="94"/>
      <c r="C17" s="1">
        <v>5</v>
      </c>
      <c r="D17" s="45">
        <v>1</v>
      </c>
      <c r="E17" s="45">
        <v>1</v>
      </c>
      <c r="F17" s="1"/>
      <c r="G17" s="1"/>
      <c r="H17" s="3"/>
      <c r="I17" s="111">
        <f>B17*Hoja2!E27+C17*Hoja2!E30+F17*Hoja2!E49+G17*Hoja2!E50+H17*Hoja2!E51+D17*Hoja2!E35+E17*Hoja2!E40</f>
        <v>2520097.3745333333</v>
      </c>
      <c r="J17" s="175"/>
    </row>
    <row r="18" spans="1:10" x14ac:dyDescent="0.25">
      <c r="A18" s="97" t="s">
        <v>9</v>
      </c>
      <c r="B18" s="94"/>
      <c r="C18" s="1">
        <v>4</v>
      </c>
      <c r="D18" s="45">
        <v>2</v>
      </c>
      <c r="E18" s="45">
        <v>1</v>
      </c>
      <c r="F18" s="1"/>
      <c r="G18" s="1"/>
      <c r="H18" s="3"/>
      <c r="I18" s="110">
        <f>B18*Hoja2!E27+C18*Hoja2!E31+F18*Hoja2!E52+Hoja2!E53*G18+H18*Hoja2!E54+D18*Hoja2!E36+E18*Hoja2!E41</f>
        <v>3098812.4458666667</v>
      </c>
      <c r="J18" s="175"/>
    </row>
    <row r="19" spans="1:10" ht="15.75" thickBot="1" x14ac:dyDescent="0.3">
      <c r="A19" s="98" t="s">
        <v>10</v>
      </c>
      <c r="B19" s="95"/>
      <c r="C19" s="1">
        <v>6</v>
      </c>
      <c r="D19" s="48">
        <v>4</v>
      </c>
      <c r="E19" s="46">
        <v>3</v>
      </c>
      <c r="F19" s="2"/>
      <c r="G19" s="1"/>
      <c r="H19" s="21"/>
      <c r="I19" s="112">
        <f>B19*Hoja2!E27+C19*Hoja2!E32+F19*Hoja2!E55+Hoja2!E56*G19+H19*Hoja2!E57+D19*Hoja2!E37+E19*Hoja2!E42</f>
        <v>8418693.3760000002</v>
      </c>
      <c r="J19" s="175"/>
    </row>
    <row r="20" spans="1:10" ht="16.5" thickTop="1" thickBot="1" x14ac:dyDescent="0.3">
      <c r="A20" s="13" t="s">
        <v>12</v>
      </c>
      <c r="B20" s="34">
        <f>SUM(B15:B19)*Hoja2!E27</f>
        <v>3321612</v>
      </c>
      <c r="C20" s="34">
        <f>C15*Hoja2!E28+C16*Hoja2!E29+C17*Hoja2!E30+C18*Hoja2!E31+C19*Hoja2!E32</f>
        <v>2496087.8833333333</v>
      </c>
      <c r="D20" s="34">
        <f>D15*Hoja2!E33+D16*Hoja2!E34+D17*Hoja2!E35+D18*Hoja2!E36+D19*Hoja2!E37</f>
        <v>5672962.7552000005</v>
      </c>
      <c r="E20" s="49">
        <f>E15*Hoja2!E38+E16*Hoja2!E39+E17*Hoja2!E40+E18*Hoja2!E41+E19*Hoja2!E42</f>
        <v>7703546.4576000003</v>
      </c>
      <c r="F20" s="49">
        <f>F15*Hoja2!E43+F16*Hoja2!E46+F17*Hoja2!E49+F18*Hoja2!E52+F19*Hoja2!E55</f>
        <v>0</v>
      </c>
      <c r="G20" s="49">
        <f>G15*Hoja2!E44+G16*Hoja2!E47+G17*Hoja2!E50+G18*Hoja2!E53+G19*Hoja2!E56</f>
        <v>5636975.4239999996</v>
      </c>
      <c r="H20" s="49">
        <f>H15*Hoja2!E45+H16*Hoja2!E48+H17*Hoja2!E51+H18*Hoja2!E54+H19*Hoja2!E57</f>
        <v>0</v>
      </c>
      <c r="I20" s="113">
        <f>SUM(I15:I19)</f>
        <v>24831184.520133331</v>
      </c>
      <c r="J20" s="176"/>
    </row>
    <row r="24" spans="1:10" ht="15.75" thickBot="1" x14ac:dyDescent="0.3"/>
    <row r="25" spans="1:10" ht="19.5" thickBot="1" x14ac:dyDescent="0.35">
      <c r="A25" s="103" t="s">
        <v>13</v>
      </c>
      <c r="B25" s="104"/>
      <c r="C25" s="105" t="s">
        <v>14</v>
      </c>
      <c r="D25" s="106"/>
      <c r="E25" s="107"/>
    </row>
    <row r="26" spans="1:10" ht="15.75" thickBot="1" x14ac:dyDescent="0.3">
      <c r="A26" s="91" t="s">
        <v>24</v>
      </c>
      <c r="B26" s="108" t="s">
        <v>152</v>
      </c>
      <c r="C26" s="91" t="s">
        <v>15</v>
      </c>
      <c r="D26" s="91" t="s">
        <v>30</v>
      </c>
      <c r="E26" s="92" t="s">
        <v>16</v>
      </c>
    </row>
    <row r="27" spans="1:10" ht="15.75" thickBot="1" x14ac:dyDescent="0.3">
      <c r="A27" s="82" t="s">
        <v>65</v>
      </c>
      <c r="B27" s="79">
        <f>(Constantes!C19*(1+((Constantes!D19/100)*0))+ Constantes!C20*(1+((Constantes!D20/100)*0)) + Constantes!C21*(1+((Constantes!D21/100)*0)))*Constantes!B26*7</f>
        <v>281960</v>
      </c>
      <c r="C27" s="79">
        <f>((Hoja2!C62-C47)/12)*7</f>
        <v>2375329.6</v>
      </c>
      <c r="D27" s="80">
        <v>25</v>
      </c>
      <c r="E27" s="81">
        <f>SUM(B27:C27)*(1+(D27/100))</f>
        <v>3321612</v>
      </c>
    </row>
    <row r="28" spans="1:10" ht="15.75" thickTop="1" x14ac:dyDescent="0.25">
      <c r="A28" s="87" t="s">
        <v>114</v>
      </c>
      <c r="B28" s="83">
        <f>(Hoja2!B61/(12*30))*(Constantes!$C$10+2)</f>
        <v>13426.666666666668</v>
      </c>
      <c r="C28" s="28">
        <f>(Constantes!$B$10*Constantes!$B$36*Constantes!B26*Constantes!$C$10)+(Constantes!$B$10*(Constantes!$B$35*(1+Constantes!$E$3))*Constantes!B26*Constantes!$D$10)</f>
        <v>61440</v>
      </c>
      <c r="D28" s="31">
        <v>25</v>
      </c>
      <c r="E28" s="32">
        <f>SUM(B28:C28)*(1+(D28/100))</f>
        <v>93583.333333333343</v>
      </c>
    </row>
    <row r="29" spans="1:10" x14ac:dyDescent="0.25">
      <c r="A29" s="88" t="s">
        <v>115</v>
      </c>
      <c r="B29" s="83">
        <f>(Hoja2!B62/(12*30))*(Constantes!$C$10+2)</f>
        <v>16246.586666666662</v>
      </c>
      <c r="C29" s="28">
        <f>(Constantes!$B$10*Constantes!$B$36*Constantes!B27*Constantes!$C$10)+(Constantes!$B$10*(Constantes!$B$35*(1+Constantes!$E$3))*Constantes!B27*Constantes!$D$10)</f>
        <v>70656</v>
      </c>
      <c r="D29" s="31">
        <v>25</v>
      </c>
      <c r="E29" s="22">
        <f>SUM(B29:C29)*(1+(D29/100))</f>
        <v>108628.23333333334</v>
      </c>
    </row>
    <row r="30" spans="1:10" x14ac:dyDescent="0.25">
      <c r="A30" s="88" t="s">
        <v>116</v>
      </c>
      <c r="B30" s="83">
        <f>(Hoja2!B63/(12*30))*(Constantes!$C$10+2)</f>
        <v>18718.893333333333</v>
      </c>
      <c r="C30" s="28">
        <f>(Constantes!$B$10*Constantes!$B$36*Constantes!B28*Constantes!$C$10)+(Constantes!$B$10*(Constantes!$B$35*(1+Constantes!$E$3))*Constantes!B28*Constantes!$D$10)</f>
        <v>81408</v>
      </c>
      <c r="D30" s="31">
        <v>25</v>
      </c>
      <c r="E30" s="22">
        <f>SUM(B30:C30)*(1+(D30/100))</f>
        <v>125158.61666666667</v>
      </c>
    </row>
    <row r="31" spans="1:10" x14ac:dyDescent="0.25">
      <c r="A31" s="88" t="s">
        <v>117</v>
      </c>
      <c r="B31" s="83">
        <f>(Hoja2!B64/(12*30))*(Constantes!$C$10+2)</f>
        <v>19778.453333333335</v>
      </c>
      <c r="C31" s="28">
        <f>(Constantes!$B$10*Constantes!$B$36*Constantes!B29*Constantes!$C$10)+(Constantes!$B$10*(Constantes!$B$35*(1+Constantes!$E$3))*Constantes!B29*Constantes!$D$10)</f>
        <v>86016</v>
      </c>
      <c r="D31" s="31">
        <v>25</v>
      </c>
      <c r="E31" s="22">
        <f>SUM(B31:C31)*(1+(D31/100))</f>
        <v>132243.06666666668</v>
      </c>
    </row>
    <row r="32" spans="1:10" ht="15.75" thickBot="1" x14ac:dyDescent="0.3">
      <c r="A32" s="88" t="s">
        <v>118</v>
      </c>
      <c r="B32" s="84">
        <f>(Hoja2!B65/(12*30))*(Constantes!$C$10+2)</f>
        <v>22603.946666666667</v>
      </c>
      <c r="C32" s="26">
        <f>(Constantes!$B$10*Constantes!$B$36*Constantes!B30*Constantes!$C$10)+(Constantes!$B$10*(Constantes!$B$35*(1+Constantes!$E$3))*Constantes!B30*Constantes!$D$10)</f>
        <v>98304</v>
      </c>
      <c r="D32" s="15">
        <v>25</v>
      </c>
      <c r="E32" s="24">
        <f>SUM(B32:C32)*(1+(D32/100))</f>
        <v>151134.93333333335</v>
      </c>
    </row>
    <row r="33" spans="1:5" x14ac:dyDescent="0.25">
      <c r="A33" s="89" t="s">
        <v>119</v>
      </c>
      <c r="B33" s="83">
        <f>(Hoja2!B61/(12*30))*(Constantes!$C$11+2)</f>
        <v>29538.666666666668</v>
      </c>
      <c r="C33" s="28">
        <f>(Constantes!$B$11*Constantes!$B$36*Constantes!B26*Constantes!$C$11)+(Constantes!$B$11*(Constantes!$B$36*(1+Constantes!$E$3))*Constantes!B26*Constantes!$D$11)</f>
        <v>307200</v>
      </c>
      <c r="D33" s="31">
        <v>20</v>
      </c>
      <c r="E33" s="32">
        <f>SUM(B33:C33)*(1+(D33/100))</f>
        <v>404086.4</v>
      </c>
    </row>
    <row r="34" spans="1:5" x14ac:dyDescent="0.25">
      <c r="A34" s="89" t="s">
        <v>120</v>
      </c>
      <c r="B34" s="83">
        <f>(Hoja2!B62/(12*30))*(Constantes!$C$11+2)</f>
        <v>35742.490666666657</v>
      </c>
      <c r="C34" s="28">
        <f>(Constantes!$B$11*Constantes!$B$36*Constantes!B27*Constantes!$C$11)+(Constantes!$B$11*(Constantes!$B$36*(1+Constantes!$E$3))*Constantes!B27*Constantes!$D$11)</f>
        <v>353280</v>
      </c>
      <c r="D34" s="31">
        <v>20</v>
      </c>
      <c r="E34" s="22">
        <f>SUM(B34:C34)*(1+(D34/100))</f>
        <v>466826.98879999999</v>
      </c>
    </row>
    <row r="35" spans="1:5" x14ac:dyDescent="0.25">
      <c r="A35" s="89" t="s">
        <v>121</v>
      </c>
      <c r="B35" s="83">
        <f>(Hoja2!B63/(12*30))*(Constantes!$C$11+2)</f>
        <v>41181.565333333339</v>
      </c>
      <c r="C35" s="28">
        <f>(Constantes!$B$11*Constantes!$B$36*Constantes!B28*Constantes!$C$11)+(Constantes!$B$11*(Constantes!$B$36*(1+Constantes!$E$3))*Constantes!B28*Constantes!$D$11)</f>
        <v>407040</v>
      </c>
      <c r="D35" s="31">
        <v>20</v>
      </c>
      <c r="E35" s="22">
        <f>SUM(B35:C35)*(1+(D35/100))</f>
        <v>537865.87839999993</v>
      </c>
    </row>
    <row r="36" spans="1:5" x14ac:dyDescent="0.25">
      <c r="A36" s="89" t="s">
        <v>122</v>
      </c>
      <c r="B36" s="83">
        <f>(Hoja2!B64/(12*30))*(Constantes!$C$11+2)</f>
        <v>43512.597333333339</v>
      </c>
      <c r="C36" s="28">
        <f>(Constantes!$B$11*Constantes!$B$36*Constantes!B29*Constantes!$C$11)+(Constantes!$B$11*(Constantes!$B$36*(1+Constantes!$E$3))*Constantes!B29*Constantes!$D$11)</f>
        <v>430080</v>
      </c>
      <c r="D36" s="31">
        <v>20</v>
      </c>
      <c r="E36" s="22">
        <f>SUM(B36:C36)*(1+(D36/100))</f>
        <v>568311.11679999996</v>
      </c>
    </row>
    <row r="37" spans="1:5" ht="15.75" thickBot="1" x14ac:dyDescent="0.3">
      <c r="A37" s="89" t="s">
        <v>123</v>
      </c>
      <c r="B37" s="84">
        <f>(Hoja2!B65/(12*30))*(Constantes!$C$11+2)</f>
        <v>49728.682666666668</v>
      </c>
      <c r="C37" s="26">
        <f>(Constantes!$B$11*Constantes!$B$36*Constantes!B30*Constantes!$C$11)+(Constantes!$B$11*(Constantes!$B$36*(1+Constantes!$E$3))*Constantes!B30*Constantes!$D$11)</f>
        <v>491520</v>
      </c>
      <c r="D37" s="15">
        <v>20</v>
      </c>
      <c r="E37" s="24">
        <f>SUM(B37:C37)*(1+(D37/100))</f>
        <v>649498.4192</v>
      </c>
    </row>
    <row r="38" spans="1:5" x14ac:dyDescent="0.25">
      <c r="A38" s="89" t="s">
        <v>124</v>
      </c>
      <c r="B38" s="83">
        <f>(Hoja2!B61/(12*30))*(Constantes!$C$12+2)</f>
        <v>32224</v>
      </c>
      <c r="C38" s="28">
        <f>(Constantes!$B$12*Constantes!$B$36*Constantes!B26*Constantes!$C$12)+(Constantes!$B$12*(Constantes!$B$36*(1+Constantes!$E$3))*Constantes!B26*Constantes!$D$12)</f>
        <v>819200</v>
      </c>
      <c r="D38" s="31">
        <v>20</v>
      </c>
      <c r="E38" s="32">
        <f>SUM(B38:C38)*(1+(D38/100))</f>
        <v>1021708.7999999999</v>
      </c>
    </row>
    <row r="39" spans="1:5" x14ac:dyDescent="0.25">
      <c r="A39" s="89" t="s">
        <v>125</v>
      </c>
      <c r="B39" s="83">
        <f>(Hoja2!B62/(12*30))*(Constantes!$C$12+2)</f>
        <v>38991.80799999999</v>
      </c>
      <c r="C39" s="25">
        <f>(Constantes!$B$12*Constantes!$B$36*Constantes!B27*Constantes!$C$12)+(Constantes!$B$12*(Constantes!$B$36*(1+Constantes!$E$3))*Constantes!B27*Constantes!$D$12)</f>
        <v>942080</v>
      </c>
      <c r="D39" s="3">
        <v>20</v>
      </c>
      <c r="E39" s="22">
        <f>SUM(B39:C39)*(1+(D39/100))</f>
        <v>1177286.1695999999</v>
      </c>
    </row>
    <row r="40" spans="1:5" x14ac:dyDescent="0.25">
      <c r="A40" s="89" t="s">
        <v>126</v>
      </c>
      <c r="B40" s="83">
        <f>(Hoja2!B63/(12*30))*(Constantes!$C$12+2)</f>
        <v>44925.344000000005</v>
      </c>
      <c r="C40" s="25">
        <f>(Constantes!$B$12*Constantes!$B$36*Constantes!B28*Constantes!$C$12)+(Constantes!$B$12*(Constantes!$B$36*(1+Constantes!$E$3))*Constantes!B28*Constantes!$D$12)</f>
        <v>1085440</v>
      </c>
      <c r="D40" s="3">
        <v>20</v>
      </c>
      <c r="E40" s="22">
        <f>SUM(B40:C40)*(1+(D40/100))</f>
        <v>1356438.4128</v>
      </c>
    </row>
    <row r="41" spans="1:5" x14ac:dyDescent="0.25">
      <c r="A41" s="89" t="s">
        <v>127</v>
      </c>
      <c r="B41" s="83">
        <f>(Hoja2!B64/(12*30))*(Constantes!$C$12+2)</f>
        <v>47468.288</v>
      </c>
      <c r="C41" s="25">
        <f>(Constantes!$B$12*Constantes!$B$36*Constantes!B29*Constantes!$C$12)+(Constantes!$B$12*(Constantes!$B$36*(1+Constantes!$E$3))*Constantes!B29*Constantes!$D$12)</f>
        <v>1146880</v>
      </c>
      <c r="D41" s="3">
        <v>20</v>
      </c>
      <c r="E41" s="22">
        <f>SUM(B41:C41)*(1+(D41/100))</f>
        <v>1433217.9456</v>
      </c>
    </row>
    <row r="42" spans="1:5" ht="15.75" thickBot="1" x14ac:dyDescent="0.3">
      <c r="A42" s="89" t="s">
        <v>128</v>
      </c>
      <c r="B42" s="85">
        <f>(Hoja2!B65/(12*30))*(Constantes!$C$12+2)</f>
        <v>54249.471999999994</v>
      </c>
      <c r="C42" s="42">
        <f>(Constantes!$B$12*Constantes!$B$36*Constantes!B30*Constantes!$C$12)+(Constantes!$B$12*(Constantes!$B$36*(1+Constantes!$E$3))*Constantes!B30*Constantes!$D$12)</f>
        <v>1310720</v>
      </c>
      <c r="D42" s="43">
        <v>20</v>
      </c>
      <c r="E42" s="44">
        <f>SUM(B42:C42)*(1+(D42/100))</f>
        <v>1637963.3663999999</v>
      </c>
    </row>
    <row r="43" spans="1:5" ht="15.75" thickTop="1" x14ac:dyDescent="0.25">
      <c r="A43" s="90" t="s">
        <v>85</v>
      </c>
      <c r="B43" s="83">
        <f>Hoja2!B61/12*2</f>
        <v>80560</v>
      </c>
      <c r="C43" s="28">
        <f>Constantes!B5*Constantes!B26</f>
        <v>2000000</v>
      </c>
      <c r="D43" s="29">
        <v>20</v>
      </c>
      <c r="E43" s="30">
        <f>SUM(B43:C43)*(1+(D43/100))</f>
        <v>2496672</v>
      </c>
    </row>
    <row r="44" spans="1:5" x14ac:dyDescent="0.25">
      <c r="A44" s="17" t="s">
        <v>66</v>
      </c>
      <c r="B44" s="86">
        <f>Hoja2!B61/12*2</f>
        <v>80560</v>
      </c>
      <c r="C44" s="25">
        <f>Constantes!B6*Constantes!B26</f>
        <v>4000000</v>
      </c>
      <c r="D44" s="21">
        <v>20</v>
      </c>
      <c r="E44" s="23">
        <f>SUM(B44:C44)*(1+(D44/100))</f>
        <v>4896672</v>
      </c>
    </row>
    <row r="45" spans="1:5" ht="15.75" thickBot="1" x14ac:dyDescent="0.3">
      <c r="A45" s="20" t="s">
        <v>83</v>
      </c>
      <c r="B45" s="84">
        <f>Hoja2!B61/12*2</f>
        <v>80560</v>
      </c>
      <c r="C45" s="26">
        <f>Constantes!B7*Constantes!B26</f>
        <v>6000000</v>
      </c>
      <c r="D45" s="15">
        <v>20</v>
      </c>
      <c r="E45" s="24">
        <f>SUM(B45:C45)*(1+(D45/100))</f>
        <v>7296672</v>
      </c>
    </row>
    <row r="46" spans="1:5" x14ac:dyDescent="0.25">
      <c r="A46" s="90" t="s">
        <v>84</v>
      </c>
      <c r="B46" s="83">
        <f>Hoja2!B62/12*2</f>
        <v>97479.519999999975</v>
      </c>
      <c r="C46" s="28">
        <f>Constantes!B5*Constantes!$B$27</f>
        <v>2300000</v>
      </c>
      <c r="D46" s="21">
        <v>20</v>
      </c>
      <c r="E46" s="23">
        <f>SUM(B46:C46)*(1+(D46/100))</f>
        <v>2876975.4240000001</v>
      </c>
    </row>
    <row r="47" spans="1:5" x14ac:dyDescent="0.25">
      <c r="A47" s="17" t="s">
        <v>67</v>
      </c>
      <c r="B47" s="86">
        <f>Hoja2!B62/12*2</f>
        <v>97479.519999999975</v>
      </c>
      <c r="C47" s="25">
        <f>Constantes!B6*Constantes!$B$27</f>
        <v>4600000</v>
      </c>
      <c r="D47" s="21">
        <v>20</v>
      </c>
      <c r="E47" s="23">
        <f>SUM(B47:C47)*(1+(D47/100))</f>
        <v>5636975.4239999996</v>
      </c>
    </row>
    <row r="48" spans="1:5" ht="15.75" thickBot="1" x14ac:dyDescent="0.3">
      <c r="A48" s="20" t="s">
        <v>86</v>
      </c>
      <c r="B48" s="84">
        <f>Hoja2!B62/12*2</f>
        <v>97479.519999999975</v>
      </c>
      <c r="C48" s="26">
        <f>Constantes!B7*Constantes!$B$27</f>
        <v>6900000</v>
      </c>
      <c r="D48" s="15">
        <v>20</v>
      </c>
      <c r="E48" s="24">
        <f>SUM(B48:C48)*(1+(D48/100))</f>
        <v>8396975.4239999987</v>
      </c>
    </row>
    <row r="49" spans="1:5" x14ac:dyDescent="0.25">
      <c r="A49" s="90" t="s">
        <v>87</v>
      </c>
      <c r="B49" s="83">
        <f>Hoja2!$B$63/12*2</f>
        <v>112313.36</v>
      </c>
      <c r="C49" s="28">
        <f>Constantes!B5*Constantes!$B$28</f>
        <v>2650000</v>
      </c>
      <c r="D49" s="21">
        <v>20</v>
      </c>
      <c r="E49" s="23">
        <f>SUM(B49:C49)*(1+(D49/100))</f>
        <v>3314776.0319999997</v>
      </c>
    </row>
    <row r="50" spans="1:5" x14ac:dyDescent="0.25">
      <c r="A50" s="17" t="s">
        <v>68</v>
      </c>
      <c r="B50" s="86">
        <f>Hoja2!$B$63/12*2</f>
        <v>112313.36</v>
      </c>
      <c r="C50" s="25">
        <f>Constantes!B6*Constantes!$B$28</f>
        <v>5300000</v>
      </c>
      <c r="D50" s="21">
        <v>20</v>
      </c>
      <c r="E50" s="23">
        <f>SUM(B50:C50)*(1+(D50/100))</f>
        <v>6494776.0320000006</v>
      </c>
    </row>
    <row r="51" spans="1:5" ht="15.75" thickBot="1" x14ac:dyDescent="0.3">
      <c r="A51" s="20" t="s">
        <v>88</v>
      </c>
      <c r="B51" s="84">
        <f>Hoja2!$B$63/12*2</f>
        <v>112313.36</v>
      </c>
      <c r="C51" s="26">
        <f>Constantes!B7*Constantes!$B$28</f>
        <v>7950000</v>
      </c>
      <c r="D51" s="15">
        <v>20</v>
      </c>
      <c r="E51" s="24">
        <f>SUM(B51:C51)*(1+(D51/100))</f>
        <v>9674776.0319999997</v>
      </c>
    </row>
    <row r="52" spans="1:5" x14ac:dyDescent="0.25">
      <c r="A52" s="90" t="s">
        <v>69</v>
      </c>
      <c r="B52" s="83">
        <f>Hoja2!$B$64/12*2</f>
        <v>118670.72000000002</v>
      </c>
      <c r="C52" s="28">
        <f>Constantes!B5*Constantes!$B$29</f>
        <v>2800000</v>
      </c>
      <c r="D52" s="21">
        <v>20</v>
      </c>
      <c r="E52" s="23">
        <f>SUM(B52:C52)*(1+(D52/100))</f>
        <v>3502404.8640000001</v>
      </c>
    </row>
    <row r="53" spans="1:5" x14ac:dyDescent="0.25">
      <c r="A53" s="17" t="s">
        <v>89</v>
      </c>
      <c r="B53" s="86">
        <f>Hoja2!$B$64/12*2</f>
        <v>118670.72000000002</v>
      </c>
      <c r="C53" s="25">
        <f>Constantes!B6*Constantes!$B$29</f>
        <v>5600000</v>
      </c>
      <c r="D53" s="21">
        <v>20</v>
      </c>
      <c r="E53" s="23">
        <f>SUM(B53:C53)*(1+(D53/100))</f>
        <v>6862404.8639999991</v>
      </c>
    </row>
    <row r="54" spans="1:5" ht="15.75" thickBot="1" x14ac:dyDescent="0.3">
      <c r="A54" s="20" t="s">
        <v>90</v>
      </c>
      <c r="B54" s="84">
        <f>Hoja2!$B$64/12*2</f>
        <v>118670.72000000002</v>
      </c>
      <c r="C54" s="26">
        <f>Constantes!B7*Constantes!$B$29</f>
        <v>8400000</v>
      </c>
      <c r="D54" s="15">
        <v>20</v>
      </c>
      <c r="E54" s="24">
        <f>SUM(B54:C54)*(1+(D54/100))</f>
        <v>10222404.864</v>
      </c>
    </row>
    <row r="55" spans="1:5" x14ac:dyDescent="0.25">
      <c r="A55" s="90" t="s">
        <v>70</v>
      </c>
      <c r="B55" s="83">
        <f>Hoja2!$B$65/12*2</f>
        <v>135623.67999999999</v>
      </c>
      <c r="C55" s="28">
        <f>Constantes!B5*Constantes!$B$30</f>
        <v>3200000</v>
      </c>
      <c r="D55" s="21">
        <v>20</v>
      </c>
      <c r="E55" s="23">
        <f>SUM(B55:C55)*(1+(D55/100))</f>
        <v>4002748.4160000002</v>
      </c>
    </row>
    <row r="56" spans="1:5" x14ac:dyDescent="0.25">
      <c r="A56" s="17" t="s">
        <v>91</v>
      </c>
      <c r="B56" s="86">
        <f>Hoja2!$B$65/12*2</f>
        <v>135623.67999999999</v>
      </c>
      <c r="C56" s="25">
        <f>Constantes!B6*Constantes!$B$30</f>
        <v>6400000</v>
      </c>
      <c r="D56" s="21">
        <v>20</v>
      </c>
      <c r="E56" s="23">
        <f>SUM(B56:C56)*(1+(D56/100))</f>
        <v>7842748.4159999993</v>
      </c>
    </row>
    <row r="57" spans="1:5" ht="15.75" thickBot="1" x14ac:dyDescent="0.3">
      <c r="A57" s="20" t="s">
        <v>92</v>
      </c>
      <c r="B57" s="84">
        <f>Hoja2!$B$65/12*2</f>
        <v>135623.67999999999</v>
      </c>
      <c r="C57" s="26">
        <f>Constantes!B7*Constantes!$B$30</f>
        <v>9600000</v>
      </c>
      <c r="D57" s="15">
        <v>20</v>
      </c>
      <c r="E57" s="24">
        <f>SUM(B57:C57)*(1+(D57/100))</f>
        <v>11682748.415999999</v>
      </c>
    </row>
    <row r="59" spans="1:5" ht="15.75" thickBot="1" x14ac:dyDescent="0.3"/>
    <row r="60" spans="1:5" ht="21" thickBot="1" x14ac:dyDescent="0.35">
      <c r="A60" s="102" t="s">
        <v>17</v>
      </c>
      <c r="B60" s="102" t="s">
        <v>18</v>
      </c>
      <c r="C60" s="102" t="s">
        <v>148</v>
      </c>
      <c r="D60" s="102" t="s">
        <v>54</v>
      </c>
    </row>
    <row r="61" spans="1:5" x14ac:dyDescent="0.25">
      <c r="A61" s="96" t="s">
        <v>6</v>
      </c>
      <c r="B61" s="86">
        <f>(Constantes!C19*(1+((Constantes!D19/100)*0))+ Constantes!C20*(1+((Constantes!D20/100)*0)) + Constantes!C21*(1+((Constantes!D21/100)*0)))*Constantes!B26*12</f>
        <v>483360</v>
      </c>
      <c r="C61" s="25">
        <f>Constantes!B40*12+(Constantes!B45*Constantes!B26+Constantes!B46*Constantes!B26+Constantes!B47*Constantes!B26)*12 +Hoja2!F15*Hoja2!C43+Hoja2!G15*Hoja2!C44+Hoja2!H15*Hoja2!C45 + Constantes!B54</f>
        <v>3540863.9999999995</v>
      </c>
      <c r="D61" s="36">
        <f>SUM(B61:C61)</f>
        <v>4024223.9999999995</v>
      </c>
    </row>
    <row r="62" spans="1:5" x14ac:dyDescent="0.25">
      <c r="A62" s="97" t="s">
        <v>7</v>
      </c>
      <c r="B62" s="86">
        <f>(((Constantes!$C$19*(1+((Constantes!$D$19/100)*1)))+ (Constantes!$C$20*(1+((Constantes!$D$20/100)*1))) + (Constantes!$C$21*(1+((Constantes!$D$21/100)*1))))*Constantes!B27*12)*((1+Constantes!$C$14)^1)</f>
        <v>584877.11999999988</v>
      </c>
      <c r="C62" s="25">
        <f>(Constantes!B41*12+(Constantes!$B$45*Constantes!B27+Constantes!$B$46*Constantes!B27+Constantes!B47*Constantes!B27)*12) +Hoja2!F16*Hoja2!C46+Hoja2!G16*Hoja2!C47+Hoja2!H16*Hoja2!C48 +Constantes!B55</f>
        <v>8671993.5999999996</v>
      </c>
      <c r="D62" s="36">
        <f>SUM(B62:C62)</f>
        <v>9256870.7199999988</v>
      </c>
    </row>
    <row r="63" spans="1:5" x14ac:dyDescent="0.25">
      <c r="A63" s="97" t="s">
        <v>8</v>
      </c>
      <c r="B63" s="86">
        <f>(((Constantes!$C$19*(1+((Constantes!$D$19/100)*1)))+ (Constantes!$C$20*(1+((Constantes!$D$20/100)*1))) + (Constantes!$C$21*(1+((Constantes!$D$21/100)*1))))*Constantes!B28*12)*((1+Constantes!$C$14)^2)</f>
        <v>673880.16</v>
      </c>
      <c r="C63" s="25">
        <f>(Constantes!B42*12+(Constantes!$B$45*Constantes!B28+Constantes!$B$46*Constantes!B28+Constantes!B47*Constantes!B28)*12) +(Hoja2!F17*Hoja2!C49+Hoja2!G17*Hoja2!C50+Hoja2!H17*Hoja2!C51) +Constantes!B56</f>
        <v>4935868.8</v>
      </c>
      <c r="D63" s="36">
        <f>SUM(B63:C63)</f>
        <v>5609748.96</v>
      </c>
    </row>
    <row r="64" spans="1:5" x14ac:dyDescent="0.25">
      <c r="A64" s="97" t="s">
        <v>9</v>
      </c>
      <c r="B64" s="86">
        <f>(((Constantes!$C$19*(1+((Constantes!$D$19/100)*1)))+ (Constantes!$C$20*(1+((Constantes!$D$20/100)*1))) + (Constantes!$C$21*(1+((Constantes!$D$21/100)*1))))*Constantes!B29*12)*((1+Constantes!$C$14)^3)</f>
        <v>712024.32000000007</v>
      </c>
      <c r="C64" s="25">
        <f>(Constantes!B43*12+(Constantes!$B$45*Constantes!B29+Constantes!$B$46*Constantes!B29)*12)+(Hoja2!F18*Hoja2!C52+Hoja2!G18*Hoja2!C53+Hoja2!H18*Hoja2!C54) +Constantes!B57</f>
        <v>5047257.5999999996</v>
      </c>
      <c r="D64" s="36">
        <f>SUM(B64:C64)</f>
        <v>5759281.9199999999</v>
      </c>
    </row>
    <row r="65" spans="1:5" ht="15.75" thickBot="1" x14ac:dyDescent="0.3">
      <c r="A65" s="97" t="s">
        <v>10</v>
      </c>
      <c r="B65" s="86">
        <f>(((Constantes!$C$19*(1+((Constantes!$D$19/100)*1)))+ (Constantes!$C$20*(1+((Constantes!$D$20/100)*1))) + (Constantes!$C$21*(1+((Constantes!$D$21/100)*1))))*Constantes!B30*12)*((1+Constantes!$C$14)^4)</f>
        <v>813742.07999999996</v>
      </c>
      <c r="C65" s="25">
        <f>(Constantes!B44*12+(Constantes!$B$45*Constantes!B30+Constantes!$B$46*Constantes!B30+Constantes!B47*Constantes!B30)*12)+(Hoja2!F19*Hoja2!C55+Hoja2!G19*Hoja2!C56+Hoja2!H19*Hoja2!C57) +Constantes!B58</f>
        <v>6550118.3999999994</v>
      </c>
      <c r="D65" s="36">
        <f>SUM(B65:C65)</f>
        <v>7363860.4799999995</v>
      </c>
    </row>
    <row r="66" spans="1:5" ht="16.5" thickTop="1" thickBot="1" x14ac:dyDescent="0.3">
      <c r="A66" s="161" t="s">
        <v>12</v>
      </c>
      <c r="B66" s="160">
        <f>SUM(B61:B65)</f>
        <v>3267883.6799999997</v>
      </c>
      <c r="C66" s="37">
        <f>SUM(C61:C65)</f>
        <v>28746102.399999999</v>
      </c>
      <c r="D66" s="35">
        <f>SUM(B66:C66)</f>
        <v>32013986.079999998</v>
      </c>
    </row>
    <row r="67" spans="1:5" ht="15.75" thickBot="1" x14ac:dyDescent="0.3"/>
    <row r="68" spans="1:5" ht="21" thickBot="1" x14ac:dyDescent="0.35">
      <c r="A68" s="116" t="s">
        <v>41</v>
      </c>
      <c r="B68" s="117"/>
      <c r="C68" s="116" t="s">
        <v>19</v>
      </c>
      <c r="D68" s="118"/>
      <c r="E68" s="117"/>
    </row>
    <row r="69" spans="1:5" x14ac:dyDescent="0.25">
      <c r="A69" s="9" t="s">
        <v>20</v>
      </c>
      <c r="B69" s="4" t="s">
        <v>21</v>
      </c>
      <c r="C69" s="51" t="s">
        <v>151</v>
      </c>
      <c r="D69" s="4" t="s">
        <v>22</v>
      </c>
      <c r="E69" s="16" t="s">
        <v>23</v>
      </c>
    </row>
    <row r="70" spans="1:5" x14ac:dyDescent="0.25">
      <c r="A70" s="7" t="s">
        <v>25</v>
      </c>
      <c r="B70" s="12">
        <v>425</v>
      </c>
      <c r="C70" s="12">
        <v>180</v>
      </c>
      <c r="D70" s="1">
        <v>5</v>
      </c>
      <c r="E70" s="17">
        <f>IF(ISERROR((B70-C70)/D70),0,(B70*Constantes!$B$26-C70*Constantes!$B$30)/D70)</f>
        <v>1096</v>
      </c>
    </row>
    <row r="71" spans="1:5" x14ac:dyDescent="0.25">
      <c r="A71" s="7" t="s">
        <v>26</v>
      </c>
      <c r="B71" s="12">
        <v>125</v>
      </c>
      <c r="C71" s="12">
        <v>40</v>
      </c>
      <c r="D71" s="1">
        <v>10</v>
      </c>
      <c r="E71" s="17">
        <f>IF(ISERROR((B71-C71)/D71),0,(B71*Constantes!$B$26-C71*Constantes!$B$30)/D71)</f>
        <v>244</v>
      </c>
    </row>
    <row r="72" spans="1:5" x14ac:dyDescent="0.25">
      <c r="A72" s="7" t="s">
        <v>27</v>
      </c>
      <c r="B72" s="12">
        <v>66</v>
      </c>
      <c r="C72" s="12">
        <v>15</v>
      </c>
      <c r="D72" s="1">
        <v>5</v>
      </c>
      <c r="E72" s="17">
        <f>IF(ISERROR((B72-C72)/D72),0,(B72*Constantes!$B$26-C72*Constantes!$B$30)/D72)</f>
        <v>336</v>
      </c>
    </row>
    <row r="73" spans="1:5" x14ac:dyDescent="0.25">
      <c r="A73" s="7" t="s">
        <v>28</v>
      </c>
      <c r="B73" s="12">
        <v>279</v>
      </c>
      <c r="C73" s="12">
        <v>110</v>
      </c>
      <c r="D73" s="1">
        <v>5</v>
      </c>
      <c r="E73" s="17">
        <f>IF(ISERROR((B73-C73)/D73),0,(B73*Constantes!$B$26-C73*Constantes!$B$30)/D73)</f>
        <v>824</v>
      </c>
    </row>
    <row r="74" spans="1:5" x14ac:dyDescent="0.25">
      <c r="A74" s="7" t="s">
        <v>29</v>
      </c>
      <c r="B74" s="12">
        <v>95</v>
      </c>
      <c r="C74" s="12">
        <v>15</v>
      </c>
      <c r="D74" s="1">
        <v>10</v>
      </c>
      <c r="E74" s="17">
        <f>IF(ISERROR((B74-C74)/D74),0,(B74*Constantes!$B$26-C74*Constantes!B28)/D74)</f>
        <v>300.5</v>
      </c>
    </row>
    <row r="75" spans="1:5" x14ac:dyDescent="0.25">
      <c r="A75" s="7"/>
      <c r="B75" s="12"/>
      <c r="C75" s="12"/>
      <c r="D75" s="1"/>
      <c r="E75" s="17">
        <f>IF(ISERROR((B75-C75)/D75),0,(B75*Constantes!$B$26-C75*Constantes!$B$30)/D75)</f>
        <v>0</v>
      </c>
    </row>
    <row r="76" spans="1:5" x14ac:dyDescent="0.25">
      <c r="A76" s="7"/>
      <c r="B76" s="12"/>
      <c r="C76" s="12"/>
      <c r="D76" s="1"/>
      <c r="E76" s="17">
        <f>IF(ISERROR((B76-C76)/D76),0,(B76*Constantes!$B$26-C76*Constantes!$B$30)/D76)</f>
        <v>0</v>
      </c>
    </row>
    <row r="77" spans="1:5" x14ac:dyDescent="0.25">
      <c r="A77" s="7"/>
      <c r="B77" s="12"/>
      <c r="C77" s="12"/>
      <c r="D77" s="1"/>
      <c r="E77" s="17">
        <f>IF(ISERROR((B77-C77)/D77),0,(B77*Constantes!$B$26-C77*Constantes!$B$30)/D77)</f>
        <v>0</v>
      </c>
    </row>
    <row r="78" spans="1:5" x14ac:dyDescent="0.25">
      <c r="A78" s="7"/>
      <c r="B78" s="12"/>
      <c r="C78" s="12"/>
      <c r="D78" s="1"/>
      <c r="E78" s="17">
        <f>IF(ISERROR((B78-C78)/D78),0,(B78*Constantes!$B$26-C78*Constantes!$B$30)/D78)</f>
        <v>0</v>
      </c>
    </row>
    <row r="79" spans="1:5" x14ac:dyDescent="0.25">
      <c r="A79" s="7"/>
      <c r="B79" s="12"/>
      <c r="C79" s="12"/>
      <c r="D79" s="1"/>
      <c r="E79" s="17">
        <f>IF(ISERROR((B79-C79)/D79),0,(B79*Constantes!$B$26-C79*Constantes!$B$30)/D79)</f>
        <v>0</v>
      </c>
    </row>
    <row r="80" spans="1:5" x14ac:dyDescent="0.25">
      <c r="A80" s="7"/>
      <c r="B80" s="12"/>
      <c r="C80" s="12"/>
      <c r="D80" s="1"/>
      <c r="E80" s="17">
        <f>IF(ISERROR((B80-C80)/D80),0,(B80*Constantes!$B$26-C80*Constantes!$B$30)/D80)</f>
        <v>0</v>
      </c>
    </row>
    <row r="81" spans="1:5" x14ac:dyDescent="0.25">
      <c r="A81" s="7"/>
      <c r="B81" s="12"/>
      <c r="C81" s="12"/>
      <c r="D81" s="1"/>
      <c r="E81" s="17">
        <f>IF(ISERROR((B81-C81)/D81),0,(B81*Constantes!$B$26-C81*Constantes!$B$30)/D81)</f>
        <v>0</v>
      </c>
    </row>
    <row r="82" spans="1:5" x14ac:dyDescent="0.25">
      <c r="A82" s="7"/>
      <c r="B82" s="12"/>
      <c r="C82" s="12"/>
      <c r="D82" s="1"/>
      <c r="E82" s="17">
        <f>IF(ISERROR((B82-C82)/D82),0,(B82*Constantes!$B$26-C82*Constantes!$B$30)/D82)</f>
        <v>0</v>
      </c>
    </row>
    <row r="83" spans="1:5" x14ac:dyDescent="0.25">
      <c r="A83" s="7"/>
      <c r="B83" s="12"/>
      <c r="C83" s="12"/>
      <c r="D83" s="1"/>
      <c r="E83" s="17">
        <f>IF(ISERROR((B83-C83)/D83),0,(B83*Constantes!$B$26-C83*Constantes!$B$30)/D83)</f>
        <v>0</v>
      </c>
    </row>
    <row r="84" spans="1:5" x14ac:dyDescent="0.25">
      <c r="A84" s="7"/>
      <c r="B84" s="12"/>
      <c r="C84" s="12"/>
      <c r="D84" s="1"/>
      <c r="E84" s="17">
        <f>IF(ISERROR((B84-C84)/D84),0,(B84*Constantes!$B$26-C84*Constantes!$B$30)/D84)</f>
        <v>0</v>
      </c>
    </row>
    <row r="85" spans="1:5" x14ac:dyDescent="0.25">
      <c r="A85" s="7"/>
      <c r="B85" s="12"/>
      <c r="C85" s="12"/>
      <c r="D85" s="1"/>
      <c r="E85" s="17">
        <f>IF(ISERROR((B85-C85)/D85),0,(B85*Constantes!$B$26-C85*Constantes!$B$30)/D85)</f>
        <v>0</v>
      </c>
    </row>
    <row r="86" spans="1:5" x14ac:dyDescent="0.25">
      <c r="A86" s="7"/>
      <c r="B86" s="12"/>
      <c r="C86" s="12"/>
      <c r="D86" s="1"/>
      <c r="E86" s="17">
        <f>IF(ISERROR((B86-C86)/D86),0,(B86*Constantes!$B$26-C86*Constantes!$B$30)/D86)</f>
        <v>0</v>
      </c>
    </row>
    <row r="87" spans="1:5" x14ac:dyDescent="0.25">
      <c r="A87" s="7"/>
      <c r="B87" s="12"/>
      <c r="C87" s="12"/>
      <c r="D87" s="1"/>
      <c r="E87" s="17">
        <f>IF(ISERROR((B87-C87)/D87),0,(B87*Constantes!$B$26-C87*Constantes!$B$30)/D87)</f>
        <v>0</v>
      </c>
    </row>
    <row r="88" spans="1:5" x14ac:dyDescent="0.25">
      <c r="A88" s="7"/>
      <c r="B88" s="12"/>
      <c r="C88" s="12"/>
      <c r="D88" s="1"/>
      <c r="E88" s="17">
        <f>IF(ISERROR((B88-C88)/D88),0,(B88*Constantes!$B$26-C88*Constantes!$B$30)/D88)</f>
        <v>0</v>
      </c>
    </row>
    <row r="89" spans="1:5" x14ac:dyDescent="0.25">
      <c r="A89" s="7"/>
      <c r="B89" s="12"/>
      <c r="C89" s="12"/>
      <c r="D89" s="1"/>
      <c r="E89" s="17">
        <f>IF(ISERROR((B89-C89)/D89),0,(B89*Constantes!$B$26-C89*Constantes!$B$30)/D89)</f>
        <v>0</v>
      </c>
    </row>
    <row r="90" spans="1:5" x14ac:dyDescent="0.25">
      <c r="A90" s="7"/>
      <c r="B90" s="12"/>
      <c r="C90" s="12"/>
      <c r="D90" s="1"/>
      <c r="E90" s="17">
        <f>IF(ISERROR((B90-C90)/D90),0,(B90*Constantes!$B$26-C90*Constantes!$B$30)/D90)</f>
        <v>0</v>
      </c>
    </row>
    <row r="91" spans="1:5" x14ac:dyDescent="0.25">
      <c r="A91" s="7"/>
      <c r="B91" s="12"/>
      <c r="C91" s="12"/>
      <c r="D91" s="1"/>
      <c r="E91" s="17">
        <f>IF(ISERROR((B91-C91)/D91),0,(B91*Constantes!$B$26-C91*Constantes!$B$30)/D91)</f>
        <v>0</v>
      </c>
    </row>
    <row r="92" spans="1:5" x14ac:dyDescent="0.25">
      <c r="A92" s="7"/>
      <c r="B92" s="12"/>
      <c r="C92" s="12"/>
      <c r="D92" s="1"/>
      <c r="E92" s="17">
        <f>IF(ISERROR((B92-C92)/D92),0,(B92*Constantes!$B$26-C92*Constantes!$B$30)/D92)</f>
        <v>0</v>
      </c>
    </row>
    <row r="93" spans="1:5" x14ac:dyDescent="0.25">
      <c r="A93" s="7"/>
      <c r="B93" s="12"/>
      <c r="C93" s="12"/>
      <c r="D93" s="1"/>
      <c r="E93" s="17">
        <f>IF(ISERROR((B93-C93)/D93),0,(B93*Constantes!$B$26-C93*Constantes!$B$30)/D93)</f>
        <v>0</v>
      </c>
    </row>
    <row r="94" spans="1:5" x14ac:dyDescent="0.25">
      <c r="A94" s="7"/>
      <c r="B94" s="12"/>
      <c r="C94" s="12"/>
      <c r="D94" s="1"/>
      <c r="E94" s="17">
        <f>IF(ISERROR((B94-C94)/D94),0,(B94*Constantes!$B$26-C94*Constantes!$B$30)/D94)</f>
        <v>0</v>
      </c>
    </row>
    <row r="95" spans="1:5" x14ac:dyDescent="0.25">
      <c r="A95" s="7"/>
      <c r="B95" s="12"/>
      <c r="C95" s="12"/>
      <c r="D95" s="1"/>
      <c r="E95" s="17">
        <f>IF(ISERROR((B95-C95)/D95),0,(B95*Constantes!$B$26-C95*Constantes!$B$30)/D95)</f>
        <v>0</v>
      </c>
    </row>
    <row r="96" spans="1:5" x14ac:dyDescent="0.25">
      <c r="A96" s="7"/>
      <c r="B96" s="12"/>
      <c r="C96" s="12"/>
      <c r="D96" s="1"/>
      <c r="E96" s="17">
        <f>IF(ISERROR((B96-C96)/D96),0,(B96*Constantes!$B$26-C96*Constantes!$B$30)/D96)</f>
        <v>0</v>
      </c>
    </row>
    <row r="97" spans="1:5" x14ac:dyDescent="0.25">
      <c r="A97" s="7"/>
      <c r="B97" s="12"/>
      <c r="C97" s="12"/>
      <c r="D97" s="1"/>
      <c r="E97" s="17">
        <f>IF(ISERROR((B97-C97)/D97),0,(B97*Constantes!$B$26-C97*Constantes!$B$30)/D97)</f>
        <v>0</v>
      </c>
    </row>
    <row r="98" spans="1:5" ht="15.75" thickBot="1" x14ac:dyDescent="0.3">
      <c r="A98" s="14"/>
      <c r="B98" s="18"/>
      <c r="C98" s="18"/>
      <c r="D98" s="19"/>
      <c r="E98" s="20">
        <f>IF(ISERROR((B98-C98)/D98),0,(B98*Constantes!$B$26-C98*Constantes!$B$30)/D98)</f>
        <v>0</v>
      </c>
    </row>
  </sheetData>
  <mergeCells count="22">
    <mergeCell ref="A68:B68"/>
    <mergeCell ref="C68:E68"/>
    <mergeCell ref="A1:J1"/>
    <mergeCell ref="F6:F8"/>
    <mergeCell ref="J14:J20"/>
    <mergeCell ref="A25:B25"/>
    <mergeCell ref="C25:E25"/>
    <mergeCell ref="D11:E11"/>
    <mergeCell ref="B9:E9"/>
    <mergeCell ref="D10:E10"/>
    <mergeCell ref="B11:C11"/>
    <mergeCell ref="B5:C5"/>
    <mergeCell ref="B7:C7"/>
    <mergeCell ref="B6:C6"/>
    <mergeCell ref="D5:E5"/>
    <mergeCell ref="A4:E4"/>
    <mergeCell ref="D6:E6"/>
    <mergeCell ref="D7:E7"/>
    <mergeCell ref="D8:E8"/>
    <mergeCell ref="B8:C8"/>
    <mergeCell ref="A10:A11"/>
    <mergeCell ref="B10:C1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9FA06-C80F-4B9F-ADFC-C5C56255607A}">
  <dimension ref="A1:I58"/>
  <sheetViews>
    <sheetView zoomScaleNormal="100" workbookViewId="0">
      <selection sqref="A1:I1"/>
    </sheetView>
  </sheetViews>
  <sheetFormatPr baseColWidth="10" defaultRowHeight="15" x14ac:dyDescent="0.25"/>
  <cols>
    <col min="1" max="1" width="52.140625" bestFit="1" customWidth="1"/>
    <col min="2" max="2" width="52.7109375" customWidth="1"/>
    <col min="3" max="3" width="29.7109375" customWidth="1"/>
    <col min="4" max="4" width="37.5703125" customWidth="1"/>
  </cols>
  <sheetData>
    <row r="1" spans="1:9" ht="148.5" customHeight="1" thickBot="1" x14ac:dyDescent="0.3">
      <c r="A1" s="65" t="s">
        <v>106</v>
      </c>
      <c r="B1" s="66"/>
      <c r="C1" s="66"/>
      <c r="D1" s="66"/>
      <c r="E1" s="66"/>
      <c r="F1" s="66"/>
      <c r="G1" s="66"/>
      <c r="H1" s="66"/>
      <c r="I1" s="67"/>
    </row>
    <row r="2" spans="1:9" ht="15.75" thickBot="1" x14ac:dyDescent="0.3"/>
    <row r="3" spans="1:9" ht="19.5" thickBot="1" x14ac:dyDescent="0.35">
      <c r="C3" s="99" t="s">
        <v>94</v>
      </c>
      <c r="D3" s="101"/>
      <c r="E3" s="145">
        <v>1</v>
      </c>
      <c r="F3" s="165" t="s">
        <v>132</v>
      </c>
    </row>
    <row r="4" spans="1:9" ht="19.5" thickBot="1" x14ac:dyDescent="0.35">
      <c r="A4" s="99" t="s">
        <v>71</v>
      </c>
      <c r="B4" s="101"/>
    </row>
    <row r="5" spans="1:9" x14ac:dyDescent="0.25">
      <c r="A5" s="27" t="s">
        <v>72</v>
      </c>
      <c r="B5" s="115">
        <v>50000</v>
      </c>
      <c r="C5" s="166" t="s">
        <v>134</v>
      </c>
      <c r="D5" s="39"/>
    </row>
    <row r="6" spans="1:9" x14ac:dyDescent="0.25">
      <c r="A6" s="1" t="s">
        <v>73</v>
      </c>
      <c r="B6" s="12">
        <v>100000</v>
      </c>
      <c r="C6" s="167"/>
      <c r="D6" s="6"/>
    </row>
    <row r="7" spans="1:9" ht="15.75" thickBot="1" x14ac:dyDescent="0.3">
      <c r="A7" s="1" t="s">
        <v>74</v>
      </c>
      <c r="B7" s="12">
        <v>150000</v>
      </c>
      <c r="C7" s="168"/>
      <c r="D7" s="6"/>
    </row>
    <row r="8" spans="1:9" ht="15.75" thickBot="1" x14ac:dyDescent="0.3">
      <c r="A8" s="11"/>
      <c r="B8" s="11"/>
      <c r="C8" s="11"/>
      <c r="D8" s="6"/>
    </row>
    <row r="9" spans="1:9" ht="19.5" thickBot="1" x14ac:dyDescent="0.35">
      <c r="A9" s="114" t="s">
        <v>82</v>
      </c>
      <c r="B9" s="119" t="s">
        <v>97</v>
      </c>
      <c r="C9" s="119" t="s">
        <v>96</v>
      </c>
      <c r="D9" s="119" t="s">
        <v>95</v>
      </c>
    </row>
    <row r="10" spans="1:9" ht="15.75" thickBot="1" x14ac:dyDescent="0.3">
      <c r="A10" s="120" t="s">
        <v>93</v>
      </c>
      <c r="B10" s="93">
        <v>12</v>
      </c>
      <c r="C10" s="1">
        <v>8</v>
      </c>
      <c r="D10" s="122">
        <v>0</v>
      </c>
    </row>
    <row r="11" spans="1:9" ht="15.75" thickBot="1" x14ac:dyDescent="0.3">
      <c r="A11" s="120" t="s">
        <v>80</v>
      </c>
      <c r="B11" s="94">
        <v>24</v>
      </c>
      <c r="C11" s="1">
        <v>20</v>
      </c>
      <c r="D11" s="17">
        <v>0</v>
      </c>
    </row>
    <row r="12" spans="1:9" ht="15.75" thickBot="1" x14ac:dyDescent="0.3">
      <c r="A12" s="121" t="s">
        <v>81</v>
      </c>
      <c r="B12" s="14">
        <v>32</v>
      </c>
      <c r="C12" s="19">
        <v>22</v>
      </c>
      <c r="D12" s="20">
        <v>9</v>
      </c>
      <c r="E12" s="165" t="s">
        <v>137</v>
      </c>
    </row>
    <row r="13" spans="1:9" x14ac:dyDescent="0.25">
      <c r="A13" s="11"/>
      <c r="B13" s="11"/>
      <c r="C13" s="11"/>
      <c r="D13" s="6"/>
    </row>
    <row r="14" spans="1:9" ht="18.75" x14ac:dyDescent="0.3">
      <c r="B14" s="40"/>
      <c r="C14" s="41"/>
      <c r="D14" s="6"/>
    </row>
    <row r="15" spans="1:9" x14ac:dyDescent="0.25">
      <c r="A15" s="6"/>
      <c r="B15" s="6"/>
      <c r="C15" s="6"/>
      <c r="D15" s="6"/>
    </row>
    <row r="16" spans="1:9" ht="15.75" thickBot="1" x14ac:dyDescent="0.3">
      <c r="A16" s="6"/>
      <c r="B16" s="38"/>
      <c r="C16" s="38"/>
      <c r="D16" s="38"/>
    </row>
    <row r="17" spans="1:4" ht="19.5" thickBot="1" x14ac:dyDescent="0.35">
      <c r="A17" s="99" t="s">
        <v>31</v>
      </c>
      <c r="B17" s="100"/>
      <c r="C17" s="100"/>
      <c r="D17" s="101"/>
    </row>
    <row r="18" spans="1:4" ht="15.75" thickBot="1" x14ac:dyDescent="0.3">
      <c r="A18" s="123" t="s">
        <v>24</v>
      </c>
      <c r="B18" s="123"/>
      <c r="C18" s="119" t="s">
        <v>37</v>
      </c>
      <c r="D18" s="119" t="s">
        <v>36</v>
      </c>
    </row>
    <row r="19" spans="1:4" x14ac:dyDescent="0.25">
      <c r="A19" s="60" t="s">
        <v>32</v>
      </c>
      <c r="B19" s="124"/>
      <c r="C19" s="129">
        <v>657</v>
      </c>
      <c r="D19" s="122">
        <v>8</v>
      </c>
    </row>
    <row r="20" spans="1:4" x14ac:dyDescent="0.25">
      <c r="A20" s="125" t="s">
        <v>33</v>
      </c>
      <c r="B20" s="126"/>
      <c r="C20" s="130">
        <v>200</v>
      </c>
      <c r="D20" s="17">
        <v>0</v>
      </c>
    </row>
    <row r="21" spans="1:4" x14ac:dyDescent="0.25">
      <c r="A21" s="125" t="s">
        <v>34</v>
      </c>
      <c r="B21" s="126"/>
      <c r="C21" s="130">
        <v>150</v>
      </c>
      <c r="D21" s="17">
        <v>0</v>
      </c>
    </row>
    <row r="22" spans="1:4" ht="15.75" thickBot="1" x14ac:dyDescent="0.3">
      <c r="A22" s="127" t="s">
        <v>35</v>
      </c>
      <c r="B22" s="128"/>
      <c r="C22" s="131">
        <f>SUM(C19:C21)</f>
        <v>1007</v>
      </c>
      <c r="D22" s="20"/>
    </row>
    <row r="23" spans="1:4" ht="15.75" thickBot="1" x14ac:dyDescent="0.3">
      <c r="A23" s="6"/>
      <c r="B23" s="6"/>
      <c r="C23" s="6"/>
      <c r="D23" s="6"/>
    </row>
    <row r="24" spans="1:4" ht="19.5" thickBot="1" x14ac:dyDescent="0.35">
      <c r="A24" s="99" t="s">
        <v>38</v>
      </c>
      <c r="B24" s="101"/>
      <c r="C24" s="6"/>
      <c r="D24" s="6"/>
    </row>
    <row r="25" spans="1:4" ht="15.75" thickBot="1" x14ac:dyDescent="0.3">
      <c r="A25" s="119" t="s">
        <v>39</v>
      </c>
      <c r="B25" s="119" t="s">
        <v>56</v>
      </c>
      <c r="C25" s="6"/>
      <c r="D25" s="6"/>
    </row>
    <row r="26" spans="1:4" x14ac:dyDescent="0.25">
      <c r="A26" s="132">
        <v>0</v>
      </c>
      <c r="B26" s="133">
        <v>40</v>
      </c>
      <c r="C26" s="162" t="s">
        <v>139</v>
      </c>
      <c r="D26" s="6"/>
    </row>
    <row r="27" spans="1:4" x14ac:dyDescent="0.25">
      <c r="A27" s="1">
        <v>1</v>
      </c>
      <c r="B27" s="36">
        <v>46</v>
      </c>
      <c r="C27" s="163"/>
      <c r="D27" s="6"/>
    </row>
    <row r="28" spans="1:4" x14ac:dyDescent="0.25">
      <c r="A28" s="1">
        <v>2</v>
      </c>
      <c r="B28" s="36">
        <v>53</v>
      </c>
      <c r="C28" s="163"/>
      <c r="D28" s="6"/>
    </row>
    <row r="29" spans="1:4" x14ac:dyDescent="0.25">
      <c r="A29" s="1">
        <v>3</v>
      </c>
      <c r="B29" s="36">
        <v>56</v>
      </c>
      <c r="C29" s="163"/>
      <c r="D29" s="6"/>
    </row>
    <row r="30" spans="1:4" ht="15.75" thickBot="1" x14ac:dyDescent="0.3">
      <c r="A30" s="19">
        <v>4</v>
      </c>
      <c r="B30" s="134">
        <v>64</v>
      </c>
      <c r="C30" s="164"/>
      <c r="D30" s="6"/>
    </row>
    <row r="31" spans="1:4" x14ac:dyDescent="0.25">
      <c r="A31" s="6"/>
      <c r="B31" s="6"/>
      <c r="C31" s="6"/>
      <c r="D31" s="6"/>
    </row>
    <row r="32" spans="1:4" x14ac:dyDescent="0.25">
      <c r="A32" s="6"/>
      <c r="B32" s="6"/>
      <c r="C32" s="6"/>
      <c r="D32" s="6"/>
    </row>
    <row r="33" spans="1:4" ht="15.75" thickBot="1" x14ac:dyDescent="0.3">
      <c r="A33" s="6"/>
      <c r="B33" s="6"/>
      <c r="C33" s="6"/>
      <c r="D33" s="6"/>
    </row>
    <row r="34" spans="1:4" ht="19.5" thickBot="1" x14ac:dyDescent="0.35">
      <c r="A34" s="99" t="s">
        <v>45</v>
      </c>
      <c r="B34" s="101"/>
      <c r="C34" s="6"/>
      <c r="D34" s="6"/>
    </row>
    <row r="35" spans="1:4" ht="16.5" thickBot="1" x14ac:dyDescent="0.3">
      <c r="A35" s="135" t="s">
        <v>42</v>
      </c>
      <c r="B35" s="136">
        <v>8</v>
      </c>
      <c r="C35" s="6"/>
      <c r="D35" s="6"/>
    </row>
    <row r="36" spans="1:4" ht="16.5" thickBot="1" x14ac:dyDescent="0.3">
      <c r="A36" s="10" t="s">
        <v>98</v>
      </c>
      <c r="B36" s="137">
        <v>16</v>
      </c>
      <c r="C36" s="165" t="s">
        <v>141</v>
      </c>
      <c r="D36" s="6"/>
    </row>
    <row r="37" spans="1:4" x14ac:dyDescent="0.25">
      <c r="A37" s="1" t="s">
        <v>43</v>
      </c>
      <c r="B37" s="138">
        <v>8</v>
      </c>
      <c r="C37" s="169" t="s">
        <v>143</v>
      </c>
      <c r="D37" s="6"/>
    </row>
    <row r="38" spans="1:4" ht="15.75" thickBot="1" x14ac:dyDescent="0.3">
      <c r="A38" s="1" t="s">
        <v>44</v>
      </c>
      <c r="B38" s="138">
        <v>22</v>
      </c>
      <c r="C38" s="170"/>
      <c r="D38" s="6"/>
    </row>
    <row r="39" spans="1:4" x14ac:dyDescent="0.25">
      <c r="A39" s="1" t="s">
        <v>46</v>
      </c>
      <c r="B39" s="138">
        <v>4</v>
      </c>
      <c r="C39" s="6"/>
      <c r="D39" s="6"/>
    </row>
    <row r="40" spans="1:4" x14ac:dyDescent="0.25">
      <c r="A40" s="1" t="s">
        <v>47</v>
      </c>
      <c r="B40" s="36">
        <f>(B35*B26*B37*B38*B39)*(1+(B48+B49+B50))</f>
        <v>259071.99999999997</v>
      </c>
      <c r="C40" s="6"/>
      <c r="D40" s="6"/>
    </row>
    <row r="41" spans="1:4" x14ac:dyDescent="0.25">
      <c r="A41" s="1" t="s">
        <v>48</v>
      </c>
      <c r="B41" s="36">
        <f>(B35*B27*B37*B38*B39)*(1+(B48+B49+B50))</f>
        <v>297932.79999999999</v>
      </c>
      <c r="C41" s="6"/>
      <c r="D41" s="6"/>
    </row>
    <row r="42" spans="1:4" x14ac:dyDescent="0.25">
      <c r="A42" s="1" t="s">
        <v>49</v>
      </c>
      <c r="B42" s="36">
        <f>(B35*B28*B37*B38*B39)*(1+(B48+B49+B50))</f>
        <v>343270.39999999997</v>
      </c>
      <c r="C42" s="6"/>
      <c r="D42" s="6"/>
    </row>
    <row r="43" spans="1:4" x14ac:dyDescent="0.25">
      <c r="A43" s="1" t="s">
        <v>50</v>
      </c>
      <c r="B43" s="36">
        <f>(B35*B29*B37*B38*B39)*(1+(B48+B49+B50))</f>
        <v>362700.79999999999</v>
      </c>
      <c r="C43" s="6"/>
      <c r="D43" s="6"/>
    </row>
    <row r="44" spans="1:4" x14ac:dyDescent="0.25">
      <c r="A44" s="1" t="s">
        <v>51</v>
      </c>
      <c r="B44" s="36">
        <f>(B35*B30*B37*B38*B39)*(1+(B48+B49+B50))</f>
        <v>414515.19999999995</v>
      </c>
      <c r="C44" s="6"/>
      <c r="D44" s="6"/>
    </row>
    <row r="45" spans="1:4" x14ac:dyDescent="0.25">
      <c r="A45" s="1" t="s">
        <v>75</v>
      </c>
      <c r="B45" s="137">
        <v>150</v>
      </c>
      <c r="C45" s="6"/>
      <c r="D45" s="6"/>
    </row>
    <row r="46" spans="1:4" x14ac:dyDescent="0.25">
      <c r="A46" s="1" t="s">
        <v>76</v>
      </c>
      <c r="B46" s="137">
        <v>500</v>
      </c>
      <c r="C46" s="6"/>
      <c r="D46" s="6"/>
    </row>
    <row r="47" spans="1:4" x14ac:dyDescent="0.25">
      <c r="A47" s="1" t="s">
        <v>60</v>
      </c>
      <c r="B47" s="137">
        <v>250</v>
      </c>
      <c r="C47" s="6"/>
      <c r="D47" s="6"/>
    </row>
    <row r="48" spans="1:4" x14ac:dyDescent="0.25">
      <c r="A48" s="1" t="s">
        <v>77</v>
      </c>
      <c r="B48" s="139">
        <v>0.03</v>
      </c>
      <c r="C48" s="6"/>
      <c r="D48" s="6"/>
    </row>
    <row r="49" spans="1:4" x14ac:dyDescent="0.25">
      <c r="A49" s="1" t="s">
        <v>78</v>
      </c>
      <c r="B49" s="139">
        <v>7.4999999999999997E-2</v>
      </c>
      <c r="C49" s="6"/>
      <c r="D49" s="6"/>
    </row>
    <row r="50" spans="1:4" ht="15.75" thickBot="1" x14ac:dyDescent="0.3">
      <c r="A50" s="140" t="s">
        <v>79</v>
      </c>
      <c r="B50" s="141">
        <v>4.4999999999999998E-2</v>
      </c>
      <c r="C50" s="6"/>
      <c r="D50" s="6"/>
    </row>
    <row r="51" spans="1:4" x14ac:dyDescent="0.25">
      <c r="A51" s="6"/>
      <c r="B51" s="6"/>
      <c r="C51" s="6"/>
      <c r="D51" s="6"/>
    </row>
    <row r="52" spans="1:4" ht="15.75" thickBot="1" x14ac:dyDescent="0.3">
      <c r="A52" s="6"/>
      <c r="B52" s="6"/>
      <c r="C52" s="6"/>
      <c r="D52" s="6"/>
    </row>
    <row r="53" spans="1:4" ht="19.5" thickBot="1" x14ac:dyDescent="0.35">
      <c r="A53" s="99" t="s">
        <v>105</v>
      </c>
      <c r="B53" s="101"/>
      <c r="C53" s="171" t="s">
        <v>145</v>
      </c>
      <c r="D53" s="6"/>
    </row>
    <row r="54" spans="1:4" x14ac:dyDescent="0.25">
      <c r="A54" s="132" t="s">
        <v>6</v>
      </c>
      <c r="B54" s="142">
        <f>(Hoja2!C15*$D$10*$B$10+Hoja2!$D$15*D11*$B$11+Hoja2!E15*$D$12*$B$12)*($B$35*(1+Constantes!$E$3)*B26)</f>
        <v>0</v>
      </c>
      <c r="C54" s="6"/>
      <c r="D54" s="6"/>
    </row>
    <row r="55" spans="1:4" x14ac:dyDescent="0.25">
      <c r="A55" s="1" t="s">
        <v>102</v>
      </c>
      <c r="B55" s="143">
        <f>(Hoja2!C16*$D$10*$B$10+Hoja2!$D$15*D12*$B$11+Hoja2!E16*$D$12*$B$12)*($B$35*(1+Constantes!$E$3)*B27)</f>
        <v>0</v>
      </c>
      <c r="C55" s="6"/>
      <c r="D55" s="6"/>
    </row>
    <row r="56" spans="1:4" x14ac:dyDescent="0.25">
      <c r="A56" s="1" t="s">
        <v>104</v>
      </c>
      <c r="B56" s="143">
        <f>(Hoja2!C17*$D$10*$B$10+Hoja2!$D$15*D13*$B$11+Hoja2!E17*$D$12*$B$12)*($B$35*(1+Constantes!$E$3)*B28)</f>
        <v>244224</v>
      </c>
      <c r="C56" s="6"/>
      <c r="D56" s="6"/>
    </row>
    <row r="57" spans="1:4" x14ac:dyDescent="0.25">
      <c r="A57" s="1" t="s">
        <v>103</v>
      </c>
      <c r="B57" s="143">
        <f>(Hoja2!C18*$D$10*$B$10+Hoja2!$D$15*D14*$B$11+Hoja2!E18*$D$12*$B$12)*($B$35*(1+Constantes!$E$3)*B29)</f>
        <v>258048</v>
      </c>
      <c r="C57" s="6"/>
      <c r="D57" s="6"/>
    </row>
    <row r="58" spans="1:4" ht="15.75" thickBot="1" x14ac:dyDescent="0.3">
      <c r="A58" s="19" t="s">
        <v>10</v>
      </c>
      <c r="B58" s="144">
        <f>(Hoja2!C19*$D$10*$B$10+Hoja2!$D$15*D15*$B$11+Hoja2!E19*$D$12*$B$12)*($B$35*(1+Constantes!$E$3)*B30)</f>
        <v>884736</v>
      </c>
      <c r="C58" s="6"/>
      <c r="D58" s="6"/>
    </row>
  </sheetData>
  <mergeCells count="15">
    <mergeCell ref="A1:I1"/>
    <mergeCell ref="A53:B53"/>
    <mergeCell ref="A17:D17"/>
    <mergeCell ref="A4:B4"/>
    <mergeCell ref="C5:C7"/>
    <mergeCell ref="C3:D3"/>
    <mergeCell ref="A24:B24"/>
    <mergeCell ref="C26:C30"/>
    <mergeCell ref="C37:C38"/>
    <mergeCell ref="A18:B18"/>
    <mergeCell ref="A19:B19"/>
    <mergeCell ref="A20:B20"/>
    <mergeCell ref="A21:B21"/>
    <mergeCell ref="A22:B22"/>
    <mergeCell ref="A34:B3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41AEB-DC4E-421E-BDAA-3FFBF58822D0}">
  <dimension ref="A1:I15"/>
  <sheetViews>
    <sheetView zoomScale="70" zoomScaleNormal="70" workbookViewId="0">
      <selection activeCell="L2" sqref="L2"/>
    </sheetView>
  </sheetViews>
  <sheetFormatPr baseColWidth="10" defaultRowHeight="15" x14ac:dyDescent="0.25"/>
  <cols>
    <col min="1" max="1" width="26.28515625" bestFit="1" customWidth="1"/>
    <col min="2" max="2" width="25" customWidth="1"/>
    <col min="3" max="3" width="31.7109375" customWidth="1"/>
    <col min="4" max="4" width="32.5703125" customWidth="1"/>
    <col min="5" max="5" width="40" customWidth="1"/>
    <col min="6" max="6" width="52.28515625" customWidth="1"/>
    <col min="7" max="7" width="40" customWidth="1"/>
  </cols>
  <sheetData>
    <row r="1" spans="1:9" ht="117" customHeight="1" thickBot="1" x14ac:dyDescent="0.3">
      <c r="A1" s="65" t="s">
        <v>106</v>
      </c>
      <c r="B1" s="66"/>
      <c r="C1" s="66"/>
      <c r="D1" s="66"/>
      <c r="E1" s="66"/>
      <c r="F1" s="66"/>
      <c r="G1" s="66"/>
      <c r="H1" s="66"/>
      <c r="I1" s="67"/>
    </row>
    <row r="2" spans="1:9" ht="15.75" thickBot="1" x14ac:dyDescent="0.3"/>
    <row r="3" spans="1:9" ht="19.5" thickBot="1" x14ac:dyDescent="0.35">
      <c r="A3" s="99" t="s">
        <v>107</v>
      </c>
      <c r="B3" s="100"/>
      <c r="C3" s="100"/>
      <c r="D3" s="100"/>
      <c r="E3" s="100"/>
      <c r="F3" s="100"/>
      <c r="G3" s="101"/>
    </row>
    <row r="4" spans="1:9" ht="15.75" thickBot="1" x14ac:dyDescent="0.3">
      <c r="A4" s="172" t="s">
        <v>109</v>
      </c>
      <c r="B4" s="57" t="s">
        <v>110</v>
      </c>
      <c r="C4" s="58"/>
      <c r="D4" s="58"/>
      <c r="E4" s="58"/>
      <c r="F4" s="58"/>
      <c r="G4" s="59"/>
    </row>
    <row r="5" spans="1:9" ht="15.75" thickBot="1" x14ac:dyDescent="0.3">
      <c r="A5" s="172" t="s">
        <v>111</v>
      </c>
      <c r="B5" s="54" t="s">
        <v>112</v>
      </c>
      <c r="C5" s="54"/>
      <c r="D5" s="54"/>
      <c r="E5" s="54"/>
      <c r="F5" s="54"/>
      <c r="G5" s="55"/>
    </row>
    <row r="6" spans="1:9" ht="15.75" thickBot="1" x14ac:dyDescent="0.3">
      <c r="A6" s="172" t="s">
        <v>113</v>
      </c>
      <c r="B6" s="54" t="s">
        <v>129</v>
      </c>
      <c r="C6" s="54"/>
      <c r="D6" s="54"/>
      <c r="E6" s="54"/>
      <c r="F6" s="54"/>
      <c r="G6" s="55"/>
    </row>
    <row r="7" spans="1:9" ht="15.75" thickBot="1" x14ac:dyDescent="0.3">
      <c r="A7" s="172" t="s">
        <v>130</v>
      </c>
      <c r="B7" s="54" t="s">
        <v>131</v>
      </c>
      <c r="C7" s="54"/>
      <c r="D7" s="54"/>
      <c r="E7" s="54"/>
      <c r="F7" s="54"/>
      <c r="G7" s="55"/>
    </row>
    <row r="8" spans="1:9" ht="15.75" thickBot="1" x14ac:dyDescent="0.3">
      <c r="A8" s="172" t="s">
        <v>132</v>
      </c>
      <c r="B8" s="54" t="s">
        <v>133</v>
      </c>
      <c r="C8" s="54"/>
      <c r="D8" s="54"/>
      <c r="E8" s="54"/>
      <c r="F8" s="54"/>
      <c r="G8" s="55"/>
    </row>
    <row r="9" spans="1:9" ht="15.75" thickBot="1" x14ac:dyDescent="0.3">
      <c r="A9" s="172" t="s">
        <v>134</v>
      </c>
      <c r="B9" s="54" t="s">
        <v>135</v>
      </c>
      <c r="C9" s="54"/>
      <c r="D9" s="54"/>
      <c r="E9" s="54"/>
      <c r="F9" s="54"/>
      <c r="G9" s="55"/>
    </row>
    <row r="10" spans="1:9" ht="15.75" thickBot="1" x14ac:dyDescent="0.3">
      <c r="A10" s="172" t="s">
        <v>136</v>
      </c>
      <c r="B10" s="56" t="s">
        <v>138</v>
      </c>
      <c r="C10" s="54"/>
      <c r="D10" s="54"/>
      <c r="E10" s="54"/>
      <c r="F10" s="54"/>
      <c r="G10" s="55"/>
    </row>
    <row r="11" spans="1:9" ht="15.75" thickBot="1" x14ac:dyDescent="0.3">
      <c r="A11" s="172" t="s">
        <v>139</v>
      </c>
      <c r="B11" s="54" t="s">
        <v>140</v>
      </c>
      <c r="C11" s="54"/>
      <c r="D11" s="54"/>
      <c r="E11" s="54"/>
      <c r="F11" s="54"/>
      <c r="G11" s="55"/>
    </row>
    <row r="12" spans="1:9" ht="15.75" thickBot="1" x14ac:dyDescent="0.3">
      <c r="A12" s="172" t="s">
        <v>141</v>
      </c>
      <c r="B12" s="54" t="s">
        <v>142</v>
      </c>
      <c r="C12" s="54"/>
      <c r="D12" s="54"/>
      <c r="E12" s="54"/>
      <c r="F12" s="54"/>
      <c r="G12" s="55"/>
    </row>
    <row r="13" spans="1:9" ht="15.75" thickBot="1" x14ac:dyDescent="0.3">
      <c r="A13" s="172" t="s">
        <v>143</v>
      </c>
      <c r="B13" s="56" t="s">
        <v>144</v>
      </c>
      <c r="C13" s="54"/>
      <c r="D13" s="54"/>
      <c r="E13" s="54"/>
      <c r="F13" s="54"/>
      <c r="G13" s="55"/>
    </row>
    <row r="14" spans="1:9" ht="15.75" thickBot="1" x14ac:dyDescent="0.3">
      <c r="A14" s="172" t="s">
        <v>145</v>
      </c>
      <c r="B14" s="56" t="s">
        <v>146</v>
      </c>
      <c r="C14" s="54"/>
      <c r="D14" s="54"/>
      <c r="E14" s="54"/>
      <c r="F14" s="54"/>
      <c r="G14" s="55"/>
    </row>
    <row r="15" spans="1:9" ht="15.75" thickBot="1" x14ac:dyDescent="0.3">
      <c r="A15" s="172" t="s">
        <v>147</v>
      </c>
      <c r="B15" s="68" t="s">
        <v>149</v>
      </c>
      <c r="C15" s="68"/>
      <c r="D15" s="68"/>
      <c r="E15" s="68"/>
      <c r="F15" s="68"/>
      <c r="G15" s="69"/>
    </row>
  </sheetData>
  <mergeCells count="14">
    <mergeCell ref="B10:G10"/>
    <mergeCell ref="B11:G11"/>
    <mergeCell ref="A3:G3"/>
    <mergeCell ref="A1:I1"/>
    <mergeCell ref="B4:G4"/>
    <mergeCell ref="B6:G6"/>
    <mergeCell ref="B7:G7"/>
    <mergeCell ref="B8:G8"/>
    <mergeCell ref="B9:G9"/>
    <mergeCell ref="B15:G15"/>
    <mergeCell ref="B13:G13"/>
    <mergeCell ref="B12:G12"/>
    <mergeCell ref="B14:G14"/>
    <mergeCell ref="B5:G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Formula</vt:lpstr>
      <vt:lpstr>Hoja2</vt:lpstr>
      <vt:lpstr>Constantes</vt:lpstr>
      <vt:lpstr>Observaciones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Tomás Camacho Sinigaglia</cp:lastModifiedBy>
  <cp:lastPrinted>2019-08-20T16:05:19Z</cp:lastPrinted>
  <dcterms:created xsi:type="dcterms:W3CDTF">2019-08-20T12:38:20Z</dcterms:created>
  <dcterms:modified xsi:type="dcterms:W3CDTF">2019-09-04T00:24:18Z</dcterms:modified>
</cp:coreProperties>
</file>