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aniel\Desktop\"/>
    </mc:Choice>
  </mc:AlternateContent>
  <xr:revisionPtr revIDLastSave="0" documentId="13_ncr:1_{1667FE64-A712-4E40-AA36-67E60D94362D}" xr6:coauthVersionLast="44" xr6:coauthVersionMax="44" xr10:uidLastSave="{00000000-0000-0000-0000-000000000000}"/>
  <bookViews>
    <workbookView xWindow="28680" yWindow="-120" windowWidth="29040" windowHeight="15840" activeTab="3" xr2:uid="{00000000-000D-0000-FFFF-FFFF00000000}"/>
  </bookViews>
  <sheets>
    <sheet name="Formula" sheetId="1" r:id="rId1"/>
    <sheet name="Tablas Calculadas " sheetId="2" r:id="rId2"/>
    <sheet name="Constantes" sheetId="3" r:id="rId3"/>
    <sheet name="Observacione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44" i="3" l="1"/>
  <c r="B40" i="3"/>
  <c r="B41" i="3"/>
  <c r="B42" i="3"/>
  <c r="B43" i="3"/>
  <c r="E78" i="3" l="1"/>
  <c r="E77" i="3"/>
  <c r="E76" i="3"/>
  <c r="E75" i="3"/>
  <c r="E74" i="3"/>
  <c r="E73" i="3"/>
  <c r="E72" i="3"/>
  <c r="E71" i="3"/>
  <c r="E70" i="3"/>
  <c r="E69" i="3"/>
  <c r="E68" i="3"/>
  <c r="E67" i="3"/>
  <c r="E66" i="3"/>
  <c r="E65" i="3"/>
  <c r="E64" i="3"/>
  <c r="E63" i="3"/>
  <c r="E62" i="3"/>
  <c r="E61" i="3"/>
  <c r="E60" i="3"/>
  <c r="E59" i="3"/>
  <c r="E58" i="3"/>
  <c r="B72" i="2"/>
  <c r="B73" i="2"/>
  <c r="B74" i="2"/>
  <c r="B75" i="2"/>
  <c r="B76" i="2"/>
  <c r="C12" i="1" l="1"/>
  <c r="B61" i="2"/>
  <c r="B62" i="2"/>
  <c r="B63" i="2"/>
  <c r="B64" i="2"/>
  <c r="B65" i="2"/>
  <c r="C22" i="3"/>
  <c r="B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7" i="1" l="1"/>
  <c r="C8" i="1"/>
  <c r="B66" i="2"/>
  <c r="C65" i="2"/>
  <c r="D65" i="2" s="1"/>
  <c r="C64" i="2"/>
  <c r="D64" i="2" s="1"/>
  <c r="C61" i="2"/>
  <c r="C63" i="2"/>
  <c r="D63" i="2" s="1"/>
  <c r="C62" i="2"/>
  <c r="D62" i="2" s="1"/>
  <c r="D61" i="2" l="1"/>
  <c r="C6" i="1"/>
  <c r="C66" i="2"/>
  <c r="D66" i="2" s="1"/>
  <c r="B11" i="2" l="1"/>
  <c r="C13" i="1" s="1"/>
  <c r="B39" i="2" l="1"/>
  <c r="E39" i="2" s="1"/>
  <c r="B47" i="2"/>
  <c r="E47" i="2" s="1"/>
  <c r="B48" i="2"/>
  <c r="E48" i="2" s="1"/>
  <c r="B29" i="2"/>
  <c r="E29" i="2" s="1"/>
  <c r="B46" i="2"/>
  <c r="E46" i="2" s="1"/>
  <c r="B34" i="2"/>
  <c r="E34" i="2" s="1"/>
  <c r="C27" i="2"/>
  <c r="E27" i="2" s="1"/>
  <c r="B43" i="2"/>
  <c r="E43" i="2" s="1"/>
  <c r="B28" i="2"/>
  <c r="E28" i="2" s="1"/>
  <c r="B44" i="2"/>
  <c r="E44" i="2" s="1"/>
  <c r="B33" i="2"/>
  <c r="E33" i="2" s="1"/>
  <c r="B45" i="2"/>
  <c r="E45" i="2" s="1"/>
  <c r="B38" i="2"/>
  <c r="E38" i="2" s="1"/>
  <c r="B35" i="2" l="1"/>
  <c r="E35" i="2" s="1"/>
  <c r="B51" i="2"/>
  <c r="E51" i="2" s="1"/>
  <c r="B40" i="2"/>
  <c r="E40" i="2" s="1"/>
  <c r="B49" i="2"/>
  <c r="E49" i="2" s="1"/>
  <c r="B30" i="2"/>
  <c r="E30" i="2" s="1"/>
  <c r="B50" i="2"/>
  <c r="E50" i="2" s="1"/>
  <c r="B31" i="2"/>
  <c r="E31" i="2" s="1"/>
  <c r="B54" i="2"/>
  <c r="E54" i="2" s="1"/>
  <c r="B36" i="2"/>
  <c r="E36" i="2" s="1"/>
  <c r="B52" i="2"/>
  <c r="E52" i="2" s="1"/>
  <c r="B41" i="2"/>
  <c r="E41" i="2" s="1"/>
  <c r="B53" i="2"/>
  <c r="E53" i="2" s="1"/>
  <c r="B55" i="2"/>
  <c r="E55" i="2" s="1"/>
  <c r="B32" i="2"/>
  <c r="E32" i="2" s="1"/>
  <c r="B56" i="2"/>
  <c r="E56" i="2" s="1"/>
  <c r="B37" i="2"/>
  <c r="E37" i="2" s="1"/>
  <c r="B57" i="2"/>
  <c r="E57" i="2" s="1"/>
  <c r="B42" i="2"/>
  <c r="E42" i="2" s="1"/>
  <c r="C20" i="2" l="1"/>
  <c r="D20" i="2"/>
  <c r="B20" i="2"/>
  <c r="B8" i="2"/>
  <c r="I18" i="2"/>
  <c r="I17" i="2"/>
  <c r="I16" i="2"/>
  <c r="I15" i="2" l="1"/>
  <c r="H20" i="2"/>
  <c r="G20" i="2"/>
  <c r="F20" i="2" l="1"/>
  <c r="E20" i="2"/>
  <c r="B7" i="2"/>
  <c r="I19" i="2" l="1"/>
  <c r="I20" i="2" s="1"/>
  <c r="B6" i="2" l="1"/>
  <c r="C5" i="1"/>
  <c r="C9" i="1" s="1"/>
  <c r="C11" i="1" s="1"/>
  <c r="C14" i="1" s="1"/>
</calcChain>
</file>

<file path=xl/sharedStrings.xml><?xml version="1.0" encoding="utf-8"?>
<sst xmlns="http://schemas.openxmlformats.org/spreadsheetml/2006/main" count="202" uniqueCount="181">
  <si>
    <r>
      <t>∆V</t>
    </r>
    <r>
      <rPr>
        <vertAlign val="subscript"/>
        <sz val="14"/>
        <color theme="1"/>
        <rFont val="Times New Roman"/>
        <family val="1"/>
      </rPr>
      <t xml:space="preserve">j </t>
    </r>
    <r>
      <rPr>
        <sz val="12"/>
        <color theme="1"/>
        <rFont val="Times New Roman"/>
        <family val="1"/>
      </rPr>
      <t xml:space="preserve"> (ventas)</t>
    </r>
  </si>
  <si>
    <r>
      <t>∆Co</t>
    </r>
    <r>
      <rPr>
        <vertAlign val="subscript"/>
        <sz val="14"/>
        <color theme="1"/>
        <rFont val="Times New Roman"/>
        <family val="1"/>
      </rPr>
      <t>j (Costos operativos)</t>
    </r>
  </si>
  <si>
    <r>
      <t xml:space="preserve">t </t>
    </r>
    <r>
      <rPr>
        <vertAlign val="subscript"/>
        <sz val="14"/>
        <color theme="1"/>
        <rFont val="Times New Roman"/>
        <family val="1"/>
      </rPr>
      <t>(Irae)</t>
    </r>
  </si>
  <si>
    <r>
      <t>II</t>
    </r>
    <r>
      <rPr>
        <vertAlign val="superscript"/>
        <sz val="14"/>
        <color theme="1"/>
        <rFont val="Times New Roman"/>
        <family val="1"/>
      </rPr>
      <t>+</t>
    </r>
    <r>
      <rPr>
        <vertAlign val="subscript"/>
        <sz val="14"/>
        <color theme="1"/>
        <rFont val="Times New Roman"/>
        <family val="1"/>
      </rPr>
      <t>j (Invercion inicial)</t>
    </r>
  </si>
  <si>
    <t xml:space="preserve">Ventas: </t>
  </si>
  <si>
    <t>Año 0</t>
  </si>
  <si>
    <t>Año 1</t>
  </si>
  <si>
    <t>Año 2</t>
  </si>
  <si>
    <t>Año 3</t>
  </si>
  <si>
    <t>Año 4</t>
  </si>
  <si>
    <t xml:space="preserve">Venta del Software </t>
  </si>
  <si>
    <t xml:space="preserve">Totales: </t>
  </si>
  <si>
    <t xml:space="preserve">Precio de cada tipo de venta </t>
  </si>
  <si>
    <t xml:space="preserve">Precio = (Costos fijos + Costos variables) + Utilidad </t>
  </si>
  <si>
    <t xml:space="preserve">Cotos variables </t>
  </si>
  <si>
    <t xml:space="preserve">Total </t>
  </si>
  <si>
    <t xml:space="preserve">Costos operativos </t>
  </si>
  <si>
    <t>Costos fijos</t>
  </si>
  <si>
    <t xml:space="preserve">Dep=(costo de adquisicion - valor residual) / vida util </t>
  </si>
  <si>
    <t>Nombre del B/U</t>
  </si>
  <si>
    <t xml:space="preserve">Costo adquisicion </t>
  </si>
  <si>
    <t xml:space="preserve">Vida util </t>
  </si>
  <si>
    <t>Resultados</t>
  </si>
  <si>
    <t>Nombre</t>
  </si>
  <si>
    <t>Terminal</t>
  </si>
  <si>
    <t>Monitor</t>
  </si>
  <si>
    <t>Disco duro</t>
  </si>
  <si>
    <t xml:space="preserve">Router </t>
  </si>
  <si>
    <t>Utilidad (%)</t>
  </si>
  <si>
    <t>Costos Fijos (mensuales)</t>
  </si>
  <si>
    <t>Arquiler</t>
  </si>
  <si>
    <t xml:space="preserve">Seguridad </t>
  </si>
  <si>
    <t>MPLS</t>
  </si>
  <si>
    <t>Total</t>
  </si>
  <si>
    <t xml:space="preserve">Aumeno anual(%) </t>
  </si>
  <si>
    <t>Valor (US$)</t>
  </si>
  <si>
    <t xml:space="preserve">Cotisacion del dólar </t>
  </si>
  <si>
    <t>Año</t>
  </si>
  <si>
    <r>
      <t>∆Am</t>
    </r>
    <r>
      <rPr>
        <vertAlign val="subscript"/>
        <sz val="14"/>
        <color theme="1"/>
        <rFont val="Times New Roman"/>
        <family val="1"/>
      </rPr>
      <t>j (depresiacion B/U)</t>
    </r>
  </si>
  <si>
    <t xml:space="preserve">Amortizacion de los bienes de uso </t>
  </si>
  <si>
    <t xml:space="preserve">Salario esperado para los socios por hora </t>
  </si>
  <si>
    <t>Numero de horas trabajados por dia</t>
  </si>
  <si>
    <t>Numeros de dias trabajados por mes</t>
  </si>
  <si>
    <t>Costos variables (Constantes)</t>
  </si>
  <si>
    <t xml:space="preserve">Numero de socios </t>
  </si>
  <si>
    <t xml:space="preserve">Costo salarial total por mes durante año 0 </t>
  </si>
  <si>
    <t>Costo salarial total por mes durante año 1</t>
  </si>
  <si>
    <t>Costo salarial total por mes durante año 2</t>
  </si>
  <si>
    <t>Costo salarial total por mes durante año 3</t>
  </si>
  <si>
    <t>Costo salarial total por mes durante año 4</t>
  </si>
  <si>
    <t>Pesos</t>
  </si>
  <si>
    <t xml:space="preserve">Dolares </t>
  </si>
  <si>
    <t xml:space="preserve">Totales Por año </t>
  </si>
  <si>
    <t xml:space="preserve">Total anual </t>
  </si>
  <si>
    <t>valor (UYU)</t>
  </si>
  <si>
    <t xml:space="preserve">Variables principales: </t>
  </si>
  <si>
    <t xml:space="preserve">Con proyecto </t>
  </si>
  <si>
    <t xml:space="preserve">Sin proyecto </t>
  </si>
  <si>
    <t>Electricidad</t>
  </si>
  <si>
    <t>Instalacion del hardware  (plan economico)</t>
  </si>
  <si>
    <t>Instalacion del hardware  (plan recomendado )</t>
  </si>
  <si>
    <t>Instalacion del hardware  (plan premiun)</t>
  </si>
  <si>
    <t>Venta del Software (7 meses)</t>
  </si>
  <si>
    <t>Instalacion del hardware Recomendado (2 meses)    AÑO 0</t>
  </si>
  <si>
    <t>Instalacion del hardware Recomendado (2 meses)    AÑO 1</t>
  </si>
  <si>
    <t>Instalacion del hardware Recomendado (2 meses)    AÑO 2</t>
  </si>
  <si>
    <t>Instalacion del hardware Economico (2 meses)         AÑO 3</t>
  </si>
  <si>
    <t>Instalacion del hardware Economico (2 meses)         AÑO 4</t>
  </si>
  <si>
    <t xml:space="preserve">Planes para el equipamiento </t>
  </si>
  <si>
    <t xml:space="preserve">Economico </t>
  </si>
  <si>
    <t xml:space="preserve">Recomendando </t>
  </si>
  <si>
    <t xml:space="preserve">Premiun </t>
  </si>
  <si>
    <t>OSE</t>
  </si>
  <si>
    <t xml:space="preserve">Seguro </t>
  </si>
  <si>
    <t>BSE</t>
  </si>
  <si>
    <t xml:space="preserve">BPS patronal </t>
  </si>
  <si>
    <t xml:space="preserve">Fonasa </t>
  </si>
  <si>
    <t>SemiCompleto</t>
  </si>
  <si>
    <t xml:space="preserve">Completo </t>
  </si>
  <si>
    <t xml:space="preserve">Planes de soporte (Durante un mes) </t>
  </si>
  <si>
    <t>Instalacion del hardware Premiun (2 meses)               AÑO 0</t>
  </si>
  <si>
    <t>Instalacion del hardware Economico (2 meses)          AÑO 1</t>
  </si>
  <si>
    <t>Instalacion del hardware Economico (2 meses)          AÑO 0</t>
  </si>
  <si>
    <t>Instalacion del hardware Premiun (2 meses)               AÑO 1</t>
  </si>
  <si>
    <t>Instalacion del hardware Economico (2 meses)          AÑO 2</t>
  </si>
  <si>
    <t>Instalacion del hardware Premiun (2 meses)               AÑO 2</t>
  </si>
  <si>
    <t>Instalacion del hardware Recomendado (2 meses)   AÑO 3</t>
  </si>
  <si>
    <t>Instalacion del hardware Premiun (2 meses)              AÑO 3</t>
  </si>
  <si>
    <t>Instalacion del hardware Recomendado (2 meses)   AÑO 4</t>
  </si>
  <si>
    <t>Instalacion del hardware Premiun (2 meses)              AÑO 4</t>
  </si>
  <si>
    <t>Basico</t>
  </si>
  <si>
    <t>Aumento del la hora de trabajo por dia no laborable</t>
  </si>
  <si>
    <t>Nº de dias no laborables trabajados</t>
  </si>
  <si>
    <t>Dias laborables trabajados</t>
  </si>
  <si>
    <t>Horas de trabajo entre todos los empleados por dia</t>
  </si>
  <si>
    <t xml:space="preserve">Costo de venta de la hora de trabajo </t>
  </si>
  <si>
    <t>Soporte Basico</t>
  </si>
  <si>
    <t>Soporte SemiCompleto</t>
  </si>
  <si>
    <t xml:space="preserve">Soporte Completo </t>
  </si>
  <si>
    <t xml:space="preserve">Año 1 </t>
  </si>
  <si>
    <t xml:space="preserve">Año 3 </t>
  </si>
  <si>
    <t xml:space="preserve">Año 2 </t>
  </si>
  <si>
    <t xml:space="preserve">Salario Extra calculado por dia no laboral </t>
  </si>
  <si>
    <r>
      <t xml:space="preserve">Flujo de fondos </t>
    </r>
    <r>
      <rPr>
        <sz val="28"/>
        <color theme="1"/>
        <rFont val="Times New Roman"/>
        <family val="1"/>
      </rPr>
      <t xml:space="preserve">(segunda entrega) </t>
    </r>
  </si>
  <si>
    <t>Observaciones</t>
  </si>
  <si>
    <t>Obj 1 (Observacion 1)</t>
  </si>
  <si>
    <t>Obj1</t>
  </si>
  <si>
    <t>Ya que no tiene sentido que nuestra compañía no desarrolle el proyecto, se considera como 0</t>
  </si>
  <si>
    <t>Obj2</t>
  </si>
  <si>
    <t xml:space="preserve">En esta tabla se marcan las cantidades de cada producto venido a lo largo de cada año </t>
  </si>
  <si>
    <t>Obj3</t>
  </si>
  <si>
    <t>Soporte Basico Año 0</t>
  </si>
  <si>
    <t>Soporte Basico Año 1</t>
  </si>
  <si>
    <t>Soporte Basico Año 2</t>
  </si>
  <si>
    <t>Soporte Basico Año 3</t>
  </si>
  <si>
    <t>Soporte Basico Año 4</t>
  </si>
  <si>
    <t>Soporte SemiCompleto Año 0</t>
  </si>
  <si>
    <t>Soporte SemiCompleto Año 1</t>
  </si>
  <si>
    <t>Soporte SemiCompleto Año 2</t>
  </si>
  <si>
    <t>Soporte SemiCompleto Año 3</t>
  </si>
  <si>
    <t>Soporte SemiCompleto Año 4</t>
  </si>
  <si>
    <t>Soporte Completo  Año 0</t>
  </si>
  <si>
    <t>Soporte Completo  Año 1</t>
  </si>
  <si>
    <t>Soporte Completo  Año 2</t>
  </si>
  <si>
    <t>Soporte Completo  Año 3</t>
  </si>
  <si>
    <t>Soporte Completo  Año 4</t>
  </si>
  <si>
    <t>Con la intención de cubrir los costos fijos, de los costos operativos, cada precio de venta tiene incluido los correspondientes costos fijos a la duración del desarrollo del servicio o producto a desarrollar</t>
  </si>
  <si>
    <t>Obj4</t>
  </si>
  <si>
    <t xml:space="preserve">Se calculan estimando entre multiples precios de la plaza, no es exacto </t>
  </si>
  <si>
    <t>Obj5</t>
  </si>
  <si>
    <t xml:space="preserve">Aumento del salario de los socios, en días no laborables </t>
  </si>
  <si>
    <t>Obj6</t>
  </si>
  <si>
    <t xml:space="preserve">Presupuesto del equipamiento de hardware necesario por lo clientes para el funcionamiento del sistema  </t>
  </si>
  <si>
    <t>Obj7</t>
  </si>
  <si>
    <t>Obj 7</t>
  </si>
  <si>
    <t>Numero de dias no laborables, como sabado, domingo y feriados no laborables, los cuales los socios trabajaran. Se considera 9 dias ya que en algunos meses hay un feriado no laborable, en los que no se cobra igual para ayudar en algo a 
pagar los gastos operativos</t>
  </si>
  <si>
    <t>Obj8</t>
  </si>
  <si>
    <t xml:space="preserve">Cotización estimada por el docente durante el resto del año y 4 mas   </t>
  </si>
  <si>
    <t>Obj9</t>
  </si>
  <si>
    <t xml:space="preserve">A diferencia del salario por hora de los empleados, este valor será el cobrado a los clientes por ahora de trabajo de empleado </t>
  </si>
  <si>
    <t>Obj10</t>
  </si>
  <si>
    <t xml:space="preserve">Para no pagar horas extras de forma rutinaria, los socios primeramente solo trabajaran 8 horas y de lunes a viernes. Siendo un estimado de 4 semanas, ya que un mes no son puramente 4 semanas (7*4=28, cuando generalmente son 30/31),
 se toman 2 días laborales mas  </t>
  </si>
  <si>
    <t>Obj11</t>
  </si>
  <si>
    <t xml:space="preserve">Los socios no suelen trabajar días no laborables, pero en el caso que estén realizando un Soporte que se trabajen días no laborables, los costos operativos variables cambiaran, ya que tenemos que añadirle a ello a los salarios de los socios 
dichas horas trabajadas, con el aumento correspondiente por trabajo en días no laborables    </t>
  </si>
  <si>
    <t>Obj12</t>
  </si>
  <si>
    <t>Cotos Variables  Obj12</t>
  </si>
  <si>
    <t xml:space="preserve">Los costos variables se calculan con todos la sección tributaria, salarial y compra de equipamiento para la realización de la instalación del hardware, variando su valor en el tipo de instalación que se haga     </t>
  </si>
  <si>
    <r>
      <t xml:space="preserve">Valor residual  </t>
    </r>
    <r>
      <rPr>
        <b/>
        <sz val="11"/>
        <color theme="8" tint="-0.249977111117893"/>
        <rFont val="Times New Roman"/>
        <family val="1"/>
      </rPr>
      <t>(Obj4)</t>
    </r>
  </si>
  <si>
    <r>
      <t xml:space="preserve">Cotos fijos </t>
    </r>
    <r>
      <rPr>
        <b/>
        <sz val="11"/>
        <color theme="8" tint="-0.249977111117893"/>
        <rFont val="Times New Roman"/>
        <family val="1"/>
      </rPr>
      <t>(Obj3)</t>
    </r>
  </si>
  <si>
    <t>∆Vtas</t>
  </si>
  <si>
    <t>∆C.V</t>
  </si>
  <si>
    <t>∆C.F</t>
  </si>
  <si>
    <t>G.A.I</t>
  </si>
  <si>
    <t>I.R.A.E</t>
  </si>
  <si>
    <t>G.D.I</t>
  </si>
  <si>
    <t>Amortizacion</t>
  </si>
  <si>
    <t>∆Amortizacion</t>
  </si>
  <si>
    <t>I.I</t>
  </si>
  <si>
    <t>FF</t>
  </si>
  <si>
    <t>Calculos</t>
  </si>
  <si>
    <t>Jubilatorio</t>
  </si>
  <si>
    <t>FRL</t>
  </si>
  <si>
    <t>Fondo de garantia de Credito Laboral</t>
  </si>
  <si>
    <t>Switch</t>
  </si>
  <si>
    <t>Cableado</t>
  </si>
  <si>
    <t>Ficha</t>
  </si>
  <si>
    <t>Rack</t>
  </si>
  <si>
    <t>Servidor</t>
  </si>
  <si>
    <t>RAM</t>
  </si>
  <si>
    <t>Mesa de reunión</t>
  </si>
  <si>
    <t>Sillas de reunión</t>
  </si>
  <si>
    <t>Proyector LED Mini</t>
  </si>
  <si>
    <t>Pantalla</t>
  </si>
  <si>
    <t>Escritorio</t>
  </si>
  <si>
    <t>Teléfonos de línea</t>
  </si>
  <si>
    <t>Sillas de oficina</t>
  </si>
  <si>
    <t>Windows Pro</t>
  </si>
  <si>
    <t>Red Hat</t>
  </si>
  <si>
    <t>Monitor (Servidor)</t>
  </si>
  <si>
    <t>UPS</t>
  </si>
  <si>
    <t>Periféricos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</si>
</sst>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00\ [$UYU]_-;\-* #,##0.00\ [$UYU]_-;_-* &quot;-&quot;??\ [$UYU]_-;_-@_-"/>
    <numFmt numFmtId="165" formatCode="_-* #,##0.00\ [$USD]_-;\-* #,##0.00\ [$USD]_-;_-* &quot;-&quot;??\ [$USD]_-;_-@_-"/>
    <numFmt numFmtId="166" formatCode="_-[$$-340A]\ * #,##0.00_-;\-[$$-340A]\ * #,##0.00_-;_-[$$-340A]\ * &quot;-&quot;??_-;_-@_-"/>
    <numFmt numFmtId="167" formatCode="_ [$$-2C0A]\ * #,##0.00_ ;_ [$$-2C0A]\ * \-#,##0.00_ ;_ [$$-2C0A]\ * &quot;-&quot;??_ ;_ @_ "/>
    <numFmt numFmtId="168" formatCode="_-[$$-2C0A]\ * #,##0.00_-;\-[$$-2C0A]\ * #,##0.00_-;_-[$$-2C0A]\ * &quot;-&quot;??_-;_-@_-"/>
    <numFmt numFmtId="169" formatCode="_ [$$-340A]* #,##0.00_ ;_ [$$-340A]* \-#,##0.00_ ;_ [$$-340A]* &quot;-&quot;??_ ;_ @_ "/>
    <numFmt numFmtId="170" formatCode="0.000%"/>
    <numFmt numFmtId="171" formatCode="[$USD]\ #,##0.00"/>
  </numFmts>
  <fonts count="21" x14ac:knownFonts="1">
    <font>
      <sz val="11"/>
      <color theme="1"/>
      <name val="Calibri"/>
      <family val="2"/>
      <scheme val="minor"/>
    </font>
    <font>
      <sz val="11"/>
      <color theme="1"/>
      <name val="Times New Roman"/>
      <family val="1"/>
    </font>
    <font>
      <sz val="12"/>
      <color theme="1"/>
      <name val="Times New Roman"/>
      <family val="1"/>
    </font>
    <font>
      <sz val="14"/>
      <color theme="1"/>
      <name val="Times New Roman"/>
      <family val="1"/>
    </font>
    <font>
      <b/>
      <sz val="16"/>
      <color theme="1"/>
      <name val="Times New Roman"/>
      <family val="1"/>
    </font>
    <font>
      <b/>
      <sz val="14"/>
      <color theme="1"/>
      <name val="Times New Roman"/>
      <family val="1"/>
    </font>
    <font>
      <vertAlign val="subscript"/>
      <sz val="14"/>
      <color theme="1"/>
      <name val="Times New Roman"/>
      <family val="1"/>
    </font>
    <font>
      <vertAlign val="superscript"/>
      <sz val="14"/>
      <color theme="1"/>
      <name val="Times New Roman"/>
      <family val="1"/>
    </font>
    <font>
      <sz val="8"/>
      <name val="Calibri"/>
      <family val="2"/>
      <scheme val="minor"/>
    </font>
    <font>
      <b/>
      <sz val="11"/>
      <color theme="1"/>
      <name val="Times New Roman"/>
      <family val="1"/>
    </font>
    <font>
      <b/>
      <sz val="12"/>
      <color theme="1"/>
      <name val="Times New Roman"/>
      <family val="1"/>
    </font>
    <font>
      <b/>
      <sz val="11"/>
      <color theme="1"/>
      <name val="Calibri"/>
      <family val="2"/>
      <scheme val="minor"/>
    </font>
    <font>
      <sz val="72"/>
      <color theme="1"/>
      <name val="Times New Roman"/>
      <family val="1"/>
    </font>
    <font>
      <sz val="28"/>
      <color theme="1"/>
      <name val="Times New Roman"/>
      <family val="1"/>
    </font>
    <font>
      <b/>
      <sz val="11"/>
      <color theme="8" tint="-0.249977111117893"/>
      <name val="Times New Roman"/>
      <family val="1"/>
    </font>
    <font>
      <b/>
      <sz val="25"/>
      <color theme="1"/>
      <name val="Times New Roman"/>
      <family val="1"/>
    </font>
    <font>
      <sz val="25"/>
      <color theme="1"/>
      <name val="Times New Roman"/>
      <family val="1"/>
    </font>
    <font>
      <sz val="25"/>
      <color theme="1"/>
      <name val="Calibri"/>
      <family val="2"/>
      <scheme val="minor"/>
    </font>
    <font>
      <sz val="20"/>
      <color theme="1"/>
      <name val="Times New Roman"/>
      <family val="1"/>
    </font>
    <font>
      <sz val="20"/>
      <color theme="1"/>
      <name val="Calibri"/>
      <family val="2"/>
      <scheme val="minor"/>
    </font>
    <font>
      <sz val="24"/>
      <color theme="1"/>
      <name val="Times New Roman"/>
      <family val="1"/>
    </font>
  </fonts>
  <fills count="5">
    <fill>
      <patternFill patternType="none"/>
    </fill>
    <fill>
      <patternFill patternType="gray125"/>
    </fill>
    <fill>
      <patternFill patternType="solid">
        <fgColor theme="7" tint="0.79998168889431442"/>
        <bgColor indexed="64"/>
      </patternFill>
    </fill>
    <fill>
      <patternFill patternType="solid">
        <fgColor theme="8" tint="0.39997558519241921"/>
        <bgColor indexed="64"/>
      </patternFill>
    </fill>
    <fill>
      <patternFill patternType="solid">
        <fgColor theme="4" tint="0.59999389629810485"/>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medium">
        <color indexed="64"/>
      </right>
      <top style="thick">
        <color indexed="64"/>
      </top>
      <bottom style="medium">
        <color indexed="64"/>
      </bottom>
      <diagonal/>
    </border>
    <border>
      <left style="thick">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ck">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style="thick">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ck">
        <color indexed="64"/>
      </left>
      <right style="medium">
        <color indexed="64"/>
      </right>
      <top/>
      <bottom/>
      <diagonal/>
    </border>
    <border>
      <left style="thin">
        <color indexed="64"/>
      </left>
      <right/>
      <top/>
      <bottom style="thin">
        <color indexed="64"/>
      </bottom>
      <diagonal/>
    </border>
    <border>
      <left style="thick">
        <color indexed="64"/>
      </left>
      <right style="medium">
        <color indexed="64"/>
      </right>
      <top/>
      <bottom style="thin">
        <color indexed="64"/>
      </bottom>
      <diagonal/>
    </border>
    <border>
      <left/>
      <right/>
      <top/>
      <bottom style="medium">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ck">
        <color indexed="64"/>
      </left>
      <right style="medium">
        <color indexed="64"/>
      </right>
      <top style="thin">
        <color indexed="64"/>
      </top>
      <bottom style="double">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ck">
        <color indexed="64"/>
      </bottom>
      <diagonal/>
    </border>
    <border>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ck">
        <color indexed="64"/>
      </left>
      <right style="medium">
        <color indexed="64"/>
      </right>
      <top/>
      <bottom style="double">
        <color indexed="64"/>
      </bottom>
      <diagonal/>
    </border>
    <border>
      <left style="medium">
        <color indexed="64"/>
      </left>
      <right style="thin">
        <color indexed="64"/>
      </right>
      <top style="medium">
        <color indexed="64"/>
      </top>
      <bottom style="double">
        <color indexed="64"/>
      </bottom>
      <diagonal/>
    </border>
    <border>
      <left/>
      <right style="thin">
        <color indexed="64"/>
      </right>
      <top style="thin">
        <color indexed="64"/>
      </top>
      <bottom style="medium">
        <color indexed="64"/>
      </bottom>
      <diagonal/>
    </border>
    <border>
      <left/>
      <right style="thin">
        <color indexed="64"/>
      </right>
      <top style="thin">
        <color indexed="64"/>
      </top>
      <bottom style="double">
        <color indexed="64"/>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ck">
        <color indexed="64"/>
      </top>
      <bottom style="medium">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ck">
        <color indexed="64"/>
      </bottom>
      <diagonal/>
    </border>
    <border>
      <left style="mediumDashed">
        <color indexed="64"/>
      </left>
      <right style="mediumDashed">
        <color indexed="64"/>
      </right>
      <top style="mediumDashed">
        <color indexed="64"/>
      </top>
      <bottom style="mediumDashed">
        <color indexed="64"/>
      </bottom>
      <diagonal/>
    </border>
    <border>
      <left/>
      <right/>
      <top style="thick">
        <color indexed="64"/>
      </top>
      <bottom style="medium">
        <color indexed="64"/>
      </bottom>
      <diagonal/>
    </border>
    <border>
      <left style="thin">
        <color indexed="64"/>
      </left>
      <right/>
      <top style="thick">
        <color indexed="64"/>
      </top>
      <bottom style="medium">
        <color indexed="64"/>
      </bottom>
      <diagonal/>
    </border>
    <border>
      <left style="mediumDashed">
        <color indexed="64"/>
      </left>
      <right style="mediumDashed">
        <color indexed="64"/>
      </right>
      <top style="mediumDashed">
        <color indexed="64"/>
      </top>
      <bottom/>
      <diagonal/>
    </border>
    <border>
      <left style="mediumDashed">
        <color indexed="64"/>
      </left>
      <right style="mediumDashed">
        <color indexed="64"/>
      </right>
      <top/>
      <bottom/>
      <diagonal/>
    </border>
    <border>
      <left style="mediumDashed">
        <color indexed="64"/>
      </left>
      <right style="mediumDashed">
        <color indexed="64"/>
      </right>
      <top/>
      <bottom style="mediumDashed">
        <color indexed="64"/>
      </bottom>
      <diagonal/>
    </border>
    <border>
      <left/>
      <right style="mediumDashed">
        <color indexed="64"/>
      </right>
      <top style="mediumDashed">
        <color indexed="64"/>
      </top>
      <bottom style="mediumDashed">
        <color indexed="64"/>
      </bottom>
      <diagonal/>
    </border>
    <border>
      <left style="thin">
        <color indexed="64"/>
      </left>
      <right/>
      <top style="medium">
        <color indexed="64"/>
      </top>
      <bottom style="thin">
        <color indexed="64"/>
      </bottom>
      <diagonal/>
    </border>
    <border>
      <left/>
      <right style="mediumDashed">
        <color indexed="64"/>
      </right>
      <top style="mediumDashed">
        <color indexed="64"/>
      </top>
      <bottom/>
      <diagonal/>
    </border>
    <border>
      <left/>
      <right style="mediumDashed">
        <color indexed="64"/>
      </right>
      <top/>
      <bottom style="mediumDashed">
        <color indexed="64"/>
      </bottom>
      <diagonal/>
    </border>
    <border>
      <left style="medium">
        <color indexed="64"/>
      </left>
      <right style="medium">
        <color indexed="64"/>
      </right>
      <top style="thin">
        <color indexed="64"/>
      </top>
      <bottom style="medium">
        <color indexed="64"/>
      </bottom>
      <diagonal/>
    </border>
    <border>
      <left/>
      <right style="mediumDashed">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ck">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s>
  <cellStyleXfs count="1">
    <xf numFmtId="0" fontId="0" fillId="0" borderId="0"/>
  </cellStyleXfs>
  <cellXfs count="206">
    <xf numFmtId="0" fontId="0" fillId="0" borderId="0" xfId="0"/>
    <xf numFmtId="0" fontId="1" fillId="0" borderId="1" xfId="0" applyFont="1" applyBorder="1"/>
    <xf numFmtId="0" fontId="1" fillId="0" borderId="5" xfId="0" applyFont="1" applyBorder="1"/>
    <xf numFmtId="0" fontId="1" fillId="0" borderId="2" xfId="0" applyFont="1" applyBorder="1"/>
    <xf numFmtId="0" fontId="9" fillId="0" borderId="1" xfId="0" applyFont="1" applyBorder="1"/>
    <xf numFmtId="0" fontId="1" fillId="0" borderId="6" xfId="0" applyFont="1" applyBorder="1"/>
    <xf numFmtId="0" fontId="1" fillId="0" borderId="0" xfId="0" applyFont="1" applyBorder="1"/>
    <xf numFmtId="0" fontId="1" fillId="0" borderId="8" xfId="0" applyFont="1" applyBorder="1"/>
    <xf numFmtId="0" fontId="0" fillId="0" borderId="0" xfId="0" applyBorder="1"/>
    <xf numFmtId="0" fontId="9" fillId="0" borderId="8" xfId="0" applyFont="1" applyFill="1" applyBorder="1" applyAlignment="1">
      <alignment horizontal="left"/>
    </xf>
    <xf numFmtId="0" fontId="10" fillId="0" borderId="1" xfId="0" applyFont="1" applyBorder="1"/>
    <xf numFmtId="0" fontId="1" fillId="0" borderId="0" xfId="0" applyFont="1"/>
    <xf numFmtId="165" fontId="1" fillId="0" borderId="1" xfId="0" applyNumberFormat="1" applyFont="1" applyBorder="1"/>
    <xf numFmtId="0" fontId="9" fillId="0" borderId="16" xfId="0" applyFont="1" applyBorder="1" applyAlignment="1">
      <alignment horizontal="right"/>
    </xf>
    <xf numFmtId="0" fontId="1" fillId="0" borderId="20" xfId="0" applyFont="1" applyBorder="1"/>
    <xf numFmtId="0" fontId="1" fillId="0" borderId="22" xfId="0" applyFont="1" applyBorder="1"/>
    <xf numFmtId="0" fontId="9" fillId="0" borderId="15" xfId="0" applyFont="1" applyBorder="1"/>
    <xf numFmtId="0" fontId="1" fillId="0" borderId="15" xfId="0" applyFont="1" applyBorder="1"/>
    <xf numFmtId="165" fontId="1" fillId="0" borderId="21" xfId="0" applyNumberFormat="1" applyFont="1" applyBorder="1"/>
    <xf numFmtId="0" fontId="1" fillId="0" borderId="21" xfId="0" applyFont="1" applyBorder="1"/>
    <xf numFmtId="0" fontId="1" fillId="0" borderId="24" xfId="0" applyFont="1" applyBorder="1"/>
    <xf numFmtId="0" fontId="1" fillId="0" borderId="25" xfId="0" applyFont="1" applyBorder="1"/>
    <xf numFmtId="166" fontId="1" fillId="0" borderId="19" xfId="0" applyNumberFormat="1" applyFont="1" applyBorder="1"/>
    <xf numFmtId="166" fontId="1" fillId="0" borderId="26" xfId="0" applyNumberFormat="1" applyFont="1" applyBorder="1"/>
    <xf numFmtId="166" fontId="1" fillId="0" borderId="23" xfId="0" applyNumberFormat="1" applyFont="1" applyBorder="1"/>
    <xf numFmtId="167" fontId="1" fillId="0" borderId="1" xfId="0" applyNumberFormat="1" applyFont="1" applyBorder="1"/>
    <xf numFmtId="167" fontId="1" fillId="0" borderId="21" xfId="0" applyNumberFormat="1" applyFont="1" applyBorder="1"/>
    <xf numFmtId="0" fontId="1" fillId="0" borderId="27" xfId="0" applyFont="1" applyBorder="1"/>
    <xf numFmtId="167" fontId="1" fillId="0" borderId="27" xfId="0" applyNumberFormat="1" applyFont="1" applyBorder="1"/>
    <xf numFmtId="0" fontId="1" fillId="0" borderId="28" xfId="0" applyFont="1" applyBorder="1"/>
    <xf numFmtId="166" fontId="1" fillId="0" borderId="29" xfId="0" applyNumberFormat="1" applyFont="1" applyBorder="1"/>
    <xf numFmtId="0" fontId="1" fillId="0" borderId="30" xfId="0" applyFont="1" applyBorder="1"/>
    <xf numFmtId="166" fontId="1" fillId="0" borderId="31" xfId="0" applyNumberFormat="1" applyFont="1" applyBorder="1"/>
    <xf numFmtId="0" fontId="0" fillId="0" borderId="32" xfId="0" applyBorder="1"/>
    <xf numFmtId="167" fontId="9" fillId="0" borderId="17" xfId="0" applyNumberFormat="1" applyFont="1" applyBorder="1"/>
    <xf numFmtId="167" fontId="1" fillId="0" borderId="18" xfId="0" applyNumberFormat="1" applyFont="1" applyBorder="1"/>
    <xf numFmtId="167" fontId="1" fillId="0" borderId="15" xfId="0" applyNumberFormat="1" applyFont="1" applyBorder="1"/>
    <xf numFmtId="167" fontId="1" fillId="0" borderId="17" xfId="0" applyNumberFormat="1" applyFont="1" applyBorder="1"/>
    <xf numFmtId="0" fontId="1" fillId="0" borderId="0" xfId="0" applyFont="1" applyBorder="1" applyAlignment="1"/>
    <xf numFmtId="10" fontId="1" fillId="0" borderId="0" xfId="0" applyNumberFormat="1" applyFont="1" applyBorder="1"/>
    <xf numFmtId="0" fontId="5" fillId="0" borderId="0" xfId="0" applyFont="1" applyBorder="1"/>
    <xf numFmtId="10" fontId="2" fillId="0" borderId="0" xfId="0" applyNumberFormat="1" applyFont="1" applyBorder="1"/>
    <xf numFmtId="167" fontId="1" fillId="0" borderId="33" xfId="0" applyNumberFormat="1" applyFont="1" applyBorder="1"/>
    <xf numFmtId="0" fontId="1" fillId="0" borderId="34" xfId="0" applyFont="1" applyBorder="1"/>
    <xf numFmtId="166" fontId="1" fillId="0" borderId="35" xfId="0" applyNumberFormat="1" applyFont="1" applyBorder="1"/>
    <xf numFmtId="0" fontId="0" fillId="0" borderId="1" xfId="0" applyBorder="1"/>
    <xf numFmtId="0" fontId="0" fillId="0" borderId="5" xfId="0" applyBorder="1"/>
    <xf numFmtId="0" fontId="0" fillId="0" borderId="27" xfId="0" applyBorder="1"/>
    <xf numFmtId="0" fontId="0" fillId="0" borderId="37" xfId="0" applyBorder="1"/>
    <xf numFmtId="169" fontId="9" fillId="0" borderId="17" xfId="0" applyNumberFormat="1" applyFont="1" applyBorder="1"/>
    <xf numFmtId="0" fontId="0" fillId="0" borderId="0" xfId="0" applyAlignment="1"/>
    <xf numFmtId="0" fontId="9" fillId="0" borderId="1" xfId="0" applyFont="1" applyBorder="1" applyAlignment="1">
      <alignment wrapText="1"/>
    </xf>
    <xf numFmtId="0" fontId="11" fillId="0" borderId="0" xfId="0" applyFont="1" applyBorder="1"/>
    <xf numFmtId="0" fontId="0" fillId="0" borderId="0" xfId="0" applyBorder="1" applyAlignment="1"/>
    <xf numFmtId="0" fontId="0" fillId="0" borderId="42" xfId="0" applyBorder="1"/>
    <xf numFmtId="0" fontId="5" fillId="0" borderId="30" xfId="0" applyFont="1" applyBorder="1" applyAlignment="1">
      <alignment horizontal="center"/>
    </xf>
    <xf numFmtId="167" fontId="1" fillId="0" borderId="52" xfId="0" applyNumberFormat="1" applyFont="1" applyBorder="1"/>
    <xf numFmtId="0" fontId="1" fillId="0" borderId="53" xfId="0" applyFont="1" applyBorder="1"/>
    <xf numFmtId="166" fontId="1" fillId="0" borderId="54" xfId="0" applyNumberFormat="1" applyFont="1" applyBorder="1"/>
    <xf numFmtId="0" fontId="1" fillId="0" borderId="55" xfId="0" applyFont="1" applyBorder="1"/>
    <xf numFmtId="167" fontId="1" fillId="0" borderId="45" xfId="0" applyNumberFormat="1" applyFont="1" applyBorder="1"/>
    <xf numFmtId="167" fontId="1" fillId="0" borderId="56" xfId="0" applyNumberFormat="1" applyFont="1" applyBorder="1"/>
    <xf numFmtId="167" fontId="1" fillId="0" borderId="57" xfId="0" applyNumberFormat="1" applyFont="1" applyBorder="1"/>
    <xf numFmtId="167" fontId="1" fillId="0" borderId="4" xfId="0" applyNumberFormat="1" applyFont="1" applyBorder="1"/>
    <xf numFmtId="0" fontId="1" fillId="0" borderId="58" xfId="0" applyFont="1" applyBorder="1"/>
    <xf numFmtId="0" fontId="1" fillId="0" borderId="59" xfId="0" applyFont="1" applyBorder="1"/>
    <xf numFmtId="0" fontId="1" fillId="0" borderId="60" xfId="0" applyFont="1" applyBorder="1"/>
    <xf numFmtId="0" fontId="1" fillId="0" borderId="36" xfId="0" applyFont="1" applyBorder="1"/>
    <xf numFmtId="0" fontId="9" fillId="0" borderId="42" xfId="0" applyFont="1" applyBorder="1"/>
    <xf numFmtId="0" fontId="9" fillId="0" borderId="11" xfId="0" applyFont="1" applyBorder="1"/>
    <xf numFmtId="0" fontId="1" fillId="0" borderId="45" xfId="0" applyFont="1" applyBorder="1"/>
    <xf numFmtId="0" fontId="1" fillId="0" borderId="4" xfId="0" applyFont="1" applyBorder="1"/>
    <xf numFmtId="0" fontId="1" fillId="0" borderId="62" xfId="0" applyFont="1" applyBorder="1"/>
    <xf numFmtId="0" fontId="1" fillId="0" borderId="63" xfId="0" applyFont="1" applyBorder="1" applyAlignment="1">
      <alignment horizontal="right"/>
    </xf>
    <xf numFmtId="0" fontId="1" fillId="0" borderId="60" xfId="0" applyFont="1" applyBorder="1" applyAlignment="1">
      <alignment horizontal="right"/>
    </xf>
    <xf numFmtId="0" fontId="1" fillId="0" borderId="64" xfId="0" applyFont="1" applyBorder="1" applyAlignment="1">
      <alignment horizontal="right"/>
    </xf>
    <xf numFmtId="0" fontId="4" fillId="2" borderId="42" xfId="0" applyFont="1" applyFill="1" applyBorder="1"/>
    <xf numFmtId="0" fontId="9" fillId="0" borderId="42" xfId="0" applyFont="1" applyBorder="1" applyAlignment="1">
      <alignment wrapText="1"/>
    </xf>
    <xf numFmtId="0" fontId="9" fillId="0" borderId="66" xfId="0" applyFont="1" applyBorder="1"/>
    <xf numFmtId="167" fontId="1" fillId="0" borderId="30" xfId="0" applyNumberFormat="1" applyFont="1" applyBorder="1" applyAlignment="1">
      <alignment horizontal="left"/>
    </xf>
    <xf numFmtId="167" fontId="1" fillId="0" borderId="2" xfId="0" applyNumberFormat="1" applyFont="1" applyBorder="1" applyAlignment="1">
      <alignment horizontal="left"/>
    </xf>
    <xf numFmtId="167" fontId="1" fillId="0" borderId="25" xfId="0" applyNumberFormat="1" applyFont="1" applyBorder="1" applyAlignment="1">
      <alignment horizontal="left"/>
    </xf>
    <xf numFmtId="167" fontId="1" fillId="0" borderId="67" xfId="0" applyNumberFormat="1" applyFont="1" applyBorder="1"/>
    <xf numFmtId="0" fontId="5" fillId="2" borderId="42" xfId="0" applyFont="1" applyFill="1" applyBorder="1" applyAlignment="1"/>
    <xf numFmtId="165" fontId="1" fillId="0" borderId="27" xfId="0" applyNumberFormat="1" applyFont="1" applyBorder="1"/>
    <xf numFmtId="0" fontId="1" fillId="0" borderId="42" xfId="0" applyFont="1" applyBorder="1"/>
    <xf numFmtId="0" fontId="1" fillId="0" borderId="42" xfId="0" applyFont="1" applyBorder="1" applyAlignment="1">
      <alignment horizontal="left"/>
    </xf>
    <xf numFmtId="164" fontId="1" fillId="0" borderId="42" xfId="0" applyNumberFormat="1" applyFont="1" applyBorder="1" applyAlignment="1">
      <alignment horizontal="left"/>
    </xf>
    <xf numFmtId="0" fontId="1" fillId="0" borderId="14" xfId="0" applyFont="1" applyBorder="1"/>
    <xf numFmtId="165" fontId="1" fillId="0" borderId="12" xfId="0" applyNumberFormat="1" applyFont="1" applyBorder="1"/>
    <xf numFmtId="165" fontId="1" fillId="0" borderId="8" xfId="0" applyNumberFormat="1" applyFont="1" applyBorder="1"/>
    <xf numFmtId="165" fontId="1" fillId="0" borderId="20" xfId="0" applyNumberFormat="1" applyFont="1" applyBorder="1"/>
    <xf numFmtId="0" fontId="1" fillId="0" borderId="13" xfId="0" applyFont="1" applyBorder="1"/>
    <xf numFmtId="167" fontId="1" fillId="0" borderId="14" xfId="0" applyNumberFormat="1" applyFont="1" applyBorder="1"/>
    <xf numFmtId="167" fontId="1" fillId="0" borderId="24" xfId="0" applyNumberFormat="1" applyFont="1" applyBorder="1"/>
    <xf numFmtId="0" fontId="10" fillId="0" borderId="13" xfId="0" applyFont="1" applyBorder="1"/>
    <xf numFmtId="165" fontId="1" fillId="0" borderId="14" xfId="0" applyNumberFormat="1" applyFont="1" applyBorder="1"/>
    <xf numFmtId="165" fontId="1" fillId="0" borderId="15" xfId="0" applyNumberFormat="1" applyFont="1" applyBorder="1"/>
    <xf numFmtId="0" fontId="1" fillId="0" borderId="15" xfId="0" applyNumberFormat="1" applyFont="1" applyBorder="1"/>
    <xf numFmtId="10" fontId="1" fillId="0" borderId="15" xfId="0" applyNumberFormat="1" applyFont="1" applyBorder="1"/>
    <xf numFmtId="0" fontId="1" fillId="0" borderId="21" xfId="0" applyFont="1" applyFill="1" applyBorder="1"/>
    <xf numFmtId="10" fontId="1" fillId="0" borderId="24" xfId="0" applyNumberFormat="1" applyFont="1" applyBorder="1"/>
    <xf numFmtId="168" fontId="1" fillId="0" borderId="14" xfId="0" applyNumberFormat="1" applyFont="1" applyBorder="1"/>
    <xf numFmtId="168" fontId="1" fillId="0" borderId="15" xfId="0" applyNumberFormat="1" applyFont="1" applyBorder="1"/>
    <xf numFmtId="168" fontId="1" fillId="0" borderId="24" xfId="0" applyNumberFormat="1" applyFont="1" applyBorder="1"/>
    <xf numFmtId="10" fontId="1" fillId="0" borderId="42" xfId="0" applyNumberFormat="1" applyFont="1" applyBorder="1" applyAlignment="1"/>
    <xf numFmtId="167" fontId="1" fillId="0" borderId="61" xfId="0" applyNumberFormat="1" applyFont="1" applyBorder="1"/>
    <xf numFmtId="0" fontId="1" fillId="0" borderId="84" xfId="0" applyFont="1" applyBorder="1" applyAlignment="1">
      <alignment horizontal="right"/>
    </xf>
    <xf numFmtId="0" fontId="9" fillId="3" borderId="71" xfId="0" applyFont="1" applyFill="1" applyBorder="1" applyAlignment="1">
      <alignment vertical="center"/>
    </xf>
    <xf numFmtId="0" fontId="9" fillId="3" borderId="65" xfId="0" applyFont="1" applyFill="1" applyBorder="1" applyAlignment="1">
      <alignment vertical="center"/>
    </xf>
    <xf numFmtId="0" fontId="9" fillId="3" borderId="11" xfId="0" applyFont="1" applyFill="1" applyBorder="1" applyAlignment="1">
      <alignment vertical="center"/>
    </xf>
    <xf numFmtId="0" fontId="0" fillId="0" borderId="7" xfId="0" applyBorder="1"/>
    <xf numFmtId="0" fontId="1" fillId="0" borderId="78" xfId="0" applyFont="1" applyBorder="1"/>
    <xf numFmtId="0" fontId="1" fillId="0" borderId="32" xfId="0" applyFont="1" applyBorder="1"/>
    <xf numFmtId="0" fontId="0" fillId="0" borderId="86" xfId="0" applyBorder="1"/>
    <xf numFmtId="10" fontId="1" fillId="0" borderId="87" xfId="0" applyNumberFormat="1" applyFont="1" applyBorder="1"/>
    <xf numFmtId="170" fontId="1" fillId="0" borderId="87" xfId="0" applyNumberFormat="1" applyFont="1" applyBorder="1"/>
    <xf numFmtId="0" fontId="1" fillId="0" borderId="88" xfId="0" applyFont="1" applyFill="1" applyBorder="1"/>
    <xf numFmtId="171" fontId="1" fillId="0" borderId="15" xfId="0" applyNumberFormat="1" applyFont="1" applyBorder="1"/>
    <xf numFmtId="0" fontId="12" fillId="0" borderId="85" xfId="0" applyFont="1" applyBorder="1" applyAlignment="1">
      <alignment horizontal="left" vertical="center"/>
    </xf>
    <xf numFmtId="0" fontId="12" fillId="0" borderId="32" xfId="0" applyFont="1" applyBorder="1" applyAlignment="1">
      <alignment horizontal="left" vertical="center"/>
    </xf>
    <xf numFmtId="0" fontId="12" fillId="0" borderId="86" xfId="0" applyFont="1" applyBorder="1" applyAlignment="1">
      <alignment horizontal="left" vertical="center"/>
    </xf>
    <xf numFmtId="0" fontId="17" fillId="0" borderId="75" xfId="0" applyFont="1" applyBorder="1" applyAlignment="1">
      <alignment horizontal="center"/>
    </xf>
    <xf numFmtId="0" fontId="17" fillId="4" borderId="42" xfId="0" applyFont="1" applyFill="1" applyBorder="1" applyAlignment="1">
      <alignment horizontal="center"/>
    </xf>
    <xf numFmtId="0" fontId="15" fillId="2" borderId="42" xfId="0" applyFont="1" applyFill="1" applyBorder="1" applyAlignment="1">
      <alignment horizontal="center"/>
    </xf>
    <xf numFmtId="167" fontId="18" fillId="0" borderId="77" xfId="0" applyNumberFormat="1" applyFont="1" applyBorder="1" applyAlignment="1" applyProtection="1">
      <alignment horizontal="center" vertical="center"/>
      <protection locked="0"/>
    </xf>
    <xf numFmtId="167" fontId="18" fillId="0" borderId="79" xfId="0" applyNumberFormat="1" applyFont="1" applyBorder="1" applyAlignment="1" applyProtection="1">
      <alignment horizontal="center" vertical="center"/>
      <protection locked="0"/>
    </xf>
    <xf numFmtId="167" fontId="18" fillId="0" borderId="82" xfId="0" applyNumberFormat="1" applyFont="1" applyBorder="1" applyAlignment="1" applyProtection="1">
      <alignment horizontal="center" vertical="center"/>
      <protection locked="0"/>
    </xf>
    <xf numFmtId="167" fontId="18" fillId="0" borderId="38" xfId="0" applyNumberFormat="1" applyFont="1" applyBorder="1" applyAlignment="1" applyProtection="1">
      <alignment horizontal="center" vertical="center"/>
      <protection locked="0"/>
    </xf>
    <xf numFmtId="168" fontId="19" fillId="0" borderId="60" xfId="0" applyNumberFormat="1" applyFont="1" applyBorder="1" applyAlignment="1">
      <alignment horizontal="center"/>
    </xf>
    <xf numFmtId="0" fontId="19" fillId="0" borderId="60" xfId="0" applyFont="1" applyBorder="1" applyAlignment="1">
      <alignment horizontal="center"/>
    </xf>
    <xf numFmtId="9" fontId="19" fillId="0" borderId="60" xfId="0" applyNumberFormat="1" applyFont="1" applyBorder="1" applyAlignment="1">
      <alignment horizontal="right"/>
    </xf>
    <xf numFmtId="168" fontId="19" fillId="0" borderId="75" xfId="0" applyNumberFormat="1" applyFont="1" applyBorder="1" applyAlignment="1">
      <alignment horizontal="center"/>
    </xf>
    <xf numFmtId="168" fontId="20" fillId="4" borderId="42" xfId="0" applyNumberFormat="1" applyFont="1" applyFill="1" applyBorder="1" applyAlignment="1">
      <alignment horizontal="center"/>
    </xf>
    <xf numFmtId="0" fontId="20" fillId="4" borderId="42" xfId="0" applyFont="1" applyFill="1" applyBorder="1" applyAlignment="1">
      <alignment horizontal="center"/>
    </xf>
    <xf numFmtId="0" fontId="16" fillId="0" borderId="63" xfId="0" applyFont="1" applyBorder="1" applyAlignment="1">
      <alignment horizontal="center"/>
    </xf>
    <xf numFmtId="0" fontId="17" fillId="0" borderId="60" xfId="0" applyFont="1" applyBorder="1" applyAlignment="1">
      <alignment horizontal="center"/>
    </xf>
    <xf numFmtId="0" fontId="16" fillId="0" borderId="60" xfId="0" applyFont="1" applyBorder="1" applyAlignment="1">
      <alignment horizontal="center"/>
    </xf>
    <xf numFmtId="0" fontId="12" fillId="0" borderId="6" xfId="0" applyFont="1" applyBorder="1" applyAlignment="1">
      <alignment horizontal="left" vertical="center"/>
    </xf>
    <xf numFmtId="0" fontId="12" fillId="0" borderId="0" xfId="0" applyFont="1" applyBorder="1" applyAlignment="1">
      <alignment horizontal="left" vertical="center"/>
    </xf>
    <xf numFmtId="0" fontId="9" fillId="3" borderId="73" xfId="0" applyFont="1" applyFill="1" applyBorder="1" applyAlignment="1">
      <alignment horizontal="left" vertical="center"/>
    </xf>
    <xf numFmtId="0" fontId="9" fillId="3" borderId="76" xfId="0" applyFont="1" applyFill="1" applyBorder="1" applyAlignment="1">
      <alignment horizontal="left" vertical="center"/>
    </xf>
    <xf numFmtId="0" fontId="9" fillId="3" borderId="74" xfId="0" applyFont="1" applyFill="1" applyBorder="1" applyAlignment="1">
      <alignment horizontal="left" vertical="center"/>
    </xf>
    <xf numFmtId="0" fontId="9" fillId="3" borderId="68" xfId="0" applyFont="1" applyFill="1" applyBorder="1" applyAlignment="1">
      <alignment horizontal="left" vertical="center"/>
    </xf>
    <xf numFmtId="0" fontId="9" fillId="3" borderId="69" xfId="0" applyFont="1" applyFill="1" applyBorder="1" applyAlignment="1">
      <alignment horizontal="left" vertical="center"/>
    </xf>
    <xf numFmtId="0" fontId="9" fillId="3" borderId="70" xfId="0" applyFont="1" applyFill="1" applyBorder="1" applyAlignment="1">
      <alignment horizontal="left" vertical="center"/>
    </xf>
    <xf numFmtId="0" fontId="5" fillId="2" borderId="48" xfId="0" applyFont="1" applyFill="1" applyBorder="1" applyAlignment="1">
      <alignment horizontal="center"/>
    </xf>
    <xf numFmtId="0" fontId="5" fillId="2" borderId="49" xfId="0" applyFont="1" applyFill="1" applyBorder="1" applyAlignment="1">
      <alignment horizontal="center"/>
    </xf>
    <xf numFmtId="0" fontId="1" fillId="2" borderId="50" xfId="0" applyFont="1" applyFill="1" applyBorder="1" applyAlignment="1">
      <alignment horizontal="center"/>
    </xf>
    <xf numFmtId="0" fontId="1" fillId="2" borderId="51" xfId="0" applyFont="1" applyFill="1" applyBorder="1" applyAlignment="1">
      <alignment horizontal="center"/>
    </xf>
    <xf numFmtId="0" fontId="1" fillId="2" borderId="49" xfId="0" applyFont="1" applyFill="1" applyBorder="1" applyAlignment="1">
      <alignment horizontal="center"/>
    </xf>
    <xf numFmtId="165" fontId="1" fillId="0" borderId="22" xfId="0" applyNumberFormat="1" applyFont="1" applyBorder="1" applyAlignment="1">
      <alignment horizontal="center"/>
    </xf>
    <xf numFmtId="165" fontId="1" fillId="0" borderId="41" xfId="0" applyNumberFormat="1" applyFont="1" applyBorder="1" applyAlignment="1">
      <alignment horizontal="center"/>
    </xf>
    <xf numFmtId="9" fontId="1" fillId="0" borderId="82" xfId="0" applyNumberFormat="1" applyFont="1" applyBorder="1" applyAlignment="1">
      <alignment horizontal="center"/>
    </xf>
    <xf numFmtId="9" fontId="1" fillId="0" borderId="3" xfId="0" applyNumberFormat="1" applyFont="1" applyBorder="1" applyAlignment="1">
      <alignment horizontal="center"/>
    </xf>
    <xf numFmtId="9" fontId="1" fillId="0" borderId="38" xfId="0" applyNumberFormat="1" applyFont="1" applyBorder="1" applyAlignment="1">
      <alignment horizontal="center"/>
    </xf>
    <xf numFmtId="0" fontId="1" fillId="0" borderId="2" xfId="0" applyFont="1" applyBorder="1" applyAlignment="1">
      <alignment horizontal="center"/>
    </xf>
    <xf numFmtId="0" fontId="1" fillId="0" borderId="38" xfId="0" applyFont="1" applyBorder="1" applyAlignment="1">
      <alignment horizontal="center"/>
    </xf>
    <xf numFmtId="167" fontId="1" fillId="0" borderId="83" xfId="0" applyNumberFormat="1" applyFont="1" applyBorder="1" applyAlignment="1">
      <alignment horizontal="center"/>
    </xf>
    <xf numFmtId="167" fontId="1" fillId="0" borderId="56" xfId="0" applyNumberFormat="1" applyFont="1" applyBorder="1" applyAlignment="1">
      <alignment horizontal="center"/>
    </xf>
    <xf numFmtId="0" fontId="9" fillId="0" borderId="9" xfId="0" applyFont="1" applyBorder="1" applyAlignment="1">
      <alignment horizontal="center"/>
    </xf>
    <xf numFmtId="0" fontId="9" fillId="0" borderId="46" xfId="0" applyFont="1" applyBorder="1" applyAlignment="1">
      <alignment horizontal="center"/>
    </xf>
    <xf numFmtId="167" fontId="1" fillId="0" borderId="82" xfId="0" applyNumberFormat="1" applyFont="1" applyBorder="1" applyAlignment="1">
      <alignment horizontal="center"/>
    </xf>
    <xf numFmtId="167" fontId="1" fillId="0" borderId="4" xfId="0" applyNumberFormat="1" applyFont="1" applyBorder="1" applyAlignment="1">
      <alignment horizontal="center"/>
    </xf>
    <xf numFmtId="167" fontId="1" fillId="0" borderId="80" xfId="0" applyNumberFormat="1" applyFont="1" applyBorder="1" applyAlignment="1" applyProtection="1">
      <alignment horizontal="center" vertical="center"/>
      <protection locked="0"/>
    </xf>
    <xf numFmtId="167" fontId="1" fillId="0" borderId="39" xfId="0" applyNumberFormat="1" applyFont="1" applyBorder="1" applyAlignment="1" applyProtection="1">
      <alignment horizontal="center" vertical="center"/>
      <protection locked="0"/>
    </xf>
    <xf numFmtId="0" fontId="9" fillId="0" borderId="47" xfId="0" applyFont="1" applyBorder="1" applyAlignment="1">
      <alignment horizontal="center"/>
    </xf>
    <xf numFmtId="0" fontId="9" fillId="0" borderId="11" xfId="0" applyFont="1" applyBorder="1" applyAlignment="1">
      <alignment horizontal="center"/>
    </xf>
    <xf numFmtId="0" fontId="5" fillId="2" borderId="9" xfId="0" applyFont="1" applyFill="1" applyBorder="1" applyAlignment="1">
      <alignment horizontal="center"/>
    </xf>
    <xf numFmtId="0" fontId="5" fillId="2" borderId="10" xfId="0" applyFont="1" applyFill="1" applyBorder="1" applyAlignment="1">
      <alignment horizontal="center"/>
    </xf>
    <xf numFmtId="0" fontId="5" fillId="2" borderId="11" xfId="0" applyFont="1" applyFill="1" applyBorder="1" applyAlignment="1">
      <alignment horizontal="center"/>
    </xf>
    <xf numFmtId="0" fontId="1" fillId="0" borderId="72" xfId="0" applyFont="1" applyBorder="1" applyAlignment="1">
      <alignment horizontal="right" vertical="center"/>
    </xf>
    <xf numFmtId="0" fontId="1" fillId="0" borderId="81" xfId="0" applyFont="1" applyBorder="1" applyAlignment="1">
      <alignment horizontal="right" vertical="center"/>
    </xf>
    <xf numFmtId="0" fontId="1" fillId="0" borderId="2" xfId="0" applyFont="1" applyBorder="1" applyAlignment="1">
      <alignment horizontal="right"/>
    </xf>
    <xf numFmtId="0" fontId="1" fillId="0" borderId="38" xfId="0" applyFont="1" applyBorder="1" applyAlignment="1">
      <alignment horizontal="right"/>
    </xf>
    <xf numFmtId="0" fontId="3" fillId="0" borderId="43" xfId="0" applyFont="1" applyBorder="1" applyAlignment="1">
      <alignment horizontal="left" vertical="center"/>
    </xf>
    <xf numFmtId="0" fontId="3" fillId="0" borderId="44" xfId="0" applyFont="1" applyBorder="1" applyAlignment="1">
      <alignment horizontal="left" vertical="center"/>
    </xf>
    <xf numFmtId="0" fontId="1" fillId="0" borderId="82" xfId="0" applyFont="1" applyBorder="1" applyAlignment="1">
      <alignment horizontal="center"/>
    </xf>
    <xf numFmtId="0" fontId="1" fillId="0" borderId="4" xfId="0" applyFont="1" applyBorder="1" applyAlignment="1">
      <alignment horizontal="center"/>
    </xf>
    <xf numFmtId="0" fontId="12" fillId="0" borderId="9" xfId="0" applyFont="1" applyBorder="1" applyAlignment="1">
      <alignment horizontal="left" vertical="center"/>
    </xf>
    <xf numFmtId="0" fontId="12" fillId="0" borderId="10" xfId="0" applyFont="1" applyBorder="1" applyAlignment="1">
      <alignment horizontal="left" vertical="center"/>
    </xf>
    <xf numFmtId="0" fontId="12" fillId="0" borderId="11" xfId="0" applyFont="1" applyBorder="1" applyAlignment="1">
      <alignment horizontal="left" vertical="center"/>
    </xf>
    <xf numFmtId="0" fontId="4" fillId="2" borderId="9" xfId="0" applyFont="1" applyFill="1" applyBorder="1" applyAlignment="1">
      <alignment horizontal="center"/>
    </xf>
    <xf numFmtId="0" fontId="4" fillId="2" borderId="11" xfId="0" applyFont="1" applyFill="1" applyBorder="1" applyAlignment="1">
      <alignment horizontal="center"/>
    </xf>
    <xf numFmtId="0" fontId="9" fillId="3" borderId="68" xfId="0" applyFont="1" applyFill="1" applyBorder="1" applyAlignment="1">
      <alignment horizontal="center" vertical="center"/>
    </xf>
    <xf numFmtId="0" fontId="9" fillId="3" borderId="69" xfId="0" applyFont="1" applyFill="1" applyBorder="1" applyAlignment="1">
      <alignment horizontal="center" vertical="center"/>
    </xf>
    <xf numFmtId="0" fontId="9" fillId="3" borderId="70" xfId="0" applyFont="1" applyFill="1" applyBorder="1" applyAlignment="1">
      <alignment horizontal="center" vertical="center"/>
    </xf>
    <xf numFmtId="0" fontId="9" fillId="3" borderId="73" xfId="0" applyFont="1" applyFill="1" applyBorder="1" applyAlignment="1">
      <alignment horizontal="center" vertical="center"/>
    </xf>
    <xf numFmtId="0" fontId="9" fillId="3" borderId="76" xfId="0" applyFont="1" applyFill="1" applyBorder="1" applyAlignment="1">
      <alignment horizontal="center" vertical="center"/>
    </xf>
    <xf numFmtId="0" fontId="9" fillId="3" borderId="74" xfId="0" applyFont="1" applyFill="1" applyBorder="1" applyAlignment="1">
      <alignment horizontal="center" vertical="center"/>
    </xf>
    <xf numFmtId="0" fontId="1" fillId="0" borderId="42" xfId="0" applyFont="1" applyBorder="1" applyAlignment="1">
      <alignment horizontal="center"/>
    </xf>
    <xf numFmtId="0" fontId="1" fillId="0" borderId="14" xfId="0" applyFont="1" applyBorder="1" applyAlignment="1">
      <alignment horizontal="center"/>
    </xf>
    <xf numFmtId="0" fontId="1" fillId="0" borderId="63" xfId="0" applyFont="1" applyBorder="1" applyAlignment="1">
      <alignment horizontal="center"/>
    </xf>
    <xf numFmtId="0" fontId="1" fillId="0" borderId="15" xfId="0" applyFont="1" applyBorder="1" applyAlignment="1">
      <alignment horizontal="center"/>
    </xf>
    <xf numFmtId="0" fontId="1" fillId="0" borderId="60" xfId="0" applyFont="1" applyBorder="1" applyAlignment="1">
      <alignment horizontal="center"/>
    </xf>
    <xf numFmtId="0" fontId="1" fillId="0" borderId="24" xfId="0" applyFont="1" applyBorder="1" applyAlignment="1">
      <alignment horizontal="center"/>
    </xf>
    <xf numFmtId="0" fontId="1" fillId="0" borderId="75" xfId="0" applyFont="1" applyBorder="1" applyAlignment="1">
      <alignment horizontal="center"/>
    </xf>
    <xf numFmtId="0" fontId="4" fillId="2" borderId="10" xfId="0" applyFont="1" applyFill="1" applyBorder="1" applyAlignment="1">
      <alignment horizontal="center"/>
    </xf>
    <xf numFmtId="0" fontId="0" fillId="0" borderId="4" xfId="0" applyBorder="1" applyAlignment="1">
      <alignment horizontal="left"/>
    </xf>
    <xf numFmtId="0" fontId="0" fillId="0" borderId="1" xfId="0" applyBorder="1" applyAlignment="1">
      <alignment horizontal="left"/>
    </xf>
    <xf numFmtId="0" fontId="0" fillId="0" borderId="15" xfId="0" applyBorder="1" applyAlignment="1">
      <alignment horizontal="left"/>
    </xf>
    <xf numFmtId="0" fontId="0" fillId="0" borderId="3" xfId="0" applyBorder="1" applyAlignment="1">
      <alignment horizontal="left"/>
    </xf>
    <xf numFmtId="0" fontId="0" fillId="0" borderId="38" xfId="0" applyBorder="1" applyAlignment="1">
      <alignment horizontal="left"/>
    </xf>
    <xf numFmtId="0" fontId="0" fillId="0" borderId="40" xfId="0" applyBorder="1" applyAlignment="1">
      <alignment horizontal="left"/>
    </xf>
    <xf numFmtId="0" fontId="0" fillId="0" borderId="41" xfId="0" applyBorder="1" applyAlignment="1">
      <alignment horizontal="left"/>
    </xf>
    <xf numFmtId="0" fontId="0" fillId="0" borderId="3" xfId="0" applyBorder="1" applyAlignment="1">
      <alignment horizontal="left" wrapText="1"/>
    </xf>
  </cellXfs>
  <cellStyles count="1">
    <cellStyle name="Normal" xfId="0" builtinId="0"/>
  </cellStyles>
  <dxfs count="0"/>
  <tableStyles count="0" defaultTableStyle="TableStyleMedium2" defaultPivotStyle="PivotStyleLight16"/>
  <colors>
    <mruColors>
      <color rgb="FF99FF66"/>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2670711</xdr:colOff>
      <xdr:row>0</xdr:row>
      <xdr:rowOff>0</xdr:rowOff>
    </xdr:from>
    <xdr:to>
      <xdr:col>4</xdr:col>
      <xdr:colOff>421226</xdr:colOff>
      <xdr:row>0</xdr:row>
      <xdr:rowOff>2181224</xdr:rowOff>
    </xdr:to>
    <xdr:pic>
      <xdr:nvPicPr>
        <xdr:cNvPr id="3" name="Imagen 2">
          <a:extLst>
            <a:ext uri="{FF2B5EF4-FFF2-40B4-BE49-F238E27FC236}">
              <a16:creationId xmlns:a16="http://schemas.microsoft.com/office/drawing/2014/main" id="{8E0A728E-BC35-4AA8-84D0-D459611235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27529" y="0"/>
          <a:ext cx="2183970" cy="21812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1361642</xdr:colOff>
      <xdr:row>0</xdr:row>
      <xdr:rowOff>17319</xdr:rowOff>
    </xdr:from>
    <xdr:to>
      <xdr:col>8</xdr:col>
      <xdr:colOff>554182</xdr:colOff>
      <xdr:row>0</xdr:row>
      <xdr:rowOff>2529031</xdr:rowOff>
    </xdr:to>
    <xdr:pic>
      <xdr:nvPicPr>
        <xdr:cNvPr id="2" name="Imagen 1">
          <a:extLst>
            <a:ext uri="{FF2B5EF4-FFF2-40B4-BE49-F238E27FC236}">
              <a16:creationId xmlns:a16="http://schemas.microsoft.com/office/drawing/2014/main" id="{3E75BA47-DAE4-41B8-8CB0-BFA72FC3796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537824" y="17319"/>
          <a:ext cx="2569585" cy="25117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466726</xdr:colOff>
      <xdr:row>0</xdr:row>
      <xdr:rowOff>128587</xdr:rowOff>
    </xdr:from>
    <xdr:to>
      <xdr:col>8</xdr:col>
      <xdr:colOff>562570</xdr:colOff>
      <xdr:row>0</xdr:row>
      <xdr:rowOff>1795462</xdr:rowOff>
    </xdr:to>
    <xdr:pic>
      <xdr:nvPicPr>
        <xdr:cNvPr id="2" name="Imagen 1">
          <a:extLst>
            <a:ext uri="{FF2B5EF4-FFF2-40B4-BE49-F238E27FC236}">
              <a16:creationId xmlns:a16="http://schemas.microsoft.com/office/drawing/2014/main" id="{AB8F8224-CFCE-4133-A77E-EDC2A9CC3C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56445" y="128587"/>
          <a:ext cx="1619844" cy="16668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2598965</xdr:colOff>
      <xdr:row>0</xdr:row>
      <xdr:rowOff>40822</xdr:rowOff>
    </xdr:from>
    <xdr:to>
      <xdr:col>8</xdr:col>
      <xdr:colOff>530678</xdr:colOff>
      <xdr:row>0</xdr:row>
      <xdr:rowOff>1422208</xdr:rowOff>
    </xdr:to>
    <xdr:pic>
      <xdr:nvPicPr>
        <xdr:cNvPr id="2" name="Imagen 1">
          <a:extLst>
            <a:ext uri="{FF2B5EF4-FFF2-40B4-BE49-F238E27FC236}">
              <a16:creationId xmlns:a16="http://schemas.microsoft.com/office/drawing/2014/main" id="{7B93FE5C-467C-47D7-9DC4-A2ACFBAB5D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464644" y="40822"/>
          <a:ext cx="1360713" cy="138138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zoomScale="55" zoomScaleNormal="55" workbookViewId="0">
      <selection activeCell="B42" sqref="B42"/>
    </sheetView>
  </sheetViews>
  <sheetFormatPr baseColWidth="10" defaultRowHeight="15" x14ac:dyDescent="0.25"/>
  <cols>
    <col min="1" max="1" width="57.5703125" customWidth="1"/>
    <col min="2" max="2" width="62" style="8" customWidth="1"/>
    <col min="3" max="3" width="49.140625" customWidth="1"/>
    <col min="4" max="4" width="66.42578125" customWidth="1"/>
  </cols>
  <sheetData>
    <row r="1" spans="1:5" ht="182.25" customHeight="1" thickBot="1" x14ac:dyDescent="0.3">
      <c r="A1" s="119" t="s">
        <v>103</v>
      </c>
      <c r="B1" s="120"/>
      <c r="C1" s="120"/>
      <c r="D1" s="120"/>
      <c r="E1" s="121"/>
    </row>
    <row r="2" spans="1:5" ht="15.75" thickBot="1" x14ac:dyDescent="0.3">
      <c r="A2" s="5"/>
      <c r="B2" s="112"/>
      <c r="C2" s="112"/>
      <c r="D2" s="112"/>
      <c r="E2" s="111"/>
    </row>
    <row r="3" spans="1:5" ht="47.25" hidden="1" customHeight="1" thickBot="1" x14ac:dyDescent="0.3">
      <c r="A3" s="5"/>
      <c r="B3" s="113"/>
      <c r="C3" s="113"/>
      <c r="D3" s="33"/>
      <c r="E3" s="111"/>
    </row>
    <row r="4" spans="1:5" ht="42" customHeight="1" thickBot="1" x14ac:dyDescent="0.45">
      <c r="A4" s="124" t="s">
        <v>23</v>
      </c>
      <c r="B4" s="124"/>
      <c r="C4" s="124" t="s">
        <v>159</v>
      </c>
      <c r="D4" s="124"/>
      <c r="E4" s="111"/>
    </row>
    <row r="5" spans="1:5" ht="31.5" x14ac:dyDescent="0.45">
      <c r="A5" s="135" t="s">
        <v>149</v>
      </c>
      <c r="B5" s="135"/>
      <c r="C5" s="125">
        <f>'Tablas Calculadas '!I20</f>
        <v>23627623.836400002</v>
      </c>
      <c r="D5" s="126"/>
      <c r="E5" s="111"/>
    </row>
    <row r="6" spans="1:5" ht="31.5" x14ac:dyDescent="0.45">
      <c r="A6" s="137" t="s">
        <v>150</v>
      </c>
      <c r="B6" s="137"/>
      <c r="C6" s="127">
        <f>SUM('Tablas Calculadas '!C61:C65)</f>
        <v>30131459.200000003</v>
      </c>
      <c r="D6" s="128"/>
      <c r="E6" s="111"/>
    </row>
    <row r="7" spans="1:5" ht="32.25" x14ac:dyDescent="0.5">
      <c r="A7" s="136" t="s">
        <v>151</v>
      </c>
      <c r="B7" s="136"/>
      <c r="C7" s="127">
        <f>SUM('Tablas Calculadas '!B61:B65)</f>
        <v>3267883.6799999997</v>
      </c>
      <c r="D7" s="128"/>
      <c r="E7" s="111"/>
    </row>
    <row r="8" spans="1:5" ht="32.25" x14ac:dyDescent="0.5">
      <c r="A8" s="136" t="s">
        <v>156</v>
      </c>
      <c r="B8" s="136"/>
      <c r="C8" s="127">
        <f>SUM(Constantes!E58:E86)</f>
        <v>42051.284000000007</v>
      </c>
      <c r="D8" s="128"/>
      <c r="E8" s="111"/>
    </row>
    <row r="9" spans="1:5" ht="32.25" x14ac:dyDescent="0.5">
      <c r="A9" s="136" t="s">
        <v>152</v>
      </c>
      <c r="B9" s="136"/>
      <c r="C9" s="129">
        <f>C5-(C6+C7+C8)</f>
        <v>-9813770.3276000023</v>
      </c>
      <c r="D9" s="130"/>
      <c r="E9" s="111"/>
    </row>
    <row r="10" spans="1:5" ht="32.25" x14ac:dyDescent="0.5">
      <c r="A10" s="136" t="s">
        <v>153</v>
      </c>
      <c r="B10" s="136"/>
      <c r="C10" s="131">
        <v>0.25</v>
      </c>
      <c r="D10" s="131"/>
      <c r="E10" s="111"/>
    </row>
    <row r="11" spans="1:5" ht="32.25" x14ac:dyDescent="0.5">
      <c r="A11" s="136" t="s">
        <v>154</v>
      </c>
      <c r="B11" s="136"/>
      <c r="C11" s="129">
        <f>C9*(1-C10)</f>
        <v>-7360327.7457000017</v>
      </c>
      <c r="D11" s="130"/>
      <c r="E11" s="111"/>
    </row>
    <row r="12" spans="1:5" ht="32.25" x14ac:dyDescent="0.5">
      <c r="A12" s="136" t="s">
        <v>155</v>
      </c>
      <c r="B12" s="136"/>
      <c r="C12" s="129">
        <f>SUM(Constantes!E58:E86)</f>
        <v>42051.284000000007</v>
      </c>
      <c r="D12" s="129"/>
      <c r="E12" s="111"/>
    </row>
    <row r="13" spans="1:5" ht="33" thickBot="1" x14ac:dyDescent="0.55000000000000004">
      <c r="A13" s="122" t="s">
        <v>157</v>
      </c>
      <c r="B13" s="122"/>
      <c r="C13" s="132">
        <f>'Tablas Calculadas '!B11</f>
        <v>533080</v>
      </c>
      <c r="D13" s="132"/>
      <c r="E13" s="111"/>
    </row>
    <row r="14" spans="1:5" ht="33" thickBot="1" x14ac:dyDescent="0.55000000000000004">
      <c r="A14" s="123" t="s">
        <v>158</v>
      </c>
      <c r="B14" s="123"/>
      <c r="C14" s="133">
        <f>C11+C12-C13</f>
        <v>-7851356.4617000017</v>
      </c>
      <c r="D14" s="134"/>
      <c r="E14" s="111"/>
    </row>
    <row r="15" spans="1:5" x14ac:dyDescent="0.25">
      <c r="A15" s="8"/>
      <c r="C15" s="8"/>
      <c r="D15" s="112"/>
      <c r="E15" s="111"/>
    </row>
    <row r="16" spans="1:5" x14ac:dyDescent="0.25">
      <c r="A16" s="8"/>
      <c r="C16" s="8"/>
      <c r="D16" s="6"/>
      <c r="E16" s="111"/>
    </row>
    <row r="17" spans="1:5" ht="32.25" customHeight="1" x14ac:dyDescent="0.25">
      <c r="A17" s="8"/>
      <c r="C17" s="8"/>
      <c r="D17" s="6"/>
      <c r="E17" s="111"/>
    </row>
    <row r="18" spans="1:5" x14ac:dyDescent="0.25">
      <c r="A18" s="8"/>
      <c r="C18" s="8"/>
      <c r="D18" s="6"/>
      <c r="E18" s="111"/>
    </row>
    <row r="19" spans="1:5" ht="15" customHeight="1" thickBot="1" x14ac:dyDescent="0.3">
      <c r="A19" s="33"/>
      <c r="B19" s="33"/>
      <c r="C19" s="33"/>
      <c r="D19" s="33"/>
      <c r="E19" s="114"/>
    </row>
    <row r="20" spans="1:5" x14ac:dyDescent="0.25">
      <c r="A20" s="8"/>
      <c r="C20" s="8"/>
    </row>
    <row r="22" spans="1:5" x14ac:dyDescent="0.25">
      <c r="A22" s="52"/>
      <c r="B22" s="53"/>
      <c r="C22" s="53"/>
      <c r="D22" s="53"/>
    </row>
    <row r="23" spans="1:5" x14ac:dyDescent="0.25">
      <c r="A23" s="52"/>
      <c r="B23" s="53"/>
      <c r="C23" s="53"/>
      <c r="D23" s="53"/>
    </row>
    <row r="24" spans="1:5" x14ac:dyDescent="0.25">
      <c r="A24" s="52"/>
      <c r="B24" s="53"/>
      <c r="C24" s="53"/>
      <c r="D24" s="53"/>
    </row>
    <row r="25" spans="1:5" x14ac:dyDescent="0.25">
      <c r="B25" s="53"/>
      <c r="C25" s="50"/>
      <c r="D25" s="53"/>
    </row>
    <row r="26" spans="1:5" x14ac:dyDescent="0.25">
      <c r="B26" s="53"/>
      <c r="C26" s="50"/>
      <c r="D26" s="53"/>
    </row>
    <row r="27" spans="1:5" x14ac:dyDescent="0.25">
      <c r="B27" s="53"/>
      <c r="C27" s="50"/>
      <c r="D27" s="53"/>
    </row>
    <row r="28" spans="1:5" x14ac:dyDescent="0.25">
      <c r="B28" s="53"/>
      <c r="C28" s="50"/>
      <c r="D28" s="53"/>
    </row>
    <row r="29" spans="1:5" x14ac:dyDescent="0.25">
      <c r="D29" s="8"/>
    </row>
    <row r="30" spans="1:5" x14ac:dyDescent="0.25">
      <c r="D30" s="8"/>
    </row>
  </sheetData>
  <mergeCells count="23">
    <mergeCell ref="A6:B6"/>
    <mergeCell ref="A9:B9"/>
    <mergeCell ref="A10:B10"/>
    <mergeCell ref="A11:B11"/>
    <mergeCell ref="A12:B12"/>
    <mergeCell ref="A7:B7"/>
    <mergeCell ref="A8:B8"/>
    <mergeCell ref="A1:E1"/>
    <mergeCell ref="A13:B13"/>
    <mergeCell ref="A14:B14"/>
    <mergeCell ref="C4:D4"/>
    <mergeCell ref="C5:D5"/>
    <mergeCell ref="C6:D6"/>
    <mergeCell ref="C7:D7"/>
    <mergeCell ref="C8:D8"/>
    <mergeCell ref="C9:D9"/>
    <mergeCell ref="C10:D10"/>
    <mergeCell ref="C11:D11"/>
    <mergeCell ref="C12:D12"/>
    <mergeCell ref="C13:D13"/>
    <mergeCell ref="C14:D14"/>
    <mergeCell ref="A4:B4"/>
    <mergeCell ref="A5:B5"/>
  </mergeCells>
  <phoneticPr fontId="8" type="noConversion"/>
  <pageMargins left="0.7" right="0.7" top="0.75" bottom="0.75" header="0.3" footer="0.3"/>
  <pageSetup paperSize="9" scale="4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6"/>
  <sheetViews>
    <sheetView topLeftCell="A31" zoomScale="60" zoomScaleNormal="60" workbookViewId="0">
      <selection activeCell="D18" sqref="D18"/>
    </sheetView>
  </sheetViews>
  <sheetFormatPr baseColWidth="10" defaultRowHeight="15" x14ac:dyDescent="0.25"/>
  <cols>
    <col min="1" max="1" width="81.7109375" customWidth="1"/>
    <col min="2" max="2" width="50" customWidth="1"/>
    <col min="3" max="3" width="47" customWidth="1"/>
    <col min="4" max="4" width="30" bestFit="1" customWidth="1"/>
    <col min="5" max="5" width="41.7109375" customWidth="1"/>
    <col min="6" max="6" width="53.85546875" bestFit="1" customWidth="1"/>
    <col min="7" max="7" width="58" bestFit="1" customWidth="1"/>
    <col min="8" max="8" width="50.5703125" bestFit="1" customWidth="1"/>
    <col min="9" max="9" width="17.7109375" bestFit="1" customWidth="1"/>
    <col min="10" max="10" width="24.28515625" bestFit="1" customWidth="1"/>
    <col min="19" max="19" width="17.7109375" customWidth="1"/>
  </cols>
  <sheetData>
    <row r="1" spans="1:10" ht="205.5" customHeight="1" x14ac:dyDescent="0.25">
      <c r="A1" s="138" t="s">
        <v>103</v>
      </c>
      <c r="B1" s="139"/>
      <c r="C1" s="139"/>
      <c r="D1" s="139"/>
      <c r="E1" s="139"/>
      <c r="F1" s="139"/>
      <c r="G1" s="139"/>
      <c r="H1" s="139"/>
      <c r="I1" s="139"/>
      <c r="J1" s="139"/>
    </row>
    <row r="3" spans="1:10" ht="15.75" thickBot="1" x14ac:dyDescent="0.3"/>
    <row r="4" spans="1:10" ht="19.5" thickBot="1" x14ac:dyDescent="0.35">
      <c r="A4" s="168" t="s">
        <v>55</v>
      </c>
      <c r="B4" s="169"/>
      <c r="C4" s="169"/>
      <c r="D4" s="169"/>
      <c r="E4" s="170"/>
    </row>
    <row r="5" spans="1:10" ht="19.5" thickBot="1" x14ac:dyDescent="0.35">
      <c r="A5" s="55"/>
      <c r="B5" s="160" t="s">
        <v>56</v>
      </c>
      <c r="C5" s="161"/>
      <c r="D5" s="166" t="s">
        <v>57</v>
      </c>
      <c r="E5" s="167"/>
    </row>
    <row r="6" spans="1:10" ht="21" thickBot="1" x14ac:dyDescent="0.4">
      <c r="A6" s="54" t="s">
        <v>0</v>
      </c>
      <c r="B6" s="164">
        <f>'Tablas Calculadas '!I20</f>
        <v>23627623.836400002</v>
      </c>
      <c r="C6" s="165"/>
      <c r="D6" s="171">
        <v>0</v>
      </c>
      <c r="E6" s="172"/>
      <c r="F6" s="140" t="s">
        <v>105</v>
      </c>
    </row>
    <row r="7" spans="1:10" ht="21" thickBot="1" x14ac:dyDescent="0.4">
      <c r="A7" s="54" t="s">
        <v>1</v>
      </c>
      <c r="B7" s="162">
        <f>SUM('Tablas Calculadas '!B66:C66)</f>
        <v>33399342.880000003</v>
      </c>
      <c r="C7" s="163"/>
      <c r="D7" s="173">
        <v>0</v>
      </c>
      <c r="E7" s="174"/>
      <c r="F7" s="141"/>
    </row>
    <row r="8" spans="1:10" ht="21" thickBot="1" x14ac:dyDescent="0.4">
      <c r="A8" s="54" t="s">
        <v>38</v>
      </c>
      <c r="B8" s="162">
        <f>SUM(Constantes!E58:E86)</f>
        <v>42051.284000000007</v>
      </c>
      <c r="C8" s="163"/>
      <c r="D8" s="173">
        <v>0</v>
      </c>
      <c r="E8" s="174"/>
      <c r="F8" s="142"/>
    </row>
    <row r="9" spans="1:10" ht="21" thickBot="1" x14ac:dyDescent="0.4">
      <c r="A9" s="54" t="s">
        <v>2</v>
      </c>
      <c r="B9" s="153">
        <v>0.25</v>
      </c>
      <c r="C9" s="154"/>
      <c r="D9" s="154"/>
      <c r="E9" s="155"/>
    </row>
    <row r="10" spans="1:10" ht="15" customHeight="1" x14ac:dyDescent="0.25">
      <c r="A10" s="175" t="s">
        <v>3</v>
      </c>
      <c r="B10" s="177" t="s">
        <v>50</v>
      </c>
      <c r="C10" s="178"/>
      <c r="D10" s="156" t="s">
        <v>51</v>
      </c>
      <c r="E10" s="157"/>
    </row>
    <row r="11" spans="1:10" ht="15" customHeight="1" thickBot="1" x14ac:dyDescent="0.3">
      <c r="A11" s="176"/>
      <c r="B11" s="158">
        <f>D11*Constantes!B26</f>
        <v>533080</v>
      </c>
      <c r="C11" s="159"/>
      <c r="D11" s="151">
        <v>13327</v>
      </c>
      <c r="E11" s="152"/>
    </row>
    <row r="13" spans="1:10" ht="15.75" thickBot="1" x14ac:dyDescent="0.3"/>
    <row r="14" spans="1:10" ht="21.75" thickTop="1" thickBot="1" x14ac:dyDescent="0.35">
      <c r="A14" s="76" t="s">
        <v>4</v>
      </c>
      <c r="B14" s="68" t="s">
        <v>10</v>
      </c>
      <c r="C14" s="68" t="s">
        <v>96</v>
      </c>
      <c r="D14" s="68" t="s">
        <v>97</v>
      </c>
      <c r="E14" s="68" t="s">
        <v>98</v>
      </c>
      <c r="F14" s="68" t="s">
        <v>59</v>
      </c>
      <c r="G14" s="68" t="s">
        <v>60</v>
      </c>
      <c r="H14" s="68" t="s">
        <v>61</v>
      </c>
      <c r="I14" s="78" t="s">
        <v>53</v>
      </c>
      <c r="J14" s="143" t="s">
        <v>108</v>
      </c>
    </row>
    <row r="15" spans="1:10" x14ac:dyDescent="0.25">
      <c r="A15" s="73" t="s">
        <v>5</v>
      </c>
      <c r="B15" s="70"/>
      <c r="C15" s="27"/>
      <c r="D15" s="47"/>
      <c r="E15" s="47"/>
      <c r="F15" s="27"/>
      <c r="G15" s="27"/>
      <c r="H15" s="31"/>
      <c r="I15" s="79">
        <f>B15*'Tablas Calculadas '!E27+C15*'Tablas Calculadas '!E28+F15*'Tablas Calculadas '!E43+G15*'Tablas Calculadas '!E44+'Tablas Calculadas '!E45*H15+D15*'Tablas Calculadas '!E33+E15*'Tablas Calculadas '!E38</f>
        <v>0</v>
      </c>
      <c r="J15" s="144"/>
    </row>
    <row r="16" spans="1:10" x14ac:dyDescent="0.25">
      <c r="A16" s="74" t="s">
        <v>6</v>
      </c>
      <c r="B16" s="71">
        <v>1</v>
      </c>
      <c r="C16" s="1">
        <v>4</v>
      </c>
      <c r="D16" s="45">
        <v>2</v>
      </c>
      <c r="E16" s="45"/>
      <c r="F16" s="1"/>
      <c r="G16" s="1">
        <v>1</v>
      </c>
      <c r="H16" s="3"/>
      <c r="I16" s="80">
        <f>B16*'Tablas Calculadas '!E27+C16*'Tablas Calculadas '!E29+F16*'Tablas Calculadas '!E46+G16*'Tablas Calculadas '!E47+'Tablas Calculadas '!E48*H16+D16*'Tablas Calculadas '!E34+E16*'Tablas Calculadas '!E39</f>
        <v>10510938.334933335</v>
      </c>
      <c r="J16" s="144"/>
    </row>
    <row r="17" spans="1:10" x14ac:dyDescent="0.25">
      <c r="A17" s="74" t="s">
        <v>7</v>
      </c>
      <c r="B17" s="71"/>
      <c r="C17" s="1">
        <v>5</v>
      </c>
      <c r="D17" s="45">
        <v>2</v>
      </c>
      <c r="E17" s="45">
        <v>1</v>
      </c>
      <c r="F17" s="1"/>
      <c r="G17" s="1"/>
      <c r="H17" s="3"/>
      <c r="I17" s="80">
        <f>B17*'Tablas Calculadas '!E27+C17*'Tablas Calculadas '!E30+F17*'Tablas Calculadas '!E49+G17*'Tablas Calculadas '!E50+H17*'Tablas Calculadas '!E51+D17*'Tablas Calculadas '!E35+E17*'Tablas Calculadas '!E40</f>
        <v>3057963.2529333332</v>
      </c>
      <c r="J17" s="144"/>
    </row>
    <row r="18" spans="1:10" x14ac:dyDescent="0.25">
      <c r="A18" s="74" t="s">
        <v>8</v>
      </c>
      <c r="B18" s="71"/>
      <c r="C18" s="1">
        <v>4</v>
      </c>
      <c r="D18" s="45">
        <v>2</v>
      </c>
      <c r="E18" s="45">
        <v>2</v>
      </c>
      <c r="F18" s="1"/>
      <c r="G18" s="1"/>
      <c r="H18" s="3"/>
      <c r="I18" s="79">
        <f>B18*'Tablas Calculadas '!E27+C18*'Tablas Calculadas '!E31+F18*'Tablas Calculadas '!E52+'Tablas Calculadas '!E53*G18+H18*'Tablas Calculadas '!E54+D18*'Tablas Calculadas '!E36+E18*'Tablas Calculadas '!E41</f>
        <v>4532030.391466666</v>
      </c>
      <c r="J18" s="144"/>
    </row>
    <row r="19" spans="1:10" ht="15.75" thickBot="1" x14ac:dyDescent="0.3">
      <c r="A19" s="75" t="s">
        <v>9</v>
      </c>
      <c r="B19" s="72"/>
      <c r="C19" s="1">
        <v>2</v>
      </c>
      <c r="D19" s="48">
        <v>3</v>
      </c>
      <c r="E19" s="46">
        <v>2</v>
      </c>
      <c r="F19" s="2"/>
      <c r="G19" s="1"/>
      <c r="H19" s="21"/>
      <c r="I19" s="81">
        <f>B19*'Tablas Calculadas '!E27+C19*'Tablas Calculadas '!E32+F19*'Tablas Calculadas '!E55+'Tablas Calculadas '!E56*G19+H19*'Tablas Calculadas '!E57+D19*'Tablas Calculadas '!E37+E19*'Tablas Calculadas '!E42</f>
        <v>5526691.8570666667</v>
      </c>
      <c r="J19" s="144"/>
    </row>
    <row r="20" spans="1:10" ht="16.5" thickTop="1" thickBot="1" x14ac:dyDescent="0.3">
      <c r="A20" s="13" t="s">
        <v>11</v>
      </c>
      <c r="B20" s="34">
        <f>SUM(B15:B19)*'Tablas Calculadas '!E27</f>
        <v>3505796.0000000009</v>
      </c>
      <c r="C20" s="34">
        <f>C15*'Tablas Calculadas '!E28+C16*'Tablas Calculadas '!E29+C17*'Tablas Calculadas '!E30+C18*'Tablas Calculadas '!E31+C19*'Tablas Calculadas '!E32</f>
        <v>1891548.15</v>
      </c>
      <c r="D20" s="34">
        <f>D15*'Tablas Calculadas '!E33+D16*'Tablas Calculadas '!E34+D17*'Tablas Calculadas '!E35+D18*'Tablas Calculadas '!E36+D19*'Tablas Calculadas '!E37</f>
        <v>5094503.2256000005</v>
      </c>
      <c r="E20" s="49">
        <f>E15*'Tablas Calculadas '!E38+E16*'Tablas Calculadas '!E39+E17*'Tablas Calculadas '!E40+E18*'Tablas Calculadas '!E41+E19*'Tablas Calculadas '!E42</f>
        <v>7498801.036799999</v>
      </c>
      <c r="F20" s="49">
        <f>F15*'Tablas Calculadas '!E43+F16*'Tablas Calculadas '!E46+F17*'Tablas Calculadas '!E49+F18*'Tablas Calculadas '!E52+F19*'Tablas Calculadas '!E55</f>
        <v>0</v>
      </c>
      <c r="G20" s="49">
        <f>G15*'Tablas Calculadas '!E44+G16*'Tablas Calculadas '!E47+G17*'Tablas Calculadas '!E50+G18*'Tablas Calculadas '!E53+G19*'Tablas Calculadas '!E56</f>
        <v>5636975.4239999996</v>
      </c>
      <c r="H20" s="49">
        <f>H15*'Tablas Calculadas '!E45+H16*'Tablas Calculadas '!E48+H17*'Tablas Calculadas '!E51+H18*'Tablas Calculadas '!E54+H19*'Tablas Calculadas '!E57</f>
        <v>0</v>
      </c>
      <c r="I20" s="82">
        <f>SUM(I15:I19)</f>
        <v>23627623.836400002</v>
      </c>
      <c r="J20" s="145"/>
    </row>
    <row r="24" spans="1:10" ht="15.75" thickBot="1" x14ac:dyDescent="0.3"/>
    <row r="25" spans="1:10" ht="19.5" thickBot="1" x14ac:dyDescent="0.35">
      <c r="A25" s="146" t="s">
        <v>12</v>
      </c>
      <c r="B25" s="147"/>
      <c r="C25" s="148" t="s">
        <v>13</v>
      </c>
      <c r="D25" s="149"/>
      <c r="E25" s="150"/>
    </row>
    <row r="26" spans="1:10" ht="15.75" thickBot="1" x14ac:dyDescent="0.3">
      <c r="A26" s="68" t="s">
        <v>23</v>
      </c>
      <c r="B26" s="77" t="s">
        <v>148</v>
      </c>
      <c r="C26" s="68" t="s">
        <v>14</v>
      </c>
      <c r="D26" s="68" t="s">
        <v>28</v>
      </c>
      <c r="E26" s="69" t="s">
        <v>15</v>
      </c>
    </row>
    <row r="27" spans="1:10" ht="15.75" thickBot="1" x14ac:dyDescent="0.3">
      <c r="A27" s="59" t="s">
        <v>62</v>
      </c>
      <c r="B27" s="56">
        <f>(Constantes!C19*(1+((Constantes!D19/100)*0))+ Constantes!C20*(1+((Constantes!D20/100)*0)) + Constantes!C21*(1+((Constantes!D21/100)*0)))*Constantes!B26*7</f>
        <v>281960</v>
      </c>
      <c r="C27" s="56">
        <f>(('Tablas Calculadas '!C62-C47)/12)*7</f>
        <v>2522676.8000000007</v>
      </c>
      <c r="D27" s="57">
        <v>25</v>
      </c>
      <c r="E27" s="58">
        <f t="shared" ref="E27:E57" si="0">SUM(B27:C27)*(1+(D27/100))</f>
        <v>3505796.0000000009</v>
      </c>
    </row>
    <row r="28" spans="1:10" ht="15.75" thickTop="1" x14ac:dyDescent="0.25">
      <c r="A28" s="64" t="s">
        <v>111</v>
      </c>
      <c r="B28" s="60">
        <f>('Tablas Calculadas '!B61/(12*30))*(Constantes!$C$10+2)</f>
        <v>13426.666666666668</v>
      </c>
      <c r="C28" s="28">
        <f>(Constantes!$B$10*Constantes!$B$36*Constantes!B26*Constantes!$C$10)+(Constantes!$B$10*(Constantes!$B$35*(1+Constantes!$E$3))*Constantes!B26*Constantes!$D$10)</f>
        <v>61440</v>
      </c>
      <c r="D28" s="31">
        <v>25</v>
      </c>
      <c r="E28" s="32">
        <f t="shared" si="0"/>
        <v>93583.333333333343</v>
      </c>
    </row>
    <row r="29" spans="1:10" x14ac:dyDescent="0.25">
      <c r="A29" s="65" t="s">
        <v>112</v>
      </c>
      <c r="B29" s="60">
        <f>('Tablas Calculadas '!B62/(12*30))*(Constantes!$C$10+2)</f>
        <v>16246.586666666662</v>
      </c>
      <c r="C29" s="28">
        <f>(Constantes!$B$10*Constantes!$B$36*Constantes!B27*Constantes!$C$10)+(Constantes!$B$10*(Constantes!$B$35*(1+Constantes!$E$3))*Constantes!B27*Constantes!$D$10)</f>
        <v>70656</v>
      </c>
      <c r="D29" s="31">
        <v>25</v>
      </c>
      <c r="E29" s="22">
        <f t="shared" si="0"/>
        <v>108628.23333333334</v>
      </c>
    </row>
    <row r="30" spans="1:10" x14ac:dyDescent="0.25">
      <c r="A30" s="65" t="s">
        <v>113</v>
      </c>
      <c r="B30" s="60">
        <f>('Tablas Calculadas '!B63/(12*30))*(Constantes!$C$10+2)</f>
        <v>18718.893333333333</v>
      </c>
      <c r="C30" s="28">
        <f>(Constantes!$B$10*Constantes!$B$36*Constantes!B28*Constantes!$C$10)+(Constantes!$B$10*(Constantes!$B$35*(1+Constantes!$E$3))*Constantes!B28*Constantes!$D$10)</f>
        <v>81408</v>
      </c>
      <c r="D30" s="31">
        <v>25</v>
      </c>
      <c r="E30" s="22">
        <f t="shared" si="0"/>
        <v>125158.61666666667</v>
      </c>
    </row>
    <row r="31" spans="1:10" x14ac:dyDescent="0.25">
      <c r="A31" s="65" t="s">
        <v>114</v>
      </c>
      <c r="B31" s="60">
        <f>('Tablas Calculadas '!B64/(12*30))*(Constantes!$C$10+2)</f>
        <v>19778.453333333335</v>
      </c>
      <c r="C31" s="28">
        <f>(Constantes!$B$10*Constantes!$B$36*Constantes!B29*Constantes!$C$10)+(Constantes!$B$10*(Constantes!$B$35*(1+Constantes!$E$3))*Constantes!B29*Constantes!$D$10)</f>
        <v>86016</v>
      </c>
      <c r="D31" s="31">
        <v>25</v>
      </c>
      <c r="E31" s="22">
        <f t="shared" si="0"/>
        <v>132243.06666666668</v>
      </c>
    </row>
    <row r="32" spans="1:10" ht="15.75" thickBot="1" x14ac:dyDescent="0.3">
      <c r="A32" s="65" t="s">
        <v>115</v>
      </c>
      <c r="B32" s="61">
        <f>('Tablas Calculadas '!B65/(12*30))*(Constantes!$C$10+2)</f>
        <v>22603.946666666667</v>
      </c>
      <c r="C32" s="26">
        <f>(Constantes!$B$10*Constantes!$B$36*Constantes!B30*Constantes!$C$10)+(Constantes!$B$10*(Constantes!$B$35*(1+Constantes!$E$3))*Constantes!B30*Constantes!$D$10)</f>
        <v>98304</v>
      </c>
      <c r="D32" s="15">
        <v>25</v>
      </c>
      <c r="E32" s="24">
        <f t="shared" si="0"/>
        <v>151134.93333333335</v>
      </c>
    </row>
    <row r="33" spans="1:5" x14ac:dyDescent="0.25">
      <c r="A33" s="66" t="s">
        <v>116</v>
      </c>
      <c r="B33" s="60">
        <f>('Tablas Calculadas '!B61/(12*30))*(Constantes!$C$11+2)</f>
        <v>29538.666666666668</v>
      </c>
      <c r="C33" s="28">
        <f>(Constantes!$B$11*Constantes!$B$36*Constantes!B26*Constantes!$C$11)+(Constantes!$B$11*(Constantes!$B$36*(1+Constantes!$E$3))*Constantes!B26*Constantes!$D$11)</f>
        <v>307200</v>
      </c>
      <c r="D33" s="31">
        <v>20</v>
      </c>
      <c r="E33" s="32">
        <f t="shared" si="0"/>
        <v>404086.4</v>
      </c>
    </row>
    <row r="34" spans="1:5" x14ac:dyDescent="0.25">
      <c r="A34" s="66" t="s">
        <v>117</v>
      </c>
      <c r="B34" s="60">
        <f>('Tablas Calculadas '!B62/(12*30))*(Constantes!$C$11+2)</f>
        <v>35742.490666666657</v>
      </c>
      <c r="C34" s="28">
        <f>(Constantes!$B$11*Constantes!$B$36*Constantes!B27*Constantes!$C$11)+(Constantes!$B$11*(Constantes!$B$36*(1+Constantes!$E$3))*Constantes!B27*Constantes!$D$11)</f>
        <v>353280</v>
      </c>
      <c r="D34" s="31">
        <v>20</v>
      </c>
      <c r="E34" s="22">
        <f t="shared" si="0"/>
        <v>466826.98879999999</v>
      </c>
    </row>
    <row r="35" spans="1:5" x14ac:dyDescent="0.25">
      <c r="A35" s="66" t="s">
        <v>118</v>
      </c>
      <c r="B35" s="60">
        <f>('Tablas Calculadas '!B63/(12*30))*(Constantes!$C$11+2)</f>
        <v>41181.565333333339</v>
      </c>
      <c r="C35" s="28">
        <f>(Constantes!$B$11*Constantes!$B$36*Constantes!B28*Constantes!$C$11)+(Constantes!$B$11*(Constantes!$B$36*(1+Constantes!$E$3))*Constantes!B28*Constantes!$D$11)</f>
        <v>407040</v>
      </c>
      <c r="D35" s="31">
        <v>20</v>
      </c>
      <c r="E35" s="22">
        <f t="shared" si="0"/>
        <v>537865.87839999993</v>
      </c>
    </row>
    <row r="36" spans="1:5" x14ac:dyDescent="0.25">
      <c r="A36" s="66" t="s">
        <v>119</v>
      </c>
      <c r="B36" s="60">
        <f>('Tablas Calculadas '!B64/(12*30))*(Constantes!$C$11+2)</f>
        <v>43512.597333333339</v>
      </c>
      <c r="C36" s="28">
        <f>(Constantes!$B$11*Constantes!$B$36*Constantes!B29*Constantes!$C$11)+(Constantes!$B$11*(Constantes!$B$36*(1+Constantes!$E$3))*Constantes!B29*Constantes!$D$11)</f>
        <v>430080</v>
      </c>
      <c r="D36" s="31">
        <v>20</v>
      </c>
      <c r="E36" s="22">
        <f t="shared" si="0"/>
        <v>568311.11679999996</v>
      </c>
    </row>
    <row r="37" spans="1:5" ht="15.75" thickBot="1" x14ac:dyDescent="0.3">
      <c r="A37" s="66" t="s">
        <v>120</v>
      </c>
      <c r="B37" s="61">
        <f>('Tablas Calculadas '!B65/(12*30))*(Constantes!$C$11+2)</f>
        <v>49728.682666666668</v>
      </c>
      <c r="C37" s="26">
        <f>(Constantes!$B$11*Constantes!$B$36*Constantes!B30*Constantes!$C$11)+(Constantes!$B$11*(Constantes!$B$36*(1+Constantes!$E$3))*Constantes!B30*Constantes!$D$11)</f>
        <v>491520</v>
      </c>
      <c r="D37" s="15">
        <v>20</v>
      </c>
      <c r="E37" s="24">
        <f t="shared" si="0"/>
        <v>649498.4192</v>
      </c>
    </row>
    <row r="38" spans="1:5" x14ac:dyDescent="0.25">
      <c r="A38" s="66" t="s">
        <v>121</v>
      </c>
      <c r="B38" s="60">
        <f>('Tablas Calculadas '!B61/(12*30))*(Constantes!$C$12+2)</f>
        <v>32224</v>
      </c>
      <c r="C38" s="28">
        <f>(Constantes!$B$12*Constantes!$B$36*Constantes!B26*Constantes!$C$12)+(Constantes!$B$12*(Constantes!$B$36*(1+Constantes!$E$3))*Constantes!B26*Constantes!$D$12)</f>
        <v>819200</v>
      </c>
      <c r="D38" s="31">
        <v>20</v>
      </c>
      <c r="E38" s="32">
        <f t="shared" si="0"/>
        <v>1021708.7999999999</v>
      </c>
    </row>
    <row r="39" spans="1:5" x14ac:dyDescent="0.25">
      <c r="A39" s="66" t="s">
        <v>122</v>
      </c>
      <c r="B39" s="60">
        <f>('Tablas Calculadas '!B62/(12*30))*(Constantes!$C$12+2)</f>
        <v>38991.80799999999</v>
      </c>
      <c r="C39" s="25">
        <f>(Constantes!$B$12*Constantes!$B$36*Constantes!B27*Constantes!$C$12)+(Constantes!$B$12*(Constantes!$B$36*(1+Constantes!$E$3))*Constantes!B27*Constantes!$D$12)</f>
        <v>942080</v>
      </c>
      <c r="D39" s="3">
        <v>20</v>
      </c>
      <c r="E39" s="22">
        <f t="shared" si="0"/>
        <v>1177286.1695999999</v>
      </c>
    </row>
    <row r="40" spans="1:5" x14ac:dyDescent="0.25">
      <c r="A40" s="66" t="s">
        <v>123</v>
      </c>
      <c r="B40" s="60">
        <f>('Tablas Calculadas '!B63/(12*30))*(Constantes!$C$12+2)</f>
        <v>44925.344000000005</v>
      </c>
      <c r="C40" s="25">
        <f>(Constantes!$B$12*Constantes!$B$36*Constantes!B28*Constantes!$C$12)+(Constantes!$B$12*(Constantes!$B$36*(1+Constantes!$E$3))*Constantes!B28*Constantes!$D$12)</f>
        <v>1085440</v>
      </c>
      <c r="D40" s="3">
        <v>20</v>
      </c>
      <c r="E40" s="22">
        <f t="shared" si="0"/>
        <v>1356438.4128</v>
      </c>
    </row>
    <row r="41" spans="1:5" x14ac:dyDescent="0.25">
      <c r="A41" s="66" t="s">
        <v>124</v>
      </c>
      <c r="B41" s="60">
        <f>('Tablas Calculadas '!B64/(12*30))*(Constantes!$C$12+2)</f>
        <v>47468.288</v>
      </c>
      <c r="C41" s="25">
        <f>(Constantes!$B$12*Constantes!$B$36*Constantes!B29*Constantes!$C$12)+(Constantes!$B$12*(Constantes!$B$36*(1+Constantes!$E$3))*Constantes!B29*Constantes!$D$12)</f>
        <v>1146880</v>
      </c>
      <c r="D41" s="3">
        <v>20</v>
      </c>
      <c r="E41" s="22">
        <f t="shared" si="0"/>
        <v>1433217.9456</v>
      </c>
    </row>
    <row r="42" spans="1:5" ht="15.75" thickBot="1" x14ac:dyDescent="0.3">
      <c r="A42" s="66" t="s">
        <v>125</v>
      </c>
      <c r="B42" s="62">
        <f>('Tablas Calculadas '!B65/(12*30))*(Constantes!$C$12+2)</f>
        <v>54249.471999999994</v>
      </c>
      <c r="C42" s="42">
        <f>(Constantes!$B$12*Constantes!$B$36*Constantes!B30*Constantes!$C$12)+(Constantes!$B$12*(Constantes!$B$36*(1+Constantes!$E$3))*Constantes!B30*Constantes!$D$12)</f>
        <v>1310720</v>
      </c>
      <c r="D42" s="43">
        <v>20</v>
      </c>
      <c r="E42" s="44">
        <f t="shared" si="0"/>
        <v>1637963.3663999999</v>
      </c>
    </row>
    <row r="43" spans="1:5" ht="15.75" thickTop="1" x14ac:dyDescent="0.25">
      <c r="A43" s="67" t="s">
        <v>82</v>
      </c>
      <c r="B43" s="60">
        <f>'Tablas Calculadas '!B61/12*2</f>
        <v>80560</v>
      </c>
      <c r="C43" s="28">
        <f>Constantes!B5*Constantes!B26</f>
        <v>2000000</v>
      </c>
      <c r="D43" s="29">
        <v>20</v>
      </c>
      <c r="E43" s="30">
        <f t="shared" si="0"/>
        <v>2496672</v>
      </c>
    </row>
    <row r="44" spans="1:5" x14ac:dyDescent="0.25">
      <c r="A44" s="17" t="s">
        <v>63</v>
      </c>
      <c r="B44" s="63">
        <f>'Tablas Calculadas '!B61/12*2</f>
        <v>80560</v>
      </c>
      <c r="C44" s="25">
        <f>Constantes!B6*Constantes!B26</f>
        <v>4000000</v>
      </c>
      <c r="D44" s="21">
        <v>20</v>
      </c>
      <c r="E44" s="23">
        <f t="shared" si="0"/>
        <v>4896672</v>
      </c>
    </row>
    <row r="45" spans="1:5" ht="15.75" thickBot="1" x14ac:dyDescent="0.3">
      <c r="A45" s="20" t="s">
        <v>80</v>
      </c>
      <c r="B45" s="61">
        <f>'Tablas Calculadas '!B61/12*2</f>
        <v>80560</v>
      </c>
      <c r="C45" s="26">
        <f>Constantes!B7*Constantes!B26</f>
        <v>6000000</v>
      </c>
      <c r="D45" s="15">
        <v>20</v>
      </c>
      <c r="E45" s="24">
        <f t="shared" si="0"/>
        <v>7296672</v>
      </c>
    </row>
    <row r="46" spans="1:5" x14ac:dyDescent="0.25">
      <c r="A46" s="67" t="s">
        <v>81</v>
      </c>
      <c r="B46" s="60">
        <f>'Tablas Calculadas '!B62/12*2</f>
        <v>97479.519999999975</v>
      </c>
      <c r="C46" s="28">
        <f>Constantes!B5*Constantes!$B$27</f>
        <v>2300000</v>
      </c>
      <c r="D46" s="21">
        <v>20</v>
      </c>
      <c r="E46" s="23">
        <f t="shared" si="0"/>
        <v>2876975.4240000001</v>
      </c>
    </row>
    <row r="47" spans="1:5" x14ac:dyDescent="0.25">
      <c r="A47" s="17" t="s">
        <v>64</v>
      </c>
      <c r="B47" s="63">
        <f>'Tablas Calculadas '!B62/12*2</f>
        <v>97479.519999999975</v>
      </c>
      <c r="C47" s="25">
        <f>Constantes!B6*Constantes!$B$27</f>
        <v>4600000</v>
      </c>
      <c r="D47" s="21">
        <v>20</v>
      </c>
      <c r="E47" s="23">
        <f t="shared" si="0"/>
        <v>5636975.4239999996</v>
      </c>
    </row>
    <row r="48" spans="1:5" ht="15.75" thickBot="1" x14ac:dyDescent="0.3">
      <c r="A48" s="20" t="s">
        <v>83</v>
      </c>
      <c r="B48" s="61">
        <f>'Tablas Calculadas '!B62/12*2</f>
        <v>97479.519999999975</v>
      </c>
      <c r="C48" s="26">
        <f>Constantes!B7*Constantes!$B$27</f>
        <v>6900000</v>
      </c>
      <c r="D48" s="15">
        <v>20</v>
      </c>
      <c r="E48" s="24">
        <f t="shared" si="0"/>
        <v>8396975.4239999987</v>
      </c>
    </row>
    <row r="49" spans="1:5" x14ac:dyDescent="0.25">
      <c r="A49" s="67" t="s">
        <v>84</v>
      </c>
      <c r="B49" s="60">
        <f>'Tablas Calculadas '!$B$63/12*2</f>
        <v>112313.36</v>
      </c>
      <c r="C49" s="28">
        <f>Constantes!B5*Constantes!$B$28</f>
        <v>2650000</v>
      </c>
      <c r="D49" s="21">
        <v>20</v>
      </c>
      <c r="E49" s="23">
        <f t="shared" si="0"/>
        <v>3314776.0319999997</v>
      </c>
    </row>
    <row r="50" spans="1:5" x14ac:dyDescent="0.25">
      <c r="A50" s="17" t="s">
        <v>65</v>
      </c>
      <c r="B50" s="63">
        <f>'Tablas Calculadas '!$B$63/12*2</f>
        <v>112313.36</v>
      </c>
      <c r="C50" s="25">
        <f>Constantes!B6*Constantes!$B$28</f>
        <v>5300000</v>
      </c>
      <c r="D50" s="21">
        <v>20</v>
      </c>
      <c r="E50" s="23">
        <f t="shared" si="0"/>
        <v>6494776.0320000006</v>
      </c>
    </row>
    <row r="51" spans="1:5" ht="15.75" thickBot="1" x14ac:dyDescent="0.3">
      <c r="A51" s="20" t="s">
        <v>85</v>
      </c>
      <c r="B51" s="61">
        <f>'Tablas Calculadas '!$B$63/12*2</f>
        <v>112313.36</v>
      </c>
      <c r="C51" s="26">
        <f>Constantes!B7*Constantes!$B$28</f>
        <v>7950000</v>
      </c>
      <c r="D51" s="15">
        <v>20</v>
      </c>
      <c r="E51" s="24">
        <f t="shared" si="0"/>
        <v>9674776.0319999997</v>
      </c>
    </row>
    <row r="52" spans="1:5" x14ac:dyDescent="0.25">
      <c r="A52" s="67" t="s">
        <v>66</v>
      </c>
      <c r="B52" s="60">
        <f>'Tablas Calculadas '!$B$64/12*2</f>
        <v>118670.72000000002</v>
      </c>
      <c r="C52" s="28">
        <f>Constantes!B5*Constantes!$B$29</f>
        <v>2800000</v>
      </c>
      <c r="D52" s="21">
        <v>20</v>
      </c>
      <c r="E52" s="23">
        <f t="shared" si="0"/>
        <v>3502404.8640000001</v>
      </c>
    </row>
    <row r="53" spans="1:5" x14ac:dyDescent="0.25">
      <c r="A53" s="17" t="s">
        <v>86</v>
      </c>
      <c r="B53" s="63">
        <f>'Tablas Calculadas '!$B$64/12*2</f>
        <v>118670.72000000002</v>
      </c>
      <c r="C53" s="25">
        <f>Constantes!B6*Constantes!$B$29</f>
        <v>5600000</v>
      </c>
      <c r="D53" s="21">
        <v>20</v>
      </c>
      <c r="E53" s="23">
        <f t="shared" si="0"/>
        <v>6862404.8639999991</v>
      </c>
    </row>
    <row r="54" spans="1:5" ht="15.75" thickBot="1" x14ac:dyDescent="0.3">
      <c r="A54" s="20" t="s">
        <v>87</v>
      </c>
      <c r="B54" s="61">
        <f>'Tablas Calculadas '!$B$64/12*2</f>
        <v>118670.72000000002</v>
      </c>
      <c r="C54" s="26">
        <f>Constantes!B7*Constantes!$B$29</f>
        <v>8400000</v>
      </c>
      <c r="D54" s="15">
        <v>20</v>
      </c>
      <c r="E54" s="24">
        <f t="shared" si="0"/>
        <v>10222404.864</v>
      </c>
    </row>
    <row r="55" spans="1:5" x14ac:dyDescent="0.25">
      <c r="A55" s="67" t="s">
        <v>67</v>
      </c>
      <c r="B55" s="60">
        <f>'Tablas Calculadas '!$B$65/12*2</f>
        <v>135623.67999999999</v>
      </c>
      <c r="C55" s="28">
        <f>Constantes!B5*Constantes!$B$30</f>
        <v>3200000</v>
      </c>
      <c r="D55" s="21">
        <v>20</v>
      </c>
      <c r="E55" s="23">
        <f t="shared" si="0"/>
        <v>4002748.4160000002</v>
      </c>
    </row>
    <row r="56" spans="1:5" x14ac:dyDescent="0.25">
      <c r="A56" s="17" t="s">
        <v>88</v>
      </c>
      <c r="B56" s="63">
        <f>'Tablas Calculadas '!$B$65/12*2</f>
        <v>135623.67999999999</v>
      </c>
      <c r="C56" s="25">
        <f>Constantes!B6*Constantes!$B$30</f>
        <v>6400000</v>
      </c>
      <c r="D56" s="21">
        <v>20</v>
      </c>
      <c r="E56" s="23">
        <f t="shared" si="0"/>
        <v>7842748.4159999993</v>
      </c>
    </row>
    <row r="57" spans="1:5" ht="15.75" thickBot="1" x14ac:dyDescent="0.3">
      <c r="A57" s="20" t="s">
        <v>89</v>
      </c>
      <c r="B57" s="61">
        <f>'Tablas Calculadas '!$B$65/12*2</f>
        <v>135623.67999999999</v>
      </c>
      <c r="C57" s="26">
        <f>Constantes!B7*Constantes!$B$30</f>
        <v>9600000</v>
      </c>
      <c r="D57" s="15">
        <v>20</v>
      </c>
      <c r="E57" s="24">
        <f t="shared" si="0"/>
        <v>11682748.415999999</v>
      </c>
    </row>
    <row r="59" spans="1:5" ht="15.75" thickBot="1" x14ac:dyDescent="0.3"/>
    <row r="60" spans="1:5" ht="21" thickBot="1" x14ac:dyDescent="0.35">
      <c r="A60" s="76" t="s">
        <v>16</v>
      </c>
      <c r="B60" s="76" t="s">
        <v>17</v>
      </c>
      <c r="C60" s="76" t="s">
        <v>145</v>
      </c>
      <c r="D60" s="76" t="s">
        <v>52</v>
      </c>
    </row>
    <row r="61" spans="1:5" x14ac:dyDescent="0.25">
      <c r="A61" s="73" t="s">
        <v>5</v>
      </c>
      <c r="B61" s="63">
        <f>(Constantes!C19*(1+((Constantes!D19/100)*0))+ Constantes!C20*(1+((Constantes!D20/100)*0)) + Constantes!C21*(1+((Constantes!D21/100)*0)))*Constantes!B26*12</f>
        <v>483360</v>
      </c>
      <c r="C61" s="25">
        <f>Constantes!B40*12+(Constantes!B45*Constantes!B26+Constantes!B46*Constantes!B26+Constantes!B47*Constantes!B26)*12 +'Tablas Calculadas '!F15*'Tablas Calculadas '!C43+'Tablas Calculadas '!G15*'Tablas Calculadas '!C44+'Tablas Calculadas '!H15*'Tablas Calculadas '!C45 + 'Tablas Calculadas '!B72</f>
        <v>3760512</v>
      </c>
      <c r="D61" s="36">
        <f t="shared" ref="D61:D66" si="1">SUM(B61:C61)</f>
        <v>4243872</v>
      </c>
    </row>
    <row r="62" spans="1:5" x14ac:dyDescent="0.25">
      <c r="A62" s="74" t="s">
        <v>6</v>
      </c>
      <c r="B62" s="63">
        <f>(((Constantes!$C$19*(1+((Constantes!$D$19/100)*1)))+ (Constantes!$C$20*(1+((Constantes!$D$20/100)*1))) + (Constantes!$C$21*(1+((Constantes!$D$21/100)*1))))*Constantes!B27*12)*((1+Constantes!$C$14)^1)</f>
        <v>584877.11999999988</v>
      </c>
      <c r="C62" s="25">
        <f>(Constantes!B41*12+(Constantes!$B$45*Constantes!B27+Constantes!$B$46*Constantes!B27+Constantes!B47*Constantes!B27)*12) +'Tablas Calculadas '!F16*'Tablas Calculadas '!C46+'Tablas Calculadas '!G16*'Tablas Calculadas '!C47+'Tablas Calculadas '!H16*'Tablas Calculadas '!C48 +'Tablas Calculadas '!B73</f>
        <v>8924588.8000000007</v>
      </c>
      <c r="D62" s="36">
        <f t="shared" si="1"/>
        <v>9509465.9199999999</v>
      </c>
    </row>
    <row r="63" spans="1:5" x14ac:dyDescent="0.25">
      <c r="A63" s="74" t="s">
        <v>7</v>
      </c>
      <c r="B63" s="63">
        <f>(((Constantes!$C$19*(1+((Constantes!$D$19/100)*1)))+ (Constantes!$C$20*(1+((Constantes!$D$20/100)*1))) + (Constantes!$C$21*(1+((Constantes!$D$21/100)*1))))*Constantes!B28*12)*((1+Constantes!$C$14)^2)</f>
        <v>673880.16</v>
      </c>
      <c r="C63" s="25">
        <f>(Constantes!B42*12+(Constantes!$B$45*Constantes!B28+Constantes!$B$46*Constantes!B28+Constantes!B47*Constantes!B28)*12) +('Tablas Calculadas '!F17*'Tablas Calculadas '!C49+'Tablas Calculadas '!G17*'Tablas Calculadas '!C50+'Tablas Calculadas '!H17*'Tablas Calculadas '!C51) +'Tablas Calculadas '!B74</f>
        <v>5226902.4000000004</v>
      </c>
      <c r="D63" s="36">
        <f t="shared" si="1"/>
        <v>5900782.5600000005</v>
      </c>
    </row>
    <row r="64" spans="1:5" x14ac:dyDescent="0.25">
      <c r="A64" s="74" t="s">
        <v>8</v>
      </c>
      <c r="B64" s="63">
        <f>(((Constantes!$C$19*(1+((Constantes!$D$19/100)*1)))+ (Constantes!$C$20*(1+((Constantes!$D$20/100)*1))) + (Constantes!$C$21*(1+((Constantes!$D$21/100)*1))))*Constantes!B29*12)*((1+Constantes!$C$14)^3)</f>
        <v>712024.32000000007</v>
      </c>
      <c r="C64" s="25">
        <f>(Constantes!B43*12+(Constantes!$B$45*Constantes!B29+Constantes!$B$46*Constantes!B29)*12)+('Tablas Calculadas '!F18*'Tablas Calculadas '!C52+'Tablas Calculadas '!G18*'Tablas Calculadas '!C53+'Tablas Calculadas '!H18*'Tablas Calculadas '!C54) +'Tablas Calculadas '!B75</f>
        <v>5612812.7999999998</v>
      </c>
      <c r="D64" s="36">
        <f t="shared" si="1"/>
        <v>6324837.1200000001</v>
      </c>
    </row>
    <row r="65" spans="1:4" ht="15.75" thickBot="1" x14ac:dyDescent="0.3">
      <c r="A65" s="74" t="s">
        <v>9</v>
      </c>
      <c r="B65" s="63">
        <f>(((Constantes!$C$19*(1+((Constantes!$D$19/100)*1)))+ (Constantes!$C$20*(1+((Constantes!$D$20/100)*1))) + (Constantes!$C$21*(1+((Constantes!$D$21/100)*1))))*Constantes!B30*12)*((1+Constantes!$C$14)^4)</f>
        <v>813742.07999999996</v>
      </c>
      <c r="C65" s="25">
        <f>(Constantes!B44*12+(Constantes!$B$45*Constantes!B30+Constantes!$B$46*Constantes!B30+Constantes!B47*Constantes!B30)*12)+('Tablas Calculadas '!F19*'Tablas Calculadas '!C55+'Tablas Calculadas '!G19*'Tablas Calculadas '!C56+'Tablas Calculadas '!H19*'Tablas Calculadas '!C57) +'Tablas Calculadas '!B76</f>
        <v>6606643.1999999993</v>
      </c>
      <c r="D65" s="36">
        <f t="shared" si="1"/>
        <v>7420385.2799999993</v>
      </c>
    </row>
    <row r="66" spans="1:4" ht="16.5" thickTop="1" thickBot="1" x14ac:dyDescent="0.3">
      <c r="A66" s="107" t="s">
        <v>11</v>
      </c>
      <c r="B66" s="106">
        <f>SUM(B61:B65)</f>
        <v>3267883.6799999997</v>
      </c>
      <c r="C66" s="37">
        <f>SUM(C61:C65)</f>
        <v>30131459.200000003</v>
      </c>
      <c r="D66" s="35">
        <f t="shared" si="1"/>
        <v>33399342.880000003</v>
      </c>
    </row>
    <row r="70" spans="1:4" ht="15.75" thickBot="1" x14ac:dyDescent="0.3"/>
    <row r="71" spans="1:4" ht="19.5" thickBot="1" x14ac:dyDescent="0.35">
      <c r="A71" s="168" t="s">
        <v>102</v>
      </c>
      <c r="B71" s="170"/>
      <c r="C71" s="109" t="s">
        <v>142</v>
      </c>
    </row>
    <row r="72" spans="1:4" x14ac:dyDescent="0.25">
      <c r="A72" s="92" t="s">
        <v>5</v>
      </c>
      <c r="B72" s="102">
        <f>('Tablas Calculadas '!C15*Constantes!$D$10*Constantes!$B$10+'Tablas Calculadas '!$D$15*Constantes!D11*Constantes!$B$11+'Tablas Calculadas '!E15*Constantes!$D$12*Constantes!$B$12)*(Constantes!$B$35*(1+Constantes!$E$3)*Constantes!B26)</f>
        <v>0</v>
      </c>
      <c r="C72" s="6"/>
    </row>
    <row r="73" spans="1:4" x14ac:dyDescent="0.25">
      <c r="A73" s="1" t="s">
        <v>99</v>
      </c>
      <c r="B73" s="103">
        <f>('Tablas Calculadas '!C16*Constantes!$D$10*Constantes!$B$10+'Tablas Calculadas '!$D$15*Constantes!D12*Constantes!$B$11+'Tablas Calculadas '!E16*Constantes!$D$12*Constantes!$B$12)*(Constantes!$B$35*(1+Constantes!$E$3)*Constantes!B27)</f>
        <v>0</v>
      </c>
      <c r="C73" s="6"/>
    </row>
    <row r="74" spans="1:4" x14ac:dyDescent="0.25">
      <c r="A74" s="1" t="s">
        <v>101</v>
      </c>
      <c r="B74" s="103">
        <f>('Tablas Calculadas '!C17*Constantes!$D$10*Constantes!$B$10+'Tablas Calculadas '!$D$15*Constantes!D13*Constantes!$B$11+'Tablas Calculadas '!E17*Constantes!$D$12*Constantes!$B$12)*(Constantes!$B$35*(1+Constantes!$E$3)*Constantes!B28)</f>
        <v>244224</v>
      </c>
      <c r="C74" s="6"/>
    </row>
    <row r="75" spans="1:4" x14ac:dyDescent="0.25">
      <c r="A75" s="1" t="s">
        <v>100</v>
      </c>
      <c r="B75" s="103">
        <f>('Tablas Calculadas '!C18*Constantes!$D$10*Constantes!$B$10+'Tablas Calculadas '!$D$15*Constantes!D14*Constantes!$B$11+'Tablas Calculadas '!E18*Constantes!$D$12*Constantes!$B$12)*(Constantes!$B$35*(1+Constantes!$E$3)*Constantes!B29)</f>
        <v>516096</v>
      </c>
      <c r="C75" s="6"/>
    </row>
    <row r="76" spans="1:4" ht="15.75" thickBot="1" x14ac:dyDescent="0.3">
      <c r="A76" s="19" t="s">
        <v>9</v>
      </c>
      <c r="B76" s="104">
        <f>('Tablas Calculadas '!C19*Constantes!$D$10*Constantes!$B$10+'Tablas Calculadas '!$D$15*Constantes!D15*Constantes!$B$11+'Tablas Calculadas '!E19*Constantes!$D$12*Constantes!$B$12)*(Constantes!$B$35*(1+Constantes!$E$3)*Constantes!B30)</f>
        <v>589824</v>
      </c>
      <c r="C76" s="6"/>
    </row>
  </sheetData>
  <mergeCells count="21">
    <mergeCell ref="A71:B71"/>
    <mergeCell ref="D6:E6"/>
    <mergeCell ref="D7:E7"/>
    <mergeCell ref="D8:E8"/>
    <mergeCell ref="B8:C8"/>
    <mergeCell ref="A10:A11"/>
    <mergeCell ref="B10:C10"/>
    <mergeCell ref="A1:J1"/>
    <mergeCell ref="F6:F8"/>
    <mergeCell ref="J14:J20"/>
    <mergeCell ref="A25:B25"/>
    <mergeCell ref="C25:E25"/>
    <mergeCell ref="D11:E11"/>
    <mergeCell ref="B9:E9"/>
    <mergeCell ref="D10:E10"/>
    <mergeCell ref="B11:C11"/>
    <mergeCell ref="B5:C5"/>
    <mergeCell ref="B7:C7"/>
    <mergeCell ref="B6:C6"/>
    <mergeCell ref="D5:E5"/>
    <mergeCell ref="A4:E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6"/>
  <sheetViews>
    <sheetView topLeftCell="B52" zoomScale="85" zoomScaleNormal="85" workbookViewId="0">
      <selection activeCell="H75" sqref="H75"/>
    </sheetView>
  </sheetViews>
  <sheetFormatPr baseColWidth="10" defaultRowHeight="15" x14ac:dyDescent="0.25"/>
  <cols>
    <col min="1" max="1" width="52.140625" bestFit="1" customWidth="1"/>
    <col min="2" max="2" width="52.7109375" customWidth="1"/>
    <col min="3" max="3" width="29.7109375" customWidth="1"/>
    <col min="4" max="4" width="37.5703125" customWidth="1"/>
    <col min="5" max="5" width="14.5703125" bestFit="1" customWidth="1"/>
  </cols>
  <sheetData>
    <row r="1" spans="1:9" ht="148.5" customHeight="1" thickBot="1" x14ac:dyDescent="0.3">
      <c r="A1" s="179" t="s">
        <v>103</v>
      </c>
      <c r="B1" s="180"/>
      <c r="C1" s="180"/>
      <c r="D1" s="180"/>
      <c r="E1" s="180"/>
      <c r="F1" s="180"/>
      <c r="G1" s="180"/>
      <c r="H1" s="180"/>
      <c r="I1" s="181"/>
    </row>
    <row r="2" spans="1:9" ht="15.75" thickBot="1" x14ac:dyDescent="0.3"/>
    <row r="3" spans="1:9" ht="19.5" thickBot="1" x14ac:dyDescent="0.35">
      <c r="C3" s="168" t="s">
        <v>91</v>
      </c>
      <c r="D3" s="170"/>
      <c r="E3" s="105">
        <v>1</v>
      </c>
      <c r="F3" s="108" t="s">
        <v>129</v>
      </c>
    </row>
    <row r="4" spans="1:9" ht="19.5" thickBot="1" x14ac:dyDescent="0.35">
      <c r="A4" s="168" t="s">
        <v>68</v>
      </c>
      <c r="B4" s="170"/>
    </row>
    <row r="5" spans="1:9" x14ac:dyDescent="0.25">
      <c r="A5" s="27" t="s">
        <v>69</v>
      </c>
      <c r="B5" s="84">
        <v>50000</v>
      </c>
      <c r="C5" s="184" t="s">
        <v>131</v>
      </c>
      <c r="D5" s="39"/>
    </row>
    <row r="6" spans="1:9" x14ac:dyDescent="0.25">
      <c r="A6" s="1" t="s">
        <v>70</v>
      </c>
      <c r="B6" s="12">
        <v>100000</v>
      </c>
      <c r="C6" s="185"/>
      <c r="D6" s="6"/>
    </row>
    <row r="7" spans="1:9" ht="15.75" thickBot="1" x14ac:dyDescent="0.3">
      <c r="A7" s="1" t="s">
        <v>71</v>
      </c>
      <c r="B7" s="12">
        <v>150000</v>
      </c>
      <c r="C7" s="186"/>
      <c r="D7" s="6"/>
    </row>
    <row r="8" spans="1:9" ht="15.75" thickBot="1" x14ac:dyDescent="0.3">
      <c r="A8" s="11"/>
      <c r="B8" s="11"/>
      <c r="C8" s="11"/>
      <c r="D8" s="6"/>
    </row>
    <row r="9" spans="1:9" ht="19.5" thickBot="1" x14ac:dyDescent="0.35">
      <c r="A9" s="83" t="s">
        <v>79</v>
      </c>
      <c r="B9" s="85" t="s">
        <v>94</v>
      </c>
      <c r="C9" s="85" t="s">
        <v>93</v>
      </c>
      <c r="D9" s="85" t="s">
        <v>92</v>
      </c>
    </row>
    <row r="10" spans="1:9" ht="15.75" thickBot="1" x14ac:dyDescent="0.3">
      <c r="A10" s="86" t="s">
        <v>90</v>
      </c>
      <c r="B10" s="70">
        <v>12</v>
      </c>
      <c r="C10" s="1">
        <v>8</v>
      </c>
      <c r="D10" s="88">
        <v>0</v>
      </c>
    </row>
    <row r="11" spans="1:9" ht="15.75" thickBot="1" x14ac:dyDescent="0.3">
      <c r="A11" s="86" t="s">
        <v>77</v>
      </c>
      <c r="B11" s="71">
        <v>24</v>
      </c>
      <c r="C11" s="1">
        <v>20</v>
      </c>
      <c r="D11" s="17">
        <v>0</v>
      </c>
    </row>
    <row r="12" spans="1:9" ht="15.75" thickBot="1" x14ac:dyDescent="0.3">
      <c r="A12" s="87" t="s">
        <v>78</v>
      </c>
      <c r="B12" s="14">
        <v>32</v>
      </c>
      <c r="C12" s="19">
        <v>22</v>
      </c>
      <c r="D12" s="20">
        <v>9</v>
      </c>
      <c r="E12" s="108" t="s">
        <v>134</v>
      </c>
    </row>
    <row r="13" spans="1:9" x14ac:dyDescent="0.25">
      <c r="A13" s="11"/>
      <c r="B13" s="11"/>
      <c r="C13" s="11"/>
      <c r="D13" s="6"/>
    </row>
    <row r="14" spans="1:9" ht="18.75" x14ac:dyDescent="0.3">
      <c r="B14" s="40"/>
      <c r="C14" s="41"/>
      <c r="D14" s="6"/>
    </row>
    <row r="15" spans="1:9" x14ac:dyDescent="0.25">
      <c r="A15" s="6"/>
      <c r="B15" s="6"/>
      <c r="C15" s="6"/>
      <c r="D15" s="6"/>
    </row>
    <row r="16" spans="1:9" ht="15.75" thickBot="1" x14ac:dyDescent="0.3">
      <c r="A16" s="6"/>
      <c r="B16" s="38"/>
      <c r="C16" s="38"/>
      <c r="D16" s="38"/>
    </row>
    <row r="17" spans="1:4" ht="19.5" thickBot="1" x14ac:dyDescent="0.35">
      <c r="A17" s="168" t="s">
        <v>29</v>
      </c>
      <c r="B17" s="169"/>
      <c r="C17" s="169"/>
      <c r="D17" s="170"/>
    </row>
    <row r="18" spans="1:4" ht="15.75" thickBot="1" x14ac:dyDescent="0.3">
      <c r="A18" s="190" t="s">
        <v>23</v>
      </c>
      <c r="B18" s="190"/>
      <c r="C18" s="85" t="s">
        <v>35</v>
      </c>
      <c r="D18" s="85" t="s">
        <v>34</v>
      </c>
    </row>
    <row r="19" spans="1:4" x14ac:dyDescent="0.25">
      <c r="A19" s="191" t="s">
        <v>30</v>
      </c>
      <c r="B19" s="192"/>
      <c r="C19" s="89">
        <v>657</v>
      </c>
      <c r="D19" s="88">
        <v>8</v>
      </c>
    </row>
    <row r="20" spans="1:4" x14ac:dyDescent="0.25">
      <c r="A20" s="193" t="s">
        <v>31</v>
      </c>
      <c r="B20" s="194"/>
      <c r="C20" s="90">
        <v>200</v>
      </c>
      <c r="D20" s="17">
        <v>0</v>
      </c>
    </row>
    <row r="21" spans="1:4" x14ac:dyDescent="0.25">
      <c r="A21" s="193" t="s">
        <v>32</v>
      </c>
      <c r="B21" s="194"/>
      <c r="C21" s="90">
        <v>150</v>
      </c>
      <c r="D21" s="17">
        <v>0</v>
      </c>
    </row>
    <row r="22" spans="1:4" ht="15.75" thickBot="1" x14ac:dyDescent="0.3">
      <c r="A22" s="195" t="s">
        <v>33</v>
      </c>
      <c r="B22" s="196"/>
      <c r="C22" s="91">
        <f>SUM(C19:C21)</f>
        <v>1007</v>
      </c>
      <c r="D22" s="20"/>
    </row>
    <row r="23" spans="1:4" ht="15.75" thickBot="1" x14ac:dyDescent="0.3">
      <c r="A23" s="6"/>
      <c r="B23" s="6"/>
      <c r="C23" s="6"/>
      <c r="D23" s="6"/>
    </row>
    <row r="24" spans="1:4" ht="19.5" thickBot="1" x14ac:dyDescent="0.35">
      <c r="A24" s="168" t="s">
        <v>36</v>
      </c>
      <c r="B24" s="170"/>
      <c r="C24" s="6"/>
      <c r="D24" s="6"/>
    </row>
    <row r="25" spans="1:4" ht="15.75" thickBot="1" x14ac:dyDescent="0.3">
      <c r="A25" s="85" t="s">
        <v>37</v>
      </c>
      <c r="B25" s="85" t="s">
        <v>54</v>
      </c>
      <c r="C25" s="6"/>
      <c r="D25" s="6"/>
    </row>
    <row r="26" spans="1:4" x14ac:dyDescent="0.25">
      <c r="A26" s="92">
        <v>0</v>
      </c>
      <c r="B26" s="93">
        <v>40</v>
      </c>
      <c r="C26" s="187" t="s">
        <v>136</v>
      </c>
      <c r="D26" s="6"/>
    </row>
    <row r="27" spans="1:4" x14ac:dyDescent="0.25">
      <c r="A27" s="1">
        <v>1</v>
      </c>
      <c r="B27" s="36">
        <v>46</v>
      </c>
      <c r="C27" s="188"/>
      <c r="D27" s="6"/>
    </row>
    <row r="28" spans="1:4" x14ac:dyDescent="0.25">
      <c r="A28" s="1">
        <v>2</v>
      </c>
      <c r="B28" s="36">
        <v>53</v>
      </c>
      <c r="C28" s="188"/>
      <c r="D28" s="6"/>
    </row>
    <row r="29" spans="1:4" x14ac:dyDescent="0.25">
      <c r="A29" s="1">
        <v>3</v>
      </c>
      <c r="B29" s="36">
        <v>56</v>
      </c>
      <c r="C29" s="188"/>
      <c r="D29" s="6"/>
    </row>
    <row r="30" spans="1:4" ht="15.75" thickBot="1" x14ac:dyDescent="0.3">
      <c r="A30" s="19">
        <v>4</v>
      </c>
      <c r="B30" s="94">
        <v>64</v>
      </c>
      <c r="C30" s="189"/>
      <c r="D30" s="6"/>
    </row>
    <row r="31" spans="1:4" x14ac:dyDescent="0.25">
      <c r="A31" s="6"/>
      <c r="B31" s="6"/>
      <c r="C31" s="6"/>
      <c r="D31" s="6"/>
    </row>
    <row r="32" spans="1:4" x14ac:dyDescent="0.25">
      <c r="A32" s="6"/>
      <c r="B32" s="6"/>
      <c r="C32" s="6"/>
      <c r="D32" s="6"/>
    </row>
    <row r="33" spans="1:4" ht="15.75" thickBot="1" x14ac:dyDescent="0.3">
      <c r="A33" s="6"/>
      <c r="B33" s="6"/>
      <c r="C33" s="6"/>
      <c r="D33" s="6"/>
    </row>
    <row r="34" spans="1:4" ht="19.5" thickBot="1" x14ac:dyDescent="0.35">
      <c r="A34" s="168" t="s">
        <v>43</v>
      </c>
      <c r="B34" s="170"/>
      <c r="C34" s="6"/>
      <c r="D34" s="6"/>
    </row>
    <row r="35" spans="1:4" ht="16.5" thickBot="1" x14ac:dyDescent="0.3">
      <c r="A35" s="95" t="s">
        <v>40</v>
      </c>
      <c r="B35" s="96">
        <v>8</v>
      </c>
      <c r="C35" s="6"/>
      <c r="D35" s="6"/>
    </row>
    <row r="36" spans="1:4" ht="16.5" thickBot="1" x14ac:dyDescent="0.3">
      <c r="A36" s="10" t="s">
        <v>95</v>
      </c>
      <c r="B36" s="97">
        <v>16</v>
      </c>
      <c r="C36" s="108" t="s">
        <v>138</v>
      </c>
      <c r="D36" s="6"/>
    </row>
    <row r="37" spans="1:4" x14ac:dyDescent="0.25">
      <c r="A37" s="1" t="s">
        <v>41</v>
      </c>
      <c r="B37" s="98">
        <v>8</v>
      </c>
      <c r="C37" s="140" t="s">
        <v>140</v>
      </c>
      <c r="D37" s="6"/>
    </row>
    <row r="38" spans="1:4" ht="15.75" thickBot="1" x14ac:dyDescent="0.3">
      <c r="A38" s="1" t="s">
        <v>42</v>
      </c>
      <c r="B38" s="98">
        <v>22</v>
      </c>
      <c r="C38" s="142"/>
      <c r="D38" s="6"/>
    </row>
    <row r="39" spans="1:4" x14ac:dyDescent="0.25">
      <c r="A39" s="1" t="s">
        <v>44</v>
      </c>
      <c r="B39" s="98">
        <v>4</v>
      </c>
      <c r="C39" s="6"/>
      <c r="D39" s="6"/>
    </row>
    <row r="40" spans="1:4" x14ac:dyDescent="0.25">
      <c r="A40" s="1" t="s">
        <v>45</v>
      </c>
      <c r="B40" s="36">
        <f>($B$35*B26*$B$37*$B$38*$B$39)*(1+(SUM($B$48:$B$53)))</f>
        <v>277376</v>
      </c>
      <c r="C40" s="6"/>
      <c r="D40" s="6"/>
    </row>
    <row r="41" spans="1:4" x14ac:dyDescent="0.25">
      <c r="A41" s="1" t="s">
        <v>46</v>
      </c>
      <c r="B41" s="36">
        <f t="shared" ref="B41:B43" si="0">($B$35*B27*$B$37*$B$38*$B$39)*(1+(SUM($B$48:$B$53)))</f>
        <v>318982.39999999997</v>
      </c>
      <c r="C41" s="6"/>
      <c r="D41" s="6"/>
    </row>
    <row r="42" spans="1:4" x14ac:dyDescent="0.25">
      <c r="A42" s="1" t="s">
        <v>47</v>
      </c>
      <c r="B42" s="36">
        <f t="shared" si="0"/>
        <v>367523.2</v>
      </c>
      <c r="C42" s="6"/>
      <c r="D42" s="6"/>
    </row>
    <row r="43" spans="1:4" x14ac:dyDescent="0.25">
      <c r="A43" s="1" t="s">
        <v>48</v>
      </c>
      <c r="B43" s="36">
        <f t="shared" si="0"/>
        <v>388326.39999999997</v>
      </c>
      <c r="C43" s="6"/>
      <c r="D43" s="6"/>
    </row>
    <row r="44" spans="1:4" x14ac:dyDescent="0.25">
      <c r="A44" s="1" t="s">
        <v>49</v>
      </c>
      <c r="B44" s="36">
        <f>($B$35*B30*$B$37*$B$38*$B$39)*(1+(SUM($B$48:$B$53)))</f>
        <v>443801.59999999998</v>
      </c>
      <c r="C44" s="6"/>
      <c r="D44" s="6"/>
    </row>
    <row r="45" spans="1:4" x14ac:dyDescent="0.25">
      <c r="A45" s="1" t="s">
        <v>72</v>
      </c>
      <c r="B45" s="97">
        <v>150</v>
      </c>
      <c r="C45" s="6"/>
      <c r="D45" s="6"/>
    </row>
    <row r="46" spans="1:4" x14ac:dyDescent="0.25">
      <c r="A46" s="1" t="s">
        <v>73</v>
      </c>
      <c r="B46" s="97">
        <v>500</v>
      </c>
      <c r="C46" s="6"/>
      <c r="D46" s="6"/>
    </row>
    <row r="47" spans="1:4" x14ac:dyDescent="0.25">
      <c r="A47" s="1" t="s">
        <v>58</v>
      </c>
      <c r="B47" s="97">
        <v>250</v>
      </c>
      <c r="C47" s="6"/>
      <c r="D47" s="6"/>
    </row>
    <row r="48" spans="1:4" x14ac:dyDescent="0.25">
      <c r="A48" s="1" t="s">
        <v>74</v>
      </c>
      <c r="B48" s="99">
        <v>0.03</v>
      </c>
      <c r="C48" s="6"/>
      <c r="D48" s="6"/>
    </row>
    <row r="49" spans="1:5" x14ac:dyDescent="0.25">
      <c r="A49" s="1" t="s">
        <v>75</v>
      </c>
      <c r="B49" s="99">
        <v>7.4999999999999997E-2</v>
      </c>
      <c r="C49" s="6"/>
      <c r="D49" s="6"/>
    </row>
    <row r="50" spans="1:5" x14ac:dyDescent="0.25">
      <c r="A50" s="2" t="s">
        <v>162</v>
      </c>
      <c r="B50" s="116">
        <v>2.5000000000000001E-4</v>
      </c>
      <c r="C50" s="6"/>
      <c r="D50" s="6"/>
    </row>
    <row r="51" spans="1:5" x14ac:dyDescent="0.25">
      <c r="A51" s="2" t="s">
        <v>160</v>
      </c>
      <c r="B51" s="115">
        <v>7.4999999999999997E-2</v>
      </c>
      <c r="C51" s="6"/>
      <c r="D51" s="6"/>
    </row>
    <row r="52" spans="1:5" x14ac:dyDescent="0.25">
      <c r="A52" s="2" t="s">
        <v>161</v>
      </c>
      <c r="B52" s="115">
        <v>1E-3</v>
      </c>
      <c r="C52" s="6"/>
      <c r="D52" s="6"/>
    </row>
    <row r="53" spans="1:5" ht="15.75" thickBot="1" x14ac:dyDescent="0.3">
      <c r="A53" s="100" t="s">
        <v>76</v>
      </c>
      <c r="B53" s="101">
        <v>0.05</v>
      </c>
      <c r="C53" s="6"/>
      <c r="D53" s="6"/>
    </row>
    <row r="54" spans="1:5" x14ac:dyDescent="0.25">
      <c r="A54" s="6"/>
      <c r="B54" s="6"/>
      <c r="C54" s="6"/>
      <c r="D54" s="6"/>
    </row>
    <row r="55" spans="1:5" ht="15.75" thickBot="1" x14ac:dyDescent="0.3">
      <c r="A55" s="6"/>
      <c r="B55" s="6"/>
      <c r="C55" s="6"/>
      <c r="D55" s="6"/>
    </row>
    <row r="56" spans="1:5" ht="21" thickBot="1" x14ac:dyDescent="0.35">
      <c r="A56" s="182" t="s">
        <v>39</v>
      </c>
      <c r="B56" s="183"/>
      <c r="C56" s="182" t="s">
        <v>18</v>
      </c>
      <c r="D56" s="197"/>
      <c r="E56" s="183"/>
    </row>
    <row r="57" spans="1:5" x14ac:dyDescent="0.25">
      <c r="A57" s="9" t="s">
        <v>19</v>
      </c>
      <c r="B57" s="4" t="s">
        <v>20</v>
      </c>
      <c r="C57" s="51" t="s">
        <v>147</v>
      </c>
      <c r="D57" s="4" t="s">
        <v>21</v>
      </c>
      <c r="E57" s="16" t="s">
        <v>22</v>
      </c>
    </row>
    <row r="58" spans="1:5" x14ac:dyDescent="0.25">
      <c r="A58" s="7" t="s">
        <v>24</v>
      </c>
      <c r="B58" s="12">
        <v>425</v>
      </c>
      <c r="C58" s="12">
        <v>180</v>
      </c>
      <c r="D58" s="1">
        <v>5</v>
      </c>
      <c r="E58" s="118">
        <f>IF(ISERROR((B58-C58)/D58),0,(B58*Constantes!$B$26-C58*Constantes!$B$30)/D58)</f>
        <v>1096</v>
      </c>
    </row>
    <row r="59" spans="1:5" x14ac:dyDescent="0.25">
      <c r="A59" s="7" t="s">
        <v>25</v>
      </c>
      <c r="B59" s="12">
        <v>125</v>
      </c>
      <c r="C59" s="12">
        <v>40</v>
      </c>
      <c r="D59" s="1">
        <v>10</v>
      </c>
      <c r="E59" s="118">
        <f>IF(ISERROR((B59-C59)/D59),0,(B59*Constantes!$B$26-C59*Constantes!$B$30)/D59)</f>
        <v>244</v>
      </c>
    </row>
    <row r="60" spans="1:5" x14ac:dyDescent="0.25">
      <c r="A60" s="7" t="s">
        <v>26</v>
      </c>
      <c r="B60" s="12">
        <v>66</v>
      </c>
      <c r="C60" s="12">
        <v>15</v>
      </c>
      <c r="D60" s="1">
        <v>5</v>
      </c>
      <c r="E60" s="118">
        <f>IF(ISERROR((B60-C60)/D60),0,(B60*Constantes!$B$26-C60*Constantes!$B$30)/D60)</f>
        <v>336</v>
      </c>
    </row>
    <row r="61" spans="1:5" x14ac:dyDescent="0.25">
      <c r="A61" s="7" t="s">
        <v>27</v>
      </c>
      <c r="B61" s="12">
        <v>279</v>
      </c>
      <c r="C61" s="12">
        <v>110</v>
      </c>
      <c r="D61" s="1">
        <v>5</v>
      </c>
      <c r="E61" s="118">
        <f>IF(ISERROR((B61-C61)/D61),0,(B61*Constantes!$B$26-C61*Constantes!$B$30)/D61)</f>
        <v>824</v>
      </c>
    </row>
    <row r="62" spans="1:5" x14ac:dyDescent="0.25">
      <c r="A62" s="7" t="s">
        <v>163</v>
      </c>
      <c r="B62" s="12">
        <v>179</v>
      </c>
      <c r="C62" s="12">
        <v>15</v>
      </c>
      <c r="D62" s="1">
        <v>10</v>
      </c>
      <c r="E62" s="118">
        <f>IF(ISERROR((B62-C62)/D62),0,(B62*Constantes!$B$26-C62*Constantes!B28)/D62)</f>
        <v>636.5</v>
      </c>
    </row>
    <row r="63" spans="1:5" x14ac:dyDescent="0.25">
      <c r="A63" s="7" t="s">
        <v>164</v>
      </c>
      <c r="B63" s="12">
        <v>258</v>
      </c>
      <c r="C63" s="12">
        <v>52</v>
      </c>
      <c r="D63" s="1">
        <v>5</v>
      </c>
      <c r="E63" s="118">
        <f>IF(ISERROR((B63-C63)/D63),0,(B63*Constantes!$B$26-C63*Constantes!$B$30)/D63)</f>
        <v>1398.4</v>
      </c>
    </row>
    <row r="64" spans="1:5" x14ac:dyDescent="0.25">
      <c r="A64" s="7" t="s">
        <v>165</v>
      </c>
      <c r="B64" s="12">
        <v>0.28000000000000003</v>
      </c>
      <c r="C64" s="12">
        <v>0.02</v>
      </c>
      <c r="D64" s="1">
        <v>5</v>
      </c>
      <c r="E64" s="118">
        <f>IF(ISERROR((B64-C64)/D64),0,(B64*Constantes!$B$26-C64*Constantes!$B$30)/D64)</f>
        <v>1.9840000000000004</v>
      </c>
    </row>
    <row r="65" spans="1:5" x14ac:dyDescent="0.25">
      <c r="A65" s="7" t="s">
        <v>166</v>
      </c>
      <c r="B65" s="12">
        <v>135</v>
      </c>
      <c r="C65" s="12">
        <v>53</v>
      </c>
      <c r="D65" s="1">
        <v>10</v>
      </c>
      <c r="E65" s="118">
        <f>IF(ISERROR((B65-C65)/D65),0,(B65*Constantes!$B$26-C65*Constantes!$B$30)/D65)</f>
        <v>200.8</v>
      </c>
    </row>
    <row r="66" spans="1:5" x14ac:dyDescent="0.25">
      <c r="A66" s="7" t="s">
        <v>167</v>
      </c>
      <c r="B66" s="12">
        <v>6100</v>
      </c>
      <c r="C66" s="12">
        <v>1200</v>
      </c>
      <c r="D66" s="1">
        <v>5</v>
      </c>
      <c r="E66" s="118">
        <f>IF(ISERROR((B66-C66)/D66),0,(B66*Constantes!$B$26-C66*Constantes!$B$30)/D66)</f>
        <v>33440</v>
      </c>
    </row>
    <row r="67" spans="1:5" x14ac:dyDescent="0.25">
      <c r="A67" s="7" t="s">
        <v>26</v>
      </c>
      <c r="B67" s="12">
        <v>290</v>
      </c>
      <c r="C67" s="12">
        <v>96</v>
      </c>
      <c r="D67" s="1">
        <v>5</v>
      </c>
      <c r="E67" s="118">
        <f>IF(ISERROR((B67-C67)/D67),0,(B67*Constantes!$B$26-C67*Constantes!$B$30)/D67)</f>
        <v>1091.2</v>
      </c>
    </row>
    <row r="68" spans="1:5" x14ac:dyDescent="0.25">
      <c r="A68" s="7" t="s">
        <v>168</v>
      </c>
      <c r="B68" s="12">
        <v>99</v>
      </c>
      <c r="C68" s="12">
        <v>24</v>
      </c>
      <c r="D68" s="1">
        <v>5</v>
      </c>
      <c r="E68" s="118">
        <f>IF(ISERROR((B68-C68)/D68),0,(B68*Constantes!$B$26-C68*Constantes!$B$30)/D68)</f>
        <v>484.8</v>
      </c>
    </row>
    <row r="69" spans="1:5" x14ac:dyDescent="0.25">
      <c r="A69" s="7" t="s">
        <v>178</v>
      </c>
      <c r="B69" s="12">
        <v>125</v>
      </c>
      <c r="C69" s="12">
        <v>30</v>
      </c>
      <c r="D69" s="1">
        <v>10</v>
      </c>
      <c r="E69" s="118">
        <f>IF(ISERROR((B69-C69)/D69),0,(B69*Constantes!$B$26-C69*Constantes!$B$30)/D69)</f>
        <v>308</v>
      </c>
    </row>
    <row r="70" spans="1:5" x14ac:dyDescent="0.25">
      <c r="A70" s="117" t="s">
        <v>179</v>
      </c>
      <c r="B70" s="12">
        <v>95</v>
      </c>
      <c r="C70" s="12">
        <v>30</v>
      </c>
      <c r="D70" s="1">
        <v>10</v>
      </c>
      <c r="E70" s="118">
        <f>IF(ISERROR((B70-C70)/D70),0,(B70*Constantes!$B$26-C70*Constantes!$B$30)/D70)</f>
        <v>188</v>
      </c>
    </row>
    <row r="71" spans="1:5" x14ac:dyDescent="0.25">
      <c r="A71" s="117" t="s">
        <v>180</v>
      </c>
      <c r="B71" s="12">
        <v>27</v>
      </c>
      <c r="C71" s="12">
        <v>5</v>
      </c>
      <c r="D71" s="1">
        <v>5</v>
      </c>
      <c r="E71" s="118">
        <f>IF(ISERROR((B71-C71)/D71),0,(B71*Constantes!$B$26-C71*Constantes!$B$30)/D71)</f>
        <v>152</v>
      </c>
    </row>
    <row r="72" spans="1:5" x14ac:dyDescent="0.25">
      <c r="A72" s="7" t="s">
        <v>169</v>
      </c>
      <c r="B72" s="12">
        <v>148</v>
      </c>
      <c r="C72" s="12">
        <v>58</v>
      </c>
      <c r="D72" s="1">
        <v>10</v>
      </c>
      <c r="E72" s="118">
        <f>IF(ISERROR((B72-C72)/D72),0,(B72*Constantes!$B$26-C72*Constantes!$B$30)/D72)</f>
        <v>220.8</v>
      </c>
    </row>
    <row r="73" spans="1:5" x14ac:dyDescent="0.25">
      <c r="A73" s="7" t="s">
        <v>170</v>
      </c>
      <c r="B73" s="12">
        <v>36</v>
      </c>
      <c r="C73" s="12">
        <v>12</v>
      </c>
      <c r="D73" s="1">
        <v>5</v>
      </c>
      <c r="E73" s="118">
        <f>IF(ISERROR((B73-C73)/D73),0,(B73*Constantes!$B$26-C73*Constantes!$B$30)/D73)</f>
        <v>134.4</v>
      </c>
    </row>
    <row r="74" spans="1:5" x14ac:dyDescent="0.25">
      <c r="A74" s="7" t="s">
        <v>171</v>
      </c>
      <c r="B74" s="12">
        <v>79</v>
      </c>
      <c r="C74" s="12">
        <v>20</v>
      </c>
      <c r="D74" s="1">
        <v>5</v>
      </c>
      <c r="E74" s="118">
        <f>IF(ISERROR((B74-C74)/D74),0,(B74*Constantes!$B$26-C74*Constantes!$B$30)/D74)</f>
        <v>376</v>
      </c>
    </row>
    <row r="75" spans="1:5" x14ac:dyDescent="0.25">
      <c r="A75" s="7" t="s">
        <v>172</v>
      </c>
      <c r="B75" s="12">
        <v>99</v>
      </c>
      <c r="C75" s="12">
        <v>34</v>
      </c>
      <c r="D75" s="1">
        <v>5</v>
      </c>
      <c r="E75" s="118">
        <f>IF(ISERROR((B75-C75)/D75),0,(B75*Constantes!$B$26-C75*Constantes!$B$30)/D75)</f>
        <v>356.8</v>
      </c>
    </row>
    <row r="76" spans="1:5" x14ac:dyDescent="0.25">
      <c r="A76" s="7" t="s">
        <v>173</v>
      </c>
      <c r="B76" s="12">
        <v>100</v>
      </c>
      <c r="C76" s="12">
        <v>32</v>
      </c>
      <c r="D76" s="1">
        <v>10</v>
      </c>
      <c r="E76" s="118">
        <f>IF(ISERROR((B76-C76)/D76),0,(B76*Constantes!$B$26-C76*Constantes!$B$30)/D76)</f>
        <v>195.2</v>
      </c>
    </row>
    <row r="77" spans="1:5" x14ac:dyDescent="0.25">
      <c r="A77" s="7" t="s">
        <v>174</v>
      </c>
      <c r="B77" s="12">
        <v>15</v>
      </c>
      <c r="C77" s="12">
        <v>2</v>
      </c>
      <c r="D77" s="1">
        <v>5</v>
      </c>
      <c r="E77" s="118">
        <f>IF(ISERROR((B77-C77)/D77),0,(B77*Constantes!$B$26-C77*Constantes!$B$30)/D77)</f>
        <v>94.4</v>
      </c>
    </row>
    <row r="78" spans="1:5" x14ac:dyDescent="0.25">
      <c r="A78" s="7" t="s">
        <v>175</v>
      </c>
      <c r="B78" s="12">
        <v>50</v>
      </c>
      <c r="C78" s="12">
        <v>10</v>
      </c>
      <c r="D78" s="1">
        <v>5</v>
      </c>
      <c r="E78" s="118">
        <f>IF(ISERROR((B78-C78)/D78),0,(B78*Constantes!$B$26-C78*Constantes!$B$30)/D78)</f>
        <v>272</v>
      </c>
    </row>
    <row r="79" spans="1:5" x14ac:dyDescent="0.25">
      <c r="A79" s="7" t="s">
        <v>176</v>
      </c>
      <c r="B79" s="12">
        <v>235</v>
      </c>
      <c r="C79" s="12">
        <v>0</v>
      </c>
      <c r="D79" s="1">
        <v>4</v>
      </c>
      <c r="E79" s="118">
        <v>0</v>
      </c>
    </row>
    <row r="80" spans="1:5" x14ac:dyDescent="0.25">
      <c r="A80" s="7" t="s">
        <v>177</v>
      </c>
      <c r="B80" s="12">
        <v>349</v>
      </c>
      <c r="C80" s="12">
        <v>0</v>
      </c>
      <c r="D80" s="1">
        <v>5</v>
      </c>
      <c r="E80" s="118">
        <v>0</v>
      </c>
    </row>
    <row r="81" spans="1:5" x14ac:dyDescent="0.25">
      <c r="A81" s="7"/>
      <c r="B81" s="12"/>
      <c r="C81" s="12"/>
      <c r="D81" s="1"/>
      <c r="E81" s="17"/>
    </row>
    <row r="82" spans="1:5" x14ac:dyDescent="0.25">
      <c r="A82" s="7"/>
      <c r="B82" s="12"/>
      <c r="C82" s="12"/>
      <c r="D82" s="1"/>
      <c r="E82" s="17"/>
    </row>
    <row r="83" spans="1:5" x14ac:dyDescent="0.25">
      <c r="A83" s="7"/>
      <c r="B83" s="12"/>
      <c r="C83" s="12"/>
      <c r="D83" s="1"/>
      <c r="E83" s="17"/>
    </row>
    <row r="84" spans="1:5" x14ac:dyDescent="0.25">
      <c r="A84" s="7"/>
      <c r="B84" s="12"/>
      <c r="C84" s="12"/>
      <c r="D84" s="1"/>
      <c r="E84" s="17"/>
    </row>
    <row r="85" spans="1:5" x14ac:dyDescent="0.25">
      <c r="A85" s="7"/>
      <c r="B85" s="12"/>
      <c r="C85" s="12"/>
      <c r="D85" s="1"/>
      <c r="E85" s="17"/>
    </row>
    <row r="86" spans="1:5" ht="15.75" thickBot="1" x14ac:dyDescent="0.3">
      <c r="A86" s="14"/>
      <c r="B86" s="18"/>
      <c r="C86" s="18"/>
      <c r="D86" s="19"/>
      <c r="E86" s="20"/>
    </row>
  </sheetData>
  <mergeCells count="16">
    <mergeCell ref="A1:I1"/>
    <mergeCell ref="A56:B56"/>
    <mergeCell ref="A17:D17"/>
    <mergeCell ref="A4:B4"/>
    <mergeCell ref="C5:C7"/>
    <mergeCell ref="C3:D3"/>
    <mergeCell ref="A24:B24"/>
    <mergeCell ref="C26:C30"/>
    <mergeCell ref="C37:C38"/>
    <mergeCell ref="A18:B18"/>
    <mergeCell ref="A19:B19"/>
    <mergeCell ref="A20:B20"/>
    <mergeCell ref="A21:B21"/>
    <mergeCell ref="A22:B22"/>
    <mergeCell ref="A34:B34"/>
    <mergeCell ref="C56:E5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
  <sheetViews>
    <sheetView tabSelected="1" zoomScale="70" zoomScaleNormal="70" workbookViewId="0">
      <selection activeCell="L2" sqref="L2"/>
    </sheetView>
  </sheetViews>
  <sheetFormatPr baseColWidth="10" defaultRowHeight="15" x14ac:dyDescent="0.25"/>
  <cols>
    <col min="1" max="1" width="26.28515625" bestFit="1" customWidth="1"/>
    <col min="2" max="2" width="25" customWidth="1"/>
    <col min="3" max="3" width="31.7109375" customWidth="1"/>
    <col min="4" max="4" width="32.5703125" customWidth="1"/>
    <col min="5" max="5" width="40" customWidth="1"/>
    <col min="6" max="6" width="52.28515625" customWidth="1"/>
    <col min="7" max="7" width="40" customWidth="1"/>
  </cols>
  <sheetData>
    <row r="1" spans="1:9" ht="117" customHeight="1" thickBot="1" x14ac:dyDescent="0.3">
      <c r="A1" s="179" t="s">
        <v>103</v>
      </c>
      <c r="B1" s="180"/>
      <c r="C1" s="180"/>
      <c r="D1" s="180"/>
      <c r="E1" s="180"/>
      <c r="F1" s="180"/>
      <c r="G1" s="180"/>
      <c r="H1" s="180"/>
      <c r="I1" s="181"/>
    </row>
    <row r="2" spans="1:9" ht="15.75" thickBot="1" x14ac:dyDescent="0.3"/>
    <row r="3" spans="1:9" ht="19.5" thickBot="1" x14ac:dyDescent="0.35">
      <c r="A3" s="168" t="s">
        <v>104</v>
      </c>
      <c r="B3" s="169"/>
      <c r="C3" s="169"/>
      <c r="D3" s="169"/>
      <c r="E3" s="169"/>
      <c r="F3" s="169"/>
      <c r="G3" s="170"/>
    </row>
    <row r="4" spans="1:9" ht="15.75" thickBot="1" x14ac:dyDescent="0.3">
      <c r="A4" s="110" t="s">
        <v>106</v>
      </c>
      <c r="B4" s="198" t="s">
        <v>107</v>
      </c>
      <c r="C4" s="199"/>
      <c r="D4" s="199"/>
      <c r="E4" s="199"/>
      <c r="F4" s="199"/>
      <c r="G4" s="200"/>
    </row>
    <row r="5" spans="1:9" ht="15.75" thickBot="1" x14ac:dyDescent="0.3">
      <c r="A5" s="110" t="s">
        <v>108</v>
      </c>
      <c r="B5" s="201" t="s">
        <v>109</v>
      </c>
      <c r="C5" s="201"/>
      <c r="D5" s="201"/>
      <c r="E5" s="201"/>
      <c r="F5" s="201"/>
      <c r="G5" s="202"/>
    </row>
    <row r="6" spans="1:9" ht="15.75" thickBot="1" x14ac:dyDescent="0.3">
      <c r="A6" s="110" t="s">
        <v>110</v>
      </c>
      <c r="B6" s="201" t="s">
        <v>126</v>
      </c>
      <c r="C6" s="201"/>
      <c r="D6" s="201"/>
      <c r="E6" s="201"/>
      <c r="F6" s="201"/>
      <c r="G6" s="202"/>
    </row>
    <row r="7" spans="1:9" ht="15.75" thickBot="1" x14ac:dyDescent="0.3">
      <c r="A7" s="110" t="s">
        <v>127</v>
      </c>
      <c r="B7" s="201" t="s">
        <v>128</v>
      </c>
      <c r="C7" s="201"/>
      <c r="D7" s="201"/>
      <c r="E7" s="201"/>
      <c r="F7" s="201"/>
      <c r="G7" s="202"/>
    </row>
    <row r="8" spans="1:9" ht="15.75" thickBot="1" x14ac:dyDescent="0.3">
      <c r="A8" s="110" t="s">
        <v>129</v>
      </c>
      <c r="B8" s="201" t="s">
        <v>130</v>
      </c>
      <c r="C8" s="201"/>
      <c r="D8" s="201"/>
      <c r="E8" s="201"/>
      <c r="F8" s="201"/>
      <c r="G8" s="202"/>
    </row>
    <row r="9" spans="1:9" ht="15.75" thickBot="1" x14ac:dyDescent="0.3">
      <c r="A9" s="110" t="s">
        <v>131</v>
      </c>
      <c r="B9" s="201" t="s">
        <v>132</v>
      </c>
      <c r="C9" s="201"/>
      <c r="D9" s="201"/>
      <c r="E9" s="201"/>
      <c r="F9" s="201"/>
      <c r="G9" s="202"/>
    </row>
    <row r="10" spans="1:9" ht="15.75" thickBot="1" x14ac:dyDescent="0.3">
      <c r="A10" s="110" t="s">
        <v>133</v>
      </c>
      <c r="B10" s="205" t="s">
        <v>135</v>
      </c>
      <c r="C10" s="201"/>
      <c r="D10" s="201"/>
      <c r="E10" s="201"/>
      <c r="F10" s="201"/>
      <c r="G10" s="202"/>
    </row>
    <row r="11" spans="1:9" ht="15.75" thickBot="1" x14ac:dyDescent="0.3">
      <c r="A11" s="110" t="s">
        <v>136</v>
      </c>
      <c r="B11" s="201" t="s">
        <v>137</v>
      </c>
      <c r="C11" s="201"/>
      <c r="D11" s="201"/>
      <c r="E11" s="201"/>
      <c r="F11" s="201"/>
      <c r="G11" s="202"/>
    </row>
    <row r="12" spans="1:9" ht="15.75" thickBot="1" x14ac:dyDescent="0.3">
      <c r="A12" s="110" t="s">
        <v>138</v>
      </c>
      <c r="B12" s="201" t="s">
        <v>139</v>
      </c>
      <c r="C12" s="201"/>
      <c r="D12" s="201"/>
      <c r="E12" s="201"/>
      <c r="F12" s="201"/>
      <c r="G12" s="202"/>
    </row>
    <row r="13" spans="1:9" ht="15.75" thickBot="1" x14ac:dyDescent="0.3">
      <c r="A13" s="110" t="s">
        <v>140</v>
      </c>
      <c r="B13" s="205" t="s">
        <v>141</v>
      </c>
      <c r="C13" s="201"/>
      <c r="D13" s="201"/>
      <c r="E13" s="201"/>
      <c r="F13" s="201"/>
      <c r="G13" s="202"/>
    </row>
    <row r="14" spans="1:9" ht="15.75" thickBot="1" x14ac:dyDescent="0.3">
      <c r="A14" s="110" t="s">
        <v>142</v>
      </c>
      <c r="B14" s="205" t="s">
        <v>143</v>
      </c>
      <c r="C14" s="201"/>
      <c r="D14" s="201"/>
      <c r="E14" s="201"/>
      <c r="F14" s="201"/>
      <c r="G14" s="202"/>
    </row>
    <row r="15" spans="1:9" ht="15.75" thickBot="1" x14ac:dyDescent="0.3">
      <c r="A15" s="110" t="s">
        <v>144</v>
      </c>
      <c r="B15" s="203" t="s">
        <v>146</v>
      </c>
      <c r="C15" s="203"/>
      <c r="D15" s="203"/>
      <c r="E15" s="203"/>
      <c r="F15" s="203"/>
      <c r="G15" s="204"/>
    </row>
  </sheetData>
  <mergeCells count="14">
    <mergeCell ref="B15:G15"/>
    <mergeCell ref="B13:G13"/>
    <mergeCell ref="B12:G12"/>
    <mergeCell ref="B14:G14"/>
    <mergeCell ref="B5:G5"/>
    <mergeCell ref="B10:G10"/>
    <mergeCell ref="B11:G11"/>
    <mergeCell ref="B8:G8"/>
    <mergeCell ref="B9:G9"/>
    <mergeCell ref="A3:G3"/>
    <mergeCell ref="A1:I1"/>
    <mergeCell ref="B4:G4"/>
    <mergeCell ref="B6:G6"/>
    <mergeCell ref="B7:G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Formula</vt:lpstr>
      <vt:lpstr>Tablas Calculadas </vt:lpstr>
      <vt:lpstr>Constantes</vt:lpstr>
      <vt:lpstr>Observaciones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cp:lastPrinted>2019-08-20T16:05:19Z</cp:lastPrinted>
  <dcterms:created xsi:type="dcterms:W3CDTF">2019-08-20T12:38:20Z</dcterms:created>
  <dcterms:modified xsi:type="dcterms:W3CDTF">2019-09-23T12:35:18Z</dcterms:modified>
</cp:coreProperties>
</file>