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Daniel\Desktop\ProyectoFinal2019-\Actividades\Femp03011\"/>
    </mc:Choice>
  </mc:AlternateContent>
  <xr:revisionPtr revIDLastSave="0" documentId="13_ncr:1_{2954B9E6-C5AE-46D5-8D11-CB78C0DDFACC}" xr6:coauthVersionLast="45" xr6:coauthVersionMax="45" xr10:uidLastSave="{00000000-0000-0000-0000-000000000000}"/>
  <bookViews>
    <workbookView xWindow="-120" yWindow="-120" windowWidth="29040" windowHeight="15840" activeTab="1" xr2:uid="{00000000-000D-0000-FFFF-FFFF00000000}"/>
  </bookViews>
  <sheets>
    <sheet name="Formula" sheetId="1" r:id="rId1"/>
    <sheet name="Tablas Calculadas " sheetId="2" r:id="rId2"/>
    <sheet name="Constantes" sheetId="3" r:id="rId3"/>
    <sheet name="Observacione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4" i="1" l="1"/>
  <c r="I62" i="3"/>
  <c r="B48" i="3"/>
  <c r="B47" i="3"/>
  <c r="I85" i="3" l="1"/>
  <c r="I88" i="3"/>
  <c r="I89" i="3"/>
  <c r="H85" i="3"/>
  <c r="H86" i="3"/>
  <c r="I86" i="3" s="1"/>
  <c r="H87" i="3"/>
  <c r="I87" i="3" s="1"/>
  <c r="H88" i="3"/>
  <c r="H89" i="3"/>
  <c r="H90" i="3"/>
  <c r="I90" i="3" s="1"/>
  <c r="H62" i="3"/>
  <c r="F62" i="3"/>
  <c r="F63" i="3"/>
  <c r="F64" i="3"/>
  <c r="H64" i="3" s="1"/>
  <c r="F65" i="3"/>
  <c r="F66" i="3"/>
  <c r="F67" i="3"/>
  <c r="H67" i="3" s="1"/>
  <c r="F68" i="3"/>
  <c r="H68" i="3" s="1"/>
  <c r="I68" i="3" s="1"/>
  <c r="F69" i="3"/>
  <c r="F70" i="3"/>
  <c r="F71" i="3"/>
  <c r="F72" i="3"/>
  <c r="H72" i="3" s="1"/>
  <c r="I72" i="3" s="1"/>
  <c r="F73" i="3"/>
  <c r="F74" i="3"/>
  <c r="F75" i="3"/>
  <c r="H75" i="3" s="1"/>
  <c r="F76" i="3"/>
  <c r="H76" i="3" s="1"/>
  <c r="I76" i="3" s="1"/>
  <c r="F77" i="3"/>
  <c r="F78" i="3"/>
  <c r="F79" i="3"/>
  <c r="F80" i="3"/>
  <c r="H80" i="3" s="1"/>
  <c r="I80" i="3" s="1"/>
  <c r="F81" i="3"/>
  <c r="F82" i="3"/>
  <c r="F83" i="3"/>
  <c r="H83" i="3" s="1"/>
  <c r="F84" i="3"/>
  <c r="H84" i="3" s="1"/>
  <c r="I84" i="3" s="1"/>
  <c r="E68" i="3"/>
  <c r="G68" i="3" s="1"/>
  <c r="E63" i="3"/>
  <c r="G63" i="3" s="1"/>
  <c r="E64" i="3"/>
  <c r="G64" i="3" s="1"/>
  <c r="I64" i="3" s="1"/>
  <c r="E65" i="3"/>
  <c r="G65" i="3" s="1"/>
  <c r="E66" i="3"/>
  <c r="G66" i="3" s="1"/>
  <c r="E67" i="3"/>
  <c r="G67" i="3" s="1"/>
  <c r="E69" i="3"/>
  <c r="G69" i="3" s="1"/>
  <c r="E70" i="3"/>
  <c r="G70" i="3" s="1"/>
  <c r="E71" i="3"/>
  <c r="G71" i="3" s="1"/>
  <c r="E72" i="3"/>
  <c r="G72" i="3" s="1"/>
  <c r="E73" i="3"/>
  <c r="G73" i="3" s="1"/>
  <c r="E74" i="3"/>
  <c r="G74" i="3" s="1"/>
  <c r="E75" i="3"/>
  <c r="G75" i="3" s="1"/>
  <c r="E76" i="3"/>
  <c r="G76" i="3" s="1"/>
  <c r="E77" i="3"/>
  <c r="G77" i="3" s="1"/>
  <c r="E78" i="3"/>
  <c r="G78" i="3" s="1"/>
  <c r="E79" i="3"/>
  <c r="G79" i="3" s="1"/>
  <c r="E80" i="3"/>
  <c r="G80" i="3" s="1"/>
  <c r="E81" i="3"/>
  <c r="G81" i="3" s="1"/>
  <c r="E82" i="3"/>
  <c r="G82" i="3" s="1"/>
  <c r="E83" i="3"/>
  <c r="G83" i="3" s="1"/>
  <c r="E84" i="3"/>
  <c r="G84" i="3" s="1"/>
  <c r="E85" i="3"/>
  <c r="E86" i="3"/>
  <c r="E87" i="3"/>
  <c r="E88" i="3"/>
  <c r="E89" i="3"/>
  <c r="E90" i="3"/>
  <c r="E62" i="3"/>
  <c r="G62" i="3" s="1"/>
  <c r="I82" i="3" l="1"/>
  <c r="I74" i="3"/>
  <c r="I81" i="3"/>
  <c r="I73" i="3"/>
  <c r="I65" i="3"/>
  <c r="H79" i="3"/>
  <c r="I79" i="3" s="1"/>
  <c r="H71" i="3"/>
  <c r="I71" i="3" s="1"/>
  <c r="H63" i="3"/>
  <c r="I63" i="3" s="1"/>
  <c r="I15" i="1" s="1"/>
  <c r="F13" i="1"/>
  <c r="H82" i="3"/>
  <c r="H78" i="3"/>
  <c r="I78" i="3" s="1"/>
  <c r="H74" i="3"/>
  <c r="H70" i="3"/>
  <c r="I70" i="3" s="1"/>
  <c r="H66" i="3"/>
  <c r="I66" i="3" s="1"/>
  <c r="I83" i="3"/>
  <c r="I75" i="3"/>
  <c r="I67" i="3"/>
  <c r="I9" i="1"/>
  <c r="G13" i="1"/>
  <c r="H81" i="3"/>
  <c r="H77" i="3"/>
  <c r="I77" i="3" s="1"/>
  <c r="H73" i="3"/>
  <c r="H69" i="3"/>
  <c r="I69" i="3" s="1"/>
  <c r="H65" i="3"/>
  <c r="E9" i="1"/>
  <c r="H9" i="1"/>
  <c r="H13" i="1"/>
  <c r="G9" i="1"/>
  <c r="F9" i="1"/>
  <c r="E13" i="1"/>
  <c r="B46" i="3"/>
  <c r="B45" i="3"/>
  <c r="B44" i="3"/>
  <c r="B43" i="3"/>
  <c r="C25" i="3"/>
  <c r="C38" i="2"/>
  <c r="C32" i="2"/>
  <c r="C26" i="2"/>
  <c r="C25" i="2"/>
  <c r="C56" i="2"/>
  <c r="C55" i="2"/>
  <c r="C54" i="2"/>
  <c r="B77" i="2"/>
  <c r="B76" i="2"/>
  <c r="B75" i="2"/>
  <c r="B73" i="2"/>
  <c r="B72" i="2"/>
  <c r="B65" i="2"/>
  <c r="B26" i="2" s="1"/>
  <c r="B64" i="2"/>
  <c r="B25" i="2" s="1"/>
  <c r="E26" i="2" l="1"/>
  <c r="B38" i="2"/>
  <c r="E38" i="2" s="1"/>
  <c r="B32" i="2"/>
  <c r="E32" i="2" s="1"/>
  <c r="C65" i="2"/>
  <c r="D65" i="2" s="1"/>
  <c r="B37" i="2"/>
  <c r="C16" i="1"/>
  <c r="C18" i="1" s="1"/>
  <c r="I13" i="1"/>
  <c r="I8" i="1"/>
  <c r="H8" i="1"/>
  <c r="C52" i="2"/>
  <c r="C53" i="2"/>
  <c r="B74" i="2" l="1"/>
  <c r="B60" i="2" l="1"/>
  <c r="B61" i="2"/>
  <c r="E8" i="1" s="1"/>
  <c r="B62" i="2"/>
  <c r="F8" i="1" s="1"/>
  <c r="B63" i="2"/>
  <c r="G8" i="1" s="1"/>
  <c r="B20" i="2"/>
  <c r="C21" i="2"/>
  <c r="C22" i="2"/>
  <c r="C23" i="2"/>
  <c r="C24" i="2"/>
  <c r="E25" i="2"/>
  <c r="C27" i="2"/>
  <c r="C28" i="2"/>
  <c r="C29" i="2"/>
  <c r="C30" i="2"/>
  <c r="C31" i="2"/>
  <c r="C33" i="2"/>
  <c r="C34" i="2"/>
  <c r="C35" i="2"/>
  <c r="C36" i="2"/>
  <c r="C37" i="2"/>
  <c r="C39" i="2"/>
  <c r="C40" i="2"/>
  <c r="C41" i="2"/>
  <c r="C42" i="2"/>
  <c r="C43" i="2"/>
  <c r="C44" i="2"/>
  <c r="C45" i="2"/>
  <c r="C46" i="2"/>
  <c r="C47" i="2"/>
  <c r="C48" i="2"/>
  <c r="C49" i="2"/>
  <c r="C50" i="2"/>
  <c r="C51" i="2"/>
  <c r="C64" i="2" s="1"/>
  <c r="H7" i="1" s="1"/>
  <c r="C61" i="2" l="1"/>
  <c r="E7" i="1" s="1"/>
  <c r="B56" i="2"/>
  <c r="E56" i="2" s="1"/>
  <c r="B54" i="2"/>
  <c r="E54" i="2" s="1"/>
  <c r="B55" i="2"/>
  <c r="E55" i="2" s="1"/>
  <c r="B66" i="2"/>
  <c r="D64" i="2"/>
  <c r="C63" i="2"/>
  <c r="G7" i="1" s="1"/>
  <c r="C60" i="2"/>
  <c r="C62" i="2"/>
  <c r="D61" i="2" l="1"/>
  <c r="D62" i="2"/>
  <c r="F7" i="1"/>
  <c r="D63" i="2"/>
  <c r="D60" i="2"/>
  <c r="C66" i="2"/>
  <c r="D66" i="2" s="1"/>
  <c r="B34" i="2" l="1"/>
  <c r="E34" i="2" s="1"/>
  <c r="B43" i="2"/>
  <c r="E43" i="2" s="1"/>
  <c r="B44" i="2"/>
  <c r="E44" i="2" s="1"/>
  <c r="B22" i="2"/>
  <c r="E22" i="2" s="1"/>
  <c r="B42" i="2"/>
  <c r="E42" i="2" s="1"/>
  <c r="B28" i="2"/>
  <c r="E28" i="2" s="1"/>
  <c r="C20" i="2"/>
  <c r="E20" i="2" s="1"/>
  <c r="B39" i="2"/>
  <c r="E39" i="2" s="1"/>
  <c r="B21" i="2"/>
  <c r="E21" i="2" s="1"/>
  <c r="B40" i="2"/>
  <c r="E40" i="2" s="1"/>
  <c r="B27" i="2"/>
  <c r="E27" i="2" s="1"/>
  <c r="B41" i="2"/>
  <c r="E41" i="2" s="1"/>
  <c r="B33" i="2"/>
  <c r="E33" i="2" s="1"/>
  <c r="I7" i="2" l="1"/>
  <c r="I12" i="2"/>
  <c r="I6" i="1" s="1"/>
  <c r="B29" i="2"/>
  <c r="E29" i="2" s="1"/>
  <c r="B47" i="2"/>
  <c r="E47" i="2" s="1"/>
  <c r="B35" i="2"/>
  <c r="E35" i="2" s="1"/>
  <c r="B45" i="2"/>
  <c r="E45" i="2" s="1"/>
  <c r="B23" i="2"/>
  <c r="E23" i="2" s="1"/>
  <c r="B46" i="2"/>
  <c r="E46" i="2" s="1"/>
  <c r="B24" i="2"/>
  <c r="E24" i="2" s="1"/>
  <c r="B50" i="2"/>
  <c r="E50" i="2" s="1"/>
  <c r="B30" i="2"/>
  <c r="E30" i="2" s="1"/>
  <c r="B48" i="2"/>
  <c r="E48" i="2" s="1"/>
  <c r="B36" i="2"/>
  <c r="E36" i="2" s="1"/>
  <c r="B49" i="2"/>
  <c r="E49" i="2" s="1"/>
  <c r="B51" i="2"/>
  <c r="E51" i="2" s="1"/>
  <c r="B52" i="2"/>
  <c r="E52" i="2" s="1"/>
  <c r="B31" i="2"/>
  <c r="E31" i="2" s="1"/>
  <c r="B53" i="2"/>
  <c r="E53" i="2" s="1"/>
  <c r="E37" i="2"/>
  <c r="I11" i="2" l="1"/>
  <c r="C13" i="2"/>
  <c r="D13" i="2"/>
  <c r="B13" i="2"/>
  <c r="I10" i="2"/>
  <c r="I9" i="2"/>
  <c r="I8" i="2"/>
  <c r="E6" i="1" l="1"/>
  <c r="E10" i="1" s="1"/>
  <c r="F6" i="1"/>
  <c r="F10" i="1" s="1"/>
  <c r="F11" i="1" s="1"/>
  <c r="F12" i="1" s="1"/>
  <c r="F16" i="1" s="1"/>
  <c r="F18" i="1" s="1"/>
  <c r="G6" i="1"/>
  <c r="G10" i="1" s="1"/>
  <c r="G11" i="1" s="1"/>
  <c r="G12" i="1" s="1"/>
  <c r="G16" i="1" s="1"/>
  <c r="G18" i="1" s="1"/>
  <c r="H6" i="1"/>
  <c r="H10" i="1" s="1"/>
  <c r="H11" i="1" s="1"/>
  <c r="H12" i="1" s="1"/>
  <c r="H16" i="1" s="1"/>
  <c r="H18" i="1" s="1"/>
  <c r="I13" i="2"/>
  <c r="H13" i="2"/>
  <c r="G13" i="2"/>
  <c r="E11" i="1" l="1"/>
  <c r="E12" i="1" s="1"/>
  <c r="F13" i="2"/>
  <c r="E13" i="2"/>
  <c r="I7" i="1" s="1"/>
  <c r="I10" i="1" s="1"/>
  <c r="I11" i="1" l="1"/>
  <c r="I12" i="1" s="1"/>
  <c r="I16" i="1" s="1"/>
  <c r="E16" i="1"/>
  <c r="E18" i="1" s="1"/>
  <c r="I18" i="1" l="1"/>
</calcChain>
</file>

<file path=xl/sharedStrings.xml><?xml version="1.0" encoding="utf-8"?>
<sst xmlns="http://schemas.openxmlformats.org/spreadsheetml/2006/main" count="230" uniqueCount="190">
  <si>
    <t xml:space="preserve">Ventas: </t>
  </si>
  <si>
    <t>Año 0</t>
  </si>
  <si>
    <t>Año 1</t>
  </si>
  <si>
    <t>Año 2</t>
  </si>
  <si>
    <t>Año 3</t>
  </si>
  <si>
    <t>Año 4</t>
  </si>
  <si>
    <t xml:space="preserve">Venta del Software </t>
  </si>
  <si>
    <t xml:space="preserve">Totales: </t>
  </si>
  <si>
    <t xml:space="preserve">Precio de cada tipo de venta </t>
  </si>
  <si>
    <t xml:space="preserve">Precio = (Costos fijos + Costos variables) + Utilidad </t>
  </si>
  <si>
    <t xml:space="preserve">Cotos variables </t>
  </si>
  <si>
    <t xml:space="preserve">Total </t>
  </si>
  <si>
    <t xml:space="preserve">Costos operativos </t>
  </si>
  <si>
    <t>Costos fijos</t>
  </si>
  <si>
    <t>Nombre del B/U</t>
  </si>
  <si>
    <t xml:space="preserve">Costo adquisicion </t>
  </si>
  <si>
    <t xml:space="preserve">Vida util </t>
  </si>
  <si>
    <t>Nombre</t>
  </si>
  <si>
    <t>Terminal</t>
  </si>
  <si>
    <t>Monitor</t>
  </si>
  <si>
    <t>Disco duro</t>
  </si>
  <si>
    <t xml:space="preserve">Router </t>
  </si>
  <si>
    <t>Utilidad (%)</t>
  </si>
  <si>
    <t>Costos Fijos (mensuales)</t>
  </si>
  <si>
    <t>Arquiler</t>
  </si>
  <si>
    <t xml:space="preserve">Seguridad </t>
  </si>
  <si>
    <t>MPLS</t>
  </si>
  <si>
    <t>Total</t>
  </si>
  <si>
    <t xml:space="preserve">Aumeno anual(%) </t>
  </si>
  <si>
    <t>Valor (US$)</t>
  </si>
  <si>
    <t xml:space="preserve">Cotisacion del dólar </t>
  </si>
  <si>
    <t>Año</t>
  </si>
  <si>
    <t xml:space="preserve">Amortizacion de los bienes de uso </t>
  </si>
  <si>
    <t xml:space="preserve">Salario esperado para los socios por hora </t>
  </si>
  <si>
    <t>Numero de horas trabajados por dia</t>
  </si>
  <si>
    <t>Numeros de dias trabajados por mes</t>
  </si>
  <si>
    <t>Costos variables (Constantes)</t>
  </si>
  <si>
    <t xml:space="preserve">Numero de socios </t>
  </si>
  <si>
    <t xml:space="preserve">Costo salarial total por mes durante año 0 </t>
  </si>
  <si>
    <t>Costo salarial total por mes durante año 1</t>
  </si>
  <si>
    <t>Costo salarial total por mes durante año 2</t>
  </si>
  <si>
    <t>Costo salarial total por mes durante año 3</t>
  </si>
  <si>
    <t>Costo salarial total por mes durante año 4</t>
  </si>
  <si>
    <t xml:space="preserve">Totales Por año </t>
  </si>
  <si>
    <t xml:space="preserve">Total anual </t>
  </si>
  <si>
    <t>Electricidad</t>
  </si>
  <si>
    <t>Instalacion del hardware  (plan economico)</t>
  </si>
  <si>
    <t>Instalacion del hardware  (plan recomendado )</t>
  </si>
  <si>
    <t>Instalacion del hardware  (plan premiun)</t>
  </si>
  <si>
    <t>Venta del Software (7 meses)</t>
  </si>
  <si>
    <t>Instalacion del hardware Recomendado (2 meses)    AÑO 0</t>
  </si>
  <si>
    <t>Instalacion del hardware Recomendado (2 meses)    AÑO 1</t>
  </si>
  <si>
    <t>Instalacion del hardware Recomendado (2 meses)    AÑO 2</t>
  </si>
  <si>
    <t>Instalacion del hardware Economico (2 meses)         AÑO 3</t>
  </si>
  <si>
    <t>Instalacion del hardware Economico (2 meses)         AÑO 4</t>
  </si>
  <si>
    <t xml:space="preserve">Planes para el equipamiento </t>
  </si>
  <si>
    <t xml:space="preserve">Economico </t>
  </si>
  <si>
    <t xml:space="preserve">Recomendando </t>
  </si>
  <si>
    <t xml:space="preserve">Premiun </t>
  </si>
  <si>
    <t>OSE</t>
  </si>
  <si>
    <t xml:space="preserve">Seguro </t>
  </si>
  <si>
    <t>BSE</t>
  </si>
  <si>
    <t xml:space="preserve">BPS patronal </t>
  </si>
  <si>
    <t xml:space="preserve">Fonasa </t>
  </si>
  <si>
    <t>SemiCompleto</t>
  </si>
  <si>
    <t xml:space="preserve">Completo </t>
  </si>
  <si>
    <t xml:space="preserve">Planes de soporte (Durante un mes) </t>
  </si>
  <si>
    <t>Instalacion del hardware Premiun (2 meses)               AÑO 0</t>
  </si>
  <si>
    <t>Instalacion del hardware Economico (2 meses)          AÑO 1</t>
  </si>
  <si>
    <t>Instalacion del hardware Economico (2 meses)          AÑO 0</t>
  </si>
  <si>
    <t>Instalacion del hardware Premiun (2 meses)               AÑO 1</t>
  </si>
  <si>
    <t>Instalacion del hardware Economico (2 meses)          AÑO 2</t>
  </si>
  <si>
    <t>Instalacion del hardware Premiun (2 meses)               AÑO 2</t>
  </si>
  <si>
    <t>Instalacion del hardware Recomendado (2 meses)   AÑO 3</t>
  </si>
  <si>
    <t>Instalacion del hardware Premiun (2 meses)              AÑO 3</t>
  </si>
  <si>
    <t>Instalacion del hardware Recomendado (2 meses)   AÑO 4</t>
  </si>
  <si>
    <t>Instalacion del hardware Premiun (2 meses)              AÑO 4</t>
  </si>
  <si>
    <t>Basico</t>
  </si>
  <si>
    <t>Aumento del la hora de trabajo por dia no laborable</t>
  </si>
  <si>
    <t>Nº de dias no laborables trabajados</t>
  </si>
  <si>
    <t>Dias laborables trabajados</t>
  </si>
  <si>
    <t>Horas de trabajo entre todos los empleados por dia</t>
  </si>
  <si>
    <t xml:space="preserve">Costo de venta de la hora de trabajo </t>
  </si>
  <si>
    <t>Soporte Basico</t>
  </si>
  <si>
    <t>Soporte SemiCompleto</t>
  </si>
  <si>
    <t xml:space="preserve">Soporte Completo </t>
  </si>
  <si>
    <t xml:space="preserve">Año 1 </t>
  </si>
  <si>
    <t xml:space="preserve">Año 3 </t>
  </si>
  <si>
    <t xml:space="preserve">Año 2 </t>
  </si>
  <si>
    <t xml:space="preserve">Salario Extra calculado por dia no laboral </t>
  </si>
  <si>
    <t>Observaciones</t>
  </si>
  <si>
    <t>Obj1</t>
  </si>
  <si>
    <t>Ya que no tiene sentido que nuestra compañía no desarrolle el proyecto, se considera como 0</t>
  </si>
  <si>
    <t>Obj2</t>
  </si>
  <si>
    <t xml:space="preserve">En esta tabla se marcan las cantidades de cada producto venido a lo largo de cada año </t>
  </si>
  <si>
    <t>Obj3</t>
  </si>
  <si>
    <t>Soporte Basico Año 0</t>
  </si>
  <si>
    <t>Soporte Basico Año 1</t>
  </si>
  <si>
    <t>Soporte Basico Año 2</t>
  </si>
  <si>
    <t>Soporte Basico Año 3</t>
  </si>
  <si>
    <t>Soporte Basico Año 4</t>
  </si>
  <si>
    <t>Soporte SemiCompleto Año 0</t>
  </si>
  <si>
    <t>Soporte SemiCompleto Año 1</t>
  </si>
  <si>
    <t>Soporte SemiCompleto Año 2</t>
  </si>
  <si>
    <t>Soporte SemiCompleto Año 3</t>
  </si>
  <si>
    <t>Soporte SemiCompleto Año 4</t>
  </si>
  <si>
    <t>Soporte Completo  Año 0</t>
  </si>
  <si>
    <t>Soporte Completo  Año 1</t>
  </si>
  <si>
    <t>Soporte Completo  Año 2</t>
  </si>
  <si>
    <t>Soporte Completo  Año 3</t>
  </si>
  <si>
    <t>Soporte Completo  Año 4</t>
  </si>
  <si>
    <t>Con la intención de cubrir los costos fijos, de los costos operativos, cada precio de venta tiene incluido los correspondientes costos fijos a la duración del desarrollo del servicio o producto a desarrollar</t>
  </si>
  <si>
    <t>Obj4</t>
  </si>
  <si>
    <t xml:space="preserve">Se calculan estimando entre multiples precios de la plaza, no es exacto </t>
  </si>
  <si>
    <t>Obj5</t>
  </si>
  <si>
    <t xml:space="preserve">Aumento del salario de los socios, en días no laborables </t>
  </si>
  <si>
    <t>Obj6</t>
  </si>
  <si>
    <t xml:space="preserve">Presupuesto del equipamiento de hardware necesario por lo clientes para el funcionamiento del sistema  </t>
  </si>
  <si>
    <t>Obj7</t>
  </si>
  <si>
    <t>Obj 7</t>
  </si>
  <si>
    <t>Numero de dias no laborables, como sabado, domingo y feriados no laborables, los cuales los socios trabajaran. Se considera 9 dias ya que en algunos meses hay un feriado no laborable, en los que no se cobra igual para ayudar en algo a 
pagar los gastos operativos</t>
  </si>
  <si>
    <t>Obj8</t>
  </si>
  <si>
    <t xml:space="preserve">Cotización estimada por el docente durante el resto del año y 4 mas   </t>
  </si>
  <si>
    <t>Obj9</t>
  </si>
  <si>
    <t xml:space="preserve">A diferencia del salario por hora de los empleados, este valor será el cobrado a los clientes por ahora de trabajo de empleado </t>
  </si>
  <si>
    <t>Obj10</t>
  </si>
  <si>
    <t xml:space="preserve">Para no pagar horas extras de forma rutinaria, los socios primeramente solo trabajaran 8 horas y de lunes a viernes. Siendo un estimado de 4 semanas, ya que un mes no son puramente 4 semanas (7*4=28, cuando generalmente son 30/31),
 se toman 2 días laborales mas  </t>
  </si>
  <si>
    <t>Obj11</t>
  </si>
  <si>
    <t xml:space="preserve">Los socios no suelen trabajar días no laborables, pero en el caso que estén realizando un Soporte que se trabajen días no laborables, los costos operativos variables cambiaran, ya que tenemos que añadirle a ello a los salarios de los socios 
dichas horas trabajadas, con el aumento correspondiente por trabajo en días no laborables    </t>
  </si>
  <si>
    <t>Obj12</t>
  </si>
  <si>
    <t>Cotos Variables  Obj12</t>
  </si>
  <si>
    <t xml:space="preserve">Los costos variables se calculan con todos la sección tributaria, salarial y compra de equipamiento para la realización de la instalación del hardware, variando su valor en el tipo de instalación que se haga     </t>
  </si>
  <si>
    <t>Calculos</t>
  </si>
  <si>
    <t>Jubilatorio</t>
  </si>
  <si>
    <t>FRL</t>
  </si>
  <si>
    <t>Fondo de garantia de Credito Laboral</t>
  </si>
  <si>
    <t>Switch</t>
  </si>
  <si>
    <t>Cableado</t>
  </si>
  <si>
    <t>Ficha</t>
  </si>
  <si>
    <t>Rack</t>
  </si>
  <si>
    <t>Servidor</t>
  </si>
  <si>
    <t>RAM</t>
  </si>
  <si>
    <t>Mesa de reunión</t>
  </si>
  <si>
    <t>Sillas de reunión</t>
  </si>
  <si>
    <t>Proyector LED Mini</t>
  </si>
  <si>
    <t>Pantalla</t>
  </si>
  <si>
    <t>Escritorio</t>
  </si>
  <si>
    <t>Teléfonos de línea</t>
  </si>
  <si>
    <t>Sillas de oficina</t>
  </si>
  <si>
    <t>Windows Pro</t>
  </si>
  <si>
    <t>Red Hat</t>
  </si>
  <si>
    <t>Monitor (Servidor)</t>
  </si>
  <si>
    <t>UPS</t>
  </si>
  <si>
    <t>Periféricos</t>
  </si>
  <si>
    <t>valor ($)</t>
  </si>
  <si>
    <t>Año 5</t>
  </si>
  <si>
    <t>Instalacion del hardware Economico (2 meses)         AÑO 5</t>
  </si>
  <si>
    <t>Instalacion del hardware Recomendado (2 meses)   AÑO 5</t>
  </si>
  <si>
    <t>Instalacion del hardware Premiun (2 meses)              AÑO 5</t>
  </si>
  <si>
    <t>Soporte Completo  Año 5</t>
  </si>
  <si>
    <t>Soporte SemiCompleto Año 5</t>
  </si>
  <si>
    <t>Soporte Basico Año 5</t>
  </si>
  <si>
    <t>FF Corriente</t>
  </si>
  <si>
    <t>-</t>
  </si>
  <si>
    <t>∆C.V (-)</t>
  </si>
  <si>
    <t>∆C.F (-)</t>
  </si>
  <si>
    <t>∆Amortizacion (-)</t>
  </si>
  <si>
    <t>G.A.I (+)</t>
  </si>
  <si>
    <t>I.R.A.E (25%) (-)</t>
  </si>
  <si>
    <t xml:space="preserve">Flujo de fondos descondato </t>
  </si>
  <si>
    <t>G.D.I (+)</t>
  </si>
  <si>
    <t>Amortizacion (+)</t>
  </si>
  <si>
    <r>
      <t xml:space="preserve">Cotos fijos </t>
    </r>
    <r>
      <rPr>
        <b/>
        <sz val="11"/>
        <color theme="8" tint="-0.249977111117893"/>
        <rFont val="Segoe UI"/>
        <family val="2"/>
      </rPr>
      <t>(Obj3)</t>
    </r>
  </si>
  <si>
    <r>
      <t xml:space="preserve">Flujo de fondos </t>
    </r>
    <r>
      <rPr>
        <sz val="28"/>
        <color theme="1"/>
        <rFont val="Segoe UI"/>
        <family val="2"/>
      </rPr>
      <t xml:space="preserve">(Tercera entrega) </t>
    </r>
  </si>
  <si>
    <r>
      <t xml:space="preserve">Flujo de fondos </t>
    </r>
    <r>
      <rPr>
        <sz val="28"/>
        <color theme="1"/>
        <rFont val="Segoe UI"/>
        <family val="2"/>
      </rPr>
      <t xml:space="preserve"> (Tercera entrega) </t>
    </r>
  </si>
  <si>
    <r>
      <t xml:space="preserve">Flujo de fondos </t>
    </r>
    <r>
      <rPr>
        <sz val="28"/>
        <color theme="1"/>
        <rFont val="Segoe UI Semibold"/>
        <family val="2"/>
      </rPr>
      <t xml:space="preserve">(Tercera entrega) </t>
    </r>
  </si>
  <si>
    <r>
      <t>VR</t>
    </r>
    <r>
      <rPr>
        <vertAlign val="superscript"/>
        <sz val="24"/>
        <color theme="1"/>
        <rFont val="Segoe UI"/>
        <family val="2"/>
      </rPr>
      <t>+</t>
    </r>
    <r>
      <rPr>
        <vertAlign val="subscript"/>
        <sz val="24"/>
        <color theme="1"/>
        <rFont val="Segoe UI"/>
        <family val="2"/>
      </rPr>
      <t xml:space="preserve">En </t>
    </r>
    <r>
      <rPr>
        <sz val="24"/>
        <color theme="1"/>
        <rFont val="Segoe UI"/>
        <family val="2"/>
      </rPr>
      <t>(+)</t>
    </r>
  </si>
  <si>
    <r>
      <t xml:space="preserve">∆Vtas (+) </t>
    </r>
    <r>
      <rPr>
        <vertAlign val="subscript"/>
        <sz val="24"/>
        <color theme="1"/>
        <rFont val="Segoe UI"/>
        <family val="2"/>
      </rPr>
      <t>(Con reducion del 20%)</t>
    </r>
  </si>
  <si>
    <t xml:space="preserve">Precio del mercado (P) </t>
  </si>
  <si>
    <t>VNC</t>
  </si>
  <si>
    <t xml:space="preserve">Amortisacion=(costo de adquisicion - valor residual) / vida util </t>
  </si>
  <si>
    <r>
      <t>VR</t>
    </r>
    <r>
      <rPr>
        <b/>
        <vertAlign val="superscript"/>
        <sz val="14"/>
        <color theme="1"/>
        <rFont val="Segoe UI"/>
        <family val="2"/>
      </rPr>
      <t>+</t>
    </r>
    <r>
      <rPr>
        <b/>
        <vertAlign val="subscript"/>
        <sz val="14"/>
        <color theme="1"/>
        <rFont val="Segoe UI"/>
        <family val="2"/>
      </rPr>
      <t xml:space="preserve">En </t>
    </r>
    <r>
      <rPr>
        <b/>
        <sz val="14"/>
        <color theme="1"/>
        <rFont val="Segoe UI"/>
        <family val="2"/>
      </rPr>
      <t xml:space="preserve">=  P </t>
    </r>
    <r>
      <rPr>
        <b/>
        <sz val="14"/>
        <color theme="1"/>
        <rFont val="Calibri"/>
        <family val="2"/>
      </rPr>
      <t>±</t>
    </r>
    <r>
      <rPr>
        <b/>
        <sz val="11.2"/>
        <color theme="1"/>
        <rFont val="Segoe UI"/>
        <family val="2"/>
      </rPr>
      <t xml:space="preserve"> EEF</t>
    </r>
  </si>
  <si>
    <t>Efecto fiscal (EEF)</t>
  </si>
  <si>
    <t>VNC = Costo Adquisicion - (Amorizacion * 5 años)</t>
  </si>
  <si>
    <t xml:space="preserve">Amortisacion por año </t>
  </si>
  <si>
    <r>
      <t xml:space="preserve">Valor residual  </t>
    </r>
    <r>
      <rPr>
        <b/>
        <sz val="12"/>
        <color theme="8" tint="-0.249977111117893"/>
        <rFont val="Segoe UI"/>
        <family val="2"/>
      </rPr>
      <t>(Obj4)</t>
    </r>
  </si>
  <si>
    <r>
      <t>VR</t>
    </r>
    <r>
      <rPr>
        <b/>
        <vertAlign val="superscript"/>
        <sz val="12"/>
        <color theme="1"/>
        <rFont val="Segoe UI"/>
        <family val="2"/>
      </rPr>
      <t>+</t>
    </r>
    <r>
      <rPr>
        <b/>
        <vertAlign val="subscript"/>
        <sz val="12"/>
        <color theme="1"/>
        <rFont val="Segoe UI"/>
        <family val="2"/>
      </rPr>
      <t xml:space="preserve">En </t>
    </r>
    <r>
      <rPr>
        <b/>
        <sz val="12"/>
        <color theme="1"/>
        <rFont val="Segoe UI"/>
        <family val="2"/>
      </rPr>
      <t>de cada B/U</t>
    </r>
  </si>
  <si>
    <t>Costo salarial total por mes durante año 5</t>
  </si>
  <si>
    <t xml:space="preserve">Deflactor </t>
  </si>
  <si>
    <t>I.I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</si>
</sst>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 [$UYU]_-;\-* #,##0.00\ [$UYU]_-;_-* &quot;-&quot;??\ [$UYU]_-;_-@_-"/>
    <numFmt numFmtId="165" formatCode="_-[$$-340A]\ * #,##0.00_-;\-[$$-340A]\ * #,##0.00_-;_-[$$-340A]\ * &quot;-&quot;??_-;_-@_-"/>
    <numFmt numFmtId="166" formatCode="_ [$$-2C0A]\ * #,##0.00_ ;_ [$$-2C0A]\ * \-#,##0.00_ ;_ [$$-2C0A]\ * &quot;-&quot;??_ ;_ @_ "/>
    <numFmt numFmtId="167" formatCode="_-[$$-2C0A]\ * #,##0.00_-;\-[$$-2C0A]\ * #,##0.00_-;_-[$$-2C0A]\ * &quot;-&quot;??_-;_-@_-"/>
    <numFmt numFmtId="168" formatCode="_ [$$-340A]* #,##0.00_ ;_ [$$-340A]* \-#,##0.00_ ;_ [$$-340A]* &quot;-&quot;??_ ;_ @_ "/>
    <numFmt numFmtId="169" formatCode="0.000%"/>
    <numFmt numFmtId="170" formatCode="#,##0.00\ &quot;US$&quot;"/>
    <numFmt numFmtId="171" formatCode="_-[$$-1004]* #,##0.00_-;\-[$$-1004]* #,##0.00_-;_-[$$-1004]* &quot;-&quot;??_-;_-@_-"/>
    <numFmt numFmtId="172" formatCode="_-[$$-45C]* #,##0.00_-;\-[$$-45C]* #,##0.00_-;_-[$$-45C]* &quot;-&quot;??_-;_-@_-"/>
    <numFmt numFmtId="173" formatCode="_-[$$-2C0A]\ * #,##0_-;\-[$$-2C0A]\ * #,##0_-;_-[$$-2C0A]\ * &quot;-&quot;_-;_-@_-"/>
  </numFmts>
  <fonts count="32" x14ac:knownFonts="1">
    <font>
      <sz val="11"/>
      <color theme="1"/>
      <name val="Calibri"/>
      <family val="2"/>
      <scheme val="minor"/>
    </font>
    <font>
      <sz val="11"/>
      <color theme="1"/>
      <name val="Times New Roman"/>
      <family val="1"/>
    </font>
    <font>
      <sz val="8"/>
      <name val="Calibri"/>
      <family val="2"/>
      <scheme val="minor"/>
    </font>
    <font>
      <b/>
      <sz val="11"/>
      <color theme="1"/>
      <name val="Calibri"/>
      <family val="2"/>
      <scheme val="minor"/>
    </font>
    <font>
      <b/>
      <sz val="25"/>
      <color theme="1"/>
      <name val="Times New Roman"/>
      <family val="1"/>
    </font>
    <font>
      <b/>
      <sz val="18"/>
      <color theme="1"/>
      <name val="Times New Roman"/>
      <family val="1"/>
    </font>
    <font>
      <sz val="24"/>
      <color theme="1"/>
      <name val="Segoe UI"/>
      <family val="2"/>
    </font>
    <font>
      <sz val="24"/>
      <color rgb="FFA50021"/>
      <name val="Segoe UI"/>
      <family val="2"/>
    </font>
    <font>
      <b/>
      <sz val="24"/>
      <color theme="1"/>
      <name val="Segoe UI"/>
      <family val="2"/>
    </font>
    <font>
      <sz val="72"/>
      <color theme="1"/>
      <name val="Segoe UI Semibold"/>
      <family val="2"/>
    </font>
    <font>
      <sz val="28"/>
      <color theme="1"/>
      <name val="Segoe UI Semibold"/>
      <family val="2"/>
    </font>
    <font>
      <b/>
      <sz val="26"/>
      <color theme="1"/>
      <name val="Segoe UI"/>
      <family val="2"/>
    </font>
    <font>
      <sz val="72"/>
      <color theme="1"/>
      <name val="Segoe UI"/>
      <family val="2"/>
    </font>
    <font>
      <sz val="28"/>
      <color theme="1"/>
      <name val="Segoe UI"/>
      <family val="2"/>
    </font>
    <font>
      <sz val="11"/>
      <color theme="1"/>
      <name val="Segoe UI"/>
      <family val="2"/>
    </font>
    <font>
      <b/>
      <sz val="16"/>
      <color theme="1"/>
      <name val="Segoe UI"/>
      <family val="2"/>
    </font>
    <font>
      <b/>
      <sz val="11"/>
      <color theme="1"/>
      <name val="Segoe UI"/>
      <family val="2"/>
    </font>
    <font>
      <b/>
      <sz val="14"/>
      <color theme="1"/>
      <name val="Segoe UI"/>
      <family val="2"/>
    </font>
    <font>
      <b/>
      <sz val="11"/>
      <color theme="8" tint="-0.249977111117893"/>
      <name val="Segoe UI"/>
      <family val="2"/>
    </font>
    <font>
      <sz val="12"/>
      <color theme="1"/>
      <name val="Segoe UI"/>
      <family val="2"/>
    </font>
    <font>
      <b/>
      <sz val="12"/>
      <color theme="1"/>
      <name val="Segoe UI"/>
      <family val="2"/>
    </font>
    <font>
      <b/>
      <sz val="28"/>
      <color theme="1"/>
      <name val="Times New Roman"/>
      <family val="1"/>
    </font>
    <font>
      <vertAlign val="superscript"/>
      <sz val="24"/>
      <color theme="1"/>
      <name val="Segoe UI"/>
      <family val="2"/>
    </font>
    <font>
      <vertAlign val="subscript"/>
      <sz val="24"/>
      <color theme="1"/>
      <name val="Segoe UI"/>
      <family val="2"/>
    </font>
    <font>
      <b/>
      <vertAlign val="superscript"/>
      <sz val="14"/>
      <color theme="1"/>
      <name val="Segoe UI"/>
      <family val="2"/>
    </font>
    <font>
      <b/>
      <vertAlign val="subscript"/>
      <sz val="14"/>
      <color theme="1"/>
      <name val="Segoe UI"/>
      <family val="2"/>
    </font>
    <font>
      <b/>
      <sz val="14"/>
      <color theme="1"/>
      <name val="Calibri"/>
      <family val="2"/>
    </font>
    <font>
      <b/>
      <sz val="11.2"/>
      <color theme="1"/>
      <name val="Segoe UI"/>
      <family val="2"/>
    </font>
    <font>
      <b/>
      <sz val="12"/>
      <color theme="8" tint="-0.249977111117893"/>
      <name val="Segoe UI"/>
      <family val="2"/>
    </font>
    <font>
      <b/>
      <vertAlign val="superscript"/>
      <sz val="12"/>
      <color theme="1"/>
      <name val="Segoe UI"/>
      <family val="2"/>
    </font>
    <font>
      <b/>
      <vertAlign val="subscript"/>
      <sz val="12"/>
      <color theme="1"/>
      <name val="Segoe UI"/>
      <family val="2"/>
    </font>
    <font>
      <sz val="24"/>
      <name val="Segoe UI"/>
      <family val="2"/>
    </font>
  </fonts>
  <fills count="6">
    <fill>
      <patternFill patternType="none"/>
    </fill>
    <fill>
      <patternFill patternType="gray125"/>
    </fill>
    <fill>
      <patternFill patternType="solid">
        <fgColor theme="7" tint="0.79998168889431442"/>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bgColor indexed="64"/>
      </patternFill>
    </fill>
  </fills>
  <borders count="1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ck">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ck">
        <color indexed="64"/>
      </left>
      <right style="medium">
        <color indexed="64"/>
      </right>
      <top/>
      <bottom/>
      <diagonal/>
    </border>
    <border>
      <left style="thin">
        <color indexed="64"/>
      </left>
      <right/>
      <top/>
      <bottom style="thin">
        <color indexed="64"/>
      </bottom>
      <diagonal/>
    </border>
    <border>
      <left style="thick">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ck">
        <color indexed="64"/>
      </left>
      <right style="medium">
        <color indexed="64"/>
      </right>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ck">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ck">
        <color indexed="64"/>
      </bottom>
      <diagonal/>
    </border>
    <border>
      <left style="mediumDashed">
        <color indexed="64"/>
      </left>
      <right style="mediumDashed">
        <color indexed="64"/>
      </right>
      <top style="mediumDashed">
        <color indexed="64"/>
      </top>
      <bottom style="mediumDashed">
        <color indexed="64"/>
      </bottom>
      <diagonal/>
    </border>
    <border>
      <left/>
      <right/>
      <top style="thick">
        <color indexed="64"/>
      </top>
      <bottom style="medium">
        <color indexed="64"/>
      </bottom>
      <diagonal/>
    </border>
    <border>
      <left style="mediumDashed">
        <color indexed="64"/>
      </left>
      <right style="mediumDashed">
        <color indexed="64"/>
      </right>
      <top style="mediumDashed">
        <color indexed="64"/>
      </top>
      <bottom/>
      <diagonal/>
    </border>
    <border>
      <left style="mediumDashed">
        <color indexed="64"/>
      </left>
      <right style="mediumDashed">
        <color indexed="64"/>
      </right>
      <top/>
      <bottom/>
      <diagonal/>
    </border>
    <border>
      <left style="mediumDashed">
        <color indexed="64"/>
      </left>
      <right style="mediumDashed">
        <color indexed="64"/>
      </right>
      <top/>
      <bottom style="mediumDashed">
        <color indexed="64"/>
      </bottom>
      <diagonal/>
    </border>
    <border>
      <left/>
      <right style="mediumDashed">
        <color indexed="64"/>
      </right>
      <top style="mediumDashed">
        <color indexed="64"/>
      </top>
      <bottom style="mediumDashed">
        <color indexed="64"/>
      </bottom>
      <diagonal/>
    </border>
    <border>
      <left/>
      <right style="mediumDashed">
        <color indexed="64"/>
      </right>
      <top style="mediumDashed">
        <color indexed="64"/>
      </top>
      <bottom/>
      <diagonal/>
    </border>
    <border>
      <left/>
      <right style="mediumDashed">
        <color indexed="64"/>
      </right>
      <top/>
      <bottom style="mediumDashed">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ck">
        <color indexed="64"/>
      </top>
      <bottom style="medium">
        <color indexed="64"/>
      </bottom>
      <diagonal/>
    </border>
    <border>
      <left style="thin">
        <color indexed="64"/>
      </left>
      <right style="medium">
        <color indexed="64"/>
      </right>
      <top style="thin">
        <color indexed="64"/>
      </top>
      <bottom/>
      <diagonal/>
    </border>
    <border>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ck">
        <color indexed="64"/>
      </top>
      <bottom style="medium">
        <color indexed="64"/>
      </bottom>
      <diagonal/>
    </border>
    <border>
      <left/>
      <right style="medium">
        <color indexed="64"/>
      </right>
      <top style="medium">
        <color indexed="64"/>
      </top>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top/>
      <bottom style="thick">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medium">
        <color indexed="64"/>
      </left>
      <right/>
      <top style="thick">
        <color indexed="64"/>
      </top>
      <bottom/>
      <diagonal/>
    </border>
    <border>
      <left style="thick">
        <color indexed="64"/>
      </left>
      <right/>
      <top/>
      <bottom/>
      <diagonal/>
    </border>
    <border>
      <left style="medium">
        <color indexed="64"/>
      </left>
      <right style="thick">
        <color indexed="64"/>
      </right>
      <top style="medium">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top style="medium">
        <color indexed="64"/>
      </top>
      <bottom style="thick">
        <color indexed="64"/>
      </bottom>
      <diagonal/>
    </border>
    <border>
      <left/>
      <right style="thick">
        <color indexed="64"/>
      </right>
      <top style="medium">
        <color indexed="64"/>
      </top>
      <bottom/>
      <diagonal/>
    </border>
    <border>
      <left/>
      <right style="thick">
        <color indexed="64"/>
      </right>
      <top/>
      <bottom style="thick">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Dashed">
        <color indexed="64"/>
      </right>
      <top style="mediumDashed">
        <color indexed="64"/>
      </top>
      <bottom/>
      <diagonal/>
    </border>
    <border>
      <left style="medium">
        <color indexed="64"/>
      </left>
      <right style="mediumDashed">
        <color indexed="64"/>
      </right>
      <top/>
      <bottom/>
      <diagonal/>
    </border>
    <border>
      <left style="medium">
        <color indexed="64"/>
      </left>
      <right style="mediumDashed">
        <color indexed="64"/>
      </right>
      <top/>
      <bottom style="mediumDashed">
        <color indexed="64"/>
      </bottom>
      <diagonal/>
    </border>
    <border>
      <left style="medium">
        <color indexed="64"/>
      </left>
      <right style="thin">
        <color indexed="64"/>
      </right>
      <top/>
      <bottom style="medium">
        <color indexed="64"/>
      </bottom>
      <diagonal/>
    </border>
    <border>
      <left style="thin">
        <color indexed="64"/>
      </left>
      <right style="thick">
        <color indexed="64"/>
      </right>
      <top style="thin">
        <color indexed="64"/>
      </top>
      <bottom style="medium">
        <color indexed="64"/>
      </bottom>
      <diagonal/>
    </border>
    <border>
      <left/>
      <right style="thin">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style="mediumDashed">
        <color indexed="64"/>
      </right>
      <top style="thin">
        <color indexed="64"/>
      </top>
      <bottom style="medium">
        <color indexed="64"/>
      </bottom>
      <diagonal/>
    </border>
  </borders>
  <cellStyleXfs count="1">
    <xf numFmtId="0" fontId="0" fillId="0" borderId="0"/>
  </cellStyleXfs>
  <cellXfs count="252">
    <xf numFmtId="0" fontId="0" fillId="0" borderId="0" xfId="0"/>
    <xf numFmtId="0" fontId="0" fillId="0" borderId="0" xfId="0" applyBorder="1"/>
    <xf numFmtId="0" fontId="0" fillId="0" borderId="32" xfId="0" applyBorder="1"/>
    <xf numFmtId="0" fontId="0" fillId="0" borderId="0" xfId="0" applyAlignment="1"/>
    <xf numFmtId="0" fontId="3" fillId="0" borderId="0" xfId="0" applyFont="1" applyBorder="1"/>
    <xf numFmtId="0" fontId="0" fillId="0" borderId="0" xfId="0" applyBorder="1" applyAlignment="1"/>
    <xf numFmtId="0" fontId="0" fillId="0" borderId="7" xfId="0" applyBorder="1"/>
    <xf numFmtId="0" fontId="1" fillId="0" borderId="32" xfId="0" applyFont="1" applyBorder="1"/>
    <xf numFmtId="0" fontId="4" fillId="5" borderId="0" xfId="0" applyFont="1" applyFill="1" applyBorder="1" applyAlignment="1"/>
    <xf numFmtId="171" fontId="7" fillId="0" borderId="1" xfId="0" applyNumberFormat="1" applyFont="1" applyBorder="1"/>
    <xf numFmtId="171" fontId="7" fillId="0" borderId="21" xfId="0" applyNumberFormat="1" applyFont="1" applyBorder="1"/>
    <xf numFmtId="172" fontId="6" fillId="0" borderId="27" xfId="0" applyNumberFormat="1" applyFont="1" applyBorder="1"/>
    <xf numFmtId="172" fontId="6" fillId="0" borderId="1" xfId="0" applyNumberFormat="1" applyFont="1" applyBorder="1"/>
    <xf numFmtId="0" fontId="6" fillId="0" borderId="1" xfId="0" applyFont="1" applyBorder="1" applyAlignment="1">
      <alignment horizontal="center" vertical="center"/>
    </xf>
    <xf numFmtId="173" fontId="6" fillId="0" borderId="27" xfId="0" applyNumberFormat="1" applyFont="1" applyBorder="1"/>
    <xf numFmtId="173" fontId="6" fillId="0" borderId="21" xfId="0" applyNumberFormat="1" applyFont="1" applyBorder="1"/>
    <xf numFmtId="0" fontId="5" fillId="3" borderId="64" xfId="0" applyFont="1" applyFill="1" applyBorder="1" applyAlignment="1">
      <alignment vertical="center"/>
    </xf>
    <xf numFmtId="0" fontId="14" fillId="0" borderId="0" xfId="0" applyFont="1"/>
    <xf numFmtId="0" fontId="15" fillId="2" borderId="40" xfId="0" applyFont="1" applyFill="1" applyBorder="1"/>
    <xf numFmtId="0" fontId="16" fillId="0" borderId="40" xfId="0" applyFont="1" applyBorder="1"/>
    <xf numFmtId="0" fontId="16" fillId="0" borderId="60" xfId="0" applyFont="1" applyBorder="1"/>
    <xf numFmtId="0" fontId="14" fillId="0" borderId="57" xfId="0" applyFont="1" applyBorder="1" applyAlignment="1">
      <alignment horizontal="right"/>
    </xf>
    <xf numFmtId="0" fontId="14" fillId="0" borderId="41" xfId="0" applyFont="1" applyBorder="1"/>
    <xf numFmtId="0" fontId="14" fillId="0" borderId="27" xfId="0" applyFont="1" applyBorder="1"/>
    <xf numFmtId="0" fontId="14" fillId="0" borderId="30" xfId="0" applyFont="1" applyBorder="1"/>
    <xf numFmtId="166" fontId="14" fillId="0" borderId="30" xfId="0" applyNumberFormat="1" applyFont="1" applyBorder="1" applyAlignment="1">
      <alignment horizontal="left"/>
    </xf>
    <xf numFmtId="0" fontId="14" fillId="0" borderId="54" xfId="0" applyFont="1" applyBorder="1" applyAlignment="1">
      <alignment horizontal="right"/>
    </xf>
    <xf numFmtId="0" fontId="14" fillId="0" borderId="4" xfId="0" applyFont="1" applyBorder="1"/>
    <xf numFmtId="0" fontId="14" fillId="0" borderId="1" xfId="0" applyFont="1" applyBorder="1"/>
    <xf numFmtId="0" fontId="14" fillId="0" borderId="2" xfId="0" applyFont="1" applyBorder="1"/>
    <xf numFmtId="166" fontId="14" fillId="0" borderId="2" xfId="0" applyNumberFormat="1" applyFont="1" applyBorder="1" applyAlignment="1">
      <alignment horizontal="left"/>
    </xf>
    <xf numFmtId="0" fontId="14" fillId="0" borderId="75" xfId="0" applyFont="1" applyBorder="1" applyAlignment="1">
      <alignment horizontal="right"/>
    </xf>
    <xf numFmtId="0" fontId="14" fillId="0" borderId="56" xfId="0" applyFont="1" applyBorder="1"/>
    <xf numFmtId="0" fontId="14" fillId="0" borderId="5" xfId="0" applyFont="1" applyBorder="1"/>
    <xf numFmtId="0" fontId="14" fillId="0" borderId="25" xfId="0" applyFont="1" applyBorder="1"/>
    <xf numFmtId="166" fontId="14" fillId="0" borderId="25" xfId="0" applyNumberFormat="1" applyFont="1" applyBorder="1" applyAlignment="1">
      <alignment horizontal="left"/>
    </xf>
    <xf numFmtId="0" fontId="14" fillId="0" borderId="58" xfId="0" applyFont="1" applyBorder="1" applyAlignment="1">
      <alignment horizontal="right"/>
    </xf>
    <xf numFmtId="0" fontId="14" fillId="0" borderId="20" xfId="0" applyFont="1" applyBorder="1"/>
    <xf numFmtId="0" fontId="14" fillId="0" borderId="21" xfId="0" applyFont="1" applyBorder="1"/>
    <xf numFmtId="0" fontId="14" fillId="0" borderId="22" xfId="0" applyFont="1" applyBorder="1"/>
    <xf numFmtId="0" fontId="16" fillId="0" borderId="16" xfId="0" applyFont="1" applyBorder="1" applyAlignment="1">
      <alignment horizontal="right"/>
    </xf>
    <xf numFmtId="166" fontId="16" fillId="0" borderId="77" xfId="0" applyNumberFormat="1" applyFont="1" applyBorder="1"/>
    <xf numFmtId="168" fontId="16" fillId="0" borderId="77" xfId="0" applyNumberFormat="1" applyFont="1" applyBorder="1"/>
    <xf numFmtId="166" fontId="14" fillId="0" borderId="78" xfId="0" applyNumberFormat="1" applyFont="1" applyBorder="1"/>
    <xf numFmtId="0" fontId="16" fillId="0" borderId="40" xfId="0" applyFont="1" applyBorder="1" applyAlignment="1">
      <alignment wrapText="1"/>
    </xf>
    <xf numFmtId="0" fontId="16" fillId="0" borderId="11" xfId="0" applyFont="1" applyBorder="1"/>
    <xf numFmtId="0" fontId="14" fillId="0" borderId="49" xfId="0" applyFont="1" applyBorder="1"/>
    <xf numFmtId="166" fontId="14" fillId="0" borderId="46" xfId="0" applyNumberFormat="1" applyFont="1" applyBorder="1"/>
    <xf numFmtId="0" fontId="14" fillId="0" borderId="47" xfId="0" applyFont="1" applyBorder="1"/>
    <xf numFmtId="165" fontId="14" fillId="0" borderId="48" xfId="0" applyNumberFormat="1" applyFont="1" applyBorder="1"/>
    <xf numFmtId="0" fontId="14" fillId="0" borderId="52" xfId="0" applyFont="1" applyBorder="1"/>
    <xf numFmtId="166" fontId="14" fillId="0" borderId="41" xfId="0" applyNumberFormat="1" applyFont="1" applyBorder="1"/>
    <xf numFmtId="166" fontId="14" fillId="0" borderId="27" xfId="0" applyNumberFormat="1" applyFont="1" applyBorder="1"/>
    <xf numFmtId="165" fontId="14" fillId="0" borderId="31" xfId="0" applyNumberFormat="1" applyFont="1" applyBorder="1"/>
    <xf numFmtId="0" fontId="14" fillId="0" borderId="53" xfId="0" applyFont="1" applyBorder="1"/>
    <xf numFmtId="165" fontId="14" fillId="0" borderId="19" xfId="0" applyNumberFormat="1" applyFont="1" applyBorder="1"/>
    <xf numFmtId="166" fontId="14" fillId="0" borderId="50" xfId="0" applyNumberFormat="1" applyFont="1" applyBorder="1"/>
    <xf numFmtId="166" fontId="14" fillId="0" borderId="21" xfId="0" applyNumberFormat="1" applyFont="1" applyBorder="1"/>
    <xf numFmtId="165" fontId="14" fillId="0" borderId="23" xfId="0" applyNumberFormat="1" applyFont="1" applyBorder="1"/>
    <xf numFmtId="0" fontId="14" fillId="0" borderId="28" xfId="0" applyFont="1" applyBorder="1"/>
    <xf numFmtId="165" fontId="14" fillId="0" borderId="29" xfId="0" applyNumberFormat="1" applyFont="1" applyBorder="1"/>
    <xf numFmtId="0" fontId="14" fillId="0" borderId="54" xfId="0" applyFont="1" applyBorder="1"/>
    <xf numFmtId="166" fontId="14" fillId="0" borderId="1" xfId="0" applyNumberFormat="1" applyFont="1" applyBorder="1"/>
    <xf numFmtId="166" fontId="14" fillId="0" borderId="51" xfId="0" applyNumberFormat="1" applyFont="1" applyBorder="1"/>
    <xf numFmtId="166" fontId="14" fillId="0" borderId="33" xfId="0" applyNumberFormat="1" applyFont="1" applyBorder="1"/>
    <xf numFmtId="0" fontId="14" fillId="0" borderId="34" xfId="0" applyFont="1" applyBorder="1"/>
    <xf numFmtId="165" fontId="14" fillId="0" borderId="35" xfId="0" applyNumberFormat="1" applyFont="1" applyBorder="1"/>
    <xf numFmtId="0" fontId="14" fillId="0" borderId="36" xfId="0" applyFont="1" applyBorder="1"/>
    <xf numFmtId="0" fontId="14" fillId="0" borderId="15" xfId="0" applyFont="1" applyBorder="1"/>
    <xf numFmtId="166" fontId="14" fillId="0" borderId="4" xfId="0" applyNumberFormat="1" applyFont="1" applyBorder="1"/>
    <xf numFmtId="165" fontId="14" fillId="0" borderId="26" xfId="0" applyNumberFormat="1" applyFont="1" applyBorder="1"/>
    <xf numFmtId="0" fontId="14" fillId="0" borderId="24" xfId="0" applyFont="1" applyBorder="1"/>
    <xf numFmtId="166" fontId="14" fillId="0" borderId="15" xfId="0" applyNumberFormat="1" applyFont="1" applyBorder="1"/>
    <xf numFmtId="0" fontId="14" fillId="0" borderId="76" xfId="0" applyFont="1" applyBorder="1" applyAlignment="1">
      <alignment horizontal="right"/>
    </xf>
    <xf numFmtId="0" fontId="14" fillId="0" borderId="72" xfId="0" applyFont="1" applyBorder="1" applyAlignment="1">
      <alignment horizontal="right"/>
    </xf>
    <xf numFmtId="166" fontId="14" fillId="0" borderId="55" xfId="0" applyNumberFormat="1" applyFont="1" applyBorder="1"/>
    <xf numFmtId="166" fontId="14" fillId="0" borderId="17" xfId="0" applyNumberFormat="1" applyFont="1" applyBorder="1"/>
    <xf numFmtId="166" fontId="14" fillId="0" borderId="18" xfId="0" applyNumberFormat="1" applyFont="1" applyBorder="1"/>
    <xf numFmtId="0" fontId="16" fillId="3" borderId="59" xfId="0" applyFont="1" applyFill="1" applyBorder="1" applyAlignment="1">
      <alignment vertical="center"/>
    </xf>
    <xf numFmtId="0" fontId="14" fillId="0" borderId="13" xfId="0" applyFont="1" applyBorder="1"/>
    <xf numFmtId="167" fontId="14" fillId="0" borderId="14" xfId="0" applyNumberFormat="1" applyFont="1" applyBorder="1"/>
    <xf numFmtId="0" fontId="14" fillId="0" borderId="0" xfId="0" applyFont="1" applyBorder="1"/>
    <xf numFmtId="167" fontId="14" fillId="0" borderId="15" xfId="0" applyNumberFormat="1" applyFont="1" applyBorder="1"/>
    <xf numFmtId="167" fontId="14" fillId="0" borderId="24" xfId="0" applyNumberFormat="1" applyFont="1" applyBorder="1"/>
    <xf numFmtId="10" fontId="14" fillId="0" borderId="40" xfId="0" applyNumberFormat="1" applyFont="1" applyBorder="1" applyAlignment="1"/>
    <xf numFmtId="0" fontId="16" fillId="3" borderId="64" xfId="0" applyFont="1" applyFill="1" applyBorder="1" applyAlignment="1">
      <alignment vertical="center"/>
    </xf>
    <xf numFmtId="170" fontId="14" fillId="0" borderId="27" xfId="0" applyNumberFormat="1" applyFont="1" applyBorder="1"/>
    <xf numFmtId="10" fontId="14" fillId="0" borderId="0" xfId="0" applyNumberFormat="1" applyFont="1" applyBorder="1"/>
    <xf numFmtId="170" fontId="14" fillId="0" borderId="1" xfId="0" applyNumberFormat="1" applyFont="1" applyBorder="1"/>
    <xf numFmtId="0" fontId="17" fillId="2" borderId="40" xfId="0" applyFont="1" applyFill="1" applyBorder="1" applyAlignment="1"/>
    <xf numFmtId="0" fontId="14" fillId="0" borderId="40" xfId="0" applyFont="1" applyBorder="1"/>
    <xf numFmtId="0" fontId="14" fillId="0" borderId="40" xfId="0" applyFont="1" applyBorder="1" applyAlignment="1">
      <alignment horizontal="left"/>
    </xf>
    <xf numFmtId="0" fontId="14" fillId="0" borderId="14" xfId="0" applyFont="1" applyBorder="1"/>
    <xf numFmtId="164" fontId="14" fillId="0" borderId="40" xfId="0" applyNumberFormat="1" applyFont="1" applyBorder="1" applyAlignment="1">
      <alignment horizontal="left"/>
    </xf>
    <xf numFmtId="0" fontId="17" fillId="0" borderId="0" xfId="0" applyFont="1" applyBorder="1"/>
    <xf numFmtId="10" fontId="19" fillId="0" borderId="0" xfId="0" applyNumberFormat="1" applyFont="1" applyBorder="1"/>
    <xf numFmtId="0" fontId="14" fillId="0" borderId="0" xfId="0" applyFont="1" applyBorder="1" applyAlignment="1"/>
    <xf numFmtId="170" fontId="14" fillId="0" borderId="12" xfId="0" applyNumberFormat="1" applyFont="1" applyBorder="1"/>
    <xf numFmtId="170" fontId="14" fillId="0" borderId="8" xfId="0" applyNumberFormat="1" applyFont="1" applyBorder="1"/>
    <xf numFmtId="170" fontId="14" fillId="0" borderId="20" xfId="0" applyNumberFormat="1" applyFont="1" applyBorder="1"/>
    <xf numFmtId="166" fontId="14" fillId="0" borderId="14" xfId="0" applyNumberFormat="1" applyFont="1" applyBorder="1"/>
    <xf numFmtId="0" fontId="20" fillId="0" borderId="13" xfId="0" applyFont="1" applyBorder="1"/>
    <xf numFmtId="0" fontId="20" fillId="0" borderId="1" xfId="0" applyFont="1" applyBorder="1"/>
    <xf numFmtId="170" fontId="14" fillId="0" borderId="15" xfId="0" applyNumberFormat="1" applyFont="1" applyBorder="1"/>
    <xf numFmtId="0" fontId="14" fillId="0" borderId="15" xfId="0" applyNumberFormat="1" applyFont="1" applyBorder="1"/>
    <xf numFmtId="10" fontId="14" fillId="0" borderId="15" xfId="0" applyNumberFormat="1" applyFont="1" applyBorder="1"/>
    <xf numFmtId="169" fontId="14" fillId="0" borderId="73" xfId="0" applyNumberFormat="1" applyFont="1" applyBorder="1"/>
    <xf numFmtId="10" fontId="14" fillId="0" borderId="73" xfId="0" applyNumberFormat="1" applyFont="1" applyBorder="1"/>
    <xf numFmtId="0" fontId="14" fillId="0" borderId="21" xfId="0" applyFont="1" applyFill="1" applyBorder="1"/>
    <xf numFmtId="10" fontId="14" fillId="0" borderId="24" xfId="0" applyNumberFormat="1" applyFont="1" applyBorder="1"/>
    <xf numFmtId="0" fontId="14" fillId="0" borderId="8" xfId="0" applyFont="1" applyBorder="1"/>
    <xf numFmtId="170" fontId="14" fillId="0" borderId="21" xfId="0" applyNumberFormat="1" applyFont="1" applyBorder="1"/>
    <xf numFmtId="0" fontId="16" fillId="3" borderId="11" xfId="0" applyFont="1" applyFill="1" applyBorder="1" applyAlignment="1">
      <alignment vertical="center"/>
    </xf>
    <xf numFmtId="167" fontId="11" fillId="4" borderId="32" xfId="0" applyNumberFormat="1" applyFont="1" applyFill="1" applyBorder="1"/>
    <xf numFmtId="0" fontId="6" fillId="0" borderId="45" xfId="0" applyFont="1" applyBorder="1"/>
    <xf numFmtId="167" fontId="11" fillId="4" borderId="83" xfId="0" applyNumberFormat="1" applyFont="1" applyFill="1" applyBorder="1"/>
    <xf numFmtId="167" fontId="11" fillId="4" borderId="17" xfId="0" applyNumberFormat="1" applyFont="1" applyFill="1" applyBorder="1"/>
    <xf numFmtId="171" fontId="6" fillId="0" borderId="27" xfId="0" applyNumberFormat="1" applyFont="1" applyBorder="1"/>
    <xf numFmtId="0" fontId="4" fillId="2" borderId="85" xfId="0" applyFont="1" applyFill="1" applyBorder="1" applyAlignment="1">
      <alignment horizontal="center" vertical="center"/>
    </xf>
    <xf numFmtId="0" fontId="0" fillId="0" borderId="91" xfId="0" applyBorder="1"/>
    <xf numFmtId="0" fontId="4" fillId="2" borderId="92" xfId="0" applyFont="1" applyFill="1" applyBorder="1" applyAlignment="1">
      <alignment horizontal="center" vertical="center"/>
    </xf>
    <xf numFmtId="171" fontId="6" fillId="0" borderId="93" xfId="0" applyNumberFormat="1" applyFont="1" applyBorder="1"/>
    <xf numFmtId="171" fontId="7" fillId="0" borderId="94" xfId="0" applyNumberFormat="1" applyFont="1" applyBorder="1"/>
    <xf numFmtId="171" fontId="7" fillId="0" borderId="2" xfId="0" applyNumberFormat="1" applyFont="1" applyBorder="1"/>
    <xf numFmtId="171" fontId="7" fillId="0" borderId="22" xfId="0" applyNumberFormat="1" applyFont="1" applyBorder="1"/>
    <xf numFmtId="173" fontId="6" fillId="0" borderId="95" xfId="0" applyNumberFormat="1" applyFont="1" applyBorder="1"/>
    <xf numFmtId="173" fontId="6" fillId="0" borderId="22" xfId="0" applyNumberFormat="1" applyFont="1" applyBorder="1"/>
    <xf numFmtId="172" fontId="6" fillId="0" borderId="30" xfId="0" applyNumberFormat="1" applyFont="1" applyBorder="1" applyAlignment="1">
      <alignment horizontal="left"/>
    </xf>
    <xf numFmtId="172" fontId="6" fillId="0" borderId="2" xfId="0" applyNumberFormat="1" applyFont="1" applyBorder="1"/>
    <xf numFmtId="0" fontId="6" fillId="0" borderId="2" xfId="0" applyFont="1" applyBorder="1" applyAlignment="1">
      <alignment horizontal="center" vertical="center"/>
    </xf>
    <xf numFmtId="0" fontId="6" fillId="0" borderId="96" xfId="0" applyFont="1" applyBorder="1"/>
    <xf numFmtId="170" fontId="14" fillId="0" borderId="24" xfId="0" applyNumberFormat="1" applyFont="1" applyBorder="1"/>
    <xf numFmtId="0" fontId="14" fillId="0" borderId="12" xfId="0" applyFont="1" applyBorder="1"/>
    <xf numFmtId="167" fontId="14" fillId="0" borderId="99" xfId="0" applyNumberFormat="1" applyFont="1" applyBorder="1"/>
    <xf numFmtId="0" fontId="6" fillId="0" borderId="56" xfId="0" applyFont="1" applyBorder="1" applyAlignment="1">
      <alignment horizontal="center" vertical="center"/>
    </xf>
    <xf numFmtId="0" fontId="14" fillId="0" borderId="8" xfId="0" applyFont="1" applyFill="1" applyBorder="1"/>
    <xf numFmtId="0" fontId="20" fillId="0" borderId="12" xfId="0" applyFont="1" applyFill="1" applyBorder="1" applyAlignment="1">
      <alignment horizontal="left"/>
    </xf>
    <xf numFmtId="0" fontId="20" fillId="0" borderId="13" xfId="0" applyFont="1" applyBorder="1" applyAlignment="1">
      <alignment wrapText="1"/>
    </xf>
    <xf numFmtId="0" fontId="20" fillId="0" borderId="14" xfId="0" applyFont="1" applyBorder="1"/>
    <xf numFmtId="167" fontId="8" fillId="5" borderId="105" xfId="0" applyNumberFormat="1" applyFont="1" applyFill="1" applyBorder="1" applyAlignment="1"/>
    <xf numFmtId="0" fontId="6" fillId="0" borderId="21" xfId="0" applyFont="1" applyBorder="1" applyAlignment="1">
      <alignment horizontal="center" vertical="center"/>
    </xf>
    <xf numFmtId="167" fontId="8" fillId="5" borderId="40" xfId="0" applyNumberFormat="1" applyFont="1" applyFill="1" applyBorder="1" applyAlignment="1"/>
    <xf numFmtId="167" fontId="8" fillId="5" borderId="101" xfId="0" applyNumberFormat="1" applyFont="1" applyFill="1" applyBorder="1" applyAlignment="1"/>
    <xf numFmtId="167" fontId="6" fillId="0" borderId="106" xfId="0" applyNumberFormat="1" applyFont="1" applyBorder="1" applyAlignment="1">
      <alignment horizontal="center" vertical="center"/>
    </xf>
    <xf numFmtId="0" fontId="6" fillId="0" borderId="68" xfId="0" applyFont="1" applyBorder="1" applyAlignment="1">
      <alignment horizontal="center"/>
    </xf>
    <xf numFmtId="0" fontId="6" fillId="0" borderId="82" xfId="0" applyFont="1" applyBorder="1" applyAlignment="1">
      <alignment horizontal="center"/>
    </xf>
    <xf numFmtId="0" fontId="11" fillId="4" borderId="81" xfId="0" applyFont="1" applyFill="1" applyBorder="1" applyAlignment="1">
      <alignment horizontal="center"/>
    </xf>
    <xf numFmtId="0" fontId="11" fillId="4" borderId="55" xfId="0" applyFont="1" applyFill="1" applyBorder="1" applyAlignment="1">
      <alignment horizontal="center"/>
    </xf>
    <xf numFmtId="0" fontId="6" fillId="0" borderId="68" xfId="0" applyNumberFormat="1" applyFont="1" applyBorder="1" applyAlignment="1">
      <alignment horizontal="right"/>
    </xf>
    <xf numFmtId="0" fontId="6" fillId="0" borderId="44" xfId="0" applyNumberFormat="1" applyFont="1" applyBorder="1" applyAlignment="1">
      <alignment horizontal="right"/>
    </xf>
    <xf numFmtId="167" fontId="11" fillId="4" borderId="60" xfId="0" applyNumberFormat="1" applyFont="1" applyFill="1" applyBorder="1" applyAlignment="1">
      <alignment horizontal="center"/>
    </xf>
    <xf numFmtId="0" fontId="21" fillId="2" borderId="90" xfId="0" applyFont="1" applyFill="1" applyBorder="1" applyAlignment="1">
      <alignment horizontal="center" vertical="center"/>
    </xf>
    <xf numFmtId="0" fontId="21" fillId="2" borderId="89"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4" xfId="0" applyFont="1" applyFill="1" applyBorder="1" applyAlignment="1">
      <alignment horizontal="center" vertical="center"/>
    </xf>
    <xf numFmtId="0" fontId="21" fillId="2" borderId="86" xfId="0" applyFont="1" applyFill="1" applyBorder="1" applyAlignment="1">
      <alignment horizontal="center" vertical="center"/>
    </xf>
    <xf numFmtId="0" fontId="21" fillId="2" borderId="87" xfId="0" applyFont="1" applyFill="1" applyBorder="1" applyAlignment="1">
      <alignment horizontal="center" vertical="center"/>
    </xf>
    <xf numFmtId="0" fontId="21" fillId="2" borderId="88" xfId="0" applyFont="1" applyFill="1" applyBorder="1" applyAlignment="1">
      <alignment horizontal="center" vertical="center"/>
    </xf>
    <xf numFmtId="0" fontId="6" fillId="0" borderId="75" xfId="0" applyFont="1" applyBorder="1" applyAlignment="1">
      <alignment horizontal="center"/>
    </xf>
    <xf numFmtId="0" fontId="6" fillId="0" borderId="100" xfId="0" applyFont="1" applyBorder="1" applyAlignment="1">
      <alignment horizontal="center"/>
    </xf>
    <xf numFmtId="0" fontId="8" fillId="5" borderId="40" xfId="0" applyFont="1" applyFill="1" applyBorder="1" applyAlignment="1">
      <alignment horizontal="center"/>
    </xf>
    <xf numFmtId="0" fontId="4" fillId="2" borderId="84" xfId="0" applyFont="1" applyFill="1" applyBorder="1" applyAlignment="1">
      <alignment horizontal="center" vertical="center"/>
    </xf>
    <xf numFmtId="0" fontId="4" fillId="2" borderId="85" xfId="0" applyFont="1" applyFill="1" applyBorder="1" applyAlignment="1">
      <alignment horizontal="center" vertical="center"/>
    </xf>
    <xf numFmtId="171" fontId="6" fillId="0" borderId="80" xfId="0" applyNumberFormat="1" applyFont="1" applyBorder="1" applyAlignment="1" applyProtection="1">
      <alignment horizontal="center" vertical="center"/>
      <protection locked="0"/>
    </xf>
    <xf numFmtId="171" fontId="6" fillId="0" borderId="27" xfId="0" applyNumberFormat="1" applyFont="1" applyBorder="1" applyAlignment="1" applyProtection="1">
      <alignment horizontal="center" vertical="center"/>
      <protection locked="0"/>
    </xf>
    <xf numFmtId="171" fontId="6" fillId="0" borderId="8" xfId="0" applyNumberFormat="1" applyFont="1" applyBorder="1" applyAlignment="1" applyProtection="1">
      <alignment horizontal="center" vertical="center"/>
      <protection locked="0"/>
    </xf>
    <xf numFmtId="171" fontId="6" fillId="0" borderId="1" xfId="0" applyNumberFormat="1" applyFont="1" applyBorder="1" applyAlignment="1" applyProtection="1">
      <alignment horizontal="center" vertical="center"/>
      <protection locked="0"/>
    </xf>
    <xf numFmtId="171" fontId="6" fillId="0" borderId="20" xfId="0" applyNumberFormat="1" applyFont="1" applyBorder="1" applyAlignment="1" applyProtection="1">
      <alignment horizontal="center" vertical="center"/>
      <protection locked="0"/>
    </xf>
    <xf numFmtId="171" fontId="6" fillId="0" borderId="21" xfId="0" applyNumberFormat="1" applyFont="1" applyBorder="1" applyAlignment="1" applyProtection="1">
      <alignment horizontal="center" vertical="center"/>
      <protection locked="0"/>
    </xf>
    <xf numFmtId="171" fontId="6" fillId="0" borderId="80" xfId="0" applyNumberFormat="1" applyFont="1" applyBorder="1" applyAlignment="1">
      <alignment horizontal="center"/>
    </xf>
    <xf numFmtId="171" fontId="6" fillId="0" borderId="27" xfId="0" applyNumberFormat="1" applyFont="1" applyBorder="1" applyAlignment="1">
      <alignment horizontal="center"/>
    </xf>
    <xf numFmtId="172" fontId="6" fillId="0" borderId="20" xfId="0" applyNumberFormat="1" applyFont="1" applyBorder="1" applyAlignment="1">
      <alignment horizontal="center"/>
    </xf>
    <xf numFmtId="172" fontId="6" fillId="0" borderId="21" xfId="0" applyNumberFormat="1" applyFont="1" applyBorder="1" applyAlignment="1">
      <alignment horizontal="center"/>
    </xf>
    <xf numFmtId="167" fontId="7" fillId="0" borderId="71" xfId="0" applyNumberFormat="1" applyFont="1" applyBorder="1" applyAlignment="1">
      <alignment horizontal="center"/>
    </xf>
    <xf numFmtId="167" fontId="7" fillId="0" borderId="50" xfId="0" applyNumberFormat="1" applyFont="1" applyBorder="1" applyAlignment="1">
      <alignment horizontal="center"/>
    </xf>
    <xf numFmtId="0" fontId="9" fillId="0" borderId="68" xfId="0" applyFont="1" applyBorder="1" applyAlignment="1">
      <alignment horizontal="left" vertical="center"/>
    </xf>
    <xf numFmtId="0" fontId="9" fillId="0" borderId="69" xfId="0" applyFont="1" applyBorder="1" applyAlignment="1">
      <alignment horizontal="left" vertical="center"/>
    </xf>
    <xf numFmtId="0" fontId="9" fillId="0" borderId="97" xfId="0" applyFont="1" applyBorder="1" applyAlignment="1">
      <alignment horizontal="left" vertical="center"/>
    </xf>
    <xf numFmtId="0" fontId="9" fillId="0" borderId="86" xfId="0" applyFont="1" applyBorder="1" applyAlignment="1">
      <alignment horizontal="left" vertical="center"/>
    </xf>
    <xf numFmtId="0" fontId="9" fillId="0" borderId="87" xfId="0" applyFont="1" applyBorder="1" applyAlignment="1">
      <alignment horizontal="left" vertical="center"/>
    </xf>
    <xf numFmtId="0" fontId="9" fillId="0" borderId="98" xfId="0" applyFont="1" applyBorder="1" applyAlignment="1">
      <alignment horizontal="left" vertical="center"/>
    </xf>
    <xf numFmtId="172" fontId="6" fillId="0" borderId="80" xfId="0" applyNumberFormat="1" applyFont="1" applyBorder="1" applyAlignment="1">
      <alignment horizontal="center"/>
    </xf>
    <xf numFmtId="172" fontId="6" fillId="0" borderId="27" xfId="0" applyNumberFormat="1" applyFont="1" applyBorder="1" applyAlignment="1">
      <alignment horizontal="center"/>
    </xf>
    <xf numFmtId="172" fontId="6" fillId="0" borderId="8" xfId="0" applyNumberFormat="1" applyFont="1" applyBorder="1" applyAlignment="1">
      <alignment horizontal="center"/>
    </xf>
    <xf numFmtId="172" fontId="6" fillId="0" borderId="1" xfId="0" applyNumberFormat="1" applyFont="1" applyBorder="1" applyAlignment="1">
      <alignment horizontal="center"/>
    </xf>
    <xf numFmtId="167" fontId="8" fillId="5" borderId="105" xfId="0" applyNumberFormat="1" applyFont="1" applyFill="1" applyBorder="1" applyAlignment="1">
      <alignment horizontal="center"/>
    </xf>
    <xf numFmtId="0" fontId="8" fillId="5" borderId="77" xfId="0" applyFont="1" applyFill="1" applyBorder="1" applyAlignment="1">
      <alignment horizontal="center"/>
    </xf>
    <xf numFmtId="0" fontId="6" fillId="0" borderId="53" xfId="0" applyFont="1" applyBorder="1" applyAlignment="1">
      <alignment horizontal="center"/>
    </xf>
    <xf numFmtId="0" fontId="6" fillId="0" borderId="79" xfId="0" applyFont="1" applyBorder="1" applyAlignment="1">
      <alignment horizontal="center"/>
    </xf>
    <xf numFmtId="0" fontId="6" fillId="0" borderId="54" xfId="0" applyFont="1" applyBorder="1" applyAlignment="1">
      <alignment horizontal="center"/>
    </xf>
    <xf numFmtId="0" fontId="6" fillId="0" borderId="70" xfId="0" applyFont="1" applyBorder="1" applyAlignment="1">
      <alignment horizontal="center"/>
    </xf>
    <xf numFmtId="0" fontId="8" fillId="0" borderId="53" xfId="0" applyFont="1" applyBorder="1" applyAlignment="1">
      <alignment horizontal="center"/>
    </xf>
    <xf numFmtId="0" fontId="8" fillId="0" borderId="79" xfId="0" applyFont="1" applyBorder="1" applyAlignment="1">
      <alignment horizontal="center"/>
    </xf>
    <xf numFmtId="0" fontId="6" fillId="0" borderId="67" xfId="0" applyFont="1" applyBorder="1" applyAlignment="1">
      <alignment horizontal="center"/>
    </xf>
    <xf numFmtId="0" fontId="6" fillId="0" borderId="71" xfId="0" applyFont="1" applyBorder="1" applyAlignment="1">
      <alignment horizontal="center"/>
    </xf>
    <xf numFmtId="0" fontId="6" fillId="0" borderId="39" xfId="0" applyFont="1" applyBorder="1" applyAlignment="1">
      <alignment horizontal="center"/>
    </xf>
    <xf numFmtId="0" fontId="12" fillId="0" borderId="6" xfId="0" applyFont="1" applyBorder="1" applyAlignment="1">
      <alignment horizontal="left" vertical="center"/>
    </xf>
    <xf numFmtId="0" fontId="12" fillId="0" borderId="0" xfId="0" applyFont="1" applyBorder="1" applyAlignment="1">
      <alignment horizontal="left" vertical="center"/>
    </xf>
    <xf numFmtId="0" fontId="17" fillId="2" borderId="42" xfId="0" applyFont="1" applyFill="1" applyBorder="1" applyAlignment="1">
      <alignment horizontal="center"/>
    </xf>
    <xf numFmtId="0" fontId="17" fillId="2" borderId="43" xfId="0" applyFont="1" applyFill="1" applyBorder="1" applyAlignment="1">
      <alignment horizontal="center"/>
    </xf>
    <xf numFmtId="0" fontId="14" fillId="2" borderId="44" xfId="0" applyFont="1" applyFill="1" applyBorder="1" applyAlignment="1">
      <alignment horizontal="center"/>
    </xf>
    <xf numFmtId="0" fontId="14" fillId="2" borderId="45" xfId="0" applyFont="1" applyFill="1" applyBorder="1" applyAlignment="1">
      <alignment horizontal="center"/>
    </xf>
    <xf numFmtId="0" fontId="14" fillId="2" borderId="43" xfId="0" applyFont="1" applyFill="1" applyBorder="1" applyAlignment="1">
      <alignment horizontal="center"/>
    </xf>
    <xf numFmtId="0" fontId="16" fillId="3" borderId="61" xfId="0" applyFont="1" applyFill="1" applyBorder="1" applyAlignment="1">
      <alignment horizontal="center" vertical="center"/>
    </xf>
    <xf numFmtId="0" fontId="16" fillId="3" borderId="62" xfId="0" applyFont="1" applyFill="1" applyBorder="1" applyAlignment="1">
      <alignment horizontal="center" vertical="center"/>
    </xf>
    <xf numFmtId="0" fontId="17" fillId="2" borderId="9" xfId="0" applyFont="1" applyFill="1" applyBorder="1" applyAlignment="1">
      <alignment horizontal="center"/>
    </xf>
    <xf numFmtId="0" fontId="17" fillId="2" borderId="11" xfId="0" applyFont="1" applyFill="1" applyBorder="1" applyAlignment="1">
      <alignment horizontal="center"/>
    </xf>
    <xf numFmtId="0" fontId="17" fillId="2" borderId="10" xfId="0" applyFont="1" applyFill="1" applyBorder="1" applyAlignment="1">
      <alignment horizontal="center"/>
    </xf>
    <xf numFmtId="0" fontId="16" fillId="3" borderId="63" xfId="0" applyFont="1" applyFill="1" applyBorder="1" applyAlignment="1">
      <alignment horizontal="center" vertical="center"/>
    </xf>
    <xf numFmtId="0" fontId="15" fillId="2" borderId="68" xfId="0" applyFont="1" applyFill="1" applyBorder="1" applyAlignment="1">
      <alignment horizontal="center" vertical="center"/>
    </xf>
    <xf numFmtId="0" fontId="15" fillId="2" borderId="82"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7" xfId="0" applyFont="1" applyFill="1" applyBorder="1" applyAlignment="1">
      <alignment horizontal="center" vertical="center"/>
    </xf>
    <xf numFmtId="0" fontId="20" fillId="2" borderId="9" xfId="0" applyFont="1" applyFill="1" applyBorder="1" applyAlignment="1">
      <alignment horizontal="center"/>
    </xf>
    <xf numFmtId="0" fontId="20" fillId="2" borderId="10" xfId="0" applyFont="1" applyFill="1" applyBorder="1" applyAlignment="1">
      <alignment horizontal="center"/>
    </xf>
    <xf numFmtId="0" fontId="20" fillId="2" borderId="11" xfId="0" applyFont="1" applyFill="1" applyBorder="1" applyAlignment="1">
      <alignment horizontal="center"/>
    </xf>
    <xf numFmtId="0" fontId="17" fillId="2" borderId="101" xfId="0" applyFont="1" applyFill="1" applyBorder="1" applyAlignment="1">
      <alignment horizontal="center"/>
    </xf>
    <xf numFmtId="0" fontId="17" fillId="2" borderId="32" xfId="0" applyFont="1" applyFill="1" applyBorder="1" applyAlignment="1">
      <alignment horizontal="center"/>
    </xf>
    <xf numFmtId="0" fontId="17" fillId="2" borderId="99" xfId="0" applyFont="1" applyFill="1" applyBorder="1" applyAlignment="1">
      <alignment horizontal="center"/>
    </xf>
    <xf numFmtId="0" fontId="16" fillId="3" borderId="65" xfId="0" applyFont="1" applyFill="1" applyBorder="1" applyAlignment="1">
      <alignment horizontal="left" vertical="center"/>
    </xf>
    <xf numFmtId="0" fontId="16" fillId="3" borderId="66" xfId="0" applyFont="1" applyFill="1" applyBorder="1" applyAlignment="1">
      <alignment horizontal="left" vertical="center"/>
    </xf>
    <xf numFmtId="0" fontId="14" fillId="0" borderId="15" xfId="0" applyFont="1" applyBorder="1" applyAlignment="1">
      <alignment horizontal="center"/>
    </xf>
    <xf numFmtId="0" fontId="14" fillId="0" borderId="54" xfId="0" applyFont="1" applyBorder="1" applyAlignment="1">
      <alignment horizontal="center"/>
    </xf>
    <xf numFmtId="0" fontId="14" fillId="0" borderId="24" xfId="0" applyFont="1" applyBorder="1" applyAlignment="1">
      <alignment horizontal="center"/>
    </xf>
    <xf numFmtId="0" fontId="14" fillId="0" borderId="67" xfId="0" applyFont="1" applyBorder="1" applyAlignment="1">
      <alignment horizontal="center"/>
    </xf>
    <xf numFmtId="0" fontId="16" fillId="3" borderId="102" xfId="0" applyFont="1" applyFill="1" applyBorder="1" applyAlignment="1">
      <alignment horizontal="center" vertical="center"/>
    </xf>
    <xf numFmtId="0" fontId="16" fillId="3" borderId="103" xfId="0" applyFont="1" applyFill="1" applyBorder="1" applyAlignment="1">
      <alignment horizontal="center" vertical="center"/>
    </xf>
    <xf numFmtId="0" fontId="16" fillId="3" borderId="104" xfId="0" applyFont="1" applyFill="1" applyBorder="1" applyAlignment="1">
      <alignment horizontal="center" vertical="center"/>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1" xfId="0" applyFont="1" applyBorder="1" applyAlignment="1">
      <alignment horizontal="left" vertical="center"/>
    </xf>
    <xf numFmtId="0" fontId="14" fillId="0" borderId="40" xfId="0" applyFont="1" applyBorder="1" applyAlignment="1">
      <alignment horizontal="center"/>
    </xf>
    <xf numFmtId="0" fontId="14" fillId="0" borderId="14" xfId="0" applyFont="1" applyBorder="1" applyAlignment="1">
      <alignment horizontal="center"/>
    </xf>
    <xf numFmtId="0" fontId="14" fillId="0" borderId="57" xfId="0" applyFont="1" applyBorder="1" applyAlignment="1">
      <alignment horizontal="center"/>
    </xf>
    <xf numFmtId="0" fontId="14" fillId="0" borderId="4" xfId="0" applyFont="1" applyBorder="1" applyAlignment="1">
      <alignment horizontal="left"/>
    </xf>
    <xf numFmtId="0" fontId="14" fillId="0" borderId="1" xfId="0" applyFont="1" applyBorder="1" applyAlignment="1">
      <alignment horizontal="left"/>
    </xf>
    <xf numFmtId="0" fontId="14" fillId="0" borderId="15" xfId="0" applyFont="1" applyBorder="1" applyAlignment="1">
      <alignment horizontal="left"/>
    </xf>
    <xf numFmtId="0" fontId="14" fillId="0" borderId="3" xfId="0" applyFont="1" applyBorder="1" applyAlignment="1">
      <alignment horizontal="left"/>
    </xf>
    <xf numFmtId="0" fontId="14" fillId="0" borderId="37" xfId="0" applyFont="1" applyBorder="1" applyAlignment="1">
      <alignment horizontal="left"/>
    </xf>
    <xf numFmtId="0" fontId="14" fillId="0" borderId="38" xfId="0" applyFont="1" applyBorder="1" applyAlignment="1">
      <alignment horizontal="left"/>
    </xf>
    <xf numFmtId="0" fontId="14" fillId="0" borderId="39" xfId="0" applyFont="1" applyBorder="1" applyAlignment="1">
      <alignment horizontal="left"/>
    </xf>
    <xf numFmtId="0" fontId="14" fillId="0" borderId="3" xfId="0" applyFont="1" applyBorder="1" applyAlignment="1">
      <alignment horizontal="left" wrapText="1"/>
    </xf>
    <xf numFmtId="166" fontId="14" fillId="0" borderId="107" xfId="0" applyNumberFormat="1" applyFont="1" applyBorder="1"/>
    <xf numFmtId="166" fontId="14" fillId="0" borderId="77" xfId="0" applyNumberFormat="1" applyFont="1" applyBorder="1"/>
    <xf numFmtId="0" fontId="14" fillId="0" borderId="78" xfId="0" applyFont="1" applyBorder="1"/>
    <xf numFmtId="165" fontId="14" fillId="0" borderId="108" xfId="0" applyNumberFormat="1" applyFont="1" applyBorder="1"/>
    <xf numFmtId="166" fontId="14" fillId="0" borderId="8" xfId="0" applyNumberFormat="1" applyFont="1" applyBorder="1"/>
    <xf numFmtId="170" fontId="16" fillId="0" borderId="14" xfId="0" applyNumberFormat="1" applyFont="1" applyBorder="1"/>
    <xf numFmtId="170" fontId="16" fillId="0" borderId="15" xfId="0" applyNumberFormat="1" applyFont="1" applyBorder="1"/>
    <xf numFmtId="166" fontId="14" fillId="0" borderId="109" xfId="0" applyNumberFormat="1" applyFont="1" applyBorder="1" applyAlignment="1">
      <alignment horizontal="left"/>
    </xf>
    <xf numFmtId="167" fontId="31" fillId="0" borderId="8" xfId="0" applyNumberFormat="1" applyFont="1" applyBorder="1" applyAlignment="1">
      <alignment horizontal="center"/>
    </xf>
    <xf numFmtId="167" fontId="31" fillId="0" borderId="1" xfId="0" applyNumberFormat="1" applyFont="1" applyBorder="1" applyAlignment="1">
      <alignment horizontal="center"/>
    </xf>
  </cellXfs>
  <cellStyles count="1">
    <cellStyle name="Normal" xfId="0" builtinId="0"/>
  </cellStyles>
  <dxfs count="2">
    <dxf>
      <font>
        <color rgb="FF9C0006"/>
      </font>
    </dxf>
    <dxf>
      <font>
        <color rgb="FF9C0006"/>
      </font>
    </dxf>
  </dxfs>
  <tableStyles count="0" defaultTableStyle="TableStyleMedium2" defaultPivotStyle="PivotStyleLight16"/>
  <colors>
    <mruColors>
      <color rgb="FFA50021"/>
      <color rgb="FF99FF66"/>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0</xdr:row>
      <xdr:rowOff>118799</xdr:rowOff>
    </xdr:from>
    <xdr:to>
      <xdr:col>8</xdr:col>
      <xdr:colOff>2896861</xdr:colOff>
      <xdr:row>1</xdr:row>
      <xdr:rowOff>310861</xdr:rowOff>
    </xdr:to>
    <xdr:pic>
      <xdr:nvPicPr>
        <xdr:cNvPr id="3" name="Imagen 2">
          <a:extLst>
            <a:ext uri="{FF2B5EF4-FFF2-40B4-BE49-F238E27FC236}">
              <a16:creationId xmlns:a16="http://schemas.microsoft.com/office/drawing/2014/main" id="{8E0A728E-BC35-4AA8-84D0-D45961123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60545" y="118799"/>
          <a:ext cx="2515861" cy="25126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1361642</xdr:colOff>
      <xdr:row>0</xdr:row>
      <xdr:rowOff>17319</xdr:rowOff>
    </xdr:from>
    <xdr:to>
      <xdr:col>8</xdr:col>
      <xdr:colOff>554182</xdr:colOff>
      <xdr:row>0</xdr:row>
      <xdr:rowOff>2529031</xdr:rowOff>
    </xdr:to>
    <xdr:pic>
      <xdr:nvPicPr>
        <xdr:cNvPr id="2" name="Imagen 1">
          <a:extLst>
            <a:ext uri="{FF2B5EF4-FFF2-40B4-BE49-F238E27FC236}">
              <a16:creationId xmlns:a16="http://schemas.microsoft.com/office/drawing/2014/main" id="{3E75BA47-DAE4-41B8-8CB0-BFA72FC37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37824" y="17319"/>
          <a:ext cx="2569585" cy="25117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466726</xdr:colOff>
      <xdr:row>0</xdr:row>
      <xdr:rowOff>128587</xdr:rowOff>
    </xdr:from>
    <xdr:to>
      <xdr:col>7</xdr:col>
      <xdr:colOff>812601</xdr:colOff>
      <xdr:row>0</xdr:row>
      <xdr:rowOff>1795462</xdr:rowOff>
    </xdr:to>
    <xdr:pic>
      <xdr:nvPicPr>
        <xdr:cNvPr id="2" name="Imagen 1">
          <a:extLst>
            <a:ext uri="{FF2B5EF4-FFF2-40B4-BE49-F238E27FC236}">
              <a16:creationId xmlns:a16="http://schemas.microsoft.com/office/drawing/2014/main" id="{AB8F8224-CFCE-4133-A77E-EDC2A9CC3C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56445" y="128587"/>
          <a:ext cx="1619844" cy="1666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2598965</xdr:colOff>
      <xdr:row>0</xdr:row>
      <xdr:rowOff>40822</xdr:rowOff>
    </xdr:from>
    <xdr:to>
      <xdr:col>8</xdr:col>
      <xdr:colOff>530678</xdr:colOff>
      <xdr:row>0</xdr:row>
      <xdr:rowOff>1422208</xdr:rowOff>
    </xdr:to>
    <xdr:pic>
      <xdr:nvPicPr>
        <xdr:cNvPr id="2" name="Imagen 1">
          <a:extLst>
            <a:ext uri="{FF2B5EF4-FFF2-40B4-BE49-F238E27FC236}">
              <a16:creationId xmlns:a16="http://schemas.microsoft.com/office/drawing/2014/main" id="{7B93FE5C-467C-47D7-9DC4-A2ACFBAB5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64644" y="40822"/>
          <a:ext cx="1360713" cy="13813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zoomScale="55" zoomScaleNormal="55" workbookViewId="0">
      <selection activeCell="G23" sqref="G23"/>
    </sheetView>
  </sheetViews>
  <sheetFormatPr baseColWidth="10" defaultRowHeight="15" x14ac:dyDescent="0.25"/>
  <cols>
    <col min="1" max="1" width="57.5703125" customWidth="1"/>
    <col min="2" max="2" width="62" style="1" customWidth="1"/>
    <col min="3" max="3" width="29.5703125" customWidth="1"/>
    <col min="4" max="4" width="21.28515625" customWidth="1"/>
    <col min="5" max="5" width="43.85546875" customWidth="1"/>
    <col min="6" max="6" width="44.42578125" customWidth="1"/>
    <col min="7" max="7" width="42.5703125" customWidth="1"/>
    <col min="8" max="8" width="49.140625" customWidth="1"/>
    <col min="9" max="9" width="45.85546875" customWidth="1"/>
    <col min="10" max="10" width="39.28515625" customWidth="1"/>
  </cols>
  <sheetData>
    <row r="1" spans="1:10" ht="182.25" customHeight="1" x14ac:dyDescent="0.25">
      <c r="A1" s="175" t="s">
        <v>175</v>
      </c>
      <c r="B1" s="176"/>
      <c r="C1" s="176"/>
      <c r="D1" s="176"/>
      <c r="E1" s="176"/>
      <c r="F1" s="176"/>
      <c r="G1" s="176"/>
      <c r="H1" s="176"/>
      <c r="I1" s="177"/>
      <c r="J1" s="119"/>
    </row>
    <row r="2" spans="1:10" ht="25.5" customHeight="1" thickBot="1" x14ac:dyDescent="0.3">
      <c r="A2" s="178"/>
      <c r="B2" s="179"/>
      <c r="C2" s="179"/>
      <c r="D2" s="179"/>
      <c r="E2" s="179"/>
      <c r="F2" s="179"/>
      <c r="G2" s="179"/>
      <c r="H2" s="179"/>
      <c r="I2" s="180"/>
      <c r="J2" s="119"/>
    </row>
    <row r="3" spans="1:10" ht="39" customHeight="1" thickTop="1" thickBot="1" x14ac:dyDescent="0.3">
      <c r="A3" s="151" t="s">
        <v>17</v>
      </c>
      <c r="B3" s="152"/>
      <c r="C3" s="157" t="s">
        <v>132</v>
      </c>
      <c r="D3" s="152"/>
      <c r="E3" s="152"/>
      <c r="F3" s="152"/>
      <c r="G3" s="152"/>
      <c r="H3" s="152"/>
      <c r="I3" s="152"/>
      <c r="J3" s="119"/>
    </row>
    <row r="4" spans="1:10" ht="47.25" hidden="1" customHeight="1" thickBot="1" x14ac:dyDescent="0.3">
      <c r="A4" s="153"/>
      <c r="B4" s="154"/>
      <c r="C4" s="7"/>
      <c r="D4" s="2"/>
      <c r="E4" s="6"/>
      <c r="F4" s="1"/>
      <c r="G4" s="1"/>
      <c r="H4" s="1"/>
      <c r="I4" s="6"/>
    </row>
    <row r="5" spans="1:10" ht="42" customHeight="1" thickBot="1" x14ac:dyDescent="0.45">
      <c r="A5" s="155"/>
      <c r="B5" s="156"/>
      <c r="C5" s="161" t="s">
        <v>1</v>
      </c>
      <c r="D5" s="162"/>
      <c r="E5" s="118" t="s">
        <v>2</v>
      </c>
      <c r="F5" s="118" t="s">
        <v>3</v>
      </c>
      <c r="G5" s="118" t="s">
        <v>4</v>
      </c>
      <c r="H5" s="118" t="s">
        <v>5</v>
      </c>
      <c r="I5" s="120" t="s">
        <v>155</v>
      </c>
      <c r="J5" s="8"/>
    </row>
    <row r="6" spans="1:10" ht="39" thickTop="1" thickBot="1" x14ac:dyDescent="0.75">
      <c r="A6" s="187" t="s">
        <v>177</v>
      </c>
      <c r="B6" s="188"/>
      <c r="C6" s="163" t="s">
        <v>163</v>
      </c>
      <c r="D6" s="164"/>
      <c r="E6" s="117">
        <f>'Tablas Calculadas '!I8 *0.8</f>
        <v>10698041.867946668</v>
      </c>
      <c r="F6" s="117">
        <f>'Tablas Calculadas '!I9 *0.8</f>
        <v>2446370.6023466666</v>
      </c>
      <c r="G6" s="117">
        <f>'Tablas Calculadas '!I10 *0.8</f>
        <v>3625624.3131733332</v>
      </c>
      <c r="H6" s="117">
        <f>'Tablas Calculadas '!I11 *0.8</f>
        <v>4421353.4856533334</v>
      </c>
      <c r="I6" s="121">
        <f>'Tablas Calculadas '!I12 * 0.8</f>
        <v>3341452.4313600003</v>
      </c>
      <c r="J6" s="16" t="s">
        <v>91</v>
      </c>
    </row>
    <row r="7" spans="1:10" ht="37.5" x14ac:dyDescent="0.7">
      <c r="A7" s="189" t="s">
        <v>164</v>
      </c>
      <c r="B7" s="190"/>
      <c r="C7" s="165" t="s">
        <v>163</v>
      </c>
      <c r="D7" s="166"/>
      <c r="E7" s="9">
        <f>'Tablas Calculadas '!C61*-1</f>
        <v>-11809488</v>
      </c>
      <c r="F7" s="9">
        <f>'Tablas Calculadas '!C62*-1</f>
        <v>-6329472</v>
      </c>
      <c r="G7" s="9">
        <f>'Tablas Calculadas '!C63*-1</f>
        <v>-6777792</v>
      </c>
      <c r="H7" s="9">
        <f>'Tablas Calculadas '!C64*-1</f>
        <v>-9186240</v>
      </c>
      <c r="I7" s="122">
        <f>'Tablas Calculadas '!C65*-1</f>
        <v>-8968224</v>
      </c>
    </row>
    <row r="8" spans="1:10" ht="37.5" x14ac:dyDescent="0.7">
      <c r="A8" s="189" t="s">
        <v>165</v>
      </c>
      <c r="B8" s="190"/>
      <c r="C8" s="165" t="s">
        <v>163</v>
      </c>
      <c r="D8" s="166"/>
      <c r="E8" s="9">
        <f>'Tablas Calculadas '!B61*-1</f>
        <v>-584877.11999999988</v>
      </c>
      <c r="F8" s="9">
        <f>'Tablas Calculadas '!B62*-1</f>
        <v>-673880.16</v>
      </c>
      <c r="G8" s="9">
        <f>'Tablas Calculadas '!B63*-1</f>
        <v>-712024.32000000007</v>
      </c>
      <c r="H8" s="9">
        <f>'Tablas Calculadas '!B64*-1</f>
        <v>-813742.07999999996</v>
      </c>
      <c r="I8" s="123">
        <f>'Tablas Calculadas '!B65*-1</f>
        <v>-966318.72</v>
      </c>
      <c r="J8" s="119"/>
    </row>
    <row r="9" spans="1:10" ht="38.25" thickBot="1" x14ac:dyDescent="0.75">
      <c r="A9" s="193" t="s">
        <v>166</v>
      </c>
      <c r="B9" s="194"/>
      <c r="C9" s="167" t="s">
        <v>163</v>
      </c>
      <c r="D9" s="168"/>
      <c r="E9" s="10">
        <f>SUM(Constantes!E62:E90)*Constantes!B30*-1</f>
        <v>-67355.59199999999</v>
      </c>
      <c r="F9" s="10">
        <f>SUM(Constantes!E62:E90)*Constantes!B30*-1</f>
        <v>-67355.59199999999</v>
      </c>
      <c r="G9" s="10">
        <f>SUM(Constantes!E62:E90)*Constantes!B30*-1</f>
        <v>-67355.59199999999</v>
      </c>
      <c r="H9" s="10">
        <f>SUM(Constantes!E62:E90)*Constantes!B30*-1</f>
        <v>-67355.59199999999</v>
      </c>
      <c r="I9" s="124">
        <f>SUM(Constantes!E62:E90)*Constantes!B30*-1</f>
        <v>-67355.59199999999</v>
      </c>
      <c r="J9" s="119"/>
    </row>
    <row r="10" spans="1:10" ht="37.5" x14ac:dyDescent="0.7">
      <c r="A10" s="191" t="s">
        <v>167</v>
      </c>
      <c r="B10" s="192"/>
      <c r="C10" s="169" t="s">
        <v>163</v>
      </c>
      <c r="D10" s="170"/>
      <c r="E10" s="14">
        <f>SUM(E6:E9)</f>
        <v>-1763678.8440533322</v>
      </c>
      <c r="F10" s="14">
        <f t="shared" ref="F10:I10" si="0">SUM(F6:F9)</f>
        <v>-4624337.1496533332</v>
      </c>
      <c r="G10" s="14">
        <f t="shared" si="0"/>
        <v>-3931547.5988266673</v>
      </c>
      <c r="H10" s="14">
        <f t="shared" si="0"/>
        <v>-5645984.1863466669</v>
      </c>
      <c r="I10" s="125">
        <f t="shared" si="0"/>
        <v>-6660445.8806399992</v>
      </c>
    </row>
    <row r="11" spans="1:10" ht="38.25" thickBot="1" x14ac:dyDescent="0.75">
      <c r="A11" s="193" t="s">
        <v>168</v>
      </c>
      <c r="B11" s="194"/>
      <c r="C11" s="171" t="s">
        <v>163</v>
      </c>
      <c r="D11" s="172"/>
      <c r="E11" s="15">
        <f>IF(E10&gt;0,E10/4,0)</f>
        <v>0</v>
      </c>
      <c r="F11" s="15">
        <f t="shared" ref="F11:I11" si="1">IF(F10&gt;0,F10/4,0)</f>
        <v>0</v>
      </c>
      <c r="G11" s="15">
        <f t="shared" si="1"/>
        <v>0</v>
      </c>
      <c r="H11" s="15">
        <f t="shared" si="1"/>
        <v>0</v>
      </c>
      <c r="I11" s="126">
        <f t="shared" si="1"/>
        <v>0</v>
      </c>
      <c r="J11" s="119"/>
    </row>
    <row r="12" spans="1:10" ht="37.5" x14ac:dyDescent="0.7">
      <c r="A12" s="191" t="s">
        <v>170</v>
      </c>
      <c r="B12" s="192"/>
      <c r="C12" s="181" t="s">
        <v>163</v>
      </c>
      <c r="D12" s="182"/>
      <c r="E12" s="11">
        <f>E10-E11</f>
        <v>-1763678.8440533322</v>
      </c>
      <c r="F12" s="11">
        <f t="shared" ref="F12:H12" si="2">F10-F11</f>
        <v>-4624337.1496533332</v>
      </c>
      <c r="G12" s="11">
        <f t="shared" si="2"/>
        <v>-3931547.5988266673</v>
      </c>
      <c r="H12" s="11">
        <f t="shared" si="2"/>
        <v>-5645984.1863466669</v>
      </c>
      <c r="I12" s="127">
        <f>I10-I11</f>
        <v>-6660445.8806399992</v>
      </c>
      <c r="J12" s="119"/>
    </row>
    <row r="13" spans="1:10" ht="37.5" x14ac:dyDescent="0.7">
      <c r="A13" s="189" t="s">
        <v>171</v>
      </c>
      <c r="B13" s="190"/>
      <c r="C13" s="183" t="s">
        <v>163</v>
      </c>
      <c r="D13" s="184"/>
      <c r="E13" s="12">
        <f>SUM(Constantes!E62:E90)*Constantes!B30</f>
        <v>67355.59199999999</v>
      </c>
      <c r="F13" s="12">
        <f>SUM(Constantes!E62:E90)*Constantes!B30</f>
        <v>67355.59199999999</v>
      </c>
      <c r="G13" s="12">
        <f>SUM(Constantes!E62:E90)*Constantes!B30</f>
        <v>67355.59199999999</v>
      </c>
      <c r="H13" s="12">
        <f>SUM(Constantes!E62:E90)*Constantes!B30</f>
        <v>67355.59199999999</v>
      </c>
      <c r="I13" s="128">
        <f t="shared" ref="I13" si="3">I9*-1</f>
        <v>67355.59199999999</v>
      </c>
      <c r="J13" s="119"/>
    </row>
    <row r="14" spans="1:10" ht="37.5" x14ac:dyDescent="0.7">
      <c r="A14" s="158" t="s">
        <v>189</v>
      </c>
      <c r="B14" s="159"/>
      <c r="C14" s="250">
        <f>SUM(Constantes!B62:'Constantes'!B90)*Constantes!B29</f>
        <v>373571.19999999995</v>
      </c>
      <c r="D14" s="251"/>
      <c r="E14" s="13" t="s">
        <v>163</v>
      </c>
      <c r="F14" s="13" t="s">
        <v>163</v>
      </c>
      <c r="G14" s="13" t="s">
        <v>163</v>
      </c>
      <c r="H14" s="13" t="s">
        <v>163</v>
      </c>
      <c r="I14" s="129" t="s">
        <v>163</v>
      </c>
      <c r="J14" s="119"/>
    </row>
    <row r="15" spans="1:10" ht="41.25" thickBot="1" x14ac:dyDescent="0.75">
      <c r="A15" s="194" t="s">
        <v>176</v>
      </c>
      <c r="B15" s="195"/>
      <c r="C15" s="173"/>
      <c r="D15" s="174"/>
      <c r="E15" s="140"/>
      <c r="F15" s="140"/>
      <c r="G15" s="134"/>
      <c r="H15" s="134"/>
      <c r="I15" s="143">
        <f>SUM(Constantes!I62:I90)*Constantes!B34</f>
        <v>115027.13999999998</v>
      </c>
      <c r="J15" s="119"/>
    </row>
    <row r="16" spans="1:10" ht="38.25" thickBot="1" x14ac:dyDescent="0.75">
      <c r="A16" s="160" t="s">
        <v>162</v>
      </c>
      <c r="B16" s="160"/>
      <c r="C16" s="185">
        <f>C14</f>
        <v>373571.19999999995</v>
      </c>
      <c r="D16" s="186"/>
      <c r="E16" s="139">
        <f>E12+E13</f>
        <v>-1696323.2520533323</v>
      </c>
      <c r="F16" s="139">
        <f>F12+F13</f>
        <v>-4556981.5576533331</v>
      </c>
      <c r="G16" s="141">
        <f>G12+G13</f>
        <v>-3864192.0068266671</v>
      </c>
      <c r="H16" s="141">
        <f>H12+H13</f>
        <v>-5578628.5943466667</v>
      </c>
      <c r="I16" s="142">
        <f>I12+I13+I15</f>
        <v>-6478063.1486399993</v>
      </c>
      <c r="J16" s="119"/>
    </row>
    <row r="17" spans="1:10" ht="38.25" thickBot="1" x14ac:dyDescent="0.75">
      <c r="A17" s="144" t="s">
        <v>188</v>
      </c>
      <c r="B17" s="145"/>
      <c r="C17" s="148">
        <v>1</v>
      </c>
      <c r="D17" s="149"/>
      <c r="E17" s="114">
        <v>1.08</v>
      </c>
      <c r="F17" s="114">
        <v>1.1664000000000001</v>
      </c>
      <c r="G17" s="114">
        <v>1.2597</v>
      </c>
      <c r="H17" s="114">
        <v>1.3605</v>
      </c>
      <c r="I17" s="130">
        <v>1.4693000000000001</v>
      </c>
      <c r="J17" s="119"/>
    </row>
    <row r="18" spans="1:10" ht="39.75" thickTop="1" thickBot="1" x14ac:dyDescent="0.7">
      <c r="A18" s="146" t="s">
        <v>169</v>
      </c>
      <c r="B18" s="147"/>
      <c r="C18" s="150">
        <f>C16/C17</f>
        <v>373571.19999999995</v>
      </c>
      <c r="D18" s="147"/>
      <c r="E18" s="116">
        <f>E16/E17</f>
        <v>-1570669.6778271594</v>
      </c>
      <c r="F18" s="116">
        <f t="shared" ref="F18:I18" si="4">F16/F17</f>
        <v>-3906877.1927754912</v>
      </c>
      <c r="G18" s="116">
        <f t="shared" si="4"/>
        <v>-3067549.4219470248</v>
      </c>
      <c r="H18" s="115">
        <f t="shared" si="4"/>
        <v>-4100425.2806664216</v>
      </c>
      <c r="I18" s="113">
        <f t="shared" si="4"/>
        <v>-4408945.1770502953</v>
      </c>
    </row>
    <row r="19" spans="1:10" x14ac:dyDescent="0.25">
      <c r="A19" s="1"/>
      <c r="C19" s="1"/>
    </row>
    <row r="20" spans="1:10" ht="15" customHeight="1" x14ac:dyDescent="0.25"/>
    <row r="21" spans="1:10" x14ac:dyDescent="0.25">
      <c r="A21" s="4"/>
      <c r="B21" s="5"/>
      <c r="C21" s="5"/>
      <c r="D21" s="5"/>
    </row>
    <row r="22" spans="1:10" x14ac:dyDescent="0.25">
      <c r="A22" s="4"/>
      <c r="B22" s="5"/>
      <c r="C22" s="5"/>
      <c r="D22" s="5"/>
    </row>
    <row r="23" spans="1:10" x14ac:dyDescent="0.25">
      <c r="A23" s="4"/>
      <c r="B23" s="5"/>
      <c r="C23" s="5"/>
      <c r="D23" s="5"/>
    </row>
    <row r="24" spans="1:10" x14ac:dyDescent="0.25">
      <c r="B24" s="5"/>
      <c r="C24" s="3"/>
      <c r="D24" s="5"/>
    </row>
    <row r="25" spans="1:10" x14ac:dyDescent="0.25">
      <c r="B25" s="5"/>
      <c r="C25" s="3"/>
      <c r="D25" s="5"/>
    </row>
    <row r="26" spans="1:10" x14ac:dyDescent="0.25">
      <c r="B26" s="5"/>
      <c r="C26" s="3"/>
      <c r="D26" s="5"/>
    </row>
    <row r="27" spans="1:10" x14ac:dyDescent="0.25">
      <c r="B27" s="5"/>
      <c r="C27" s="3"/>
      <c r="D27" s="5"/>
    </row>
    <row r="28" spans="1:10" x14ac:dyDescent="0.25">
      <c r="D28" s="1"/>
    </row>
    <row r="29" spans="1:10" x14ac:dyDescent="0.25">
      <c r="D29" s="1"/>
    </row>
  </sheetData>
  <mergeCells count="30">
    <mergeCell ref="A1:I2"/>
    <mergeCell ref="C12:D12"/>
    <mergeCell ref="C13:D13"/>
    <mergeCell ref="C14:D14"/>
    <mergeCell ref="C16:D16"/>
    <mergeCell ref="A6:B6"/>
    <mergeCell ref="A7:B7"/>
    <mergeCell ref="A10:B10"/>
    <mergeCell ref="A11:B11"/>
    <mergeCell ref="A12:B12"/>
    <mergeCell ref="A13:B13"/>
    <mergeCell ref="A8:B8"/>
    <mergeCell ref="A9:B9"/>
    <mergeCell ref="A15:B15"/>
    <mergeCell ref="A17:B17"/>
    <mergeCell ref="A18:B18"/>
    <mergeCell ref="C17:D17"/>
    <mergeCell ref="C18:D18"/>
    <mergeCell ref="A3:B5"/>
    <mergeCell ref="C3:I3"/>
    <mergeCell ref="A14:B14"/>
    <mergeCell ref="A16:B16"/>
    <mergeCell ref="C5:D5"/>
    <mergeCell ref="C6:D6"/>
    <mergeCell ref="C7:D7"/>
    <mergeCell ref="C8:D8"/>
    <mergeCell ref="C9:D9"/>
    <mergeCell ref="C10:D10"/>
    <mergeCell ref="C11:D11"/>
    <mergeCell ref="C15:D15"/>
  </mergeCells>
  <phoneticPr fontId="2" type="noConversion"/>
  <conditionalFormatting sqref="C14:I14 C16:I18 C15 E6:I15">
    <cfRule type="cellIs" dxfId="1" priority="4" operator="equal">
      <formula>0</formula>
    </cfRule>
    <cfRule type="cellIs" dxfId="0" priority="5" operator="lessThan">
      <formula>0</formula>
    </cfRule>
  </conditionalFormatting>
  <pageMargins left="0.7" right="0.7" top="0.75" bottom="0.75" header="0.3" footer="0.3"/>
  <pageSetup paperSize="9" scale="4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7"/>
  <sheetViews>
    <sheetView tabSelected="1" zoomScale="80" zoomScaleNormal="80" workbookViewId="0">
      <selection activeCell="E21" sqref="E21"/>
    </sheetView>
  </sheetViews>
  <sheetFormatPr baseColWidth="10" defaultRowHeight="15" x14ac:dyDescent="0.25"/>
  <cols>
    <col min="1" max="1" width="81.7109375" customWidth="1"/>
    <col min="2" max="2" width="50" customWidth="1"/>
    <col min="3" max="3" width="47" customWidth="1"/>
    <col min="4" max="4" width="30" bestFit="1" customWidth="1"/>
    <col min="5" max="5" width="41.7109375" customWidth="1"/>
    <col min="6" max="6" width="53.85546875" bestFit="1" customWidth="1"/>
    <col min="7" max="7" width="58" bestFit="1" customWidth="1"/>
    <col min="8" max="8" width="50.5703125" bestFit="1" customWidth="1"/>
    <col min="9" max="9" width="17.7109375" bestFit="1" customWidth="1"/>
    <col min="10" max="10" width="24.28515625" bestFit="1" customWidth="1"/>
    <col min="19" max="19" width="17.7109375" customWidth="1"/>
  </cols>
  <sheetData>
    <row r="1" spans="1:10" ht="205.5" customHeight="1" x14ac:dyDescent="0.25">
      <c r="A1" s="196" t="s">
        <v>174</v>
      </c>
      <c r="B1" s="197"/>
      <c r="C1" s="197"/>
      <c r="D1" s="197"/>
      <c r="E1" s="197"/>
      <c r="F1" s="197"/>
      <c r="G1" s="197"/>
      <c r="H1" s="197"/>
      <c r="I1" s="197"/>
      <c r="J1" s="197"/>
    </row>
    <row r="2" spans="1:10" ht="16.5" x14ac:dyDescent="0.3">
      <c r="A2" s="17"/>
      <c r="B2" s="17"/>
      <c r="C2" s="17"/>
      <c r="D2" s="17"/>
      <c r="E2" s="17"/>
      <c r="F2" s="17"/>
      <c r="G2" s="17"/>
      <c r="H2" s="17"/>
      <c r="I2" s="17"/>
      <c r="J2" s="17"/>
    </row>
    <row r="3" spans="1:10" ht="16.5" x14ac:dyDescent="0.3">
      <c r="A3" s="17"/>
      <c r="B3" s="17"/>
      <c r="C3" s="17"/>
      <c r="D3" s="17"/>
      <c r="E3" s="17"/>
      <c r="F3" s="17"/>
      <c r="G3" s="17"/>
      <c r="H3" s="17"/>
      <c r="I3" s="17"/>
      <c r="J3" s="17"/>
    </row>
    <row r="4" spans="1:10" ht="16.5" x14ac:dyDescent="0.3">
      <c r="A4" s="17"/>
      <c r="B4" s="17"/>
      <c r="C4" s="17"/>
      <c r="D4" s="17"/>
      <c r="E4" s="17"/>
      <c r="F4" s="17"/>
      <c r="G4" s="17"/>
      <c r="H4" s="17"/>
      <c r="I4" s="17"/>
      <c r="J4" s="17"/>
    </row>
    <row r="5" spans="1:10" ht="17.25" thickBot="1" x14ac:dyDescent="0.35">
      <c r="A5" s="17"/>
      <c r="B5" s="17"/>
      <c r="C5" s="17"/>
      <c r="D5" s="17"/>
      <c r="E5" s="17"/>
      <c r="F5" s="17"/>
      <c r="G5" s="17"/>
      <c r="H5" s="17"/>
      <c r="I5" s="17"/>
      <c r="J5" s="17"/>
    </row>
    <row r="6" spans="1:10" ht="27" thickTop="1" thickBot="1" x14ac:dyDescent="0.55000000000000004">
      <c r="A6" s="18" t="s">
        <v>0</v>
      </c>
      <c r="B6" s="19" t="s">
        <v>6</v>
      </c>
      <c r="C6" s="19" t="s">
        <v>83</v>
      </c>
      <c r="D6" s="19" t="s">
        <v>84</v>
      </c>
      <c r="E6" s="19" t="s">
        <v>85</v>
      </c>
      <c r="F6" s="19" t="s">
        <v>46</v>
      </c>
      <c r="G6" s="19" t="s">
        <v>47</v>
      </c>
      <c r="H6" s="19" t="s">
        <v>48</v>
      </c>
      <c r="I6" s="20" t="s">
        <v>44</v>
      </c>
      <c r="J6" s="203" t="s">
        <v>93</v>
      </c>
    </row>
    <row r="7" spans="1:10" ht="16.5" x14ac:dyDescent="0.3">
      <c r="A7" s="21" t="s">
        <v>1</v>
      </c>
      <c r="B7" s="22"/>
      <c r="C7" s="23"/>
      <c r="D7" s="23"/>
      <c r="E7" s="23"/>
      <c r="F7" s="23"/>
      <c r="G7" s="23"/>
      <c r="H7" s="24"/>
      <c r="I7" s="25">
        <f>B7*'Tablas Calculadas '!E20+C7*'Tablas Calculadas '!E21+F7*'Tablas Calculadas '!E39+G7*'Tablas Calculadas '!E40+'Tablas Calculadas '!E41*H7+D7*'Tablas Calculadas '!E27+E7*'Tablas Calculadas '!E33</f>
        <v>0</v>
      </c>
      <c r="J7" s="204"/>
    </row>
    <row r="8" spans="1:10" ht="16.5" x14ac:dyDescent="0.3">
      <c r="A8" s="26" t="s">
        <v>2</v>
      </c>
      <c r="B8" s="27">
        <v>1</v>
      </c>
      <c r="C8" s="28">
        <v>4</v>
      </c>
      <c r="D8" s="28">
        <v>2</v>
      </c>
      <c r="E8" s="28"/>
      <c r="F8" s="28"/>
      <c r="G8" s="28">
        <v>1</v>
      </c>
      <c r="H8" s="29"/>
      <c r="I8" s="30">
        <f>B8*'Tablas Calculadas '!E20+C8*'Tablas Calculadas '!E22+F8*'Tablas Calculadas '!E42+G8*'Tablas Calculadas '!E43+'Tablas Calculadas '!E44*H8+D8*'Tablas Calculadas '!E28+E8*'Tablas Calculadas '!E34</f>
        <v>13372552.334933333</v>
      </c>
      <c r="J8" s="204"/>
    </row>
    <row r="9" spans="1:10" ht="16.5" x14ac:dyDescent="0.3">
      <c r="A9" s="26" t="s">
        <v>3</v>
      </c>
      <c r="B9" s="27"/>
      <c r="C9" s="28">
        <v>5</v>
      </c>
      <c r="D9" s="28">
        <v>2</v>
      </c>
      <c r="E9" s="28">
        <v>1</v>
      </c>
      <c r="F9" s="28"/>
      <c r="G9" s="28"/>
      <c r="H9" s="29"/>
      <c r="I9" s="30">
        <f>B9*'Tablas Calculadas '!E20+C9*'Tablas Calculadas '!E23+F9*'Tablas Calculadas '!E45+G9*'Tablas Calculadas '!E46+H9*'Tablas Calculadas '!E47+D9*'Tablas Calculadas '!E29+E9*'Tablas Calculadas '!E35</f>
        <v>3057963.2529333332</v>
      </c>
      <c r="J9" s="204"/>
    </row>
    <row r="10" spans="1:10" ht="15" customHeight="1" x14ac:dyDescent="0.3">
      <c r="A10" s="26" t="s">
        <v>4</v>
      </c>
      <c r="B10" s="27"/>
      <c r="C10" s="28">
        <v>4</v>
      </c>
      <c r="D10" s="28">
        <v>2</v>
      </c>
      <c r="E10" s="28">
        <v>2</v>
      </c>
      <c r="F10" s="28"/>
      <c r="G10" s="28"/>
      <c r="H10" s="29"/>
      <c r="I10" s="25">
        <f>B10*'Tablas Calculadas '!E20+C10*'Tablas Calculadas '!E24+F10*'Tablas Calculadas '!E48+'Tablas Calculadas '!E49*G10+H10*'Tablas Calculadas '!E50+D10*'Tablas Calculadas '!E30+E10*'Tablas Calculadas '!E36</f>
        <v>4532030.391466666</v>
      </c>
      <c r="J10" s="204"/>
    </row>
    <row r="11" spans="1:10" ht="15" customHeight="1" x14ac:dyDescent="0.3">
      <c r="A11" s="31" t="s">
        <v>5</v>
      </c>
      <c r="B11" s="32"/>
      <c r="C11" s="33">
        <v>2</v>
      </c>
      <c r="D11" s="33">
        <v>3</v>
      </c>
      <c r="E11" s="33">
        <v>2</v>
      </c>
      <c r="F11" s="33"/>
      <c r="G11" s="33"/>
      <c r="H11" s="34"/>
      <c r="I11" s="35">
        <f>B11*'Tablas Calculadas '!E20+C11*'Tablas Calculadas '!E25+F11*'Tablas Calculadas '!E51+'Tablas Calculadas '!E52*G11+H11*'Tablas Calculadas '!E53+D11*'Tablas Calculadas '!E31+E11*'Tablas Calculadas '!E37</f>
        <v>5526691.8570666667</v>
      </c>
      <c r="J11" s="204"/>
    </row>
    <row r="12" spans="1:10" ht="17.25" thickBot="1" x14ac:dyDescent="0.35">
      <c r="A12" s="36" t="s">
        <v>155</v>
      </c>
      <c r="B12" s="37"/>
      <c r="C12" s="38">
        <v>4</v>
      </c>
      <c r="D12" s="38">
        <v>2</v>
      </c>
      <c r="E12" s="38">
        <v>1</v>
      </c>
      <c r="F12" s="38"/>
      <c r="G12" s="38"/>
      <c r="H12" s="39"/>
      <c r="I12" s="249">
        <f>B12*'Tablas Calculadas '!E20+C12*'Tablas Calculadas '!E26+F12*'Tablas Calculadas '!E54+'Tablas Calculadas '!E55*G12+H12*'Tablas Calculadas '!E56+D12*'Tablas Calculadas '!E32+E12*'Tablas Calculadas '!E38</f>
        <v>4176815.5392</v>
      </c>
      <c r="J12" s="204"/>
    </row>
    <row r="13" spans="1:10" ht="18" thickTop="1" thickBot="1" x14ac:dyDescent="0.35">
      <c r="A13" s="40" t="s">
        <v>7</v>
      </c>
      <c r="B13" s="41">
        <f>SUM(B7:B11)*'Tablas Calculadas '!E20</f>
        <v>4435410</v>
      </c>
      <c r="C13" s="41">
        <f>C7*'Tablas Calculadas '!E21+C8*'Tablas Calculadas '!E22+C9*'Tablas Calculadas '!E23+C10*'Tablas Calculadas '!E24+C11*'Tablas Calculadas '!E25</f>
        <v>1891548.15</v>
      </c>
      <c r="D13" s="41">
        <f>D7*'Tablas Calculadas '!E27+D8*'Tablas Calculadas '!E28+D9*'Tablas Calculadas '!E29+D10*'Tablas Calculadas '!E30+D11*'Tablas Calculadas '!E31</f>
        <v>5094503.2256000005</v>
      </c>
      <c r="E13" s="42">
        <f>E7*'Tablas Calculadas '!E33+E8*'Tablas Calculadas '!E34+E9*'Tablas Calculadas '!E35+E10*'Tablas Calculadas '!E36+E11*'Tablas Calculadas '!E37</f>
        <v>7498801.036799999</v>
      </c>
      <c r="F13" s="42">
        <f>F7*'Tablas Calculadas '!E39+F8*'Tablas Calculadas '!E42+F9*'Tablas Calculadas '!E45+F10*'Tablas Calculadas '!E48+F11*'Tablas Calculadas '!E51</f>
        <v>0</v>
      </c>
      <c r="G13" s="42">
        <f>G7*'Tablas Calculadas '!E40+G8*'Tablas Calculadas '!E43+G9*'Tablas Calculadas '!E46+G10*'Tablas Calculadas '!E49+G11*'Tablas Calculadas '!E52</f>
        <v>7568975.4239999987</v>
      </c>
      <c r="H13" s="42">
        <f>H7*'Tablas Calculadas '!E41+H8*'Tablas Calculadas '!E44+H9*'Tablas Calculadas '!E47+H10*'Tablas Calculadas '!E50+H11*'Tablas Calculadas '!E53</f>
        <v>0</v>
      </c>
      <c r="I13" s="43">
        <f>SUM(I7:I12)</f>
        <v>30666053.375600003</v>
      </c>
      <c r="J13" s="204"/>
    </row>
    <row r="14" spans="1:10" ht="16.5" x14ac:dyDescent="0.3">
      <c r="A14" s="17"/>
      <c r="B14" s="17"/>
      <c r="C14" s="17"/>
      <c r="D14" s="17"/>
      <c r="E14" s="17"/>
      <c r="F14" s="17"/>
      <c r="G14" s="17"/>
      <c r="H14" s="17"/>
      <c r="I14" s="17"/>
      <c r="J14" s="17"/>
    </row>
    <row r="15" spans="1:10" ht="16.5" x14ac:dyDescent="0.3">
      <c r="A15" s="17"/>
      <c r="B15" s="17"/>
      <c r="C15" s="17"/>
      <c r="D15" s="17"/>
      <c r="E15" s="17"/>
      <c r="F15" s="17"/>
      <c r="G15" s="17"/>
      <c r="H15" s="17"/>
      <c r="I15" s="17"/>
      <c r="J15" s="17"/>
    </row>
    <row r="16" spans="1:10" ht="16.5" x14ac:dyDescent="0.3">
      <c r="A16" s="17"/>
      <c r="B16" s="17"/>
      <c r="C16" s="17"/>
      <c r="D16" s="17"/>
      <c r="E16" s="17"/>
      <c r="F16" s="17"/>
      <c r="G16" s="17"/>
      <c r="H16" s="17"/>
      <c r="I16" s="17"/>
      <c r="J16" s="17"/>
    </row>
    <row r="17" spans="1:10" ht="17.25" thickBot="1" x14ac:dyDescent="0.35">
      <c r="A17" s="17"/>
      <c r="B17" s="17"/>
      <c r="C17" s="17"/>
      <c r="D17" s="17"/>
      <c r="E17" s="17"/>
      <c r="F17" s="17"/>
      <c r="G17" s="17"/>
      <c r="H17" s="17"/>
      <c r="I17" s="17"/>
      <c r="J17" s="17"/>
    </row>
    <row r="18" spans="1:10" ht="21" thickBot="1" x14ac:dyDescent="0.4">
      <c r="A18" s="198" t="s">
        <v>8</v>
      </c>
      <c r="B18" s="199"/>
      <c r="C18" s="200" t="s">
        <v>9</v>
      </c>
      <c r="D18" s="201"/>
      <c r="E18" s="202"/>
      <c r="F18" s="17"/>
      <c r="G18" s="17"/>
      <c r="H18" s="17"/>
      <c r="I18" s="17"/>
      <c r="J18" s="17"/>
    </row>
    <row r="19" spans="1:10" ht="17.25" thickBot="1" x14ac:dyDescent="0.35">
      <c r="A19" s="19" t="s">
        <v>17</v>
      </c>
      <c r="B19" s="44" t="s">
        <v>172</v>
      </c>
      <c r="C19" s="19" t="s">
        <v>10</v>
      </c>
      <c r="D19" s="19" t="s">
        <v>22</v>
      </c>
      <c r="E19" s="45" t="s">
        <v>11</v>
      </c>
      <c r="F19" s="17"/>
      <c r="G19" s="17"/>
      <c r="H19" s="17"/>
      <c r="I19" s="17"/>
      <c r="J19" s="17"/>
    </row>
    <row r="20" spans="1:10" ht="17.25" thickBot="1" x14ac:dyDescent="0.35">
      <c r="A20" s="46" t="s">
        <v>49</v>
      </c>
      <c r="B20" s="47">
        <f>(Constantes!C22*(1+((Constantes!D22/100)*0))+ Constantes!C23*(1+((Constantes!D23/100)*0)) + Constantes!C24*(1+((Constantes!D24/100)*0)))*Constantes!B29*7</f>
        <v>281960</v>
      </c>
      <c r="C20" s="47">
        <f>(('Tablas Calculadas '!C61-C43)/12)*7</f>
        <v>3266368</v>
      </c>
      <c r="D20" s="48">
        <v>25</v>
      </c>
      <c r="E20" s="49">
        <f t="shared" ref="E20:E56" si="0">SUM(B20:C20)*(1+(D20/100))</f>
        <v>4435410</v>
      </c>
      <c r="F20" s="17"/>
      <c r="G20" s="17"/>
      <c r="H20" s="17"/>
      <c r="I20" s="17"/>
      <c r="J20" s="17"/>
    </row>
    <row r="21" spans="1:10" ht="17.25" thickTop="1" x14ac:dyDescent="0.3">
      <c r="A21" s="50" t="s">
        <v>96</v>
      </c>
      <c r="B21" s="51">
        <f>('Tablas Calculadas '!B60/(12*30))*(Constantes!$C$13+2)</f>
        <v>13426.666666666668</v>
      </c>
      <c r="C21" s="52">
        <f>(Constantes!$B$13*Constantes!$B$39*Constantes!B29*Constantes!$C$13)+(Constantes!$B$13*(Constantes!$B$38*(1+Constantes!$E$6))*Constantes!B29*Constantes!$D$13)</f>
        <v>61440</v>
      </c>
      <c r="D21" s="24">
        <v>25</v>
      </c>
      <c r="E21" s="53">
        <f t="shared" si="0"/>
        <v>93583.333333333343</v>
      </c>
      <c r="F21" s="17"/>
      <c r="G21" s="17"/>
      <c r="H21" s="17"/>
      <c r="I21" s="17"/>
      <c r="J21" s="17"/>
    </row>
    <row r="22" spans="1:10" ht="16.5" x14ac:dyDescent="0.3">
      <c r="A22" s="54" t="s">
        <v>97</v>
      </c>
      <c r="B22" s="51">
        <f>('Tablas Calculadas '!B61/(12*30))*(Constantes!$C$13+2)</f>
        <v>16246.586666666662</v>
      </c>
      <c r="C22" s="52">
        <f>(Constantes!$B$13*Constantes!$B$39*Constantes!B30*Constantes!$C$13)+(Constantes!$B$13*(Constantes!$B$38*(1+Constantes!$E$6))*Constantes!B30*Constantes!$D$13)</f>
        <v>70656</v>
      </c>
      <c r="D22" s="24">
        <v>25</v>
      </c>
      <c r="E22" s="55">
        <f t="shared" si="0"/>
        <v>108628.23333333334</v>
      </c>
      <c r="F22" s="17"/>
      <c r="G22" s="17"/>
      <c r="H22" s="17"/>
      <c r="I22" s="17"/>
      <c r="J22" s="17"/>
    </row>
    <row r="23" spans="1:10" ht="16.5" x14ac:dyDescent="0.3">
      <c r="A23" s="54" t="s">
        <v>98</v>
      </c>
      <c r="B23" s="51">
        <f>('Tablas Calculadas '!B62/(12*30))*(Constantes!$C$13+2)</f>
        <v>18718.893333333333</v>
      </c>
      <c r="C23" s="52">
        <f>(Constantes!$B$13*Constantes!$B$39*Constantes!B31*Constantes!$C$13)+(Constantes!$B$13*(Constantes!$B$38*(1+Constantes!$E$6))*Constantes!B31*Constantes!$D$13)</f>
        <v>81408</v>
      </c>
      <c r="D23" s="24">
        <v>25</v>
      </c>
      <c r="E23" s="55">
        <f t="shared" si="0"/>
        <v>125158.61666666667</v>
      </c>
      <c r="F23" s="17"/>
      <c r="G23" s="17"/>
      <c r="H23" s="17"/>
      <c r="I23" s="17"/>
      <c r="J23" s="17"/>
    </row>
    <row r="24" spans="1:10" ht="16.5" x14ac:dyDescent="0.3">
      <c r="A24" s="54" t="s">
        <v>99</v>
      </c>
      <c r="B24" s="51">
        <f>('Tablas Calculadas '!B63/(12*30))*(Constantes!$C$13+2)</f>
        <v>19778.453333333335</v>
      </c>
      <c r="C24" s="52">
        <f>(Constantes!$B$13*Constantes!$B$39*Constantes!B32*Constantes!$C$13)+(Constantes!$B$13*(Constantes!$B$38*(1+Constantes!$E$6))*Constantes!B32*Constantes!$D$13)</f>
        <v>86016</v>
      </c>
      <c r="D24" s="24">
        <v>25</v>
      </c>
      <c r="E24" s="55">
        <f t="shared" si="0"/>
        <v>132243.06666666668</v>
      </c>
      <c r="F24" s="17"/>
      <c r="G24" s="17"/>
      <c r="H24" s="17"/>
      <c r="I24" s="17"/>
      <c r="J24" s="17"/>
    </row>
    <row r="25" spans="1:10" ht="16.5" x14ac:dyDescent="0.3">
      <c r="A25" s="54" t="s">
        <v>100</v>
      </c>
      <c r="B25" s="246">
        <f>('Tablas Calculadas '!B64/(12*30))*(Constantes!$C$13+2)</f>
        <v>22603.946666666667</v>
      </c>
      <c r="C25" s="62">
        <f>(Constantes!$B$13*Constantes!$B$39*Constantes!B33*Constantes!$C$13)+(Constantes!$B$13*(Constantes!$B$38*(1+Constantes!$E$6))*Constantes!B33*Constantes!$D$13)</f>
        <v>98304</v>
      </c>
      <c r="D25" s="29">
        <v>25</v>
      </c>
      <c r="E25" s="55">
        <f t="shared" si="0"/>
        <v>151134.93333333335</v>
      </c>
      <c r="F25" s="17"/>
      <c r="G25" s="17"/>
      <c r="H25" s="17"/>
      <c r="I25" s="17"/>
      <c r="J25" s="17"/>
    </row>
    <row r="26" spans="1:10" ht="17.25" thickBot="1" x14ac:dyDescent="0.35">
      <c r="A26" s="54" t="s">
        <v>161</v>
      </c>
      <c r="B26" s="242">
        <f>('Tablas Calculadas '!B65/(12*30))*(Constantes!$C$13+2)</f>
        <v>26842.186666666668</v>
      </c>
      <c r="C26" s="243">
        <f>(Constantes!$B$13*Constantes!$B$39*Constantes!B34*Constantes!$C$13)+(Constantes!$B$13*(Constantes!$B$38*(1+Constantes!$E$6))*Constantes!B34*Constantes!$D$13)</f>
        <v>116736</v>
      </c>
      <c r="D26" s="39">
        <v>20</v>
      </c>
      <c r="E26" s="58">
        <f t="shared" si="0"/>
        <v>172293.82399999999</v>
      </c>
      <c r="F26" s="17"/>
      <c r="G26" s="17"/>
      <c r="H26" s="17"/>
      <c r="I26" s="17"/>
      <c r="J26" s="17"/>
    </row>
    <row r="27" spans="1:10" ht="16.5" x14ac:dyDescent="0.3">
      <c r="A27" s="61" t="s">
        <v>101</v>
      </c>
      <c r="B27" s="51">
        <f>('Tablas Calculadas '!B60/(12*30))*(Constantes!$C$14+2)</f>
        <v>29538.666666666668</v>
      </c>
      <c r="C27" s="52">
        <f>(Constantes!$B$14*Constantes!$B$39*Constantes!B29*Constantes!$C$14)+(Constantes!$B$14*(Constantes!$B$39*(1+Constantes!$E$6))*Constantes!B29*Constantes!$D$14)</f>
        <v>307200</v>
      </c>
      <c r="D27" s="24">
        <v>20</v>
      </c>
      <c r="E27" s="53">
        <f t="shared" si="0"/>
        <v>404086.4</v>
      </c>
      <c r="F27" s="17"/>
      <c r="G27" s="17"/>
      <c r="H27" s="17"/>
      <c r="I27" s="17"/>
      <c r="J27" s="17"/>
    </row>
    <row r="28" spans="1:10" ht="16.5" x14ac:dyDescent="0.3">
      <c r="A28" s="61" t="s">
        <v>102</v>
      </c>
      <c r="B28" s="51">
        <f>('Tablas Calculadas '!B61/(12*30))*(Constantes!$C$14+2)</f>
        <v>35742.490666666657</v>
      </c>
      <c r="C28" s="52">
        <f>(Constantes!$B$14*Constantes!$B$39*Constantes!B30*Constantes!$C$14)+(Constantes!$B$14*(Constantes!$B$39*(1+Constantes!$E$6))*Constantes!B30*Constantes!$D$14)</f>
        <v>353280</v>
      </c>
      <c r="D28" s="24">
        <v>20</v>
      </c>
      <c r="E28" s="55">
        <f t="shared" si="0"/>
        <v>466826.98879999999</v>
      </c>
      <c r="F28" s="17"/>
      <c r="G28" s="17"/>
      <c r="H28" s="17"/>
      <c r="I28" s="17"/>
      <c r="J28" s="17"/>
    </row>
    <row r="29" spans="1:10" ht="16.5" x14ac:dyDescent="0.3">
      <c r="A29" s="61" t="s">
        <v>103</v>
      </c>
      <c r="B29" s="51">
        <f>('Tablas Calculadas '!B62/(12*30))*(Constantes!$C$14+2)</f>
        <v>41181.565333333339</v>
      </c>
      <c r="C29" s="52">
        <f>(Constantes!$B$14*Constantes!$B$39*Constantes!B31*Constantes!$C$14)+(Constantes!$B$14*(Constantes!$B$39*(1+Constantes!$E$6))*Constantes!B31*Constantes!$D$14)</f>
        <v>407040</v>
      </c>
      <c r="D29" s="24">
        <v>20</v>
      </c>
      <c r="E29" s="55">
        <f t="shared" si="0"/>
        <v>537865.87839999993</v>
      </c>
      <c r="F29" s="17"/>
      <c r="G29" s="17"/>
      <c r="H29" s="17"/>
      <c r="I29" s="17"/>
      <c r="J29" s="17"/>
    </row>
    <row r="30" spans="1:10" ht="16.5" x14ac:dyDescent="0.3">
      <c r="A30" s="61" t="s">
        <v>104</v>
      </c>
      <c r="B30" s="51">
        <f>('Tablas Calculadas '!B63/(12*30))*(Constantes!$C$14+2)</f>
        <v>43512.597333333339</v>
      </c>
      <c r="C30" s="52">
        <f>(Constantes!$B$14*Constantes!$B$39*Constantes!B32*Constantes!$C$14)+(Constantes!$B$14*(Constantes!$B$39*(1+Constantes!$E$6))*Constantes!B32*Constantes!$D$14)</f>
        <v>430080</v>
      </c>
      <c r="D30" s="24">
        <v>20</v>
      </c>
      <c r="E30" s="55">
        <f t="shared" si="0"/>
        <v>568311.11679999996</v>
      </c>
      <c r="F30" s="17"/>
      <c r="G30" s="17"/>
      <c r="H30" s="17"/>
      <c r="I30" s="17"/>
      <c r="J30" s="17"/>
    </row>
    <row r="31" spans="1:10" ht="16.5" x14ac:dyDescent="0.3">
      <c r="A31" s="61" t="s">
        <v>105</v>
      </c>
      <c r="B31" s="246">
        <f>('Tablas Calculadas '!B64/(12*30))*(Constantes!$C$14+2)</f>
        <v>49728.682666666668</v>
      </c>
      <c r="C31" s="62">
        <f>(Constantes!$B$14*Constantes!$B$39*Constantes!B33*Constantes!$C$14)+(Constantes!$B$14*(Constantes!$B$39*(1+Constantes!$E$6))*Constantes!B33*Constantes!$D$14)</f>
        <v>491520</v>
      </c>
      <c r="D31" s="29">
        <v>20</v>
      </c>
      <c r="E31" s="55">
        <f t="shared" si="0"/>
        <v>649498.4192</v>
      </c>
      <c r="F31" s="17"/>
      <c r="G31" s="17"/>
      <c r="H31" s="17"/>
      <c r="I31" s="17"/>
      <c r="J31" s="17"/>
    </row>
    <row r="32" spans="1:10" ht="17.25" thickBot="1" x14ac:dyDescent="0.35">
      <c r="A32" s="61" t="s">
        <v>160</v>
      </c>
      <c r="B32" s="242">
        <f>('Tablas Calculadas '!B65/(12*30))*(Constantes!$C$14+2)</f>
        <v>59052.810666666664</v>
      </c>
      <c r="C32" s="243">
        <f>(Constantes!$B$14*Constantes!$B$39*Constantes!B34*Constantes!$C$14)+(Constantes!$B$14*(Constantes!$B$39*(1+Constantes!$E$6))*Constantes!B34*Constantes!$D$14)</f>
        <v>583680</v>
      </c>
      <c r="D32" s="244">
        <v>20</v>
      </c>
      <c r="E32" s="245">
        <f t="shared" si="0"/>
        <v>771279.37280000001</v>
      </c>
      <c r="F32" s="17"/>
      <c r="G32" s="17"/>
      <c r="H32" s="17"/>
      <c r="I32" s="17"/>
      <c r="J32" s="17"/>
    </row>
    <row r="33" spans="1:10" ht="16.5" x14ac:dyDescent="0.3">
      <c r="A33" s="61" t="s">
        <v>106</v>
      </c>
      <c r="B33" s="51">
        <f>('Tablas Calculadas '!B60/(12*30))*(Constantes!$C$15+2)</f>
        <v>32224</v>
      </c>
      <c r="C33" s="52">
        <f>(Constantes!$B$15*Constantes!$B$39*Constantes!B29*Constantes!$C$15)+(Constantes!$B$15*(Constantes!$B$39*(1+Constantes!$E$6))*Constantes!B29*Constantes!$D$15)</f>
        <v>819200</v>
      </c>
      <c r="D33" s="24">
        <v>20</v>
      </c>
      <c r="E33" s="53">
        <f t="shared" si="0"/>
        <v>1021708.7999999999</v>
      </c>
      <c r="F33" s="17"/>
      <c r="G33" s="17"/>
      <c r="H33" s="17"/>
      <c r="I33" s="17"/>
      <c r="J33" s="17"/>
    </row>
    <row r="34" spans="1:10" ht="16.5" x14ac:dyDescent="0.3">
      <c r="A34" s="61" t="s">
        <v>107</v>
      </c>
      <c r="B34" s="51">
        <f>('Tablas Calculadas '!B61/(12*30))*(Constantes!$C$15+2)</f>
        <v>38991.80799999999</v>
      </c>
      <c r="C34" s="62">
        <f>(Constantes!$B$15*Constantes!$B$39*Constantes!B30*Constantes!$C$15)+(Constantes!$B$15*(Constantes!$B$39*(1+Constantes!$E$6))*Constantes!B30*Constantes!$D$15)</f>
        <v>942080</v>
      </c>
      <c r="D34" s="29">
        <v>20</v>
      </c>
      <c r="E34" s="55">
        <f t="shared" si="0"/>
        <v>1177286.1695999999</v>
      </c>
      <c r="F34" s="17"/>
      <c r="G34" s="17"/>
      <c r="H34" s="17"/>
      <c r="I34" s="17"/>
      <c r="J34" s="17"/>
    </row>
    <row r="35" spans="1:10" ht="16.5" x14ac:dyDescent="0.3">
      <c r="A35" s="61" t="s">
        <v>108</v>
      </c>
      <c r="B35" s="51">
        <f>('Tablas Calculadas '!B62/(12*30))*(Constantes!$C$15+2)</f>
        <v>44925.344000000005</v>
      </c>
      <c r="C35" s="62">
        <f>(Constantes!$B$15*Constantes!$B$39*Constantes!B31*Constantes!$C$15)+(Constantes!$B$15*(Constantes!$B$39*(1+Constantes!$E$6))*Constantes!B31*Constantes!$D$15)</f>
        <v>1085440</v>
      </c>
      <c r="D35" s="29">
        <v>20</v>
      </c>
      <c r="E35" s="55">
        <f t="shared" si="0"/>
        <v>1356438.4128</v>
      </c>
      <c r="F35" s="17"/>
      <c r="G35" s="17"/>
      <c r="H35" s="17"/>
      <c r="I35" s="17"/>
      <c r="J35" s="17"/>
    </row>
    <row r="36" spans="1:10" ht="16.5" x14ac:dyDescent="0.3">
      <c r="A36" s="61" t="s">
        <v>109</v>
      </c>
      <c r="B36" s="51">
        <f>('Tablas Calculadas '!B63/(12*30))*(Constantes!$C$15+2)</f>
        <v>47468.288</v>
      </c>
      <c r="C36" s="62">
        <f>(Constantes!$B$15*Constantes!$B$39*Constantes!B32*Constantes!$C$15)+(Constantes!$B$15*(Constantes!$B$39*(1+Constantes!$E$6))*Constantes!B32*Constantes!$D$15)</f>
        <v>1146880</v>
      </c>
      <c r="D36" s="29">
        <v>20</v>
      </c>
      <c r="E36" s="55">
        <f t="shared" si="0"/>
        <v>1433217.9456</v>
      </c>
      <c r="F36" s="17"/>
      <c r="G36" s="17"/>
      <c r="H36" s="17"/>
      <c r="I36" s="17"/>
      <c r="J36" s="17"/>
    </row>
    <row r="37" spans="1:10" ht="17.25" thickBot="1" x14ac:dyDescent="0.35">
      <c r="A37" s="61" t="s">
        <v>110</v>
      </c>
      <c r="B37" s="63">
        <f>('Tablas Calculadas '!B64/(12*30))*(Constantes!$C$15+2)</f>
        <v>54249.471999999994</v>
      </c>
      <c r="C37" s="64">
        <f>(Constantes!$B$15*Constantes!$B$39*Constantes!B33*Constantes!$C$15)+(Constantes!$B$15*(Constantes!$B$39*(1+Constantes!$E$6))*Constantes!B33*Constantes!$D$15)</f>
        <v>1310720</v>
      </c>
      <c r="D37" s="65">
        <v>20</v>
      </c>
      <c r="E37" s="66">
        <f t="shared" si="0"/>
        <v>1637963.3663999999</v>
      </c>
      <c r="F37" s="17"/>
      <c r="G37" s="17"/>
      <c r="H37" s="17"/>
      <c r="I37" s="17"/>
      <c r="J37" s="17"/>
    </row>
    <row r="38" spans="1:10" ht="18" thickTop="1" thickBot="1" x14ac:dyDescent="0.35">
      <c r="A38" s="61" t="s">
        <v>159</v>
      </c>
      <c r="B38" s="63">
        <f>('Tablas Calculadas '!B65/(12*30))*(Constantes!$C$15+2)</f>
        <v>64421.248</v>
      </c>
      <c r="C38" s="64">
        <f>(Constantes!$B$15*Constantes!$B$39*Constantes!B34*Constantes!$C$15)+(Constantes!$B$15*(Constantes!$B$39*(1+Constantes!$E$6))*Constantes!B34*Constantes!$D$15)</f>
        <v>1556480</v>
      </c>
      <c r="D38" s="59">
        <v>20</v>
      </c>
      <c r="E38" s="60">
        <f t="shared" si="0"/>
        <v>1945081.4975999999</v>
      </c>
      <c r="F38" s="17"/>
      <c r="G38" s="17"/>
      <c r="H38" s="17"/>
      <c r="I38" s="17"/>
      <c r="J38" s="17"/>
    </row>
    <row r="39" spans="1:10" ht="17.25" thickTop="1" x14ac:dyDescent="0.3">
      <c r="A39" s="67" t="s">
        <v>69</v>
      </c>
      <c r="B39" s="51">
        <f>'Tablas Calculadas '!B60/12*2</f>
        <v>80560</v>
      </c>
      <c r="C39" s="52">
        <f>Constantes!B8*Constantes!B29</f>
        <v>3240000</v>
      </c>
      <c r="D39" s="59">
        <v>20</v>
      </c>
      <c r="E39" s="60">
        <f t="shared" si="0"/>
        <v>3984672</v>
      </c>
      <c r="F39" s="17"/>
      <c r="G39" s="17"/>
      <c r="H39" s="17"/>
      <c r="I39" s="17"/>
      <c r="J39" s="17"/>
    </row>
    <row r="40" spans="1:10" ht="16.5" x14ac:dyDescent="0.3">
      <c r="A40" s="68" t="s">
        <v>50</v>
      </c>
      <c r="B40" s="69">
        <f>'Tablas Calculadas '!B60/12*2</f>
        <v>80560</v>
      </c>
      <c r="C40" s="62">
        <f>Constantes!B9*Constantes!B29</f>
        <v>5400000</v>
      </c>
      <c r="D40" s="34">
        <v>20</v>
      </c>
      <c r="E40" s="70">
        <f t="shared" si="0"/>
        <v>6576672</v>
      </c>
      <c r="F40" s="17"/>
      <c r="G40" s="17"/>
      <c r="H40" s="17"/>
      <c r="I40" s="17"/>
      <c r="J40" s="17"/>
    </row>
    <row r="41" spans="1:10" ht="17.25" thickBot="1" x14ac:dyDescent="0.35">
      <c r="A41" s="71" t="s">
        <v>67</v>
      </c>
      <c r="B41" s="56">
        <f>'Tablas Calculadas '!B60/12*2</f>
        <v>80560</v>
      </c>
      <c r="C41" s="57">
        <f>Constantes!B10*Constantes!B29</f>
        <v>7760000</v>
      </c>
      <c r="D41" s="39">
        <v>20</v>
      </c>
      <c r="E41" s="58">
        <f t="shared" si="0"/>
        <v>9408672</v>
      </c>
      <c r="F41" s="17"/>
      <c r="G41" s="17"/>
      <c r="H41" s="17"/>
      <c r="I41" s="17"/>
      <c r="J41" s="17"/>
    </row>
    <row r="42" spans="1:10" ht="16.5" x14ac:dyDescent="0.3">
      <c r="A42" s="67" t="s">
        <v>68</v>
      </c>
      <c r="B42" s="51">
        <f>'Tablas Calculadas '!B61/12*2</f>
        <v>97479.519999999975</v>
      </c>
      <c r="C42" s="52">
        <f>Constantes!B8*Constantes!$B$30</f>
        <v>3726000</v>
      </c>
      <c r="D42" s="34">
        <v>20</v>
      </c>
      <c r="E42" s="70">
        <f t="shared" si="0"/>
        <v>4588175.4239999996</v>
      </c>
      <c r="F42" s="17"/>
      <c r="G42" s="17"/>
      <c r="H42" s="17"/>
      <c r="I42" s="17"/>
      <c r="J42" s="17"/>
    </row>
    <row r="43" spans="1:10" ht="16.5" x14ac:dyDescent="0.3">
      <c r="A43" s="68" t="s">
        <v>51</v>
      </c>
      <c r="B43" s="69">
        <f>'Tablas Calculadas '!B61/12*2</f>
        <v>97479.519999999975</v>
      </c>
      <c r="C43" s="62">
        <f>Constantes!B9*Constantes!$B$30</f>
        <v>6210000</v>
      </c>
      <c r="D43" s="34">
        <v>20</v>
      </c>
      <c r="E43" s="70">
        <f t="shared" si="0"/>
        <v>7568975.4239999987</v>
      </c>
      <c r="F43" s="17"/>
      <c r="G43" s="17"/>
      <c r="H43" s="17"/>
      <c r="I43" s="17"/>
      <c r="J43" s="17"/>
    </row>
    <row r="44" spans="1:10" ht="17.25" thickBot="1" x14ac:dyDescent="0.35">
      <c r="A44" s="71" t="s">
        <v>70</v>
      </c>
      <c r="B44" s="56">
        <f>'Tablas Calculadas '!B61/12*2</f>
        <v>97479.519999999975</v>
      </c>
      <c r="C44" s="57">
        <f>Constantes!B10*Constantes!$B$30</f>
        <v>8924000</v>
      </c>
      <c r="D44" s="39">
        <v>20</v>
      </c>
      <c r="E44" s="58">
        <f t="shared" si="0"/>
        <v>10825775.423999999</v>
      </c>
      <c r="F44" s="17"/>
      <c r="G44" s="17"/>
      <c r="H44" s="17"/>
      <c r="I44" s="17"/>
      <c r="J44" s="17"/>
    </row>
    <row r="45" spans="1:10" ht="16.5" x14ac:dyDescent="0.3">
      <c r="A45" s="67" t="s">
        <v>71</v>
      </c>
      <c r="B45" s="51">
        <f>'Tablas Calculadas '!$B$62/12*2</f>
        <v>112313.36</v>
      </c>
      <c r="C45" s="52">
        <f>Constantes!B8*Constantes!$B$31</f>
        <v>4293000</v>
      </c>
      <c r="D45" s="34">
        <v>20</v>
      </c>
      <c r="E45" s="70">
        <f t="shared" si="0"/>
        <v>5286376.0320000006</v>
      </c>
      <c r="F45" s="17"/>
      <c r="G45" s="17"/>
      <c r="H45" s="17"/>
      <c r="I45" s="17"/>
      <c r="J45" s="17"/>
    </row>
    <row r="46" spans="1:10" ht="16.5" x14ac:dyDescent="0.3">
      <c r="A46" s="68" t="s">
        <v>52</v>
      </c>
      <c r="B46" s="69">
        <f>'Tablas Calculadas '!$B$62/12*2</f>
        <v>112313.36</v>
      </c>
      <c r="C46" s="62">
        <f>Constantes!B9*Constantes!$B$31</f>
        <v>7155000</v>
      </c>
      <c r="D46" s="34">
        <v>20</v>
      </c>
      <c r="E46" s="70">
        <f t="shared" si="0"/>
        <v>8720776.0319999997</v>
      </c>
      <c r="F46" s="17"/>
      <c r="G46" s="17"/>
      <c r="H46" s="17"/>
      <c r="I46" s="17"/>
      <c r="J46" s="17"/>
    </row>
    <row r="47" spans="1:10" ht="17.25" thickBot="1" x14ac:dyDescent="0.35">
      <c r="A47" s="71" t="s">
        <v>72</v>
      </c>
      <c r="B47" s="56">
        <f>'Tablas Calculadas '!$B$62/12*2</f>
        <v>112313.36</v>
      </c>
      <c r="C47" s="57">
        <f>Constantes!B10*Constantes!$B$31</f>
        <v>10282000</v>
      </c>
      <c r="D47" s="39">
        <v>20</v>
      </c>
      <c r="E47" s="58">
        <f t="shared" si="0"/>
        <v>12473176.032</v>
      </c>
      <c r="F47" s="17"/>
      <c r="G47" s="17"/>
      <c r="H47" s="17"/>
      <c r="I47" s="17"/>
      <c r="J47" s="17"/>
    </row>
    <row r="48" spans="1:10" ht="16.5" x14ac:dyDescent="0.3">
      <c r="A48" s="67" t="s">
        <v>53</v>
      </c>
      <c r="B48" s="51">
        <f>'Tablas Calculadas '!$B$63/12*2</f>
        <v>118670.72000000002</v>
      </c>
      <c r="C48" s="52">
        <f>Constantes!B8*Constantes!$B$32</f>
        <v>4536000</v>
      </c>
      <c r="D48" s="34">
        <v>20</v>
      </c>
      <c r="E48" s="70">
        <f t="shared" si="0"/>
        <v>5585604.8639999991</v>
      </c>
      <c r="F48" s="17"/>
      <c r="G48" s="17"/>
      <c r="H48" s="17"/>
      <c r="I48" s="17"/>
      <c r="J48" s="17"/>
    </row>
    <row r="49" spans="1:10" ht="16.5" x14ac:dyDescent="0.3">
      <c r="A49" s="68" t="s">
        <v>73</v>
      </c>
      <c r="B49" s="69">
        <f>'Tablas Calculadas '!$B$63/12*2</f>
        <v>118670.72000000002</v>
      </c>
      <c r="C49" s="62">
        <f>Constantes!B9*Constantes!$B$32</f>
        <v>7560000</v>
      </c>
      <c r="D49" s="34">
        <v>20</v>
      </c>
      <c r="E49" s="70">
        <f t="shared" si="0"/>
        <v>9214404.8640000001</v>
      </c>
      <c r="F49" s="17"/>
      <c r="G49" s="17"/>
      <c r="H49" s="17"/>
      <c r="I49" s="17"/>
      <c r="J49" s="17"/>
    </row>
    <row r="50" spans="1:10" ht="17.25" thickBot="1" x14ac:dyDescent="0.35">
      <c r="A50" s="71" t="s">
        <v>74</v>
      </c>
      <c r="B50" s="56">
        <f>'Tablas Calculadas '!$B$63/12*2</f>
        <v>118670.72000000002</v>
      </c>
      <c r="C50" s="57">
        <f>Constantes!B10*Constantes!$B$32</f>
        <v>10864000</v>
      </c>
      <c r="D50" s="39">
        <v>20</v>
      </c>
      <c r="E50" s="58">
        <f t="shared" si="0"/>
        <v>13179204.864</v>
      </c>
      <c r="F50" s="17"/>
      <c r="G50" s="17"/>
      <c r="H50" s="17"/>
      <c r="I50" s="17"/>
      <c r="J50" s="17"/>
    </row>
    <row r="51" spans="1:10" ht="16.5" x14ac:dyDescent="0.3">
      <c r="A51" s="67" t="s">
        <v>54</v>
      </c>
      <c r="B51" s="51">
        <f>'Tablas Calculadas '!$B$64/12*2</f>
        <v>135623.67999999999</v>
      </c>
      <c r="C51" s="52">
        <f>Constantes!B8*Constantes!$B$33</f>
        <v>5184000</v>
      </c>
      <c r="D51" s="34">
        <v>20</v>
      </c>
      <c r="E51" s="70">
        <f t="shared" si="0"/>
        <v>6383548.4159999993</v>
      </c>
      <c r="F51" s="17"/>
      <c r="G51" s="17"/>
      <c r="H51" s="17"/>
      <c r="I51" s="17"/>
      <c r="J51" s="17"/>
    </row>
    <row r="52" spans="1:10" ht="16.5" x14ac:dyDescent="0.3">
      <c r="A52" s="68" t="s">
        <v>75</v>
      </c>
      <c r="B52" s="69">
        <f>'Tablas Calculadas '!$B$64/12*2</f>
        <v>135623.67999999999</v>
      </c>
      <c r="C52" s="62">
        <f>Constantes!B9*Constantes!$B$33</f>
        <v>8640000</v>
      </c>
      <c r="D52" s="34">
        <v>20</v>
      </c>
      <c r="E52" s="70">
        <f t="shared" si="0"/>
        <v>10530748.415999999</v>
      </c>
      <c r="F52" s="17"/>
      <c r="G52" s="17"/>
      <c r="H52" s="17"/>
      <c r="I52" s="17"/>
      <c r="J52" s="17"/>
    </row>
    <row r="53" spans="1:10" ht="17.25" thickBot="1" x14ac:dyDescent="0.35">
      <c r="A53" s="71" t="s">
        <v>76</v>
      </c>
      <c r="B53" s="56">
        <f>'Tablas Calculadas '!$B$64/12*2</f>
        <v>135623.67999999999</v>
      </c>
      <c r="C53" s="57">
        <f>Constantes!B10*Constantes!$B$33</f>
        <v>12416000</v>
      </c>
      <c r="D53" s="39">
        <v>20</v>
      </c>
      <c r="E53" s="58">
        <f t="shared" si="0"/>
        <v>15061948.415999999</v>
      </c>
      <c r="F53" s="17"/>
      <c r="G53" s="17"/>
      <c r="H53" s="17"/>
      <c r="I53" s="17"/>
      <c r="J53" s="17"/>
    </row>
    <row r="54" spans="1:10" ht="16.5" x14ac:dyDescent="0.3">
      <c r="A54" s="67" t="s">
        <v>156</v>
      </c>
      <c r="B54" s="51">
        <f>'Tablas Calculadas '!$B$64/12*2</f>
        <v>135623.67999999999</v>
      </c>
      <c r="C54" s="52">
        <f>Constantes!B8*Constantes!$B$33</f>
        <v>5184000</v>
      </c>
      <c r="D54" s="34">
        <v>20</v>
      </c>
      <c r="E54" s="70">
        <f t="shared" si="0"/>
        <v>6383548.4159999993</v>
      </c>
      <c r="F54" s="17"/>
      <c r="G54" s="17"/>
      <c r="H54" s="17"/>
      <c r="I54" s="17"/>
      <c r="J54" s="17"/>
    </row>
    <row r="55" spans="1:10" ht="16.5" x14ac:dyDescent="0.3">
      <c r="A55" s="68" t="s">
        <v>157</v>
      </c>
      <c r="B55" s="69">
        <f>'Tablas Calculadas '!$B$64/12*2</f>
        <v>135623.67999999999</v>
      </c>
      <c r="C55" s="62">
        <f>Constantes!B9*Constantes!$B$33</f>
        <v>8640000</v>
      </c>
      <c r="D55" s="34">
        <v>20</v>
      </c>
      <c r="E55" s="70">
        <f t="shared" si="0"/>
        <v>10530748.415999999</v>
      </c>
      <c r="F55" s="17"/>
      <c r="G55" s="17"/>
      <c r="H55" s="17"/>
      <c r="I55" s="17"/>
      <c r="J55" s="17"/>
    </row>
    <row r="56" spans="1:10" ht="17.25" thickBot="1" x14ac:dyDescent="0.35">
      <c r="A56" s="71" t="s">
        <v>158</v>
      </c>
      <c r="B56" s="56">
        <f>'Tablas Calculadas '!$B$64/12*2</f>
        <v>135623.67999999999</v>
      </c>
      <c r="C56" s="57">
        <f>Constantes!B10*Constantes!$B$33</f>
        <v>12416000</v>
      </c>
      <c r="D56" s="39">
        <v>20</v>
      </c>
      <c r="E56" s="58">
        <f t="shared" si="0"/>
        <v>15061948.415999999</v>
      </c>
      <c r="F56" s="17"/>
      <c r="G56" s="17"/>
      <c r="H56" s="17"/>
      <c r="I56" s="17"/>
      <c r="J56" s="17"/>
    </row>
    <row r="57" spans="1:10" ht="16.5" x14ac:dyDescent="0.3">
      <c r="A57" s="17"/>
      <c r="B57" s="17"/>
      <c r="C57" s="17"/>
      <c r="D57" s="17"/>
      <c r="E57" s="17"/>
      <c r="F57" s="17"/>
      <c r="G57" s="17"/>
      <c r="H57" s="17"/>
      <c r="I57" s="17"/>
      <c r="J57" s="17"/>
    </row>
    <row r="58" spans="1:10" ht="17.25" thickBot="1" x14ac:dyDescent="0.35">
      <c r="A58" s="17"/>
      <c r="B58" s="17"/>
      <c r="C58" s="17"/>
      <c r="D58" s="17"/>
      <c r="E58" s="17"/>
      <c r="F58" s="17"/>
      <c r="G58" s="17"/>
      <c r="H58" s="17"/>
      <c r="I58" s="17"/>
      <c r="J58" s="17"/>
    </row>
    <row r="59" spans="1:10" ht="26.25" thickBot="1" x14ac:dyDescent="0.55000000000000004">
      <c r="A59" s="18" t="s">
        <v>12</v>
      </c>
      <c r="B59" s="18" t="s">
        <v>13</v>
      </c>
      <c r="C59" s="18" t="s">
        <v>130</v>
      </c>
      <c r="D59" s="18" t="s">
        <v>43</v>
      </c>
      <c r="E59" s="17"/>
      <c r="F59" s="17"/>
      <c r="G59" s="17"/>
      <c r="H59" s="17"/>
      <c r="I59" s="17"/>
      <c r="J59" s="17"/>
    </row>
    <row r="60" spans="1:10" ht="16.5" x14ac:dyDescent="0.3">
      <c r="A60" s="21" t="s">
        <v>1</v>
      </c>
      <c r="B60" s="69">
        <f>(Constantes!C22*(1+((Constantes!D22/100)*0))+ Constantes!C23*(1+((Constantes!D23/100)*0)) + Constantes!C24*(1+((Constantes!D24/100)*0)))*Constantes!B29*12</f>
        <v>483360</v>
      </c>
      <c r="C60" s="62">
        <f>Constantes!B43*12+(Constantes!B49*Constantes!B29+Constantes!B50*Constantes!B29+Constantes!B51*Constantes!B29)*12 +'Tablas Calculadas '!F7*'Tablas Calculadas '!C39+'Tablas Calculadas '!G7*'Tablas Calculadas '!C40+'Tablas Calculadas '!H7*'Tablas Calculadas '!C41 + 'Tablas Calculadas '!B72</f>
        <v>4592640</v>
      </c>
      <c r="D60" s="72">
        <f t="shared" ref="D60:D66" si="1">SUM(B60:C60)</f>
        <v>5076000</v>
      </c>
      <c r="E60" s="17"/>
      <c r="F60" s="17"/>
      <c r="G60" s="17"/>
      <c r="H60" s="17"/>
      <c r="I60" s="17"/>
      <c r="J60" s="17"/>
    </row>
    <row r="61" spans="1:10" ht="16.5" x14ac:dyDescent="0.3">
      <c r="A61" s="26" t="s">
        <v>2</v>
      </c>
      <c r="B61" s="69">
        <f>(((Constantes!$C$22*(1+((Constantes!$D$22/100)*1)))+ (Constantes!$C$23*(1+((Constantes!$D$23/100)*1))) + (Constantes!$C$24*(1+((Constantes!$D$24/100)*1))))*Constantes!B30*12)*((1+Constantes!$C$17)^1)</f>
        <v>584877.11999999988</v>
      </c>
      <c r="C61" s="62">
        <f>(Constantes!B44*12+(Constantes!$B$49*Constantes!B30+Constantes!$B$50*Constantes!B30+Constantes!B51*Constantes!B30)*12) +'Tablas Calculadas '!F8*'Tablas Calculadas '!C42+'Tablas Calculadas '!G8*'Tablas Calculadas '!C43+'Tablas Calculadas '!H8*'Tablas Calculadas '!C44 +'Tablas Calculadas '!B73</f>
        <v>11809488</v>
      </c>
      <c r="D61" s="72">
        <f t="shared" si="1"/>
        <v>12394365.119999999</v>
      </c>
      <c r="E61" s="17"/>
      <c r="F61" s="17"/>
      <c r="G61" s="17"/>
      <c r="H61" s="17"/>
      <c r="I61" s="17"/>
      <c r="J61" s="17"/>
    </row>
    <row r="62" spans="1:10" ht="16.5" x14ac:dyDescent="0.3">
      <c r="A62" s="26" t="s">
        <v>3</v>
      </c>
      <c r="B62" s="69">
        <f>(((Constantes!$C$22*(1+((Constantes!$D$22/100)*1)))+ (Constantes!$C$23*(1+((Constantes!$D$23/100)*1))) + (Constantes!$C$24*(1+((Constantes!$D$24/100)*1))))*Constantes!B31*12)*((1+Constantes!$C$17)^2)</f>
        <v>673880.16</v>
      </c>
      <c r="C62" s="62">
        <f>(Constantes!B45*12+(Constantes!$B$49*Constantes!B31+Constantes!$B$50*Constantes!B31+Constantes!B51*Constantes!B31)*12) +('Tablas Calculadas '!F9*'Tablas Calculadas '!C45+'Tablas Calculadas '!G9*'Tablas Calculadas '!C46+'Tablas Calculadas '!H9*'Tablas Calculadas '!C47) +'Tablas Calculadas '!B74</f>
        <v>6329472</v>
      </c>
      <c r="D62" s="72">
        <f t="shared" si="1"/>
        <v>7003352.1600000001</v>
      </c>
      <c r="E62" s="17"/>
      <c r="F62" s="17"/>
      <c r="G62" s="17"/>
      <c r="H62" s="17"/>
      <c r="I62" s="17"/>
      <c r="J62" s="17"/>
    </row>
    <row r="63" spans="1:10" ht="16.5" x14ac:dyDescent="0.3">
      <c r="A63" s="26" t="s">
        <v>4</v>
      </c>
      <c r="B63" s="69">
        <f>(((Constantes!$C$22*(1+((Constantes!$D$22/100)*1)))+ (Constantes!$C$23*(1+((Constantes!$D$23/100)*1))) + (Constantes!$C$24*(1+((Constantes!$D$24/100)*1))))*Constantes!B32*12)*((1+Constantes!$C$17)^3)</f>
        <v>712024.32000000007</v>
      </c>
      <c r="C63" s="62">
        <f>(Constantes!B46*12+(Constantes!$B$49*Constantes!B32+Constantes!$B$50*Constantes!B32)*12)+('Tablas Calculadas '!F10*'Tablas Calculadas '!C48+'Tablas Calculadas '!G10*'Tablas Calculadas '!C49+'Tablas Calculadas '!H10*'Tablas Calculadas '!C50) +'Tablas Calculadas '!B75</f>
        <v>6777792</v>
      </c>
      <c r="D63" s="72">
        <f t="shared" si="1"/>
        <v>7489816.3200000003</v>
      </c>
      <c r="E63" s="17"/>
      <c r="F63" s="17"/>
      <c r="G63" s="17"/>
      <c r="H63" s="17"/>
      <c r="I63" s="17"/>
      <c r="J63" s="17"/>
    </row>
    <row r="64" spans="1:10" ht="16.5" x14ac:dyDescent="0.3">
      <c r="A64" s="26" t="s">
        <v>5</v>
      </c>
      <c r="B64" s="69">
        <f>(((Constantes!$C$22*(1+((Constantes!$D$22/100)*1)))+ (Constantes!$C$23*(1+((Constantes!$D$23/100)*1))) + (Constantes!$C$24*(1+((Constantes!$D$24/100)*1))))*Constantes!B33*12)*((1+Constantes!$C$17)^4)</f>
        <v>813742.07999999996</v>
      </c>
      <c r="C64" s="62">
        <f>(Constantes!B48*12+(Constantes!$B$49*Constantes!B33+Constantes!$B$50*Constantes!B33+Constantes!B51*Constantes!B33)*12)+('Tablas Calculadas '!F11*'Tablas Calculadas '!C51+'Tablas Calculadas '!G11*'Tablas Calculadas '!C52+'Tablas Calculadas '!H11*'Tablas Calculadas '!C53) +'Tablas Calculadas '!B76</f>
        <v>9186240</v>
      </c>
      <c r="D64" s="72">
        <f t="shared" si="1"/>
        <v>9999982.0800000001</v>
      </c>
      <c r="E64" s="17"/>
      <c r="F64" s="17"/>
      <c r="G64" s="17"/>
      <c r="H64" s="17"/>
      <c r="I64" s="17"/>
      <c r="J64" s="17"/>
    </row>
    <row r="65" spans="1:10" ht="17.25" thickBot="1" x14ac:dyDescent="0.35">
      <c r="A65" s="73" t="s">
        <v>155</v>
      </c>
      <c r="B65" s="69">
        <f>(((Constantes!$C$22*(1+((Constantes!$D$22/100)*1)))+ (Constantes!$C$23*(1+((Constantes!$D$23/100)*1))) + (Constantes!$C$24*(1+((Constantes!$D$24/100)*1))))*Constantes!B34*12)*((1+Constantes!$C$17)^4)</f>
        <v>966318.72</v>
      </c>
      <c r="C65" s="62">
        <f>(Constantes!B48*12+(Constantes!$B$49*Constantes!B34+Constantes!$B$50*Constantes!B33+Constantes!B51*Constantes!B33)*12)+('Tablas Calculadas '!F12*'Tablas Calculadas '!C54+'Tablas Calculadas '!G12*'Tablas Calculadas '!C55+'Tablas Calculadas '!H12*'Tablas Calculadas '!C56) +'Tablas Calculadas '!B77</f>
        <v>8968224</v>
      </c>
      <c r="D65" s="72">
        <f t="shared" si="1"/>
        <v>9934542.7200000007</v>
      </c>
      <c r="E65" s="17"/>
      <c r="F65" s="17"/>
      <c r="G65" s="17"/>
      <c r="H65" s="17"/>
      <c r="I65" s="17"/>
      <c r="J65" s="17"/>
    </row>
    <row r="66" spans="1:10" ht="18" thickTop="1" thickBot="1" x14ac:dyDescent="0.35">
      <c r="A66" s="74" t="s">
        <v>7</v>
      </c>
      <c r="B66" s="75">
        <f>SUM(B60:B64)</f>
        <v>3267883.6799999997</v>
      </c>
      <c r="C66" s="76">
        <f>SUM(C60:C64)</f>
        <v>38695632</v>
      </c>
      <c r="D66" s="77">
        <f t="shared" si="1"/>
        <v>41963515.68</v>
      </c>
      <c r="E66" s="17"/>
      <c r="F66" s="17"/>
      <c r="G66" s="17"/>
      <c r="H66" s="17"/>
      <c r="I66" s="17"/>
      <c r="J66" s="17"/>
    </row>
    <row r="67" spans="1:10" ht="16.5" x14ac:dyDescent="0.3">
      <c r="A67" s="17"/>
      <c r="B67" s="17"/>
      <c r="C67" s="17"/>
      <c r="D67" s="17"/>
      <c r="E67" s="17"/>
      <c r="F67" s="17"/>
      <c r="G67" s="17"/>
      <c r="H67" s="17"/>
      <c r="I67" s="17"/>
      <c r="J67" s="17"/>
    </row>
    <row r="68" spans="1:10" ht="16.5" x14ac:dyDescent="0.3">
      <c r="A68" s="17"/>
      <c r="B68" s="17"/>
      <c r="C68" s="17"/>
      <c r="D68" s="17"/>
      <c r="E68" s="17"/>
      <c r="F68" s="17"/>
      <c r="G68" s="17"/>
      <c r="H68" s="17"/>
      <c r="I68" s="17"/>
      <c r="J68" s="17"/>
    </row>
    <row r="69" spans="1:10" ht="16.5" x14ac:dyDescent="0.3">
      <c r="A69" s="17"/>
      <c r="B69" s="17"/>
      <c r="C69" s="17"/>
      <c r="D69" s="17"/>
      <c r="E69" s="17"/>
      <c r="F69" s="17"/>
      <c r="G69" s="17"/>
      <c r="H69" s="17"/>
      <c r="I69" s="17"/>
      <c r="J69" s="17"/>
    </row>
    <row r="70" spans="1:10" ht="17.25" thickBot="1" x14ac:dyDescent="0.35">
      <c r="A70" s="17"/>
      <c r="B70" s="17"/>
      <c r="C70" s="17"/>
      <c r="D70" s="17"/>
      <c r="E70" s="17"/>
      <c r="F70" s="17"/>
      <c r="G70" s="17"/>
      <c r="H70" s="17"/>
      <c r="I70" s="17"/>
      <c r="J70" s="17"/>
    </row>
    <row r="71" spans="1:10" ht="21" thickBot="1" x14ac:dyDescent="0.4">
      <c r="A71" s="205" t="s">
        <v>89</v>
      </c>
      <c r="B71" s="206"/>
      <c r="C71" s="78" t="s">
        <v>127</v>
      </c>
      <c r="D71" s="17"/>
      <c r="E71" s="17"/>
      <c r="F71" s="17"/>
      <c r="G71" s="17"/>
      <c r="H71" s="17"/>
      <c r="I71" s="17"/>
      <c r="J71" s="17"/>
    </row>
    <row r="72" spans="1:10" ht="16.5" x14ac:dyDescent="0.3">
      <c r="A72" s="79" t="s">
        <v>1</v>
      </c>
      <c r="B72" s="80">
        <f>('Tablas Calculadas '!C7*Constantes!$D$13*Constantes!$B$13+'Tablas Calculadas '!$D$7*Constantes!D14*Constantes!$B$14+'Tablas Calculadas '!E7*Constantes!$D$15*Constantes!$B$15)*(Constantes!$B$38*(1+Constantes!$E$6)*Constantes!B29)</f>
        <v>0</v>
      </c>
      <c r="C72" s="81"/>
      <c r="D72" s="17"/>
      <c r="E72" s="17"/>
      <c r="F72" s="17"/>
      <c r="G72" s="17"/>
      <c r="H72" s="17"/>
      <c r="I72" s="17"/>
      <c r="J72" s="17"/>
    </row>
    <row r="73" spans="1:10" ht="16.5" x14ac:dyDescent="0.3">
      <c r="A73" s="28" t="s">
        <v>86</v>
      </c>
      <c r="B73" s="82">
        <f>('Tablas Calculadas '!C8*Constantes!$D$13*Constantes!$B$13+'Tablas Calculadas '!$D$8*Constantes!D15*Constantes!$B$14+'Tablas Calculadas '!E8*Constantes!$D$15*Constantes!$B$15)*(Constantes!$B$38*(1+Constantes!$E$6)*Constantes!B30)</f>
        <v>317952</v>
      </c>
      <c r="C73" s="81"/>
      <c r="D73" s="17"/>
      <c r="E73" s="17"/>
      <c r="F73" s="17"/>
      <c r="G73" s="17"/>
      <c r="H73" s="17"/>
      <c r="I73" s="17"/>
      <c r="J73" s="17"/>
    </row>
    <row r="74" spans="1:10" ht="16.5" x14ac:dyDescent="0.3">
      <c r="A74" s="28" t="s">
        <v>88</v>
      </c>
      <c r="B74" s="82">
        <f>('Tablas Calculadas '!C9*Constantes!$D$13*Constantes!$B$13+'Tablas Calculadas '!$D$7*Constantes!D16*Constantes!$B$14+'Tablas Calculadas '!E9*Constantes!$D$15*Constantes!$B$15)*(Constantes!$B$38*(1+Constantes!$E$6)*Constantes!B31)</f>
        <v>244224</v>
      </c>
      <c r="C74" s="81"/>
      <c r="D74" s="17"/>
      <c r="E74" s="17"/>
      <c r="F74" s="17"/>
      <c r="G74" s="17"/>
      <c r="H74" s="17"/>
      <c r="I74" s="17"/>
      <c r="J74" s="17"/>
    </row>
    <row r="75" spans="1:10" ht="16.5" x14ac:dyDescent="0.3">
      <c r="A75" s="28" t="s">
        <v>87</v>
      </c>
      <c r="B75" s="82">
        <f>('Tablas Calculadas '!C10*Constantes!$D$13*Constantes!$B$13+'Tablas Calculadas '!$D$10*Constantes!D14*Constantes!$B$14+'Tablas Calculadas '!E10*Constantes!$D$15*Constantes!$B$15)*(Constantes!$B$38*(1+Constantes!$E$6)*Constantes!B32)</f>
        <v>516096</v>
      </c>
      <c r="C75" s="81"/>
      <c r="D75" s="17"/>
      <c r="E75" s="17"/>
      <c r="F75" s="17"/>
      <c r="G75" s="17"/>
      <c r="H75" s="17"/>
      <c r="I75" s="17"/>
      <c r="J75" s="17"/>
    </row>
    <row r="76" spans="1:10" ht="17.25" thickBot="1" x14ac:dyDescent="0.35">
      <c r="A76" s="38" t="s">
        <v>5</v>
      </c>
      <c r="B76" s="83">
        <f>('Tablas Calculadas '!C11*Constantes!$D$13*Constantes!$B$13+'Tablas Calculadas '!$D$11*Constantes!D14*Constantes!$B$14+'Tablas Calculadas '!E11*Constantes!$D$15*Constantes!$B$15)*(Constantes!$B$38*(1+Constantes!$E$6)*Constantes!B33)</f>
        <v>589824</v>
      </c>
      <c r="C76" s="81"/>
      <c r="D76" s="17"/>
      <c r="E76" s="17"/>
      <c r="F76" s="17"/>
      <c r="G76" s="17"/>
      <c r="H76" s="17"/>
      <c r="I76" s="17"/>
      <c r="J76" s="17"/>
    </row>
    <row r="77" spans="1:10" ht="17.25" thickBot="1" x14ac:dyDescent="0.35">
      <c r="A77" s="38" t="s">
        <v>155</v>
      </c>
      <c r="B77" s="83">
        <f>('Tablas Calculadas '!C12*Constantes!$D$13*Constantes!$B$13+'Tablas Calculadas '!$D$12*Constantes!D19*Constantes!$B$14+'Tablas Calculadas '!E12*Constantes!$D$15*Constantes!$B$15)*(Constantes!$B$38*(1+Constantes!$E$6)*Constantes!B34)</f>
        <v>350208</v>
      </c>
      <c r="C77" s="17"/>
      <c r="D77" s="17"/>
      <c r="E77" s="17"/>
      <c r="F77" s="17"/>
      <c r="G77" s="17"/>
      <c r="H77" s="17"/>
      <c r="I77" s="17"/>
      <c r="J77" s="17"/>
    </row>
    <row r="78" spans="1:10" ht="16.5" x14ac:dyDescent="0.3">
      <c r="A78" s="17"/>
      <c r="B78" s="17"/>
      <c r="C78" s="17"/>
      <c r="D78" s="17"/>
      <c r="E78" s="17"/>
      <c r="F78" s="17"/>
      <c r="G78" s="17"/>
      <c r="H78" s="17"/>
      <c r="I78" s="17"/>
      <c r="J78" s="17"/>
    </row>
    <row r="82" spans="8:8" ht="16.5" x14ac:dyDescent="0.3">
      <c r="H82" s="17"/>
    </row>
    <row r="83" spans="8:8" ht="16.5" x14ac:dyDescent="0.3">
      <c r="H83" s="17"/>
    </row>
    <row r="84" spans="8:8" ht="16.5" x14ac:dyDescent="0.3">
      <c r="H84" s="17"/>
    </row>
    <row r="85" spans="8:8" ht="16.5" x14ac:dyDescent="0.3">
      <c r="H85" s="17"/>
    </row>
    <row r="86" spans="8:8" ht="16.5" x14ac:dyDescent="0.3">
      <c r="H86" s="17"/>
    </row>
    <row r="87" spans="8:8" ht="16.5" x14ac:dyDescent="0.3">
      <c r="H87" s="17"/>
    </row>
    <row r="88" spans="8:8" ht="16.5" x14ac:dyDescent="0.3">
      <c r="H88" s="17"/>
    </row>
    <row r="89" spans="8:8" ht="16.5" x14ac:dyDescent="0.3">
      <c r="H89" s="17"/>
    </row>
    <row r="90" spans="8:8" ht="16.5" x14ac:dyDescent="0.3">
      <c r="H90" s="17"/>
    </row>
    <row r="91" spans="8:8" ht="16.5" x14ac:dyDescent="0.3">
      <c r="H91" s="17"/>
    </row>
    <row r="92" spans="8:8" ht="16.5" x14ac:dyDescent="0.3">
      <c r="H92" s="17"/>
    </row>
    <row r="93" spans="8:8" ht="16.5" x14ac:dyDescent="0.3">
      <c r="H93" s="17"/>
    </row>
    <row r="94" spans="8:8" ht="16.5" x14ac:dyDescent="0.3">
      <c r="H94" s="17"/>
    </row>
    <row r="95" spans="8:8" ht="16.5" x14ac:dyDescent="0.3">
      <c r="H95" s="17"/>
    </row>
    <row r="96" spans="8:8" ht="16.5" x14ac:dyDescent="0.3">
      <c r="H96" s="17"/>
    </row>
    <row r="97" spans="8:8" ht="16.5" x14ac:dyDescent="0.3">
      <c r="H97" s="17"/>
    </row>
    <row r="98" spans="8:8" ht="16.5" x14ac:dyDescent="0.3">
      <c r="H98" s="17"/>
    </row>
    <row r="99" spans="8:8" ht="16.5" x14ac:dyDescent="0.3">
      <c r="H99" s="17"/>
    </row>
    <row r="100" spans="8:8" ht="16.5" x14ac:dyDescent="0.3">
      <c r="H100" s="17"/>
    </row>
    <row r="101" spans="8:8" ht="16.5" x14ac:dyDescent="0.3">
      <c r="H101" s="17"/>
    </row>
    <row r="102" spans="8:8" ht="16.5" x14ac:dyDescent="0.3">
      <c r="H102" s="17"/>
    </row>
    <row r="103" spans="8:8" ht="16.5" x14ac:dyDescent="0.3">
      <c r="H103" s="17"/>
    </row>
    <row r="104" spans="8:8" ht="16.5" x14ac:dyDescent="0.3">
      <c r="H104" s="17"/>
    </row>
    <row r="105" spans="8:8" ht="16.5" x14ac:dyDescent="0.3">
      <c r="H105" s="17"/>
    </row>
    <row r="106" spans="8:8" ht="16.5" x14ac:dyDescent="0.3">
      <c r="H106" s="17"/>
    </row>
    <row r="107" spans="8:8" ht="16.5" x14ac:dyDescent="0.3">
      <c r="H107" s="17"/>
    </row>
    <row r="108" spans="8:8" ht="16.5" x14ac:dyDescent="0.3">
      <c r="H108" s="17"/>
    </row>
    <row r="109" spans="8:8" ht="16.5" x14ac:dyDescent="0.3">
      <c r="H109" s="17"/>
    </row>
    <row r="110" spans="8:8" ht="16.5" x14ac:dyDescent="0.3">
      <c r="H110" s="17"/>
    </row>
    <row r="111" spans="8:8" ht="16.5" x14ac:dyDescent="0.3">
      <c r="H111" s="17"/>
    </row>
    <row r="112" spans="8:8" ht="16.5" x14ac:dyDescent="0.3">
      <c r="H112" s="17"/>
    </row>
    <row r="113" spans="8:8" ht="16.5" x14ac:dyDescent="0.3">
      <c r="H113" s="17"/>
    </row>
    <row r="114" spans="8:8" ht="16.5" x14ac:dyDescent="0.3">
      <c r="H114" s="17"/>
    </row>
    <row r="115" spans="8:8" ht="16.5" x14ac:dyDescent="0.3">
      <c r="H115" s="17"/>
    </row>
    <row r="116" spans="8:8" ht="16.5" x14ac:dyDescent="0.3">
      <c r="H116" s="17"/>
    </row>
    <row r="117" spans="8:8" ht="16.5" x14ac:dyDescent="0.3">
      <c r="H117" s="17"/>
    </row>
    <row r="118" spans="8:8" ht="16.5" x14ac:dyDescent="0.3">
      <c r="H118" s="17"/>
    </row>
    <row r="119" spans="8:8" ht="16.5" x14ac:dyDescent="0.3">
      <c r="H119" s="17"/>
    </row>
    <row r="120" spans="8:8" ht="16.5" x14ac:dyDescent="0.3">
      <c r="H120" s="17"/>
    </row>
    <row r="121" spans="8:8" ht="16.5" x14ac:dyDescent="0.3">
      <c r="H121" s="17"/>
    </row>
    <row r="122" spans="8:8" ht="16.5" x14ac:dyDescent="0.3">
      <c r="H122" s="17"/>
    </row>
    <row r="123" spans="8:8" ht="16.5" x14ac:dyDescent="0.3">
      <c r="H123" s="17"/>
    </row>
    <row r="124" spans="8:8" ht="16.5" x14ac:dyDescent="0.3">
      <c r="H124" s="17"/>
    </row>
    <row r="125" spans="8:8" ht="16.5" x14ac:dyDescent="0.3">
      <c r="H125" s="17"/>
    </row>
    <row r="126" spans="8:8" ht="16.5" x14ac:dyDescent="0.3">
      <c r="H126" s="17"/>
    </row>
    <row r="127" spans="8:8" ht="16.5" x14ac:dyDescent="0.3">
      <c r="H127" s="17"/>
    </row>
    <row r="128" spans="8:8" ht="16.5" x14ac:dyDescent="0.3">
      <c r="H128" s="17"/>
    </row>
    <row r="129" spans="8:8" ht="16.5" x14ac:dyDescent="0.3">
      <c r="H129" s="17"/>
    </row>
    <row r="130" spans="8:8" ht="16.5" x14ac:dyDescent="0.3">
      <c r="H130" s="17"/>
    </row>
    <row r="131" spans="8:8" ht="16.5" x14ac:dyDescent="0.3">
      <c r="H131" s="17"/>
    </row>
    <row r="132" spans="8:8" ht="16.5" x14ac:dyDescent="0.3">
      <c r="H132" s="17"/>
    </row>
    <row r="133" spans="8:8" ht="16.5" x14ac:dyDescent="0.3">
      <c r="H133" s="17"/>
    </row>
    <row r="134" spans="8:8" ht="16.5" x14ac:dyDescent="0.3">
      <c r="H134" s="17"/>
    </row>
    <row r="135" spans="8:8" ht="16.5" x14ac:dyDescent="0.3">
      <c r="H135" s="17"/>
    </row>
    <row r="136" spans="8:8" ht="16.5" x14ac:dyDescent="0.3">
      <c r="H136" s="17"/>
    </row>
    <row r="137" spans="8:8" ht="16.5" x14ac:dyDescent="0.3">
      <c r="H137" s="17"/>
    </row>
    <row r="138" spans="8:8" ht="16.5" x14ac:dyDescent="0.3">
      <c r="H138" s="17"/>
    </row>
    <row r="139" spans="8:8" ht="16.5" x14ac:dyDescent="0.3">
      <c r="H139" s="17"/>
    </row>
    <row r="140" spans="8:8" ht="16.5" x14ac:dyDescent="0.3">
      <c r="H140" s="17"/>
    </row>
    <row r="141" spans="8:8" ht="16.5" x14ac:dyDescent="0.3">
      <c r="H141" s="17"/>
    </row>
    <row r="142" spans="8:8" ht="16.5" x14ac:dyDescent="0.3">
      <c r="H142" s="17"/>
    </row>
    <row r="143" spans="8:8" ht="16.5" x14ac:dyDescent="0.3">
      <c r="H143" s="17"/>
    </row>
    <row r="144" spans="8:8" ht="16.5" x14ac:dyDescent="0.3">
      <c r="H144" s="17"/>
    </row>
    <row r="145" spans="8:8" ht="16.5" x14ac:dyDescent="0.3">
      <c r="H145" s="17"/>
    </row>
    <row r="146" spans="8:8" ht="16.5" x14ac:dyDescent="0.3">
      <c r="H146" s="17"/>
    </row>
    <row r="147" spans="8:8" ht="16.5" x14ac:dyDescent="0.3">
      <c r="H147" s="17"/>
    </row>
    <row r="148" spans="8:8" ht="16.5" x14ac:dyDescent="0.3">
      <c r="H148" s="17"/>
    </row>
    <row r="149" spans="8:8" ht="16.5" x14ac:dyDescent="0.3">
      <c r="H149" s="17"/>
    </row>
    <row r="150" spans="8:8" ht="16.5" x14ac:dyDescent="0.3">
      <c r="H150" s="17"/>
    </row>
    <row r="151" spans="8:8" ht="16.5" x14ac:dyDescent="0.3">
      <c r="H151" s="17"/>
    </row>
    <row r="152" spans="8:8" ht="16.5" x14ac:dyDescent="0.3">
      <c r="H152" s="17"/>
    </row>
    <row r="153" spans="8:8" ht="16.5" x14ac:dyDescent="0.3">
      <c r="H153" s="17"/>
    </row>
    <row r="154" spans="8:8" ht="16.5" x14ac:dyDescent="0.3">
      <c r="H154" s="17"/>
    </row>
    <row r="155" spans="8:8" ht="16.5" x14ac:dyDescent="0.3">
      <c r="H155" s="17"/>
    </row>
    <row r="156" spans="8:8" ht="16.5" x14ac:dyDescent="0.3">
      <c r="H156" s="17"/>
    </row>
    <row r="157" spans="8:8" ht="16.5" x14ac:dyDescent="0.3">
      <c r="H157" s="17"/>
    </row>
    <row r="158" spans="8:8" ht="16.5" x14ac:dyDescent="0.3">
      <c r="H158" s="17"/>
    </row>
    <row r="159" spans="8:8" ht="16.5" x14ac:dyDescent="0.3">
      <c r="H159" s="17"/>
    </row>
    <row r="160" spans="8:8" ht="16.5" x14ac:dyDescent="0.3">
      <c r="H160" s="17"/>
    </row>
    <row r="161" spans="2:8" ht="16.5" x14ac:dyDescent="0.3">
      <c r="H161" s="17"/>
    </row>
    <row r="162" spans="2:8" ht="16.5" x14ac:dyDescent="0.3">
      <c r="H162" s="17"/>
    </row>
    <row r="163" spans="2:8" ht="16.5" x14ac:dyDescent="0.3">
      <c r="H163" s="17"/>
    </row>
    <row r="164" spans="2:8" ht="16.5" x14ac:dyDescent="0.3">
      <c r="H164" s="17"/>
    </row>
    <row r="165" spans="2:8" ht="16.5" x14ac:dyDescent="0.3">
      <c r="H165" s="17"/>
    </row>
    <row r="166" spans="2:8" ht="16.5" x14ac:dyDescent="0.3">
      <c r="H166" s="17"/>
    </row>
    <row r="167" spans="2:8" ht="16.5" x14ac:dyDescent="0.3">
      <c r="B167" s="17"/>
      <c r="C167" s="17"/>
      <c r="D167" s="17"/>
      <c r="E167" s="17"/>
      <c r="F167" s="17"/>
      <c r="G167" s="17"/>
      <c r="H167" s="17"/>
    </row>
  </sheetData>
  <mergeCells count="5">
    <mergeCell ref="A1:J1"/>
    <mergeCell ref="A18:B18"/>
    <mergeCell ref="C18:E18"/>
    <mergeCell ref="J6:J13"/>
    <mergeCell ref="A71:B71"/>
  </mergeCells>
  <phoneticPr fontId="2"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0"/>
  <sheetViews>
    <sheetView zoomScale="80" zoomScaleNormal="80" workbookViewId="0">
      <selection activeCell="B11" sqref="B11"/>
    </sheetView>
  </sheetViews>
  <sheetFormatPr baseColWidth="10" defaultRowHeight="15" x14ac:dyDescent="0.25"/>
  <cols>
    <col min="1" max="1" width="52.140625" bestFit="1" customWidth="1"/>
    <col min="2" max="2" width="52.7109375" customWidth="1"/>
    <col min="3" max="3" width="29.7109375" customWidth="1"/>
    <col min="4" max="4" width="35.7109375" bestFit="1" customWidth="1"/>
    <col min="5" max="5" width="26.28515625" bestFit="1" customWidth="1"/>
    <col min="6" max="6" width="27.28515625" bestFit="1" customWidth="1"/>
    <col min="7" max="7" width="19.140625" bestFit="1" customWidth="1"/>
    <col min="8" max="8" width="23.85546875" bestFit="1" customWidth="1"/>
    <col min="9" max="9" width="21" customWidth="1"/>
  </cols>
  <sheetData>
    <row r="1" spans="1:9" ht="148.5" customHeight="1" thickBot="1" x14ac:dyDescent="0.3">
      <c r="A1" s="228" t="s">
        <v>173</v>
      </c>
      <c r="B1" s="229"/>
      <c r="C1" s="229"/>
      <c r="D1" s="229"/>
      <c r="E1" s="229"/>
      <c r="F1" s="229"/>
      <c r="G1" s="229"/>
      <c r="H1" s="229"/>
      <c r="I1" s="230"/>
    </row>
    <row r="2" spans="1:9" ht="16.5" x14ac:dyDescent="0.3">
      <c r="H2" s="17"/>
      <c r="I2" s="17"/>
    </row>
    <row r="3" spans="1:9" ht="16.5" x14ac:dyDescent="0.3">
      <c r="H3" s="17"/>
      <c r="I3" s="17"/>
    </row>
    <row r="4" spans="1:9" ht="16.5" x14ac:dyDescent="0.3">
      <c r="H4" s="17"/>
      <c r="I4" s="17"/>
    </row>
    <row r="5" spans="1:9" ht="17.25" thickBot="1" x14ac:dyDescent="0.35">
      <c r="A5" s="17"/>
      <c r="B5" s="17"/>
      <c r="C5" s="17"/>
      <c r="D5" s="17"/>
      <c r="E5" s="17"/>
      <c r="F5" s="17"/>
      <c r="H5" s="17"/>
      <c r="I5" s="17"/>
    </row>
    <row r="6" spans="1:9" ht="21" thickBot="1" x14ac:dyDescent="0.4">
      <c r="A6" s="17"/>
      <c r="B6" s="17"/>
      <c r="C6" s="205" t="s">
        <v>78</v>
      </c>
      <c r="D6" s="206"/>
      <c r="E6" s="84">
        <v>1</v>
      </c>
      <c r="F6" s="85" t="s">
        <v>114</v>
      </c>
      <c r="H6" s="17"/>
      <c r="I6" s="17"/>
    </row>
    <row r="7" spans="1:9" ht="21" thickBot="1" x14ac:dyDescent="0.4">
      <c r="A7" s="205" t="s">
        <v>55</v>
      </c>
      <c r="B7" s="206"/>
      <c r="C7" s="17"/>
      <c r="D7" s="17"/>
      <c r="E7" s="17"/>
      <c r="F7" s="17"/>
      <c r="H7" s="17"/>
      <c r="I7" s="17"/>
    </row>
    <row r="8" spans="1:9" ht="16.5" x14ac:dyDescent="0.3">
      <c r="A8" s="23" t="s">
        <v>56</v>
      </c>
      <c r="B8" s="86">
        <v>81000</v>
      </c>
      <c r="C8" s="203" t="s">
        <v>116</v>
      </c>
      <c r="D8" s="87"/>
      <c r="E8" s="17"/>
      <c r="F8" s="17"/>
      <c r="H8" s="17"/>
      <c r="I8" s="17"/>
    </row>
    <row r="9" spans="1:9" ht="16.5" x14ac:dyDescent="0.3">
      <c r="A9" s="28" t="s">
        <v>57</v>
      </c>
      <c r="B9" s="88">
        <v>135000</v>
      </c>
      <c r="C9" s="204"/>
      <c r="D9" s="81"/>
      <c r="E9" s="17"/>
      <c r="F9" s="17"/>
      <c r="H9" s="17"/>
      <c r="I9" s="17"/>
    </row>
    <row r="10" spans="1:9" ht="17.25" thickBot="1" x14ac:dyDescent="0.35">
      <c r="A10" s="28" t="s">
        <v>58</v>
      </c>
      <c r="B10" s="88">
        <v>194000</v>
      </c>
      <c r="C10" s="208"/>
      <c r="D10" s="81"/>
      <c r="E10" s="17"/>
      <c r="F10" s="17"/>
      <c r="H10" s="17"/>
      <c r="I10" s="17"/>
    </row>
    <row r="11" spans="1:9" ht="17.25" thickBot="1" x14ac:dyDescent="0.35">
      <c r="A11" s="17"/>
      <c r="B11" s="17"/>
      <c r="C11" s="17"/>
      <c r="D11" s="81"/>
      <c r="E11" s="17"/>
      <c r="F11" s="17"/>
      <c r="H11" s="17"/>
      <c r="I11" s="17"/>
    </row>
    <row r="12" spans="1:9" ht="21" thickBot="1" x14ac:dyDescent="0.4">
      <c r="A12" s="89" t="s">
        <v>66</v>
      </c>
      <c r="B12" s="90" t="s">
        <v>81</v>
      </c>
      <c r="C12" s="90" t="s">
        <v>80</v>
      </c>
      <c r="D12" s="90" t="s">
        <v>79</v>
      </c>
      <c r="E12" s="17"/>
      <c r="F12" s="17"/>
      <c r="H12" s="17"/>
      <c r="I12" s="17"/>
    </row>
    <row r="13" spans="1:9" ht="17.25" thickBot="1" x14ac:dyDescent="0.35">
      <c r="A13" s="91" t="s">
        <v>77</v>
      </c>
      <c r="B13" s="22">
        <v>12</v>
      </c>
      <c r="C13" s="28">
        <v>8</v>
      </c>
      <c r="D13" s="92">
        <v>0</v>
      </c>
      <c r="E13" s="17"/>
      <c r="F13" s="17"/>
      <c r="H13" s="17"/>
      <c r="I13" s="17"/>
    </row>
    <row r="14" spans="1:9" ht="17.25" thickBot="1" x14ac:dyDescent="0.35">
      <c r="A14" s="91" t="s">
        <v>64</v>
      </c>
      <c r="B14" s="27">
        <v>24</v>
      </c>
      <c r="C14" s="28">
        <v>20</v>
      </c>
      <c r="D14" s="68">
        <v>0</v>
      </c>
      <c r="E14" s="17"/>
      <c r="F14" s="17"/>
      <c r="H14" s="17"/>
      <c r="I14" s="17"/>
    </row>
    <row r="15" spans="1:9" ht="17.25" thickBot="1" x14ac:dyDescent="0.35">
      <c r="A15" s="93" t="s">
        <v>65</v>
      </c>
      <c r="B15" s="37">
        <v>32</v>
      </c>
      <c r="C15" s="38">
        <v>22</v>
      </c>
      <c r="D15" s="71">
        <v>9</v>
      </c>
      <c r="E15" s="85" t="s">
        <v>119</v>
      </c>
      <c r="F15" s="17"/>
      <c r="H15" s="17"/>
      <c r="I15" s="17"/>
    </row>
    <row r="16" spans="1:9" ht="16.5" x14ac:dyDescent="0.3">
      <c r="A16" s="17"/>
      <c r="B16" s="17"/>
      <c r="C16" s="17"/>
      <c r="D16" s="81"/>
      <c r="E16" s="17"/>
      <c r="F16" s="17"/>
      <c r="H16" s="17"/>
      <c r="I16" s="17"/>
    </row>
    <row r="17" spans="1:9" ht="20.25" x14ac:dyDescent="0.35">
      <c r="A17" s="17"/>
      <c r="B17" s="94"/>
      <c r="C17" s="95"/>
      <c r="D17" s="81"/>
      <c r="E17" s="17"/>
      <c r="F17" s="17"/>
      <c r="H17" s="17"/>
      <c r="I17" s="17"/>
    </row>
    <row r="18" spans="1:9" ht="16.5" x14ac:dyDescent="0.3">
      <c r="A18" s="81"/>
      <c r="B18" s="81"/>
      <c r="C18" s="81"/>
      <c r="D18" s="81"/>
      <c r="E18" s="17"/>
      <c r="F18" s="17"/>
      <c r="H18" s="17"/>
      <c r="I18" s="17"/>
    </row>
    <row r="19" spans="1:9" ht="17.25" thickBot="1" x14ac:dyDescent="0.35">
      <c r="A19" s="81"/>
      <c r="B19" s="96"/>
      <c r="C19" s="96"/>
      <c r="D19" s="96"/>
      <c r="E19" s="17"/>
      <c r="F19" s="17"/>
      <c r="H19" s="17"/>
      <c r="I19" s="17"/>
    </row>
    <row r="20" spans="1:9" ht="21" thickBot="1" x14ac:dyDescent="0.4">
      <c r="A20" s="205" t="s">
        <v>23</v>
      </c>
      <c r="B20" s="207"/>
      <c r="C20" s="207"/>
      <c r="D20" s="206"/>
      <c r="E20" s="17"/>
      <c r="F20" s="17"/>
      <c r="H20" s="17"/>
      <c r="I20" s="17"/>
    </row>
    <row r="21" spans="1:9" ht="17.25" thickBot="1" x14ac:dyDescent="0.35">
      <c r="A21" s="231" t="s">
        <v>17</v>
      </c>
      <c r="B21" s="231"/>
      <c r="C21" s="90" t="s">
        <v>29</v>
      </c>
      <c r="D21" s="90" t="s">
        <v>28</v>
      </c>
      <c r="E21" s="17"/>
      <c r="F21" s="17"/>
      <c r="H21" s="17"/>
      <c r="I21" s="17"/>
    </row>
    <row r="22" spans="1:9" ht="16.5" x14ac:dyDescent="0.3">
      <c r="A22" s="232" t="s">
        <v>24</v>
      </c>
      <c r="B22" s="233"/>
      <c r="C22" s="97">
        <v>657</v>
      </c>
      <c r="D22" s="92">
        <v>8</v>
      </c>
      <c r="E22" s="17"/>
      <c r="F22" s="17"/>
      <c r="H22" s="17"/>
      <c r="I22" s="17"/>
    </row>
    <row r="23" spans="1:9" ht="16.5" x14ac:dyDescent="0.3">
      <c r="A23" s="221" t="s">
        <v>25</v>
      </c>
      <c r="B23" s="222"/>
      <c r="C23" s="98">
        <v>200</v>
      </c>
      <c r="D23" s="68">
        <v>0</v>
      </c>
      <c r="E23" s="17"/>
      <c r="F23" s="17"/>
      <c r="H23" s="17"/>
      <c r="I23" s="17"/>
    </row>
    <row r="24" spans="1:9" ht="16.5" x14ac:dyDescent="0.3">
      <c r="A24" s="221" t="s">
        <v>26</v>
      </c>
      <c r="B24" s="222"/>
      <c r="C24" s="98">
        <v>150</v>
      </c>
      <c r="D24" s="68">
        <v>0</v>
      </c>
      <c r="E24" s="17"/>
      <c r="F24" s="17"/>
      <c r="H24" s="17"/>
      <c r="I24" s="17"/>
    </row>
    <row r="25" spans="1:9" ht="17.25" thickBot="1" x14ac:dyDescent="0.35">
      <c r="A25" s="223" t="s">
        <v>27</v>
      </c>
      <c r="B25" s="224"/>
      <c r="C25" s="99">
        <f>SUM(C22:C24)</f>
        <v>1007</v>
      </c>
      <c r="D25" s="71"/>
      <c r="E25" s="17"/>
      <c r="F25" s="17"/>
      <c r="H25" s="17"/>
      <c r="I25" s="17"/>
    </row>
    <row r="26" spans="1:9" ht="17.25" thickBot="1" x14ac:dyDescent="0.35">
      <c r="A26" s="81"/>
      <c r="B26" s="81"/>
      <c r="C26" s="81"/>
      <c r="D26" s="81"/>
      <c r="E26" s="17"/>
      <c r="F26" s="17"/>
      <c r="H26" s="17"/>
      <c r="I26" s="17"/>
    </row>
    <row r="27" spans="1:9" ht="21" thickBot="1" x14ac:dyDescent="0.4">
      <c r="A27" s="205" t="s">
        <v>30</v>
      </c>
      <c r="B27" s="206"/>
      <c r="C27" s="81"/>
      <c r="D27" s="81"/>
      <c r="E27" s="17"/>
      <c r="F27" s="17"/>
      <c r="H27" s="17"/>
      <c r="I27" s="17"/>
    </row>
    <row r="28" spans="1:9" ht="17.25" thickBot="1" x14ac:dyDescent="0.35">
      <c r="A28" s="90" t="s">
        <v>31</v>
      </c>
      <c r="B28" s="90" t="s">
        <v>154</v>
      </c>
      <c r="C28" s="81"/>
      <c r="D28" s="81"/>
      <c r="E28" s="17"/>
      <c r="F28" s="17"/>
      <c r="H28" s="17"/>
      <c r="I28" s="17"/>
    </row>
    <row r="29" spans="1:9" ht="16.5" x14ac:dyDescent="0.3">
      <c r="A29" s="132">
        <v>0</v>
      </c>
      <c r="B29" s="100">
        <v>40</v>
      </c>
      <c r="C29" s="225" t="s">
        <v>121</v>
      </c>
      <c r="D29" s="81"/>
      <c r="E29" s="17"/>
      <c r="F29" s="17"/>
      <c r="H29" s="17"/>
      <c r="I29" s="17"/>
    </row>
    <row r="30" spans="1:9" ht="16.5" x14ac:dyDescent="0.3">
      <c r="A30" s="110">
        <v>1</v>
      </c>
      <c r="B30" s="72">
        <v>46</v>
      </c>
      <c r="C30" s="226"/>
      <c r="D30" s="81"/>
      <c r="E30" s="17"/>
      <c r="F30" s="17"/>
      <c r="H30" s="17"/>
      <c r="I30" s="17"/>
    </row>
    <row r="31" spans="1:9" ht="16.5" x14ac:dyDescent="0.3">
      <c r="A31" s="110">
        <v>2</v>
      </c>
      <c r="B31" s="72">
        <v>53</v>
      </c>
      <c r="C31" s="226"/>
      <c r="D31" s="81"/>
      <c r="E31" s="17"/>
      <c r="F31" s="17"/>
      <c r="H31" s="17"/>
      <c r="I31" s="17"/>
    </row>
    <row r="32" spans="1:9" ht="16.5" x14ac:dyDescent="0.3">
      <c r="A32" s="110">
        <v>3</v>
      </c>
      <c r="B32" s="72">
        <v>56</v>
      </c>
      <c r="C32" s="226"/>
      <c r="D32" s="81"/>
      <c r="E32" s="17"/>
      <c r="F32" s="17"/>
      <c r="H32" s="17"/>
      <c r="I32" s="17"/>
    </row>
    <row r="33" spans="1:9" ht="16.5" x14ac:dyDescent="0.3">
      <c r="A33" s="110">
        <v>4</v>
      </c>
      <c r="B33" s="72">
        <v>64</v>
      </c>
      <c r="C33" s="226"/>
      <c r="D33" s="81"/>
      <c r="E33" s="17"/>
      <c r="F33" s="17"/>
      <c r="H33" s="17"/>
      <c r="I33" s="17"/>
    </row>
    <row r="34" spans="1:9" ht="17.25" thickBot="1" x14ac:dyDescent="0.35">
      <c r="A34" s="37">
        <v>5</v>
      </c>
      <c r="B34" s="133">
        <v>76</v>
      </c>
      <c r="C34" s="227"/>
      <c r="D34" s="81"/>
      <c r="E34" s="17"/>
      <c r="F34" s="17"/>
      <c r="H34" s="17"/>
      <c r="I34" s="17"/>
    </row>
    <row r="35" spans="1:9" ht="16.5" x14ac:dyDescent="0.3">
      <c r="A35" s="81"/>
      <c r="B35" s="81"/>
      <c r="C35" s="81"/>
      <c r="D35" s="81"/>
      <c r="E35" s="17"/>
      <c r="F35" s="17"/>
      <c r="H35" s="17"/>
      <c r="I35" s="17"/>
    </row>
    <row r="36" spans="1:9" ht="17.25" thickBot="1" x14ac:dyDescent="0.35">
      <c r="A36" s="81"/>
      <c r="B36" s="81"/>
      <c r="C36" s="81"/>
      <c r="D36" s="81"/>
      <c r="E36" s="17"/>
      <c r="F36" s="17"/>
      <c r="H36" s="17"/>
      <c r="I36" s="17"/>
    </row>
    <row r="37" spans="1:9" ht="21" thickBot="1" x14ac:dyDescent="0.4">
      <c r="A37" s="205" t="s">
        <v>36</v>
      </c>
      <c r="B37" s="206"/>
      <c r="C37" s="81"/>
      <c r="D37" s="81"/>
      <c r="E37" s="17"/>
      <c r="F37" s="17"/>
      <c r="H37" s="17"/>
      <c r="I37" s="17"/>
    </row>
    <row r="38" spans="1:9" ht="18" thickBot="1" x14ac:dyDescent="0.35">
      <c r="A38" s="101" t="s">
        <v>33</v>
      </c>
      <c r="B38" s="247">
        <v>8</v>
      </c>
      <c r="C38" s="81"/>
      <c r="D38" s="81"/>
      <c r="E38" s="17"/>
      <c r="F38" s="17"/>
      <c r="H38" s="17"/>
      <c r="I38" s="17"/>
    </row>
    <row r="39" spans="1:9" ht="18" thickBot="1" x14ac:dyDescent="0.35">
      <c r="A39" s="102" t="s">
        <v>82</v>
      </c>
      <c r="B39" s="248">
        <v>16</v>
      </c>
      <c r="C39" s="85" t="s">
        <v>123</v>
      </c>
      <c r="D39" s="81"/>
      <c r="E39" s="17"/>
      <c r="F39" s="17"/>
      <c r="H39" s="17"/>
      <c r="I39" s="17"/>
    </row>
    <row r="40" spans="1:9" ht="16.5" x14ac:dyDescent="0.3">
      <c r="A40" s="28" t="s">
        <v>34</v>
      </c>
      <c r="B40" s="104">
        <v>8</v>
      </c>
      <c r="C40" s="219" t="s">
        <v>125</v>
      </c>
      <c r="D40" s="81"/>
      <c r="E40" s="17"/>
      <c r="F40" s="17"/>
      <c r="H40" s="17"/>
      <c r="I40" s="17"/>
    </row>
    <row r="41" spans="1:9" ht="17.25" thickBot="1" x14ac:dyDescent="0.35">
      <c r="A41" s="28" t="s">
        <v>35</v>
      </c>
      <c r="B41" s="104">
        <v>22</v>
      </c>
      <c r="C41" s="220"/>
      <c r="D41" s="81"/>
      <c r="E41" s="17"/>
      <c r="F41" s="17"/>
      <c r="H41" s="17"/>
      <c r="I41" s="17"/>
    </row>
    <row r="42" spans="1:9" ht="16.5" x14ac:dyDescent="0.3">
      <c r="A42" s="28" t="s">
        <v>37</v>
      </c>
      <c r="B42" s="104">
        <v>5</v>
      </c>
      <c r="C42" s="81"/>
      <c r="D42" s="81"/>
      <c r="E42" s="17"/>
      <c r="F42" s="17"/>
      <c r="H42" s="17"/>
      <c r="I42" s="17"/>
    </row>
    <row r="43" spans="1:9" ht="16.5" x14ac:dyDescent="0.3">
      <c r="A43" s="28" t="s">
        <v>38</v>
      </c>
      <c r="B43" s="72">
        <f>($B$38*B29*$B$40*$B$41*$B$42)*(1+(SUM($B$52:$B$57)))</f>
        <v>346720</v>
      </c>
      <c r="C43" s="81"/>
      <c r="D43" s="81"/>
      <c r="E43" s="17"/>
      <c r="F43" s="17"/>
      <c r="H43" s="17"/>
      <c r="I43" s="17"/>
    </row>
    <row r="44" spans="1:9" ht="16.5" x14ac:dyDescent="0.3">
      <c r="A44" s="28" t="s">
        <v>39</v>
      </c>
      <c r="B44" s="72">
        <f>($B$38*B30*$B$40*$B$41*$B$42)*(1+(SUM($B$52:$B$57)))</f>
        <v>398728</v>
      </c>
      <c r="C44" s="81"/>
      <c r="D44" s="81"/>
      <c r="E44" s="17"/>
      <c r="F44" s="17"/>
      <c r="H44" s="17"/>
      <c r="I44" s="17"/>
    </row>
    <row r="45" spans="1:9" ht="16.5" x14ac:dyDescent="0.3">
      <c r="A45" s="28" t="s">
        <v>40</v>
      </c>
      <c r="B45" s="72">
        <f>($B$38*B31*$B$40*$B$41*$B$42)*(1+(SUM($B$52:$B$57)))</f>
        <v>459404</v>
      </c>
      <c r="C45" s="81"/>
      <c r="D45" s="81"/>
      <c r="E45" s="17"/>
      <c r="F45" s="17"/>
      <c r="H45" s="17"/>
      <c r="I45" s="17"/>
    </row>
    <row r="46" spans="1:9" ht="16.5" x14ac:dyDescent="0.3">
      <c r="A46" s="28" t="s">
        <v>41</v>
      </c>
      <c r="B46" s="72">
        <f>($B$38*B32*$B$40*$B$41*$B$42)*(1+(SUM($B$52:$B$57)))</f>
        <v>485408</v>
      </c>
      <c r="C46" s="81"/>
      <c r="D46" s="81"/>
      <c r="E46" s="17"/>
      <c r="F46" s="17"/>
      <c r="H46" s="17"/>
      <c r="I46" s="17"/>
    </row>
    <row r="47" spans="1:9" ht="16.5" x14ac:dyDescent="0.3">
      <c r="A47" s="28" t="s">
        <v>42</v>
      </c>
      <c r="B47" s="72">
        <f>($B$38*B33*$B$40*$B$41*$B$42)*(1+(SUM($B$52:$B$57)))</f>
        <v>554752</v>
      </c>
      <c r="C47" s="81"/>
      <c r="D47" s="81"/>
      <c r="E47" s="17"/>
      <c r="F47" s="17"/>
      <c r="H47" s="17"/>
      <c r="I47" s="17"/>
    </row>
    <row r="48" spans="1:9" ht="16.5" x14ac:dyDescent="0.3">
      <c r="A48" s="28" t="s">
        <v>187</v>
      </c>
      <c r="B48" s="72">
        <f>($B$38*B34*$B$40*$B$41*$B$42)*(1+(SUM($B$52:$B$57)))</f>
        <v>658768</v>
      </c>
      <c r="C48" s="81"/>
      <c r="D48" s="81"/>
      <c r="E48" s="17"/>
      <c r="F48" s="17"/>
      <c r="H48" s="17"/>
      <c r="I48" s="17"/>
    </row>
    <row r="49" spans="1:12" ht="16.5" x14ac:dyDescent="0.3">
      <c r="A49" s="28" t="s">
        <v>59</v>
      </c>
      <c r="B49" s="103">
        <v>150</v>
      </c>
      <c r="C49" s="81"/>
      <c r="D49" s="81"/>
      <c r="E49" s="17"/>
      <c r="F49" s="17"/>
      <c r="H49" s="17"/>
      <c r="I49" s="17"/>
    </row>
    <row r="50" spans="1:12" ht="16.5" x14ac:dyDescent="0.3">
      <c r="A50" s="28" t="s">
        <v>60</v>
      </c>
      <c r="B50" s="103">
        <v>500</v>
      </c>
      <c r="C50" s="81"/>
      <c r="D50" s="81"/>
      <c r="E50" s="17"/>
      <c r="F50" s="17"/>
      <c r="H50" s="17"/>
      <c r="I50" s="17"/>
    </row>
    <row r="51" spans="1:12" ht="16.5" x14ac:dyDescent="0.3">
      <c r="A51" s="28" t="s">
        <v>45</v>
      </c>
      <c r="B51" s="103">
        <v>250</v>
      </c>
      <c r="C51" s="81"/>
      <c r="D51" s="81"/>
      <c r="E51" s="17"/>
      <c r="F51" s="17"/>
      <c r="H51" s="17"/>
      <c r="I51" s="17"/>
    </row>
    <row r="52" spans="1:12" ht="16.5" x14ac:dyDescent="0.3">
      <c r="A52" s="28" t="s">
        <v>61</v>
      </c>
      <c r="B52" s="105">
        <v>0.03</v>
      </c>
      <c r="C52" s="81"/>
      <c r="D52" s="81"/>
      <c r="E52" s="17"/>
      <c r="F52" s="17"/>
      <c r="H52" s="17"/>
      <c r="I52" s="17"/>
    </row>
    <row r="53" spans="1:12" ht="16.5" x14ac:dyDescent="0.3">
      <c r="A53" s="28" t="s">
        <v>62</v>
      </c>
      <c r="B53" s="105">
        <v>7.4999999999999997E-2</v>
      </c>
      <c r="C53" s="81"/>
      <c r="D53" s="81"/>
      <c r="E53" s="17"/>
      <c r="F53" s="17"/>
      <c r="H53" s="17"/>
      <c r="I53" s="17"/>
    </row>
    <row r="54" spans="1:12" ht="16.5" x14ac:dyDescent="0.3">
      <c r="A54" s="33" t="s">
        <v>135</v>
      </c>
      <c r="B54" s="106">
        <v>2.5000000000000001E-4</v>
      </c>
      <c r="C54" s="81"/>
      <c r="D54" s="81"/>
      <c r="E54" s="17"/>
      <c r="F54" s="17"/>
      <c r="H54" s="17"/>
      <c r="I54" s="17"/>
    </row>
    <row r="55" spans="1:12" ht="16.5" x14ac:dyDescent="0.3">
      <c r="A55" s="33" t="s">
        <v>133</v>
      </c>
      <c r="B55" s="107">
        <v>7.4999999999999997E-2</v>
      </c>
      <c r="C55" s="81"/>
      <c r="D55" s="81"/>
      <c r="E55" s="17"/>
      <c r="F55" s="17"/>
      <c r="H55" s="17"/>
      <c r="I55" s="17"/>
    </row>
    <row r="56" spans="1:12" ht="16.5" x14ac:dyDescent="0.3">
      <c r="A56" s="33" t="s">
        <v>134</v>
      </c>
      <c r="B56" s="107">
        <v>1E-3</v>
      </c>
      <c r="C56" s="81"/>
      <c r="D56" s="81"/>
      <c r="E56" s="17"/>
      <c r="F56" s="17"/>
      <c r="H56" s="17"/>
      <c r="I56" s="17"/>
    </row>
    <row r="57" spans="1:12" ht="17.25" thickBot="1" x14ac:dyDescent="0.35">
      <c r="A57" s="108" t="s">
        <v>63</v>
      </c>
      <c r="B57" s="109">
        <v>0.05</v>
      </c>
      <c r="C57" s="81"/>
      <c r="D57" s="81"/>
      <c r="E57" s="17"/>
      <c r="F57" s="17"/>
      <c r="H57" s="17"/>
      <c r="I57" s="17"/>
    </row>
    <row r="58" spans="1:12" ht="17.25" thickBot="1" x14ac:dyDescent="0.35">
      <c r="A58" s="81"/>
      <c r="B58" s="81"/>
      <c r="C58" s="81"/>
      <c r="D58" s="81"/>
      <c r="E58" s="17"/>
      <c r="F58" s="17"/>
      <c r="H58" s="17"/>
      <c r="I58" s="17"/>
    </row>
    <row r="59" spans="1:12" ht="23.25" thickBot="1" x14ac:dyDescent="0.4">
      <c r="A59" s="209" t="s">
        <v>32</v>
      </c>
      <c r="B59" s="210"/>
      <c r="C59" s="205" t="s">
        <v>181</v>
      </c>
      <c r="D59" s="206"/>
      <c r="E59" s="213" t="s">
        <v>183</v>
      </c>
      <c r="F59" s="214"/>
      <c r="G59" s="214"/>
      <c r="H59" s="214"/>
      <c r="I59" s="215"/>
    </row>
    <row r="60" spans="1:12" ht="21" thickBot="1" x14ac:dyDescent="0.4">
      <c r="A60" s="211"/>
      <c r="B60" s="212"/>
      <c r="C60" s="216" t="s">
        <v>180</v>
      </c>
      <c r="D60" s="217"/>
      <c r="E60" s="217"/>
      <c r="F60" s="217"/>
      <c r="G60" s="217"/>
      <c r="H60" s="217"/>
      <c r="I60" s="218"/>
      <c r="K60" s="17"/>
      <c r="L60" s="17"/>
    </row>
    <row r="61" spans="1:12" ht="18.75" x14ac:dyDescent="0.3">
      <c r="A61" s="136" t="s">
        <v>14</v>
      </c>
      <c r="B61" s="101" t="s">
        <v>15</v>
      </c>
      <c r="C61" s="137" t="s">
        <v>185</v>
      </c>
      <c r="D61" s="101" t="s">
        <v>16</v>
      </c>
      <c r="E61" s="101" t="s">
        <v>184</v>
      </c>
      <c r="F61" s="101" t="s">
        <v>178</v>
      </c>
      <c r="G61" s="137" t="s">
        <v>179</v>
      </c>
      <c r="H61" s="101" t="s">
        <v>182</v>
      </c>
      <c r="I61" s="138" t="s">
        <v>186</v>
      </c>
      <c r="K61" s="17"/>
      <c r="L61" s="17"/>
    </row>
    <row r="62" spans="1:12" ht="16.5" x14ac:dyDescent="0.3">
      <c r="A62" s="110" t="s">
        <v>18</v>
      </c>
      <c r="B62" s="88">
        <v>450</v>
      </c>
      <c r="C62" s="88">
        <v>180</v>
      </c>
      <c r="D62" s="28">
        <v>5</v>
      </c>
      <c r="E62" s="88">
        <f t="shared" ref="E62:E90" si="0">IF(ISERROR((B62-C62)/D62),0,(B62-C62)/D62)</f>
        <v>54</v>
      </c>
      <c r="F62" s="88">
        <f t="shared" ref="F62:F84" si="1">C62</f>
        <v>180</v>
      </c>
      <c r="G62" s="88">
        <f>B62-(E62*5)</f>
        <v>180</v>
      </c>
      <c r="H62" s="88">
        <f>F62*0.25</f>
        <v>45</v>
      </c>
      <c r="I62" s="103">
        <f>IF((F62-G62)&gt;0,(F62+H62),(F62-H62))</f>
        <v>135</v>
      </c>
      <c r="K62" s="17"/>
      <c r="L62" s="17"/>
    </row>
    <row r="63" spans="1:12" ht="16.5" x14ac:dyDescent="0.3">
      <c r="A63" s="110" t="s">
        <v>19</v>
      </c>
      <c r="B63" s="88">
        <v>125</v>
      </c>
      <c r="C63" s="88">
        <v>40</v>
      </c>
      <c r="D63" s="28">
        <v>5</v>
      </c>
      <c r="E63" s="88">
        <f t="shared" si="0"/>
        <v>17</v>
      </c>
      <c r="F63" s="88">
        <f t="shared" si="1"/>
        <v>40</v>
      </c>
      <c r="G63" s="88">
        <f>B63-(E63*5)</f>
        <v>40</v>
      </c>
      <c r="H63" s="88">
        <f t="shared" ref="H63:H90" si="2">F63*0.25</f>
        <v>10</v>
      </c>
      <c r="I63" s="103">
        <f t="shared" ref="I63:I90" si="3">IF((F63-G63)&gt;0,(F63+H63),(F63-H63))</f>
        <v>30</v>
      </c>
      <c r="K63" s="17"/>
      <c r="L63" s="17"/>
    </row>
    <row r="64" spans="1:12" ht="16.5" x14ac:dyDescent="0.3">
      <c r="A64" s="110" t="s">
        <v>20</v>
      </c>
      <c r="B64" s="88">
        <v>66</v>
      </c>
      <c r="C64" s="88">
        <v>15</v>
      </c>
      <c r="D64" s="28">
        <v>5</v>
      </c>
      <c r="E64" s="88">
        <f t="shared" si="0"/>
        <v>10.199999999999999</v>
      </c>
      <c r="F64" s="88">
        <f t="shared" si="1"/>
        <v>15</v>
      </c>
      <c r="G64" s="88">
        <f t="shared" ref="G64:G83" si="4">B64-(E64*5)</f>
        <v>15</v>
      </c>
      <c r="H64" s="88">
        <f t="shared" si="2"/>
        <v>3.75</v>
      </c>
      <c r="I64" s="103">
        <f t="shared" si="3"/>
        <v>11.25</v>
      </c>
      <c r="K64" s="17"/>
      <c r="L64" s="17"/>
    </row>
    <row r="65" spans="1:12" ht="16.5" x14ac:dyDescent="0.3">
      <c r="A65" s="110" t="s">
        <v>21</v>
      </c>
      <c r="B65" s="88">
        <v>279</v>
      </c>
      <c r="C65" s="88">
        <v>110</v>
      </c>
      <c r="D65" s="28">
        <v>5</v>
      </c>
      <c r="E65" s="88">
        <f t="shared" si="0"/>
        <v>33.799999999999997</v>
      </c>
      <c r="F65" s="88">
        <f t="shared" si="1"/>
        <v>110</v>
      </c>
      <c r="G65" s="88">
        <f t="shared" si="4"/>
        <v>110</v>
      </c>
      <c r="H65" s="88">
        <f t="shared" si="2"/>
        <v>27.5</v>
      </c>
      <c r="I65" s="103">
        <f t="shared" si="3"/>
        <v>82.5</v>
      </c>
      <c r="K65" s="17"/>
      <c r="L65" s="17"/>
    </row>
    <row r="66" spans="1:12" ht="16.5" x14ac:dyDescent="0.3">
      <c r="A66" s="110" t="s">
        <v>136</v>
      </c>
      <c r="B66" s="88">
        <v>179</v>
      </c>
      <c r="C66" s="88">
        <v>15</v>
      </c>
      <c r="D66" s="28">
        <v>5</v>
      </c>
      <c r="E66" s="88">
        <f t="shared" si="0"/>
        <v>32.799999999999997</v>
      </c>
      <c r="F66" s="88">
        <f t="shared" si="1"/>
        <v>15</v>
      </c>
      <c r="G66" s="88">
        <f t="shared" si="4"/>
        <v>15</v>
      </c>
      <c r="H66" s="88">
        <f t="shared" si="2"/>
        <v>3.75</v>
      </c>
      <c r="I66" s="103">
        <f t="shared" si="3"/>
        <v>11.25</v>
      </c>
      <c r="K66" s="17"/>
      <c r="L66" s="17"/>
    </row>
    <row r="67" spans="1:12" ht="16.5" x14ac:dyDescent="0.3">
      <c r="A67" s="110" t="s">
        <v>137</v>
      </c>
      <c r="B67" s="88">
        <v>258</v>
      </c>
      <c r="C67" s="88">
        <v>52</v>
      </c>
      <c r="D67" s="28">
        <v>5</v>
      </c>
      <c r="E67" s="88">
        <f t="shared" si="0"/>
        <v>41.2</v>
      </c>
      <c r="F67" s="88">
        <f t="shared" si="1"/>
        <v>52</v>
      </c>
      <c r="G67" s="88">
        <f t="shared" si="4"/>
        <v>52</v>
      </c>
      <c r="H67" s="88">
        <f t="shared" si="2"/>
        <v>13</v>
      </c>
      <c r="I67" s="103">
        <f t="shared" si="3"/>
        <v>39</v>
      </c>
      <c r="K67" s="17"/>
      <c r="L67" s="17"/>
    </row>
    <row r="68" spans="1:12" ht="16.5" x14ac:dyDescent="0.3">
      <c r="A68" s="110" t="s">
        <v>138</v>
      </c>
      <c r="B68" s="88">
        <v>0.28000000000000003</v>
      </c>
      <c r="C68" s="88">
        <v>0.02</v>
      </c>
      <c r="D68" s="28">
        <v>5</v>
      </c>
      <c r="E68" s="88">
        <f t="shared" si="0"/>
        <v>5.2000000000000005E-2</v>
      </c>
      <c r="F68" s="88">
        <f t="shared" si="1"/>
        <v>0.02</v>
      </c>
      <c r="G68" s="88">
        <f t="shared" si="4"/>
        <v>2.0000000000000018E-2</v>
      </c>
      <c r="H68" s="88">
        <f t="shared" si="2"/>
        <v>5.0000000000000001E-3</v>
      </c>
      <c r="I68" s="103">
        <f t="shared" si="3"/>
        <v>1.4999999999999999E-2</v>
      </c>
      <c r="K68" s="17"/>
      <c r="L68" s="17"/>
    </row>
    <row r="69" spans="1:12" ht="16.5" x14ac:dyDescent="0.3">
      <c r="A69" s="110" t="s">
        <v>139</v>
      </c>
      <c r="B69" s="88">
        <v>135</v>
      </c>
      <c r="C69" s="88">
        <v>53</v>
      </c>
      <c r="D69" s="28">
        <v>5</v>
      </c>
      <c r="E69" s="88">
        <f t="shared" si="0"/>
        <v>16.399999999999999</v>
      </c>
      <c r="F69" s="88">
        <f t="shared" si="1"/>
        <v>53</v>
      </c>
      <c r="G69" s="88">
        <f>B69-(E69*5)</f>
        <v>53</v>
      </c>
      <c r="H69" s="88">
        <f t="shared" si="2"/>
        <v>13.25</v>
      </c>
      <c r="I69" s="103">
        <f t="shared" si="3"/>
        <v>39.75</v>
      </c>
      <c r="K69" s="17"/>
      <c r="L69" s="17"/>
    </row>
    <row r="70" spans="1:12" ht="16.5" x14ac:dyDescent="0.3">
      <c r="A70" s="110" t="s">
        <v>140</v>
      </c>
      <c r="B70" s="88">
        <v>6100</v>
      </c>
      <c r="C70" s="88">
        <v>1200</v>
      </c>
      <c r="D70" s="28">
        <v>5</v>
      </c>
      <c r="E70" s="88">
        <f t="shared" si="0"/>
        <v>980</v>
      </c>
      <c r="F70" s="88">
        <f t="shared" si="1"/>
        <v>1200</v>
      </c>
      <c r="G70" s="88">
        <f>B70-(E70*5)</f>
        <v>1200</v>
      </c>
      <c r="H70" s="88">
        <f t="shared" si="2"/>
        <v>300</v>
      </c>
      <c r="I70" s="103">
        <f t="shared" si="3"/>
        <v>900</v>
      </c>
      <c r="K70" s="17"/>
      <c r="L70" s="17"/>
    </row>
    <row r="71" spans="1:12" ht="16.5" x14ac:dyDescent="0.3">
      <c r="A71" s="110" t="s">
        <v>20</v>
      </c>
      <c r="B71" s="88">
        <v>290</v>
      </c>
      <c r="C71" s="88">
        <v>96</v>
      </c>
      <c r="D71" s="28">
        <v>5</v>
      </c>
      <c r="E71" s="88">
        <f t="shared" si="0"/>
        <v>38.799999999999997</v>
      </c>
      <c r="F71" s="88">
        <f t="shared" si="1"/>
        <v>96</v>
      </c>
      <c r="G71" s="88">
        <f t="shared" si="4"/>
        <v>96</v>
      </c>
      <c r="H71" s="88">
        <f t="shared" si="2"/>
        <v>24</v>
      </c>
      <c r="I71" s="103">
        <f t="shared" si="3"/>
        <v>72</v>
      </c>
      <c r="K71" s="17"/>
      <c r="L71" s="17"/>
    </row>
    <row r="72" spans="1:12" ht="16.5" x14ac:dyDescent="0.3">
      <c r="A72" s="110" t="s">
        <v>141</v>
      </c>
      <c r="B72" s="88">
        <v>99</v>
      </c>
      <c r="C72" s="88">
        <v>24</v>
      </c>
      <c r="D72" s="28">
        <v>5</v>
      </c>
      <c r="E72" s="88">
        <f t="shared" si="0"/>
        <v>15</v>
      </c>
      <c r="F72" s="88">
        <f t="shared" si="1"/>
        <v>24</v>
      </c>
      <c r="G72" s="88">
        <f t="shared" si="4"/>
        <v>24</v>
      </c>
      <c r="H72" s="88">
        <f t="shared" si="2"/>
        <v>6</v>
      </c>
      <c r="I72" s="103">
        <f t="shared" si="3"/>
        <v>18</v>
      </c>
      <c r="K72" s="17"/>
      <c r="L72" s="17"/>
    </row>
    <row r="73" spans="1:12" ht="16.5" x14ac:dyDescent="0.3">
      <c r="A73" s="110" t="s">
        <v>151</v>
      </c>
      <c r="B73" s="88">
        <v>125</v>
      </c>
      <c r="C73" s="88">
        <v>30</v>
      </c>
      <c r="D73" s="28">
        <v>5</v>
      </c>
      <c r="E73" s="88">
        <f t="shared" si="0"/>
        <v>19</v>
      </c>
      <c r="F73" s="88">
        <f t="shared" si="1"/>
        <v>30</v>
      </c>
      <c r="G73" s="88">
        <f t="shared" si="4"/>
        <v>30</v>
      </c>
      <c r="H73" s="88">
        <f t="shared" si="2"/>
        <v>7.5</v>
      </c>
      <c r="I73" s="103">
        <f t="shared" si="3"/>
        <v>22.5</v>
      </c>
      <c r="K73" s="17"/>
      <c r="L73" s="17"/>
    </row>
    <row r="74" spans="1:12" ht="16.5" x14ac:dyDescent="0.3">
      <c r="A74" s="135" t="s">
        <v>152</v>
      </c>
      <c r="B74" s="88">
        <v>95</v>
      </c>
      <c r="C74" s="88">
        <v>30</v>
      </c>
      <c r="D74" s="28">
        <v>5</v>
      </c>
      <c r="E74" s="88">
        <f t="shared" si="0"/>
        <v>13</v>
      </c>
      <c r="F74" s="88">
        <f t="shared" si="1"/>
        <v>30</v>
      </c>
      <c r="G74" s="88">
        <f t="shared" si="4"/>
        <v>30</v>
      </c>
      <c r="H74" s="88">
        <f t="shared" si="2"/>
        <v>7.5</v>
      </c>
      <c r="I74" s="103">
        <f t="shared" si="3"/>
        <v>22.5</v>
      </c>
      <c r="K74" s="17"/>
      <c r="L74" s="17"/>
    </row>
    <row r="75" spans="1:12" ht="16.5" x14ac:dyDescent="0.3">
      <c r="A75" s="135" t="s">
        <v>153</v>
      </c>
      <c r="B75" s="88">
        <v>27</v>
      </c>
      <c r="C75" s="88">
        <v>5</v>
      </c>
      <c r="D75" s="28">
        <v>5</v>
      </c>
      <c r="E75" s="88">
        <f t="shared" si="0"/>
        <v>4.4000000000000004</v>
      </c>
      <c r="F75" s="88">
        <f t="shared" si="1"/>
        <v>5</v>
      </c>
      <c r="G75" s="88">
        <f t="shared" si="4"/>
        <v>5</v>
      </c>
      <c r="H75" s="88">
        <f t="shared" si="2"/>
        <v>1.25</v>
      </c>
      <c r="I75" s="103">
        <f t="shared" si="3"/>
        <v>3.75</v>
      </c>
      <c r="K75" s="17"/>
      <c r="L75" s="17"/>
    </row>
    <row r="76" spans="1:12" ht="16.5" x14ac:dyDescent="0.3">
      <c r="A76" s="110" t="s">
        <v>142</v>
      </c>
      <c r="B76" s="88">
        <v>148</v>
      </c>
      <c r="C76" s="88">
        <v>58</v>
      </c>
      <c r="D76" s="28">
        <v>5</v>
      </c>
      <c r="E76" s="88">
        <f t="shared" si="0"/>
        <v>18</v>
      </c>
      <c r="F76" s="88">
        <f t="shared" si="1"/>
        <v>58</v>
      </c>
      <c r="G76" s="88">
        <f t="shared" si="4"/>
        <v>58</v>
      </c>
      <c r="H76" s="88">
        <f t="shared" si="2"/>
        <v>14.5</v>
      </c>
      <c r="I76" s="103">
        <f t="shared" si="3"/>
        <v>43.5</v>
      </c>
      <c r="K76" s="17"/>
      <c r="L76" s="17"/>
    </row>
    <row r="77" spans="1:12" ht="16.5" x14ac:dyDescent="0.3">
      <c r="A77" s="110" t="s">
        <v>143</v>
      </c>
      <c r="B77" s="88">
        <v>36</v>
      </c>
      <c r="C77" s="88">
        <v>12</v>
      </c>
      <c r="D77" s="28">
        <v>5</v>
      </c>
      <c r="E77" s="88">
        <f t="shared" si="0"/>
        <v>4.8</v>
      </c>
      <c r="F77" s="88">
        <f t="shared" si="1"/>
        <v>12</v>
      </c>
      <c r="G77" s="88">
        <f t="shared" si="4"/>
        <v>12</v>
      </c>
      <c r="H77" s="88">
        <f t="shared" si="2"/>
        <v>3</v>
      </c>
      <c r="I77" s="103">
        <f t="shared" si="3"/>
        <v>9</v>
      </c>
      <c r="K77" s="17"/>
      <c r="L77" s="17"/>
    </row>
    <row r="78" spans="1:12" ht="16.5" x14ac:dyDescent="0.3">
      <c r="A78" s="110" t="s">
        <v>144</v>
      </c>
      <c r="B78" s="88">
        <v>79</v>
      </c>
      <c r="C78" s="88">
        <v>20</v>
      </c>
      <c r="D78" s="28">
        <v>5</v>
      </c>
      <c r="E78" s="88">
        <f t="shared" si="0"/>
        <v>11.8</v>
      </c>
      <c r="F78" s="88">
        <f t="shared" si="1"/>
        <v>20</v>
      </c>
      <c r="G78" s="88">
        <f t="shared" si="4"/>
        <v>20</v>
      </c>
      <c r="H78" s="88">
        <f t="shared" si="2"/>
        <v>5</v>
      </c>
      <c r="I78" s="103">
        <f t="shared" si="3"/>
        <v>15</v>
      </c>
      <c r="K78" s="17"/>
      <c r="L78" s="17"/>
    </row>
    <row r="79" spans="1:12" ht="16.5" x14ac:dyDescent="0.3">
      <c r="A79" s="110" t="s">
        <v>145</v>
      </c>
      <c r="B79" s="88">
        <v>99</v>
      </c>
      <c r="C79" s="88">
        <v>34</v>
      </c>
      <c r="D79" s="28">
        <v>5</v>
      </c>
      <c r="E79" s="88">
        <f t="shared" si="0"/>
        <v>13</v>
      </c>
      <c r="F79" s="88">
        <f t="shared" si="1"/>
        <v>34</v>
      </c>
      <c r="G79" s="88">
        <f t="shared" si="4"/>
        <v>34</v>
      </c>
      <c r="H79" s="88">
        <f t="shared" si="2"/>
        <v>8.5</v>
      </c>
      <c r="I79" s="103">
        <f t="shared" si="3"/>
        <v>25.5</v>
      </c>
      <c r="K79" s="17"/>
      <c r="L79" s="17"/>
    </row>
    <row r="80" spans="1:12" ht="16.5" x14ac:dyDescent="0.3">
      <c r="A80" s="110" t="s">
        <v>146</v>
      </c>
      <c r="B80" s="88">
        <v>100</v>
      </c>
      <c r="C80" s="88">
        <v>32</v>
      </c>
      <c r="D80" s="28">
        <v>5</v>
      </c>
      <c r="E80" s="88">
        <f t="shared" si="0"/>
        <v>13.6</v>
      </c>
      <c r="F80" s="88">
        <f t="shared" si="1"/>
        <v>32</v>
      </c>
      <c r="G80" s="88">
        <f t="shared" si="4"/>
        <v>32</v>
      </c>
      <c r="H80" s="88">
        <f t="shared" si="2"/>
        <v>8</v>
      </c>
      <c r="I80" s="103">
        <f t="shared" si="3"/>
        <v>24</v>
      </c>
      <c r="K80" s="17"/>
      <c r="L80" s="17"/>
    </row>
    <row r="81" spans="1:12" ht="16.5" x14ac:dyDescent="0.3">
      <c r="A81" s="110" t="s">
        <v>147</v>
      </c>
      <c r="B81" s="88">
        <v>15</v>
      </c>
      <c r="C81" s="88">
        <v>2</v>
      </c>
      <c r="D81" s="28">
        <v>5</v>
      </c>
      <c r="E81" s="88">
        <f t="shared" si="0"/>
        <v>2.6</v>
      </c>
      <c r="F81" s="88">
        <f t="shared" si="1"/>
        <v>2</v>
      </c>
      <c r="G81" s="88">
        <f t="shared" si="4"/>
        <v>2</v>
      </c>
      <c r="H81" s="88">
        <f t="shared" si="2"/>
        <v>0.5</v>
      </c>
      <c r="I81" s="103">
        <f t="shared" si="3"/>
        <v>1.5</v>
      </c>
      <c r="K81" s="17"/>
      <c r="L81" s="17"/>
    </row>
    <row r="82" spans="1:12" ht="16.5" x14ac:dyDescent="0.3">
      <c r="A82" s="110" t="s">
        <v>148</v>
      </c>
      <c r="B82" s="88">
        <v>50</v>
      </c>
      <c r="C82" s="88">
        <v>10</v>
      </c>
      <c r="D82" s="28">
        <v>5</v>
      </c>
      <c r="E82" s="88">
        <f t="shared" si="0"/>
        <v>8</v>
      </c>
      <c r="F82" s="88">
        <f t="shared" si="1"/>
        <v>10</v>
      </c>
      <c r="G82" s="88">
        <f t="shared" si="4"/>
        <v>10</v>
      </c>
      <c r="H82" s="88">
        <f t="shared" si="2"/>
        <v>2.5</v>
      </c>
      <c r="I82" s="103">
        <f t="shared" si="3"/>
        <v>7.5</v>
      </c>
      <c r="K82" s="17"/>
      <c r="L82" s="17"/>
    </row>
    <row r="83" spans="1:12" ht="16.5" x14ac:dyDescent="0.3">
      <c r="A83" s="110" t="s">
        <v>149</v>
      </c>
      <c r="B83" s="88">
        <v>235</v>
      </c>
      <c r="C83" s="88">
        <v>0</v>
      </c>
      <c r="D83" s="28">
        <v>5</v>
      </c>
      <c r="E83" s="88">
        <f t="shared" si="0"/>
        <v>47</v>
      </c>
      <c r="F83" s="88">
        <f t="shared" si="1"/>
        <v>0</v>
      </c>
      <c r="G83" s="88">
        <f t="shared" si="4"/>
        <v>0</v>
      </c>
      <c r="H83" s="88">
        <f t="shared" si="2"/>
        <v>0</v>
      </c>
      <c r="I83" s="103">
        <f t="shared" si="3"/>
        <v>0</v>
      </c>
      <c r="K83" s="17"/>
      <c r="L83" s="17"/>
    </row>
    <row r="84" spans="1:12" ht="16.5" x14ac:dyDescent="0.3">
      <c r="A84" s="110" t="s">
        <v>150</v>
      </c>
      <c r="B84" s="88">
        <v>349</v>
      </c>
      <c r="C84" s="88">
        <v>0</v>
      </c>
      <c r="D84" s="28">
        <v>5</v>
      </c>
      <c r="E84" s="88">
        <f t="shared" si="0"/>
        <v>69.8</v>
      </c>
      <c r="F84" s="88">
        <f t="shared" si="1"/>
        <v>0</v>
      </c>
      <c r="G84" s="88">
        <f>B84-(E84*5)</f>
        <v>0</v>
      </c>
      <c r="H84" s="88">
        <f t="shared" si="2"/>
        <v>0</v>
      </c>
      <c r="I84" s="103">
        <f t="shared" si="3"/>
        <v>0</v>
      </c>
      <c r="K84" s="17"/>
      <c r="L84" s="17"/>
    </row>
    <row r="85" spans="1:12" ht="16.5" x14ac:dyDescent="0.3">
      <c r="A85" s="110"/>
      <c r="B85" s="88"/>
      <c r="C85" s="88"/>
      <c r="D85" s="28"/>
      <c r="E85" s="88">
        <f t="shared" si="0"/>
        <v>0</v>
      </c>
      <c r="F85" s="88"/>
      <c r="G85" s="88"/>
      <c r="H85" s="88">
        <f t="shared" si="2"/>
        <v>0</v>
      </c>
      <c r="I85" s="103">
        <f t="shared" si="3"/>
        <v>0</v>
      </c>
      <c r="K85" s="17"/>
      <c r="L85" s="17"/>
    </row>
    <row r="86" spans="1:12" ht="16.5" x14ac:dyDescent="0.3">
      <c r="A86" s="110"/>
      <c r="B86" s="88"/>
      <c r="C86" s="88"/>
      <c r="D86" s="28"/>
      <c r="E86" s="88">
        <f t="shared" si="0"/>
        <v>0</v>
      </c>
      <c r="F86" s="88"/>
      <c r="G86" s="88"/>
      <c r="H86" s="88">
        <f t="shared" si="2"/>
        <v>0</v>
      </c>
      <c r="I86" s="103">
        <f t="shared" si="3"/>
        <v>0</v>
      </c>
      <c r="K86" s="17"/>
      <c r="L86" s="17"/>
    </row>
    <row r="87" spans="1:12" ht="16.5" x14ac:dyDescent="0.3">
      <c r="A87" s="110"/>
      <c r="B87" s="88"/>
      <c r="C87" s="88"/>
      <c r="D87" s="28"/>
      <c r="E87" s="88">
        <f t="shared" si="0"/>
        <v>0</v>
      </c>
      <c r="F87" s="88"/>
      <c r="G87" s="88"/>
      <c r="H87" s="88">
        <f t="shared" si="2"/>
        <v>0</v>
      </c>
      <c r="I87" s="103">
        <f t="shared" si="3"/>
        <v>0</v>
      </c>
      <c r="K87" s="17"/>
      <c r="L87" s="17"/>
    </row>
    <row r="88" spans="1:12" ht="16.5" x14ac:dyDescent="0.3">
      <c r="A88" s="110"/>
      <c r="B88" s="88"/>
      <c r="C88" s="88"/>
      <c r="D88" s="28"/>
      <c r="E88" s="88">
        <f t="shared" si="0"/>
        <v>0</v>
      </c>
      <c r="F88" s="88"/>
      <c r="G88" s="88"/>
      <c r="H88" s="88">
        <f t="shared" si="2"/>
        <v>0</v>
      </c>
      <c r="I88" s="103">
        <f t="shared" si="3"/>
        <v>0</v>
      </c>
      <c r="J88" s="17"/>
      <c r="K88" s="17"/>
      <c r="L88" s="17"/>
    </row>
    <row r="89" spans="1:12" ht="16.5" x14ac:dyDescent="0.3">
      <c r="A89" s="110"/>
      <c r="B89" s="88"/>
      <c r="C89" s="88"/>
      <c r="D89" s="28"/>
      <c r="E89" s="88">
        <f t="shared" si="0"/>
        <v>0</v>
      </c>
      <c r="F89" s="88"/>
      <c r="G89" s="88"/>
      <c r="H89" s="88">
        <f t="shared" si="2"/>
        <v>0</v>
      </c>
      <c r="I89" s="103">
        <f t="shared" si="3"/>
        <v>0</v>
      </c>
    </row>
    <row r="90" spans="1:12" ht="17.25" thickBot="1" x14ac:dyDescent="0.35">
      <c r="A90" s="37"/>
      <c r="B90" s="111"/>
      <c r="C90" s="111"/>
      <c r="D90" s="38"/>
      <c r="E90" s="111">
        <f t="shared" si="0"/>
        <v>0</v>
      </c>
      <c r="F90" s="111"/>
      <c r="G90" s="111"/>
      <c r="H90" s="111">
        <f t="shared" si="2"/>
        <v>0</v>
      </c>
      <c r="I90" s="131">
        <f t="shared" si="3"/>
        <v>0</v>
      </c>
    </row>
  </sheetData>
  <mergeCells count="18">
    <mergeCell ref="A1:I1"/>
    <mergeCell ref="A24:B24"/>
    <mergeCell ref="A21:B21"/>
    <mergeCell ref="A22:B22"/>
    <mergeCell ref="C6:D6"/>
    <mergeCell ref="E59:I59"/>
    <mergeCell ref="C60:I60"/>
    <mergeCell ref="A27:B27"/>
    <mergeCell ref="C40:C41"/>
    <mergeCell ref="A23:B23"/>
    <mergeCell ref="A25:B25"/>
    <mergeCell ref="A37:B37"/>
    <mergeCell ref="C29:C34"/>
    <mergeCell ref="A20:D20"/>
    <mergeCell ref="A7:B7"/>
    <mergeCell ref="C8:C10"/>
    <mergeCell ref="A59:B60"/>
    <mergeCell ref="C59:D59"/>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9"/>
  <sheetViews>
    <sheetView zoomScale="110" zoomScaleNormal="110" workbookViewId="0">
      <selection sqref="A1:I1"/>
    </sheetView>
  </sheetViews>
  <sheetFormatPr baseColWidth="10" defaultRowHeight="15" x14ac:dyDescent="0.25"/>
  <cols>
    <col min="1" max="1" width="26.28515625" bestFit="1" customWidth="1"/>
    <col min="2" max="2" width="25" customWidth="1"/>
    <col min="3" max="3" width="31.7109375" customWidth="1"/>
    <col min="4" max="4" width="32.5703125" customWidth="1"/>
    <col min="5" max="5" width="40" customWidth="1"/>
    <col min="6" max="6" width="52.28515625" customWidth="1"/>
    <col min="7" max="7" width="40" customWidth="1"/>
  </cols>
  <sheetData>
    <row r="1" spans="1:12" ht="117" customHeight="1" thickBot="1" x14ac:dyDescent="0.35">
      <c r="A1" s="228" t="s">
        <v>173</v>
      </c>
      <c r="B1" s="229"/>
      <c r="C1" s="229"/>
      <c r="D1" s="229"/>
      <c r="E1" s="229"/>
      <c r="F1" s="229"/>
      <c r="G1" s="229"/>
      <c r="H1" s="229"/>
      <c r="I1" s="230"/>
      <c r="J1" s="17"/>
      <c r="K1" s="17"/>
      <c r="L1" s="17"/>
    </row>
    <row r="2" spans="1:12" ht="17.25" thickBot="1" x14ac:dyDescent="0.35">
      <c r="A2" s="17"/>
      <c r="B2" s="17"/>
      <c r="C2" s="17"/>
      <c r="D2" s="17"/>
      <c r="E2" s="17"/>
      <c r="F2" s="17"/>
      <c r="G2" s="17"/>
      <c r="H2" s="17"/>
      <c r="I2" s="17"/>
      <c r="J2" s="17"/>
      <c r="K2" s="17"/>
      <c r="L2" s="17"/>
    </row>
    <row r="3" spans="1:12" ht="21" thickBot="1" x14ac:dyDescent="0.4">
      <c r="A3" s="205" t="s">
        <v>90</v>
      </c>
      <c r="B3" s="207"/>
      <c r="C3" s="207"/>
      <c r="D3" s="207"/>
      <c r="E3" s="207"/>
      <c r="F3" s="207"/>
      <c r="G3" s="206"/>
      <c r="H3" s="17"/>
      <c r="I3" s="17"/>
      <c r="J3" s="17"/>
      <c r="K3" s="17"/>
      <c r="L3" s="17"/>
    </row>
    <row r="4" spans="1:12" ht="17.25" thickBot="1" x14ac:dyDescent="0.35">
      <c r="A4" s="112" t="s">
        <v>91</v>
      </c>
      <c r="B4" s="234" t="s">
        <v>92</v>
      </c>
      <c r="C4" s="235"/>
      <c r="D4" s="235"/>
      <c r="E4" s="235"/>
      <c r="F4" s="235"/>
      <c r="G4" s="236"/>
      <c r="H4" s="17"/>
      <c r="I4" s="17"/>
      <c r="J4" s="17"/>
      <c r="K4" s="17"/>
      <c r="L4" s="17"/>
    </row>
    <row r="5" spans="1:12" ht="17.25" thickBot="1" x14ac:dyDescent="0.35">
      <c r="A5" s="112" t="s">
        <v>93</v>
      </c>
      <c r="B5" s="237" t="s">
        <v>94</v>
      </c>
      <c r="C5" s="237"/>
      <c r="D5" s="237"/>
      <c r="E5" s="237"/>
      <c r="F5" s="237"/>
      <c r="G5" s="238"/>
      <c r="H5" s="17"/>
      <c r="I5" s="17"/>
      <c r="J5" s="17"/>
      <c r="K5" s="17"/>
      <c r="L5" s="17"/>
    </row>
    <row r="6" spans="1:12" ht="17.25" thickBot="1" x14ac:dyDescent="0.35">
      <c r="A6" s="112" t="s">
        <v>95</v>
      </c>
      <c r="B6" s="237" t="s">
        <v>111</v>
      </c>
      <c r="C6" s="237"/>
      <c r="D6" s="237"/>
      <c r="E6" s="237"/>
      <c r="F6" s="237"/>
      <c r="G6" s="238"/>
      <c r="H6" s="17"/>
      <c r="I6" s="17"/>
      <c r="J6" s="17"/>
      <c r="K6" s="17"/>
      <c r="L6" s="17"/>
    </row>
    <row r="7" spans="1:12" ht="17.25" thickBot="1" x14ac:dyDescent="0.35">
      <c r="A7" s="112" t="s">
        <v>112</v>
      </c>
      <c r="B7" s="237" t="s">
        <v>113</v>
      </c>
      <c r="C7" s="237"/>
      <c r="D7" s="237"/>
      <c r="E7" s="237"/>
      <c r="F7" s="237"/>
      <c r="G7" s="238"/>
      <c r="H7" s="17"/>
      <c r="I7" s="17"/>
      <c r="J7" s="17"/>
      <c r="K7" s="17"/>
      <c r="L7" s="17"/>
    </row>
    <row r="8" spans="1:12" ht="17.25" thickBot="1" x14ac:dyDescent="0.35">
      <c r="A8" s="112" t="s">
        <v>114</v>
      </c>
      <c r="B8" s="237" t="s">
        <v>115</v>
      </c>
      <c r="C8" s="237"/>
      <c r="D8" s="237"/>
      <c r="E8" s="237"/>
      <c r="F8" s="237"/>
      <c r="G8" s="238"/>
      <c r="H8" s="17"/>
      <c r="I8" s="17"/>
      <c r="J8" s="17"/>
      <c r="K8" s="17"/>
      <c r="L8" s="17"/>
    </row>
    <row r="9" spans="1:12" ht="17.25" thickBot="1" x14ac:dyDescent="0.35">
      <c r="A9" s="112" t="s">
        <v>116</v>
      </c>
      <c r="B9" s="237" t="s">
        <v>117</v>
      </c>
      <c r="C9" s="237"/>
      <c r="D9" s="237"/>
      <c r="E9" s="237"/>
      <c r="F9" s="237"/>
      <c r="G9" s="238"/>
      <c r="H9" s="17"/>
      <c r="I9" s="17"/>
      <c r="J9" s="17"/>
      <c r="K9" s="17"/>
      <c r="L9" s="17"/>
    </row>
    <row r="10" spans="1:12" ht="17.25" thickBot="1" x14ac:dyDescent="0.35">
      <c r="A10" s="112" t="s">
        <v>118</v>
      </c>
      <c r="B10" s="241" t="s">
        <v>120</v>
      </c>
      <c r="C10" s="237"/>
      <c r="D10" s="237"/>
      <c r="E10" s="237"/>
      <c r="F10" s="237"/>
      <c r="G10" s="238"/>
      <c r="H10" s="17"/>
      <c r="I10" s="17"/>
      <c r="J10" s="17"/>
      <c r="K10" s="17"/>
      <c r="L10" s="17"/>
    </row>
    <row r="11" spans="1:12" ht="17.25" thickBot="1" x14ac:dyDescent="0.35">
      <c r="A11" s="112" t="s">
        <v>121</v>
      </c>
      <c r="B11" s="237" t="s">
        <v>122</v>
      </c>
      <c r="C11" s="237"/>
      <c r="D11" s="237"/>
      <c r="E11" s="237"/>
      <c r="F11" s="237"/>
      <c r="G11" s="238"/>
      <c r="H11" s="17"/>
      <c r="I11" s="17"/>
      <c r="J11" s="17"/>
      <c r="K11" s="17"/>
      <c r="L11" s="17"/>
    </row>
    <row r="12" spans="1:12" ht="17.25" thickBot="1" x14ac:dyDescent="0.35">
      <c r="A12" s="112" t="s">
        <v>123</v>
      </c>
      <c r="B12" s="237" t="s">
        <v>124</v>
      </c>
      <c r="C12" s="237"/>
      <c r="D12" s="237"/>
      <c r="E12" s="237"/>
      <c r="F12" s="237"/>
      <c r="G12" s="238"/>
      <c r="H12" s="17"/>
      <c r="I12" s="17"/>
      <c r="J12" s="17"/>
      <c r="K12" s="17"/>
      <c r="L12" s="17"/>
    </row>
    <row r="13" spans="1:12" ht="17.25" thickBot="1" x14ac:dyDescent="0.35">
      <c r="A13" s="112" t="s">
        <v>125</v>
      </c>
      <c r="B13" s="241" t="s">
        <v>126</v>
      </c>
      <c r="C13" s="237"/>
      <c r="D13" s="237"/>
      <c r="E13" s="237"/>
      <c r="F13" s="237"/>
      <c r="G13" s="238"/>
      <c r="H13" s="17"/>
      <c r="I13" s="17"/>
      <c r="J13" s="17"/>
      <c r="K13" s="17"/>
      <c r="L13" s="17"/>
    </row>
    <row r="14" spans="1:12" ht="17.25" thickBot="1" x14ac:dyDescent="0.35">
      <c r="A14" s="112" t="s">
        <v>127</v>
      </c>
      <c r="B14" s="241" t="s">
        <v>128</v>
      </c>
      <c r="C14" s="237"/>
      <c r="D14" s="237"/>
      <c r="E14" s="237"/>
      <c r="F14" s="237"/>
      <c r="G14" s="238"/>
      <c r="H14" s="17"/>
      <c r="I14" s="17"/>
      <c r="J14" s="17"/>
      <c r="K14" s="17"/>
      <c r="L14" s="17"/>
    </row>
    <row r="15" spans="1:12" ht="17.25" thickBot="1" x14ac:dyDescent="0.35">
      <c r="A15" s="112" t="s">
        <v>129</v>
      </c>
      <c r="B15" s="239" t="s">
        <v>131</v>
      </c>
      <c r="C15" s="239"/>
      <c r="D15" s="239"/>
      <c r="E15" s="239"/>
      <c r="F15" s="239"/>
      <c r="G15" s="240"/>
      <c r="H15" s="17"/>
      <c r="I15" s="17"/>
      <c r="J15" s="17"/>
      <c r="K15" s="17"/>
      <c r="L15" s="17"/>
    </row>
    <row r="16" spans="1:12" ht="16.5" x14ac:dyDescent="0.3">
      <c r="A16" s="17"/>
      <c r="B16" s="17"/>
      <c r="C16" s="17"/>
      <c r="D16" s="17"/>
      <c r="E16" s="17"/>
      <c r="F16" s="17"/>
      <c r="G16" s="17"/>
      <c r="H16" s="17"/>
      <c r="I16" s="17"/>
      <c r="J16" s="17"/>
      <c r="K16" s="17"/>
      <c r="L16" s="17"/>
    </row>
    <row r="17" spans="1:12" ht="16.5" x14ac:dyDescent="0.3">
      <c r="A17" s="17"/>
      <c r="B17" s="17"/>
      <c r="C17" s="17"/>
      <c r="D17" s="17"/>
      <c r="E17" s="17"/>
      <c r="F17" s="17"/>
      <c r="G17" s="17"/>
      <c r="H17" s="17"/>
      <c r="I17" s="17"/>
      <c r="J17" s="17"/>
      <c r="K17" s="17"/>
      <c r="L17" s="17"/>
    </row>
    <row r="18" spans="1:12" ht="16.5" x14ac:dyDescent="0.3">
      <c r="A18" s="17"/>
      <c r="B18" s="17"/>
      <c r="C18" s="17"/>
      <c r="D18" s="17"/>
      <c r="E18" s="17"/>
      <c r="F18" s="17"/>
      <c r="G18" s="17"/>
      <c r="H18" s="17"/>
      <c r="I18" s="17"/>
      <c r="J18" s="17"/>
      <c r="K18" s="17"/>
      <c r="L18" s="17"/>
    </row>
    <row r="19" spans="1:12" ht="16.5" x14ac:dyDescent="0.3">
      <c r="A19" s="17"/>
      <c r="B19" s="17"/>
      <c r="C19" s="17"/>
      <c r="D19" s="17"/>
      <c r="E19" s="17"/>
      <c r="F19" s="17"/>
      <c r="G19" s="17"/>
      <c r="H19" s="17"/>
      <c r="I19" s="17"/>
      <c r="J19" s="17"/>
      <c r="K19" s="17"/>
      <c r="L19" s="17"/>
    </row>
  </sheetData>
  <mergeCells count="14">
    <mergeCell ref="B15:G15"/>
    <mergeCell ref="B13:G13"/>
    <mergeCell ref="B12:G12"/>
    <mergeCell ref="B14:G14"/>
    <mergeCell ref="B5:G5"/>
    <mergeCell ref="B10:G10"/>
    <mergeCell ref="B11:G11"/>
    <mergeCell ref="B8:G8"/>
    <mergeCell ref="B9:G9"/>
    <mergeCell ref="A3:G3"/>
    <mergeCell ref="A1:I1"/>
    <mergeCell ref="B4:G4"/>
    <mergeCell ref="B6:G6"/>
    <mergeCell ref="B7:G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Formula</vt:lpstr>
      <vt:lpstr>Tablas Calculadas </vt:lpstr>
      <vt:lpstr>Constantes</vt:lpstr>
      <vt:lpstr>Observaciones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cp:lastPrinted>2019-08-20T16:05:19Z</cp:lastPrinted>
  <dcterms:created xsi:type="dcterms:W3CDTF">2019-08-20T12:38:20Z</dcterms:created>
  <dcterms:modified xsi:type="dcterms:W3CDTF">2019-10-13T01:31:52Z</dcterms:modified>
</cp:coreProperties>
</file>