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4240" windowHeight="13740"/>
  </bookViews>
  <sheets>
    <sheet name="Hoja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3" i="1" l="1"/>
  <c r="C51" i="1"/>
  <c r="C50" i="1"/>
  <c r="C49" i="1"/>
  <c r="D49" i="1" s="1"/>
  <c r="I65" i="1"/>
  <c r="C31" i="1" s="1"/>
  <c r="I64" i="1"/>
  <c r="C52" i="1" s="1"/>
  <c r="C30" i="1" s="1"/>
  <c r="I63" i="1"/>
  <c r="I62" i="1"/>
  <c r="I61" i="1"/>
  <c r="B31" i="1"/>
  <c r="B30" i="1"/>
  <c r="B29" i="1"/>
  <c r="B28" i="1"/>
  <c r="B27" i="1"/>
  <c r="E36" i="1"/>
  <c r="E32" i="1"/>
  <c r="C29" i="1" l="1"/>
  <c r="C28" i="1"/>
  <c r="C26" i="1"/>
  <c r="C27" i="1"/>
  <c r="D50" i="1"/>
  <c r="C45" i="1"/>
  <c r="C46" i="1"/>
  <c r="C44" i="1"/>
  <c r="C42" i="1"/>
  <c r="C43" i="1"/>
  <c r="C41" i="1"/>
  <c r="C39" i="1"/>
  <c r="C40" i="1"/>
  <c r="C38" i="1"/>
  <c r="E38" i="1" s="1"/>
  <c r="C36" i="1"/>
  <c r="C37" i="1"/>
  <c r="E37" i="1" s="1"/>
  <c r="C35" i="1"/>
  <c r="E35" i="1" s="1"/>
  <c r="E39" i="1"/>
  <c r="C32" i="1"/>
  <c r="C34" i="1"/>
  <c r="C33" i="1"/>
  <c r="B45" i="1"/>
  <c r="B46" i="1"/>
  <c r="B44" i="1"/>
  <c r="B42" i="1"/>
  <c r="E42" i="1" s="1"/>
  <c r="B43" i="1"/>
  <c r="B41" i="1"/>
  <c r="B40" i="1"/>
  <c r="B39" i="1"/>
  <c r="B38" i="1"/>
  <c r="B37" i="1"/>
  <c r="B36" i="1"/>
  <c r="B35" i="1"/>
  <c r="B34" i="1"/>
  <c r="B33" i="1"/>
  <c r="E33" i="1" s="1"/>
  <c r="B32" i="1"/>
  <c r="B50" i="1"/>
  <c r="B49" i="1"/>
  <c r="B26" i="1"/>
  <c r="E41" i="1" l="1"/>
  <c r="E34" i="1"/>
  <c r="E43" i="1"/>
  <c r="E40" i="1"/>
  <c r="B53" i="1" l="1"/>
  <c r="B52" i="1"/>
  <c r="B51" i="1"/>
  <c r="B14" i="1" l="1"/>
  <c r="E63" i="1"/>
  <c r="E60" i="1"/>
  <c r="E61" i="1"/>
  <c r="E62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59" i="1"/>
  <c r="E26" i="1"/>
  <c r="B22" i="1" l="1"/>
  <c r="E30" i="1"/>
  <c r="G20" i="1" s="1"/>
  <c r="E31" i="1"/>
  <c r="G21" i="1" s="1"/>
  <c r="E28" i="1"/>
  <c r="G18" i="1" s="1"/>
  <c r="E29" i="1"/>
  <c r="G19" i="1" s="1"/>
  <c r="E27" i="1"/>
  <c r="G17" i="1" s="1"/>
  <c r="J44" i="1"/>
  <c r="E46" i="1" l="1"/>
  <c r="F22" i="1" s="1"/>
  <c r="E45" i="1"/>
  <c r="E22" i="1" s="1"/>
  <c r="E44" i="1"/>
  <c r="D22" i="1" s="1"/>
  <c r="D53" i="1"/>
  <c r="D51" i="1"/>
  <c r="C55" i="1"/>
  <c r="D52" i="1"/>
  <c r="C22" i="1"/>
  <c r="B11" i="1"/>
  <c r="B55" i="1"/>
  <c r="B9" i="1" l="1"/>
  <c r="B10" i="1"/>
  <c r="D55" i="1"/>
  <c r="G22" i="1" l="1"/>
  <c r="B5" i="1"/>
</calcChain>
</file>

<file path=xl/sharedStrings.xml><?xml version="1.0" encoding="utf-8"?>
<sst xmlns="http://schemas.openxmlformats.org/spreadsheetml/2006/main" count="114" uniqueCount="104">
  <si>
    <t xml:space="preserve">Formula: </t>
  </si>
  <si>
    <r>
      <t xml:space="preserve">Flujo de fondos </t>
    </r>
    <r>
      <rPr>
        <sz val="20"/>
        <color theme="1"/>
        <rFont val="Times New Roman"/>
        <family val="1"/>
      </rPr>
      <t xml:space="preserve">(segunda entrega) </t>
    </r>
  </si>
  <si>
    <r>
      <t>∆V</t>
    </r>
    <r>
      <rPr>
        <vertAlign val="subscript"/>
        <sz val="14"/>
        <color theme="1"/>
        <rFont val="Times New Roman"/>
        <family val="1"/>
      </rPr>
      <t xml:space="preserve">j </t>
    </r>
    <r>
      <rPr>
        <sz val="12"/>
        <color theme="1"/>
        <rFont val="Times New Roman"/>
        <family val="1"/>
      </rPr>
      <t xml:space="preserve"> (ventas)</t>
    </r>
  </si>
  <si>
    <r>
      <t>∆Co</t>
    </r>
    <r>
      <rPr>
        <vertAlign val="subscript"/>
        <sz val="14"/>
        <color theme="1"/>
        <rFont val="Times New Roman"/>
        <family val="1"/>
      </rPr>
      <t>j (Costos operativos)</t>
    </r>
  </si>
  <si>
    <r>
      <t xml:space="preserve">t </t>
    </r>
    <r>
      <rPr>
        <vertAlign val="subscript"/>
        <sz val="14"/>
        <color theme="1"/>
        <rFont val="Times New Roman"/>
        <family val="1"/>
      </rPr>
      <t>(Irae)</t>
    </r>
  </si>
  <si>
    <r>
      <t>II</t>
    </r>
    <r>
      <rPr>
        <vertAlign val="superscript"/>
        <sz val="14"/>
        <color theme="1"/>
        <rFont val="Times New Roman"/>
        <family val="1"/>
      </rPr>
      <t>+</t>
    </r>
    <r>
      <rPr>
        <vertAlign val="subscript"/>
        <sz val="14"/>
        <color theme="1"/>
        <rFont val="Times New Roman"/>
        <family val="1"/>
      </rPr>
      <t>j (Invercion inicial)</t>
    </r>
  </si>
  <si>
    <t xml:space="preserve">Ventas: </t>
  </si>
  <si>
    <t>Año 0</t>
  </si>
  <si>
    <t>Año 1</t>
  </si>
  <si>
    <t>Año 2</t>
  </si>
  <si>
    <t>Año 3</t>
  </si>
  <si>
    <t>Año 4</t>
  </si>
  <si>
    <t xml:space="preserve">Venta del Software </t>
  </si>
  <si>
    <t xml:space="preserve">Soporte </t>
  </si>
  <si>
    <t xml:space="preserve">Totales: </t>
  </si>
  <si>
    <t xml:space="preserve">Precio de cada tipo de venta </t>
  </si>
  <si>
    <t xml:space="preserve">Precio = (Costos fijos + Costos variables) + Utilidad </t>
  </si>
  <si>
    <t xml:space="preserve">Cotos variables </t>
  </si>
  <si>
    <t xml:space="preserve">Total </t>
  </si>
  <si>
    <t xml:space="preserve">Costos operativos </t>
  </si>
  <si>
    <t>Costos fijos</t>
  </si>
  <si>
    <t xml:space="preserve">Cotos Variables </t>
  </si>
  <si>
    <t xml:space="preserve">Dep=(costo de adquisicion - valor residual) / vida util </t>
  </si>
  <si>
    <t>Nombre del B/U</t>
  </si>
  <si>
    <t xml:space="preserve">Costo adquisicion </t>
  </si>
  <si>
    <t xml:space="preserve">Valor residual </t>
  </si>
  <si>
    <t xml:space="preserve">Vida util </t>
  </si>
  <si>
    <t>Resultados</t>
  </si>
  <si>
    <t>Nombre</t>
  </si>
  <si>
    <t>Terminal</t>
  </si>
  <si>
    <t>Monitor</t>
  </si>
  <si>
    <t>Disco duro</t>
  </si>
  <si>
    <t xml:space="preserve">Router </t>
  </si>
  <si>
    <t>Ups</t>
  </si>
  <si>
    <t>Utilidad (%)</t>
  </si>
  <si>
    <t>Costos Fijos (mensuales)</t>
  </si>
  <si>
    <t>Arquiler</t>
  </si>
  <si>
    <t xml:space="preserve">Seguridad </t>
  </si>
  <si>
    <t>MPLS</t>
  </si>
  <si>
    <t>Total</t>
  </si>
  <si>
    <t xml:space="preserve">Aumeno anual(%) </t>
  </si>
  <si>
    <t>Valor (US$)</t>
  </si>
  <si>
    <t xml:space="preserve">Cotisacion del dólar </t>
  </si>
  <si>
    <t>Año</t>
  </si>
  <si>
    <r>
      <t>∆Am</t>
    </r>
    <r>
      <rPr>
        <vertAlign val="subscript"/>
        <sz val="14"/>
        <color theme="1"/>
        <rFont val="Times New Roman"/>
        <family val="1"/>
      </rPr>
      <t>j (depresiacion B/U)</t>
    </r>
  </si>
  <si>
    <t xml:space="preserve">Amortizacion de los bienes de uso </t>
  </si>
  <si>
    <t xml:space="preserve">Salario esperado para los socios por hora </t>
  </si>
  <si>
    <t>Numero de horas trabajados por dia</t>
  </si>
  <si>
    <t>Numeros de dias trabajados por mes</t>
  </si>
  <si>
    <t>Costos variables (Constantes)</t>
  </si>
  <si>
    <t xml:space="preserve">Numero de socios </t>
  </si>
  <si>
    <t xml:space="preserve">Costo salarial total por mes durante año 0 </t>
  </si>
  <si>
    <t>Costo salarial total por mes durante año 1</t>
  </si>
  <si>
    <t>Costo salarial total por mes durante año 2</t>
  </si>
  <si>
    <t>Costo salarial total por mes durante año 3</t>
  </si>
  <si>
    <t>Costo salarial total por mes durante año 4</t>
  </si>
  <si>
    <t>Soporte (todo el mes) Año 0</t>
  </si>
  <si>
    <t>Soporte (todo el mes) Año 1</t>
  </si>
  <si>
    <t>Soporte (todo el mes) Año 2</t>
  </si>
  <si>
    <t>Soporte (todo el mes) Año 3</t>
  </si>
  <si>
    <t>Soporte (todo el mes) Año 4</t>
  </si>
  <si>
    <t>Pesos</t>
  </si>
  <si>
    <t xml:space="preserve">Dolares </t>
  </si>
  <si>
    <t>Dolares</t>
  </si>
  <si>
    <t xml:space="preserve">Totales Por año </t>
  </si>
  <si>
    <t xml:space="preserve">Total anual </t>
  </si>
  <si>
    <t>valor (UYU)</t>
  </si>
  <si>
    <t xml:space="preserve">Variables principales: </t>
  </si>
  <si>
    <t xml:space="preserve">Con proyecto </t>
  </si>
  <si>
    <t xml:space="preserve">Sin proyecto </t>
  </si>
  <si>
    <t>Electricidad</t>
  </si>
  <si>
    <t>Inflacion:</t>
  </si>
  <si>
    <t>(Igual para los sueldos)</t>
  </si>
  <si>
    <t>Flujo de fondos</t>
  </si>
  <si>
    <t>Instalacion del hardware  (plan economico)</t>
  </si>
  <si>
    <t>Instalacion del hardware  (plan recomendado )</t>
  </si>
  <si>
    <t>Instalacion del hardware  (plan premiun)</t>
  </si>
  <si>
    <t>Cotos fijos ( ver alaracio 1)</t>
  </si>
  <si>
    <t>Venta del Software (7 meses)</t>
  </si>
  <si>
    <t>Instalacion del hardware Economico (2 meses)         AÑO 0</t>
  </si>
  <si>
    <t>Instalacion del hardware Recomendado (2 meses)    AÑO 0</t>
  </si>
  <si>
    <t>Instalacion del hardware Premiun (2 meses)             AÑO 0</t>
  </si>
  <si>
    <t>Instalacion del hardware Economico (2 meses)         AÑO 1</t>
  </si>
  <si>
    <t>Instalacion del hardware Recomendado (2 meses)    AÑO 1</t>
  </si>
  <si>
    <t>Instalacion del hardware Premiun (2 meses)             AÑO 1</t>
  </si>
  <si>
    <t>Instalacion del hardware Economico (2 meses)         AÑO 2</t>
  </si>
  <si>
    <t>Instalacion del hardware Recomendado (2 meses)    AÑO 2</t>
  </si>
  <si>
    <t>Instalacion del hardware Premiun (2 meses)             AÑO 2</t>
  </si>
  <si>
    <t>Instalacion del hardware Economico (2 meses)         AÑO 3</t>
  </si>
  <si>
    <t>Instalacion del hardware Recomendado (2 meses)    AÑO 3</t>
  </si>
  <si>
    <t>Instalacion del hardware Premiun (2 meses)             AÑO 3</t>
  </si>
  <si>
    <t>Instalacion del hardware Economico (2 meses)         AÑO 4</t>
  </si>
  <si>
    <t>Instalacion del hardware Recomendado (2 meses)    AÑO 4</t>
  </si>
  <si>
    <t>Instalacion del hardware Premiun (2 meses)             AÑO 4</t>
  </si>
  <si>
    <t xml:space="preserve">Planes para el equipamiento </t>
  </si>
  <si>
    <t xml:space="preserve">Economico </t>
  </si>
  <si>
    <t xml:space="preserve">Recomendando </t>
  </si>
  <si>
    <t xml:space="preserve">Premiun </t>
  </si>
  <si>
    <r>
      <t>(∆V</t>
    </r>
    <r>
      <rPr>
        <vertAlign val="subscript"/>
        <sz val="16"/>
        <color theme="1"/>
        <rFont val="Times New Roman"/>
        <family val="1"/>
      </rPr>
      <t xml:space="preserve">j </t>
    </r>
    <r>
      <rPr>
        <sz val="16"/>
        <color theme="1"/>
        <rFont val="Times New Roman"/>
        <family val="1"/>
      </rPr>
      <t>- ∆Co</t>
    </r>
    <r>
      <rPr>
        <vertAlign val="subscript"/>
        <sz val="16"/>
        <color theme="1"/>
        <rFont val="Times New Roman"/>
        <family val="1"/>
      </rPr>
      <t xml:space="preserve">j </t>
    </r>
    <r>
      <rPr>
        <sz val="16"/>
        <color theme="1"/>
        <rFont val="Times New Roman"/>
        <family val="1"/>
      </rPr>
      <t>- ∆Am</t>
    </r>
    <r>
      <rPr>
        <vertAlign val="subscript"/>
        <sz val="16"/>
        <color theme="1"/>
        <rFont val="Times New Roman"/>
        <family val="1"/>
      </rPr>
      <t xml:space="preserve">j </t>
    </r>
    <r>
      <rPr>
        <sz val="16"/>
        <color theme="1"/>
        <rFont val="Times New Roman"/>
        <family val="1"/>
      </rPr>
      <t>) * (1-t) + ∆Am</t>
    </r>
    <r>
      <rPr>
        <vertAlign val="subscript"/>
        <sz val="16"/>
        <color theme="1"/>
        <rFont val="Times New Roman"/>
        <family val="1"/>
      </rPr>
      <t>j</t>
    </r>
    <r>
      <rPr>
        <sz val="16"/>
        <color theme="1"/>
        <rFont val="Times New Roman"/>
        <family val="1"/>
      </rPr>
      <t xml:space="preserve"> - II</t>
    </r>
    <r>
      <rPr>
        <vertAlign val="superscript"/>
        <sz val="16"/>
        <color theme="1"/>
        <rFont val="Times New Roman"/>
        <family val="1"/>
      </rPr>
      <t>+</t>
    </r>
    <r>
      <rPr>
        <vertAlign val="subscript"/>
        <sz val="16"/>
        <color theme="1"/>
        <rFont val="Times New Roman"/>
        <family val="1"/>
      </rPr>
      <t xml:space="preserve">j </t>
    </r>
  </si>
  <si>
    <t>OSE</t>
  </si>
  <si>
    <t xml:space="preserve">Seguro </t>
  </si>
  <si>
    <t>BSE</t>
  </si>
  <si>
    <t xml:space="preserve">BPS patronal </t>
  </si>
  <si>
    <t xml:space="preserve">Fonasa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</si>
</sst>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[$UYU]_-;\-* #,##0.00\ [$UYU]_-;_-* &quot;-&quot;??\ [$UYU]_-;_-@_-"/>
    <numFmt numFmtId="165" formatCode="_-* #,##0.00\ [$USD]_-;\-* #,##0.00\ [$USD]_-;_-* &quot;-&quot;??\ [$USD]_-;_-@_-"/>
    <numFmt numFmtId="167" formatCode="_-[$$-340A]\ * #,##0.00_-;\-[$$-340A]\ * #,##0.00_-;_-[$$-340A]\ * &quot;-&quot;??_-;_-@_-"/>
    <numFmt numFmtId="168" formatCode="_ [$$-2C0A]\ * #,##0.00_ ;_ [$$-2C0A]\ * \-#,##0.00_ ;_ [$$-2C0A]\ * &quot;-&quot;??_ ;_ @_ "/>
  </numFmts>
  <fonts count="17" x14ac:knownFonts="1">
    <font>
      <sz val="11"/>
      <color theme="1"/>
      <name val="Calibri"/>
      <family val="2"/>
      <scheme val="minor"/>
    </font>
    <font>
      <sz val="36"/>
      <color theme="1"/>
      <name val="Times New Roman"/>
      <family val="1"/>
    </font>
    <font>
      <sz val="20"/>
      <color theme="1"/>
      <name val="Times New Roman"/>
      <family val="1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vertAlign val="subscript"/>
      <sz val="16"/>
      <color theme="1"/>
      <name val="Times New Roman"/>
      <family val="1"/>
    </font>
    <font>
      <vertAlign val="superscript"/>
      <sz val="16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vertAlign val="subscript"/>
      <sz val="14"/>
      <color theme="1"/>
      <name val="Times New Roman"/>
      <family val="1"/>
    </font>
    <font>
      <vertAlign val="superscript"/>
      <sz val="14"/>
      <color theme="1"/>
      <name val="Times New Roman"/>
      <family val="1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  <font>
      <sz val="20"/>
      <color theme="0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3399FF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3" fillId="0" borderId="1" xfId="0" applyFont="1" applyBorder="1"/>
    <xf numFmtId="0" fontId="10" fillId="0" borderId="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3" fillId="0" borderId="5" xfId="0" applyFont="1" applyBorder="1"/>
    <xf numFmtId="0" fontId="3" fillId="0" borderId="2" xfId="0" applyFont="1" applyBorder="1"/>
    <xf numFmtId="0" fontId="14" fillId="0" borderId="1" xfId="0" applyFont="1" applyBorder="1"/>
    <xf numFmtId="0" fontId="3" fillId="0" borderId="6" xfId="0" applyFont="1" applyBorder="1"/>
    <xf numFmtId="0" fontId="3" fillId="0" borderId="0" xfId="0" applyFont="1" applyBorder="1"/>
    <xf numFmtId="0" fontId="3" fillId="0" borderId="7" xfId="0" applyFont="1" applyBorder="1"/>
    <xf numFmtId="0" fontId="9" fillId="0" borderId="6" xfId="0" applyFont="1" applyBorder="1"/>
    <xf numFmtId="0" fontId="4" fillId="0" borderId="6" xfId="0" applyFont="1" applyBorder="1"/>
    <xf numFmtId="0" fontId="4" fillId="0" borderId="0" xfId="0" applyFont="1" applyBorder="1" applyAlignment="1">
      <alignment horizontal="left" vertical="center"/>
    </xf>
    <xf numFmtId="0" fontId="3" fillId="0" borderId="8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3" fillId="0" borderId="8" xfId="0" applyFont="1" applyBorder="1"/>
    <xf numFmtId="0" fontId="0" fillId="0" borderId="0" xfId="0" applyBorder="1"/>
    <xf numFmtId="0" fontId="0" fillId="0" borderId="6" xfId="0" applyBorder="1"/>
    <xf numFmtId="0" fontId="15" fillId="2" borderId="6" xfId="0" applyFont="1" applyFill="1" applyBorder="1"/>
    <xf numFmtId="0" fontId="10" fillId="0" borderId="1" xfId="0" applyFont="1" applyBorder="1" applyAlignment="1"/>
    <xf numFmtId="0" fontId="14" fillId="0" borderId="8" xfId="0" applyFont="1" applyFill="1" applyBorder="1" applyAlignment="1">
      <alignment horizontal="left"/>
    </xf>
    <xf numFmtId="0" fontId="16" fillId="0" borderId="1" xfId="0" applyFont="1" applyBorder="1"/>
    <xf numFmtId="0" fontId="10" fillId="0" borderId="1" xfId="0" applyFont="1" applyBorder="1"/>
    <xf numFmtId="0" fontId="3" fillId="0" borderId="14" xfId="0" applyFont="1" applyBorder="1"/>
    <xf numFmtId="0" fontId="3" fillId="0" borderId="16" xfId="0" applyFont="1" applyBorder="1"/>
    <xf numFmtId="0" fontId="3" fillId="0" borderId="15" xfId="0" applyFont="1" applyBorder="1"/>
    <xf numFmtId="0" fontId="14" fillId="0" borderId="13" xfId="0" applyFont="1" applyBorder="1" applyAlignment="1"/>
    <xf numFmtId="0" fontId="0" fillId="0" borderId="17" xfId="0" applyBorder="1"/>
    <xf numFmtId="0" fontId="3" fillId="0" borderId="0" xfId="0" applyFont="1"/>
    <xf numFmtId="164" fontId="3" fillId="0" borderId="0" xfId="0" applyNumberFormat="1" applyFont="1"/>
    <xf numFmtId="165" fontId="3" fillId="0" borderId="1" xfId="0" applyNumberFormat="1" applyFont="1" applyBorder="1"/>
    <xf numFmtId="0" fontId="9" fillId="0" borderId="18" xfId="0" applyFont="1" applyBorder="1"/>
    <xf numFmtId="0" fontId="14" fillId="0" borderId="19" xfId="0" applyFont="1" applyBorder="1"/>
    <xf numFmtId="0" fontId="14" fillId="0" borderId="20" xfId="0" applyFont="1" applyBorder="1"/>
    <xf numFmtId="0" fontId="14" fillId="0" borderId="23" xfId="0" applyFont="1" applyBorder="1" applyAlignment="1">
      <alignment horizontal="right"/>
    </xf>
    <xf numFmtId="0" fontId="10" fillId="0" borderId="18" xfId="0" applyFont="1" applyBorder="1"/>
    <xf numFmtId="0" fontId="3" fillId="0" borderId="23" xfId="0" applyFont="1" applyBorder="1" applyAlignment="1">
      <alignment horizontal="right"/>
    </xf>
    <xf numFmtId="0" fontId="3" fillId="0" borderId="27" xfId="0" applyFont="1" applyBorder="1"/>
    <xf numFmtId="0" fontId="3" fillId="0" borderId="29" xfId="0" applyFont="1" applyBorder="1"/>
    <xf numFmtId="0" fontId="14" fillId="0" borderId="21" xfId="0" applyFont="1" applyBorder="1"/>
    <xf numFmtId="0" fontId="3" fillId="0" borderId="21" xfId="0" applyFont="1" applyBorder="1"/>
    <xf numFmtId="165" fontId="3" fillId="0" borderId="28" xfId="0" applyNumberFormat="1" applyFont="1" applyBorder="1"/>
    <xf numFmtId="0" fontId="3" fillId="0" borderId="28" xfId="0" applyFont="1" applyBorder="1"/>
    <xf numFmtId="0" fontId="3" fillId="0" borderId="31" xfId="0" applyFont="1" applyBorder="1"/>
    <xf numFmtId="0" fontId="8" fillId="0" borderId="1" xfId="0" applyFont="1" applyBorder="1" applyAlignment="1">
      <alignment horizontal="left" vertical="center"/>
    </xf>
    <xf numFmtId="0" fontId="8" fillId="0" borderId="1" xfId="0" applyFont="1" applyBorder="1"/>
    <xf numFmtId="10" fontId="7" fillId="0" borderId="1" xfId="0" applyNumberFormat="1" applyFont="1" applyBorder="1"/>
    <xf numFmtId="0" fontId="3" fillId="0" borderId="1" xfId="0" applyNumberFormat="1" applyFont="1" applyBorder="1"/>
    <xf numFmtId="0" fontId="3" fillId="0" borderId="32" xfId="0" applyFont="1" applyBorder="1"/>
    <xf numFmtId="0" fontId="10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right"/>
    </xf>
    <xf numFmtId="9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14" fillId="0" borderId="34" xfId="0" applyFont="1" applyBorder="1"/>
    <xf numFmtId="0" fontId="14" fillId="0" borderId="0" xfId="0" applyFont="1" applyBorder="1"/>
    <xf numFmtId="164" fontId="3" fillId="0" borderId="0" xfId="0" applyNumberFormat="1" applyFont="1" applyBorder="1"/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164" fontId="15" fillId="2" borderId="0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9" fontId="3" fillId="0" borderId="2" xfId="0" applyNumberFormat="1" applyFont="1" applyBorder="1" applyAlignment="1">
      <alignment horizontal="center"/>
    </xf>
    <xf numFmtId="9" fontId="3" fillId="0" borderId="3" xfId="0" applyNumberFormat="1" applyFont="1" applyBorder="1" applyAlignment="1">
      <alignment horizontal="center"/>
    </xf>
    <xf numFmtId="9" fontId="3" fillId="0" borderId="4" xfId="0" applyNumberFormat="1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9" fillId="0" borderId="19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7" fontId="3" fillId="0" borderId="26" xfId="0" applyNumberFormat="1" applyFont="1" applyBorder="1"/>
    <xf numFmtId="167" fontId="3" fillId="0" borderId="33" xfId="0" applyNumberFormat="1" applyFont="1" applyBorder="1"/>
    <xf numFmtId="167" fontId="3" fillId="0" borderId="30" xfId="0" applyNumberFormat="1" applyFont="1" applyBorder="1"/>
    <xf numFmtId="168" fontId="3" fillId="0" borderId="1" xfId="0" applyNumberFormat="1" applyFont="1" applyBorder="1"/>
    <xf numFmtId="168" fontId="3" fillId="0" borderId="5" xfId="0" applyNumberFormat="1" applyFont="1" applyBorder="1"/>
    <xf numFmtId="168" fontId="3" fillId="0" borderId="28" xfId="0" applyNumberFormat="1" applyFont="1" applyBorder="1"/>
    <xf numFmtId="0" fontId="3" fillId="0" borderId="35" xfId="0" applyFont="1" applyBorder="1"/>
    <xf numFmtId="168" fontId="3" fillId="0" borderId="35" xfId="0" applyNumberFormat="1" applyFont="1" applyBorder="1"/>
    <xf numFmtId="0" fontId="3" fillId="0" borderId="36" xfId="0" applyFont="1" applyBorder="1"/>
    <xf numFmtId="167" fontId="3" fillId="0" borderId="37" xfId="0" applyNumberFormat="1" applyFont="1" applyBorder="1"/>
    <xf numFmtId="0" fontId="3" fillId="0" borderId="38" xfId="0" applyFont="1" applyBorder="1"/>
    <xf numFmtId="0" fontId="3" fillId="0" borderId="39" xfId="0" applyFont="1" applyBorder="1"/>
    <xf numFmtId="167" fontId="3" fillId="0" borderId="40" xfId="0" applyNumberFormat="1" applyFont="1" applyBorder="1"/>
    <xf numFmtId="0" fontId="14" fillId="0" borderId="27" xfId="0" applyFont="1" applyBorder="1"/>
    <xf numFmtId="0" fontId="14" fillId="0" borderId="28" xfId="0" applyFont="1" applyBorder="1"/>
    <xf numFmtId="0" fontId="14" fillId="0" borderId="29" xfId="0" applyFont="1" applyBorder="1"/>
    <xf numFmtId="0" fontId="14" fillId="0" borderId="30" xfId="0" applyFont="1" applyBorder="1"/>
    <xf numFmtId="10" fontId="3" fillId="0" borderId="1" xfId="0" applyNumberFormat="1" applyFont="1" applyBorder="1"/>
    <xf numFmtId="0" fontId="3" fillId="0" borderId="1" xfId="0" applyFont="1" applyFill="1" applyBorder="1"/>
    <xf numFmtId="0" fontId="0" fillId="0" borderId="41" xfId="0" applyBorder="1"/>
    <xf numFmtId="0" fontId="3" fillId="0" borderId="42" xfId="0" applyFont="1" applyBorder="1"/>
    <xf numFmtId="0" fontId="0" fillId="0" borderId="42" xfId="0" applyFont="1" applyBorder="1"/>
    <xf numFmtId="168" fontId="14" fillId="0" borderId="24" xfId="0" applyNumberFormat="1" applyFont="1" applyBorder="1"/>
    <xf numFmtId="168" fontId="3" fillId="0" borderId="21" xfId="0" applyNumberFormat="1" applyFont="1" applyBorder="1" applyAlignment="1">
      <alignment horizontal="left"/>
    </xf>
    <xf numFmtId="168" fontId="3" fillId="0" borderId="22" xfId="0" applyNumberFormat="1" applyFont="1" applyBorder="1" applyAlignment="1">
      <alignment horizontal="left"/>
    </xf>
    <xf numFmtId="168" fontId="3" fillId="0" borderId="25" xfId="0" applyNumberFormat="1" applyFont="1" applyBorder="1"/>
    <xf numFmtId="168" fontId="3" fillId="0" borderId="21" xfId="0" applyNumberFormat="1" applyFont="1" applyBorder="1"/>
    <xf numFmtId="168" fontId="3" fillId="0" borderId="22" xfId="0" applyNumberFormat="1" applyFont="1" applyBorder="1"/>
    <xf numFmtId="168" fontId="3" fillId="0" borderId="24" xfId="0" applyNumberFormat="1" applyFont="1" applyBorder="1"/>
    <xf numFmtId="168" fontId="3" fillId="0" borderId="1" xfId="0" applyNumberFormat="1" applyFont="1" applyBorder="1" applyAlignment="1">
      <alignment horizontal="center" vertical="center"/>
    </xf>
    <xf numFmtId="168" fontId="3" fillId="0" borderId="1" xfId="0" applyNumberFormat="1" applyFont="1" applyBorder="1" applyAlignment="1">
      <alignment horizontal="center"/>
    </xf>
    <xf numFmtId="168" fontId="3" fillId="0" borderId="2" xfId="0" applyNumberFormat="1" applyFont="1" applyBorder="1" applyAlignment="1">
      <alignment horizontal="center"/>
    </xf>
    <xf numFmtId="168" fontId="3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133349</xdr:colOff>
      <xdr:row>0</xdr:row>
      <xdr:rowOff>28575</xdr:rowOff>
    </xdr:from>
    <xdr:to>
      <xdr:col>12</xdr:col>
      <xdr:colOff>600074</xdr:colOff>
      <xdr:row>0</xdr:row>
      <xdr:rowOff>1257300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8E0A728E-BC35-4AA8-84D0-D45961123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3349" y="28575"/>
          <a:ext cx="1228725" cy="1228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tabSelected="1" zoomScale="80" zoomScaleNormal="80" workbookViewId="0">
      <selection activeCell="F6" sqref="F6"/>
    </sheetView>
  </sheetViews>
  <sheetFormatPr baseColWidth="10" defaultRowHeight="15" x14ac:dyDescent="0.25"/>
  <cols>
    <col min="1" max="1" width="52.7109375" customWidth="1"/>
    <col min="2" max="2" width="26.5703125" bestFit="1" customWidth="1"/>
    <col min="3" max="3" width="20.85546875" bestFit="1" customWidth="1"/>
    <col min="4" max="4" width="41.42578125" bestFit="1" customWidth="1"/>
    <col min="5" max="5" width="44.7109375" bestFit="1" customWidth="1"/>
    <col min="6" max="6" width="39.140625" bestFit="1" customWidth="1"/>
    <col min="7" max="7" width="20.28515625" bestFit="1" customWidth="1"/>
    <col min="8" max="8" width="41.42578125" bestFit="1" customWidth="1"/>
    <col min="9" max="9" width="17.7109375" bestFit="1" customWidth="1"/>
    <col min="10" max="10" width="13.140625" bestFit="1" customWidth="1"/>
    <col min="11" max="11" width="20.5703125" bestFit="1" customWidth="1"/>
  </cols>
  <sheetData>
    <row r="1" spans="1:13" ht="99.75" customHeight="1" thickBot="1" x14ac:dyDescent="0.3">
      <c r="A1" s="59" t="s">
        <v>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1"/>
    </row>
    <row r="2" spans="1:13" x14ac:dyDescent="0.25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9"/>
    </row>
    <row r="3" spans="1:13" ht="24" x14ac:dyDescent="0.3">
      <c r="A3" s="10" t="s">
        <v>0</v>
      </c>
      <c r="B3" s="62" t="s">
        <v>98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3"/>
    </row>
    <row r="4" spans="1:13" ht="20.25" x14ac:dyDescent="0.3">
      <c r="A4" s="11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9"/>
    </row>
    <row r="5" spans="1:13" ht="26.25" x14ac:dyDescent="0.4">
      <c r="A5" s="18" t="s">
        <v>73</v>
      </c>
      <c r="B5" s="64">
        <f>(B9-B10-B11)*(1-B12)+B11-B14</f>
        <v>2187034.442361691</v>
      </c>
      <c r="C5" s="64"/>
      <c r="D5" s="64"/>
      <c r="E5" s="8"/>
      <c r="F5" s="8"/>
      <c r="G5" s="8"/>
      <c r="H5" s="8"/>
      <c r="I5" s="8"/>
      <c r="J5" s="8"/>
      <c r="K5" s="8"/>
      <c r="L5" s="8"/>
      <c r="M5" s="9"/>
    </row>
    <row r="6" spans="1:13" x14ac:dyDescent="0.25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9"/>
    </row>
    <row r="7" spans="1:13" ht="18.75" x14ac:dyDescent="0.3">
      <c r="A7" s="67" t="s">
        <v>67</v>
      </c>
      <c r="B7" s="67"/>
      <c r="C7" s="67"/>
      <c r="D7" s="67"/>
      <c r="E7" s="67"/>
      <c r="F7" s="49"/>
      <c r="G7" s="8"/>
      <c r="H7" s="8"/>
      <c r="I7" s="8"/>
      <c r="J7" s="8"/>
      <c r="K7" s="8"/>
      <c r="L7" s="8"/>
      <c r="M7" s="9"/>
    </row>
    <row r="8" spans="1:13" ht="18.75" x14ac:dyDescent="0.3">
      <c r="A8" s="2"/>
      <c r="B8" s="66" t="s">
        <v>68</v>
      </c>
      <c r="C8" s="66"/>
      <c r="D8" s="66" t="s">
        <v>69</v>
      </c>
      <c r="E8" s="66"/>
      <c r="F8" s="50"/>
      <c r="G8" s="8"/>
      <c r="H8" s="8"/>
      <c r="I8" s="8"/>
      <c r="J8" s="8"/>
      <c r="K8" s="8"/>
      <c r="L8" s="8"/>
      <c r="M8" s="9"/>
    </row>
    <row r="9" spans="1:13" ht="20.25" x14ac:dyDescent="0.25">
      <c r="A9" s="44" t="s">
        <v>2</v>
      </c>
      <c r="B9" s="113">
        <f>SUM(B22:E22)</f>
        <v>35796919.087531932</v>
      </c>
      <c r="C9" s="113"/>
      <c r="D9" s="68">
        <v>0</v>
      </c>
      <c r="E9" s="68"/>
      <c r="F9" s="51"/>
      <c r="G9" s="12"/>
      <c r="H9" s="12"/>
      <c r="I9" s="12"/>
      <c r="J9" s="12"/>
      <c r="K9" s="12"/>
      <c r="L9" s="12"/>
      <c r="M9" s="9"/>
    </row>
    <row r="10" spans="1:13" ht="20.25" x14ac:dyDescent="0.35">
      <c r="A10" s="45" t="s">
        <v>3</v>
      </c>
      <c r="B10" s="114">
        <f>SUM(B55:C55)</f>
        <v>32171033.331049677</v>
      </c>
      <c r="C10" s="114"/>
      <c r="D10" s="69">
        <v>0</v>
      </c>
      <c r="E10" s="69"/>
      <c r="F10" s="52"/>
      <c r="G10" s="8"/>
      <c r="H10" s="8"/>
      <c r="I10" s="8"/>
      <c r="J10" s="8"/>
      <c r="K10" s="8"/>
      <c r="L10" s="8"/>
      <c r="M10" s="9"/>
    </row>
    <row r="11" spans="1:13" ht="20.25" x14ac:dyDescent="0.35">
      <c r="A11" s="45" t="s">
        <v>44</v>
      </c>
      <c r="B11" s="114">
        <f>SUM(E59:E87)</f>
        <v>2800.5</v>
      </c>
      <c r="C11" s="114"/>
      <c r="D11" s="69">
        <v>0</v>
      </c>
      <c r="E11" s="69"/>
      <c r="F11" s="52"/>
      <c r="G11" s="8"/>
      <c r="H11" s="8"/>
      <c r="I11" s="8"/>
      <c r="J11" s="8"/>
      <c r="K11" s="8"/>
      <c r="L11" s="8"/>
      <c r="M11" s="9"/>
    </row>
    <row r="12" spans="1:13" ht="20.25" x14ac:dyDescent="0.35">
      <c r="A12" s="45" t="s">
        <v>4</v>
      </c>
      <c r="B12" s="74">
        <v>0.25</v>
      </c>
      <c r="C12" s="75"/>
      <c r="D12" s="75"/>
      <c r="E12" s="76"/>
      <c r="F12" s="53"/>
      <c r="G12" s="8"/>
      <c r="H12" s="8"/>
      <c r="I12" s="8"/>
      <c r="J12" s="8"/>
      <c r="K12" s="8"/>
      <c r="L12" s="8"/>
      <c r="M12" s="9"/>
    </row>
    <row r="13" spans="1:13" x14ac:dyDescent="0.25">
      <c r="A13" s="65" t="s">
        <v>5</v>
      </c>
      <c r="B13" s="70" t="s">
        <v>61</v>
      </c>
      <c r="C13" s="71"/>
      <c r="D13" s="70" t="s">
        <v>62</v>
      </c>
      <c r="E13" s="71"/>
      <c r="F13" s="54"/>
      <c r="G13" s="8"/>
      <c r="H13" s="8"/>
      <c r="I13" s="8"/>
      <c r="J13" s="8"/>
      <c r="K13" s="8"/>
      <c r="L13" s="8"/>
      <c r="M13" s="9"/>
    </row>
    <row r="14" spans="1:13" x14ac:dyDescent="0.25">
      <c r="A14" s="65"/>
      <c r="B14" s="115">
        <f>D14*I48</f>
        <v>533080</v>
      </c>
      <c r="C14" s="116"/>
      <c r="D14" s="72">
        <v>13327</v>
      </c>
      <c r="E14" s="73"/>
      <c r="F14" s="55"/>
      <c r="G14" s="8"/>
      <c r="H14" s="8"/>
      <c r="I14" s="8"/>
      <c r="J14" s="8"/>
      <c r="K14" s="8"/>
      <c r="L14" s="8"/>
      <c r="M14" s="9"/>
    </row>
    <row r="15" spans="1:13" ht="23.25" customHeight="1" thickBot="1" x14ac:dyDescent="0.3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9"/>
    </row>
    <row r="16" spans="1:13" ht="20.25" x14ac:dyDescent="0.3">
      <c r="A16" s="31" t="s">
        <v>6</v>
      </c>
      <c r="B16" s="32" t="s">
        <v>12</v>
      </c>
      <c r="C16" s="32" t="s">
        <v>13</v>
      </c>
      <c r="D16" s="32" t="s">
        <v>74</v>
      </c>
      <c r="E16" s="32" t="s">
        <v>75</v>
      </c>
      <c r="F16" s="56" t="s">
        <v>76</v>
      </c>
      <c r="G16" s="33" t="s">
        <v>65</v>
      </c>
      <c r="H16" s="8"/>
      <c r="I16" s="8"/>
      <c r="J16" s="8"/>
      <c r="K16" s="8"/>
      <c r="L16" s="8"/>
      <c r="M16" s="9"/>
    </row>
    <row r="17" spans="1:13" x14ac:dyDescent="0.25">
      <c r="A17" s="13" t="s">
        <v>7</v>
      </c>
      <c r="B17" s="1"/>
      <c r="C17" s="1"/>
      <c r="D17" s="1"/>
      <c r="E17" s="1"/>
      <c r="F17" s="5"/>
      <c r="G17" s="107">
        <f>B17*E26+C17*E27+D17*E32+E17*E33+E34*F17</f>
        <v>0</v>
      </c>
      <c r="H17" s="8"/>
      <c r="I17" s="8"/>
      <c r="J17" s="8"/>
      <c r="K17" s="8"/>
      <c r="L17" s="8"/>
      <c r="M17" s="9"/>
    </row>
    <row r="18" spans="1:13" x14ac:dyDescent="0.25">
      <c r="A18" s="13" t="s">
        <v>8</v>
      </c>
      <c r="B18" s="1">
        <v>1</v>
      </c>
      <c r="C18" s="1">
        <v>4</v>
      </c>
      <c r="D18" s="1"/>
      <c r="E18" s="1">
        <v>1</v>
      </c>
      <c r="F18" s="5"/>
      <c r="G18" s="107">
        <f>B18*E26+C18*E28+D18*E35+E18*E36+E37*F18</f>
        <v>11242552.88448</v>
      </c>
      <c r="H18" s="8"/>
      <c r="I18" s="8"/>
      <c r="J18" s="8"/>
      <c r="K18" s="8"/>
      <c r="L18" s="8"/>
      <c r="M18" s="9"/>
    </row>
    <row r="19" spans="1:13" x14ac:dyDescent="0.25">
      <c r="A19" s="13" t="s">
        <v>9</v>
      </c>
      <c r="B19" s="1"/>
      <c r="C19" s="1">
        <v>5</v>
      </c>
      <c r="D19" s="1"/>
      <c r="E19" s="1"/>
      <c r="F19" s="5"/>
      <c r="G19" s="107">
        <f>B19*E26+C19*E29+D19*E38+E19*E39+F19*E40</f>
        <v>4295159.2759680012</v>
      </c>
      <c r="H19" s="8"/>
      <c r="I19" s="8"/>
      <c r="J19" s="8"/>
      <c r="K19" s="8"/>
      <c r="L19" s="8"/>
      <c r="M19" s="9"/>
    </row>
    <row r="20" spans="1:13" x14ac:dyDescent="0.25">
      <c r="A20" s="13" t="s">
        <v>10</v>
      </c>
      <c r="B20" s="1"/>
      <c r="C20" s="1">
        <v>6</v>
      </c>
      <c r="D20" s="1"/>
      <c r="E20" s="1"/>
      <c r="F20" s="5"/>
      <c r="G20" s="107">
        <f>B20*E26+C20*E30+D20*E41+E42*E20+F20*E43</f>
        <v>5332844.2043842562</v>
      </c>
      <c r="H20" s="8"/>
      <c r="I20" s="8"/>
      <c r="J20" s="8"/>
      <c r="K20" s="8"/>
      <c r="L20" s="8"/>
      <c r="M20" s="9"/>
    </row>
    <row r="21" spans="1:13" ht="15.75" thickBot="1" x14ac:dyDescent="0.3">
      <c r="A21" s="13" t="s">
        <v>11</v>
      </c>
      <c r="B21" s="4"/>
      <c r="C21" s="1">
        <v>12</v>
      </c>
      <c r="D21" s="4"/>
      <c r="E21" s="1"/>
      <c r="F21" s="48"/>
      <c r="G21" s="108">
        <f>B21*E26+C21*E31+D21*E44+E45*E21+F21*E46</f>
        <v>12686534.405117705</v>
      </c>
      <c r="H21" s="8"/>
      <c r="I21" s="8"/>
      <c r="J21" s="8"/>
      <c r="K21" s="8"/>
      <c r="L21" s="8"/>
      <c r="M21" s="9"/>
    </row>
    <row r="22" spans="1:13" ht="16.5" thickTop="1" thickBot="1" x14ac:dyDescent="0.3">
      <c r="A22" s="34" t="s">
        <v>14</v>
      </c>
      <c r="B22" s="106">
        <f>SUM(B17:B21)*E26</f>
        <v>3499644.959999999</v>
      </c>
      <c r="C22" s="106">
        <f>C17*E27+C18*E28+C19*E29+C20*E30+C21*E31</f>
        <v>24431381.792029962</v>
      </c>
      <c r="D22" s="106">
        <f>SUM(D17:D21)*E44</f>
        <v>0</v>
      </c>
      <c r="E22" s="106">
        <f>SUM(E17:E21)*E45</f>
        <v>7865892.335501967</v>
      </c>
      <c r="F22" s="106">
        <f>SUM(F17:F21)*E46</f>
        <v>0</v>
      </c>
      <c r="G22" s="109">
        <f>SUM(G17:G21)</f>
        <v>33557090.769949958</v>
      </c>
      <c r="H22" s="8"/>
      <c r="I22" s="8"/>
      <c r="J22" s="8"/>
      <c r="K22" s="8"/>
      <c r="L22" s="8"/>
      <c r="M22" s="9"/>
    </row>
    <row r="23" spans="1:13" ht="15.75" thickBot="1" x14ac:dyDescent="0.3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9"/>
    </row>
    <row r="24" spans="1:13" ht="18.75" x14ac:dyDescent="0.3">
      <c r="A24" s="77" t="s">
        <v>15</v>
      </c>
      <c r="B24" s="78"/>
      <c r="C24" s="79" t="s">
        <v>16</v>
      </c>
      <c r="D24" s="79"/>
      <c r="E24" s="80"/>
      <c r="F24" s="54"/>
      <c r="G24" s="8"/>
      <c r="H24" s="8"/>
      <c r="I24" s="8"/>
      <c r="J24" s="8"/>
      <c r="K24" s="8"/>
      <c r="L24" s="8"/>
      <c r="M24" s="9"/>
    </row>
    <row r="25" spans="1:13" ht="15.75" thickBot="1" x14ac:dyDescent="0.3">
      <c r="A25" s="97" t="s">
        <v>28</v>
      </c>
      <c r="B25" s="98" t="s">
        <v>77</v>
      </c>
      <c r="C25" s="98" t="s">
        <v>17</v>
      </c>
      <c r="D25" s="99" t="s">
        <v>34</v>
      </c>
      <c r="E25" s="100" t="s">
        <v>18</v>
      </c>
      <c r="F25" s="57"/>
      <c r="G25" s="8"/>
      <c r="H25" s="8"/>
      <c r="I25" s="8"/>
      <c r="J25" s="8"/>
      <c r="K25" s="8"/>
      <c r="L25" s="8"/>
      <c r="M25" s="9"/>
    </row>
    <row r="26" spans="1:13" ht="18.75" x14ac:dyDescent="0.3">
      <c r="A26" s="94" t="s">
        <v>78</v>
      </c>
      <c r="B26" s="91">
        <f>(J41*(1+((K41/100)*0))+ J42*(1+((K42/100)*0)) + J43*(1+((K43/100)*0)))*I48*7</f>
        <v>234360</v>
      </c>
      <c r="C26" s="91">
        <f>((C50-C36)/12)*7</f>
        <v>2565355.9679999994</v>
      </c>
      <c r="D26" s="95">
        <v>25</v>
      </c>
      <c r="E26" s="96">
        <f>SUM(B26:C26)*(1+(D26/100))</f>
        <v>3499644.959999999</v>
      </c>
      <c r="F26" s="58"/>
      <c r="G26" s="8"/>
      <c r="H26" s="22" t="s">
        <v>94</v>
      </c>
      <c r="I26" s="8"/>
      <c r="J26" s="8"/>
      <c r="K26" s="8"/>
      <c r="L26" s="8"/>
      <c r="M26" s="9"/>
    </row>
    <row r="27" spans="1:13" x14ac:dyDescent="0.25">
      <c r="A27" s="15" t="s">
        <v>56</v>
      </c>
      <c r="B27" s="87">
        <f>B49/8</f>
        <v>50220</v>
      </c>
      <c r="C27" s="87">
        <f>(C49)/8</f>
        <v>442607.99999999994</v>
      </c>
      <c r="D27" s="5">
        <v>20</v>
      </c>
      <c r="E27" s="84">
        <f>SUM(B27:C27)*(1+(D27/100))</f>
        <v>591393.59999999986</v>
      </c>
      <c r="F27" s="58"/>
      <c r="G27" s="8"/>
      <c r="H27" s="1" t="s">
        <v>95</v>
      </c>
      <c r="I27" s="30">
        <v>50000</v>
      </c>
      <c r="J27" s="8"/>
      <c r="K27" s="8"/>
      <c r="L27" s="8"/>
      <c r="M27" s="9"/>
    </row>
    <row r="28" spans="1:13" x14ac:dyDescent="0.25">
      <c r="A28" s="15" t="s">
        <v>57</v>
      </c>
      <c r="B28" s="87">
        <f>B50/8</f>
        <v>66290.011200000008</v>
      </c>
      <c r="C28" s="87">
        <f>(C50-C34)/8</f>
        <v>374719.13599999994</v>
      </c>
      <c r="D28" s="5">
        <v>20</v>
      </c>
      <c r="E28" s="84">
        <f t="shared" ref="E28:E45" si="0">SUM(B28:C28)*(1+(D28/100))</f>
        <v>529210.97663999989</v>
      </c>
      <c r="F28" s="58"/>
      <c r="G28" s="8"/>
      <c r="H28" s="1" t="s">
        <v>96</v>
      </c>
      <c r="I28" s="30">
        <v>100000</v>
      </c>
      <c r="J28" s="8"/>
      <c r="K28" s="8"/>
      <c r="L28" s="8"/>
      <c r="M28" s="9"/>
    </row>
    <row r="29" spans="1:13" x14ac:dyDescent="0.25">
      <c r="A29" s="15" t="s">
        <v>58</v>
      </c>
      <c r="B29" s="87">
        <f>B51/8</f>
        <v>82487.831328000015</v>
      </c>
      <c r="C29" s="87">
        <f>C51/8</f>
        <v>633372.04800000007</v>
      </c>
      <c r="D29" s="5">
        <v>20</v>
      </c>
      <c r="E29" s="84">
        <f t="shared" si="0"/>
        <v>859031.85519360017</v>
      </c>
      <c r="F29" s="58"/>
      <c r="G29" s="8"/>
      <c r="H29" s="1" t="s">
        <v>97</v>
      </c>
      <c r="I29" s="30">
        <v>150000</v>
      </c>
      <c r="J29" s="28"/>
      <c r="K29" s="8"/>
      <c r="L29" s="8"/>
      <c r="M29" s="9"/>
    </row>
    <row r="30" spans="1:13" x14ac:dyDescent="0.25">
      <c r="A30" s="15" t="s">
        <v>59</v>
      </c>
      <c r="B30" s="87">
        <f>B52/8</f>
        <v>94129.510164480016</v>
      </c>
      <c r="C30" s="87">
        <f>C52/8</f>
        <v>646543.29599999997</v>
      </c>
      <c r="D30" s="5">
        <v>20</v>
      </c>
      <c r="E30" s="84">
        <f t="shared" si="0"/>
        <v>888807.36739737599</v>
      </c>
      <c r="F30" s="58"/>
      <c r="G30" s="8"/>
      <c r="H30" s="28"/>
      <c r="I30" s="28"/>
      <c r="J30" s="28"/>
      <c r="K30" s="8"/>
      <c r="L30" s="8"/>
      <c r="M30" s="9"/>
    </row>
    <row r="31" spans="1:13" ht="15.75" thickBot="1" x14ac:dyDescent="0.3">
      <c r="A31" s="37" t="s">
        <v>60</v>
      </c>
      <c r="B31" s="89">
        <f>B53/8</f>
        <v>116182.70968872964</v>
      </c>
      <c r="C31" s="89">
        <f>C53/8</f>
        <v>764826.62399999995</v>
      </c>
      <c r="D31" s="38">
        <v>20</v>
      </c>
      <c r="E31" s="86">
        <f t="shared" si="0"/>
        <v>1057211.2004264754</v>
      </c>
      <c r="F31" s="58"/>
      <c r="G31" s="8"/>
      <c r="H31" s="28"/>
      <c r="I31" s="28"/>
      <c r="J31" s="28"/>
      <c r="K31" s="8"/>
      <c r="L31" s="8"/>
      <c r="M31" s="9"/>
    </row>
    <row r="32" spans="1:13" x14ac:dyDescent="0.25">
      <c r="A32" s="90" t="s">
        <v>79</v>
      </c>
      <c r="B32" s="91">
        <f>B49/12*2</f>
        <v>66960</v>
      </c>
      <c r="C32" s="91">
        <f>I27*I48</f>
        <v>2000000</v>
      </c>
      <c r="D32" s="92">
        <v>20</v>
      </c>
      <c r="E32" s="93">
        <f>SUM(B32:C32)*(1+(D32/100))</f>
        <v>2480352</v>
      </c>
      <c r="F32" s="58"/>
      <c r="G32" s="8"/>
      <c r="H32" s="28"/>
      <c r="I32" s="28"/>
      <c r="J32" s="28"/>
      <c r="K32" s="8"/>
      <c r="L32" s="8"/>
      <c r="M32" s="9"/>
    </row>
    <row r="33" spans="1:13" x14ac:dyDescent="0.25">
      <c r="A33" s="1" t="s">
        <v>80</v>
      </c>
      <c r="B33" s="87">
        <f>B49/12*2</f>
        <v>66960</v>
      </c>
      <c r="C33" s="87">
        <f>I28*I48</f>
        <v>4000000</v>
      </c>
      <c r="D33" s="48">
        <v>20</v>
      </c>
      <c r="E33" s="85">
        <f t="shared" ref="E32:E33" si="1">SUM(B33:C33)*(1+(D33/100))</f>
        <v>4880352</v>
      </c>
      <c r="F33" s="58"/>
      <c r="G33" s="8"/>
      <c r="H33" s="28"/>
      <c r="I33" s="28"/>
      <c r="J33" s="28"/>
      <c r="K33" s="8"/>
      <c r="L33" s="8"/>
      <c r="M33" s="9"/>
    </row>
    <row r="34" spans="1:13" ht="15.75" thickBot="1" x14ac:dyDescent="0.3">
      <c r="A34" s="42" t="s">
        <v>81</v>
      </c>
      <c r="B34" s="89">
        <f>B49/12*2</f>
        <v>66960</v>
      </c>
      <c r="C34" s="89">
        <f>I29*I48</f>
        <v>6000000</v>
      </c>
      <c r="D34" s="38">
        <v>20</v>
      </c>
      <c r="E34" s="86">
        <f>SUM(B34:C34)*(1+(D34/100))</f>
        <v>7280352</v>
      </c>
      <c r="F34" s="58"/>
      <c r="G34" s="8"/>
      <c r="H34" s="29"/>
      <c r="I34" s="28"/>
      <c r="J34" s="28"/>
      <c r="K34" s="8"/>
      <c r="L34" s="8"/>
      <c r="M34" s="9"/>
    </row>
    <row r="35" spans="1:13" x14ac:dyDescent="0.25">
      <c r="A35" s="90" t="s">
        <v>82</v>
      </c>
      <c r="B35" s="91">
        <f>B50/12*2</f>
        <v>88386.681600000011</v>
      </c>
      <c r="C35" s="91">
        <f>I27*$I$49</f>
        <v>2300000</v>
      </c>
      <c r="D35" s="48">
        <v>20</v>
      </c>
      <c r="E35" s="85">
        <f t="shared" ref="E35:E36" si="2">SUM(B35:C35)*(1+(D35/100))</f>
        <v>2866064.0179199995</v>
      </c>
      <c r="F35" s="58"/>
      <c r="G35" s="8"/>
      <c r="H35" s="28"/>
      <c r="I35" s="28"/>
      <c r="J35" s="28"/>
      <c r="K35" s="8"/>
      <c r="L35" s="8"/>
      <c r="M35" s="9"/>
    </row>
    <row r="36" spans="1:13" ht="18.75" x14ac:dyDescent="0.3">
      <c r="A36" s="1" t="s">
        <v>83</v>
      </c>
      <c r="B36" s="87">
        <f>B50/12*2</f>
        <v>88386.681600000011</v>
      </c>
      <c r="C36" s="87">
        <f t="shared" ref="C36:C37" si="3">I28*$I$49</f>
        <v>4600000</v>
      </c>
      <c r="D36" s="48">
        <v>20</v>
      </c>
      <c r="E36" s="85">
        <f>SUM(B36:C36)*(1+(D36/100))</f>
        <v>5626064.0179199995</v>
      </c>
      <c r="F36" s="8"/>
      <c r="G36" s="8"/>
      <c r="I36" s="22" t="s">
        <v>71</v>
      </c>
      <c r="J36" s="46">
        <v>0.08</v>
      </c>
      <c r="K36" s="8" t="s">
        <v>72</v>
      </c>
      <c r="L36" s="8"/>
      <c r="M36" s="9"/>
    </row>
    <row r="37" spans="1:13" ht="15.75" thickBot="1" x14ac:dyDescent="0.3">
      <c r="A37" s="42" t="s">
        <v>84</v>
      </c>
      <c r="B37" s="89">
        <f>B50/12*2</f>
        <v>88386.681600000011</v>
      </c>
      <c r="C37" s="89">
        <f t="shared" si="3"/>
        <v>6900000</v>
      </c>
      <c r="D37" s="38">
        <v>20</v>
      </c>
      <c r="E37" s="86">
        <f>SUM(B37:C37)*(1+(D37/100))</f>
        <v>8386064.0179199995</v>
      </c>
      <c r="F37" s="8"/>
      <c r="G37" s="8"/>
      <c r="H37" s="8"/>
      <c r="I37" s="8"/>
      <c r="J37" s="8"/>
      <c r="K37" s="8"/>
      <c r="L37" s="8"/>
      <c r="M37" s="9"/>
    </row>
    <row r="38" spans="1:13" x14ac:dyDescent="0.25">
      <c r="A38" s="90" t="s">
        <v>85</v>
      </c>
      <c r="B38" s="91">
        <f>$B$51/12*2</f>
        <v>109983.77510400001</v>
      </c>
      <c r="C38" s="91">
        <f>I27*$I$50</f>
        <v>2650000</v>
      </c>
      <c r="D38" s="48">
        <v>20</v>
      </c>
      <c r="E38" s="85">
        <f t="shared" ref="E38:E39" si="4">SUM(B38:C38)*(1+(D38/100))</f>
        <v>3311980.5301248003</v>
      </c>
      <c r="F38" s="8"/>
      <c r="G38" s="8"/>
      <c r="H38" s="8"/>
      <c r="I38" s="8"/>
      <c r="J38" s="8"/>
      <c r="K38" s="8"/>
      <c r="L38" s="8"/>
      <c r="M38" s="9"/>
    </row>
    <row r="39" spans="1:13" ht="18.75" x14ac:dyDescent="0.3">
      <c r="A39" s="1" t="s">
        <v>86</v>
      </c>
      <c r="B39" s="87">
        <f t="shared" ref="B39" si="5">$B$51/12*2</f>
        <v>109983.77510400001</v>
      </c>
      <c r="C39" s="87">
        <f t="shared" ref="C39:C40" si="6">I28*$I$50</f>
        <v>5300000</v>
      </c>
      <c r="D39" s="48">
        <v>20</v>
      </c>
      <c r="E39" s="85">
        <f t="shared" si="4"/>
        <v>6491980.5301248003</v>
      </c>
      <c r="F39" s="8"/>
      <c r="G39" s="8"/>
      <c r="H39" s="19" t="s">
        <v>35</v>
      </c>
      <c r="I39" s="26"/>
      <c r="J39" s="23"/>
      <c r="K39" s="24"/>
      <c r="L39" s="25"/>
      <c r="M39" s="9"/>
    </row>
    <row r="40" spans="1:13" ht="15.75" thickBot="1" x14ac:dyDescent="0.3">
      <c r="A40" s="42" t="s">
        <v>87</v>
      </c>
      <c r="B40" s="89">
        <f>$B$51/12*2</f>
        <v>109983.77510400001</v>
      </c>
      <c r="C40" s="89">
        <f t="shared" si="6"/>
        <v>7950000</v>
      </c>
      <c r="D40" s="38">
        <v>20</v>
      </c>
      <c r="E40" s="86">
        <f>SUM(B40:C40)*(1+(D40/100))</f>
        <v>9671980.5301248003</v>
      </c>
      <c r="F40" s="8"/>
      <c r="G40" s="8"/>
      <c r="H40" s="83" t="s">
        <v>28</v>
      </c>
      <c r="I40" s="83"/>
      <c r="J40" s="1" t="s">
        <v>41</v>
      </c>
      <c r="K40" s="1" t="s">
        <v>40</v>
      </c>
      <c r="L40" s="8"/>
      <c r="M40" s="9"/>
    </row>
    <row r="41" spans="1:13" x14ac:dyDescent="0.25">
      <c r="A41" s="90" t="s">
        <v>88</v>
      </c>
      <c r="B41" s="91">
        <f>$B$52/12*2</f>
        <v>125506.01355264003</v>
      </c>
      <c r="C41" s="91">
        <f>I27*$I$51</f>
        <v>2800000</v>
      </c>
      <c r="D41" s="48">
        <v>20</v>
      </c>
      <c r="E41" s="85">
        <f t="shared" ref="E41:E42" si="7">SUM(B41:C41)*(1+(D41/100))</f>
        <v>3510607.216263168</v>
      </c>
      <c r="F41" s="8"/>
      <c r="G41" s="8"/>
      <c r="H41" s="83" t="s">
        <v>36</v>
      </c>
      <c r="I41" s="83"/>
      <c r="J41" s="30">
        <v>657</v>
      </c>
      <c r="K41" s="1">
        <v>8</v>
      </c>
      <c r="L41" s="8"/>
      <c r="M41" s="9"/>
    </row>
    <row r="42" spans="1:13" x14ac:dyDescent="0.25">
      <c r="A42" s="1" t="s">
        <v>89</v>
      </c>
      <c r="B42" s="87">
        <f t="shared" ref="B42:B43" si="8">$B$52/12*2</f>
        <v>125506.01355264003</v>
      </c>
      <c r="C42" s="87">
        <f t="shared" ref="C42:C43" si="9">I28*$I$51</f>
        <v>5600000</v>
      </c>
      <c r="D42" s="48">
        <v>20</v>
      </c>
      <c r="E42" s="85">
        <f t="shared" si="7"/>
        <v>6870607.2162631676</v>
      </c>
      <c r="F42" s="8"/>
      <c r="G42" s="8"/>
      <c r="H42" s="83" t="s">
        <v>37</v>
      </c>
      <c r="I42" s="83"/>
      <c r="J42" s="30">
        <v>30</v>
      </c>
      <c r="K42" s="1">
        <v>0</v>
      </c>
      <c r="L42" s="8"/>
      <c r="M42" s="9"/>
    </row>
    <row r="43" spans="1:13" ht="15.75" thickBot="1" x14ac:dyDescent="0.3">
      <c r="A43" s="42" t="s">
        <v>90</v>
      </c>
      <c r="B43" s="89">
        <f t="shared" si="8"/>
        <v>125506.01355264003</v>
      </c>
      <c r="C43" s="89">
        <f t="shared" si="9"/>
        <v>8400000</v>
      </c>
      <c r="D43" s="38">
        <v>20</v>
      </c>
      <c r="E43" s="86">
        <f>SUM(B43:C43)*(1+(D43/100))</f>
        <v>10230607.216263168</v>
      </c>
      <c r="F43" s="8"/>
      <c r="G43" s="8"/>
      <c r="H43" s="83" t="s">
        <v>38</v>
      </c>
      <c r="I43" s="83"/>
      <c r="J43" s="30">
        <v>150</v>
      </c>
      <c r="K43" s="1">
        <v>0</v>
      </c>
      <c r="L43" s="8"/>
      <c r="M43" s="9"/>
    </row>
    <row r="44" spans="1:13" x14ac:dyDescent="0.25">
      <c r="A44" s="90" t="s">
        <v>91</v>
      </c>
      <c r="B44" s="91">
        <f>$B$53/12*2</f>
        <v>154910.27958497286</v>
      </c>
      <c r="C44" s="91">
        <f>I27*$I$52</f>
        <v>3200000</v>
      </c>
      <c r="D44" s="48">
        <v>20</v>
      </c>
      <c r="E44" s="85">
        <f t="shared" si="0"/>
        <v>4025892.335501967</v>
      </c>
      <c r="F44" s="8"/>
      <c r="G44" s="8"/>
      <c r="H44" s="83" t="s">
        <v>39</v>
      </c>
      <c r="I44" s="83"/>
      <c r="J44" s="30">
        <f>SUM(J41:J43)</f>
        <v>837</v>
      </c>
      <c r="K44" s="1"/>
      <c r="L44" s="8"/>
      <c r="M44" s="9"/>
    </row>
    <row r="45" spans="1:13" x14ac:dyDescent="0.25">
      <c r="A45" s="1" t="s">
        <v>92</v>
      </c>
      <c r="B45" s="87">
        <f t="shared" ref="B45:B46" si="10">$B$53/12*2</f>
        <v>154910.27958497286</v>
      </c>
      <c r="C45" s="87">
        <f t="shared" ref="C45:C46" si="11">I28*$I$52</f>
        <v>6400000</v>
      </c>
      <c r="D45" s="48">
        <v>20</v>
      </c>
      <c r="E45" s="85">
        <f t="shared" si="0"/>
        <v>7865892.335501967</v>
      </c>
      <c r="F45" s="8"/>
      <c r="G45" s="8"/>
      <c r="H45" s="8"/>
      <c r="I45" s="8"/>
      <c r="J45" s="8"/>
      <c r="K45" s="8"/>
      <c r="L45" s="8"/>
      <c r="M45" s="9"/>
    </row>
    <row r="46" spans="1:13" ht="19.5" thickBot="1" x14ac:dyDescent="0.35">
      <c r="A46" s="42" t="s">
        <v>93</v>
      </c>
      <c r="B46" s="89">
        <f t="shared" si="10"/>
        <v>154910.27958497286</v>
      </c>
      <c r="C46" s="89">
        <f t="shared" si="11"/>
        <v>9600000</v>
      </c>
      <c r="D46" s="38">
        <v>20</v>
      </c>
      <c r="E46" s="86">
        <f>SUM(B46:C46)*(1+(D46/100))</f>
        <v>11705892.335501967</v>
      </c>
      <c r="F46" s="54"/>
      <c r="G46" s="8"/>
      <c r="H46" s="2" t="s">
        <v>42</v>
      </c>
      <c r="I46" s="3"/>
      <c r="J46" s="8"/>
      <c r="K46" s="8"/>
      <c r="L46" s="8"/>
      <c r="M46" s="9"/>
    </row>
    <row r="47" spans="1:13" ht="15.75" thickBot="1" x14ac:dyDescent="0.3">
      <c r="A47" s="7"/>
      <c r="B47" s="8"/>
      <c r="C47" s="8"/>
      <c r="D47" s="8"/>
      <c r="E47" s="8"/>
      <c r="F47" s="57"/>
      <c r="G47" s="8"/>
      <c r="H47" s="1" t="s">
        <v>43</v>
      </c>
      <c r="I47" s="1" t="s">
        <v>66</v>
      </c>
      <c r="J47" s="8"/>
      <c r="K47" s="8"/>
      <c r="L47" s="8"/>
      <c r="M47" s="9"/>
    </row>
    <row r="48" spans="1:13" ht="21" customHeight="1" x14ac:dyDescent="0.3">
      <c r="A48" s="35" t="s">
        <v>19</v>
      </c>
      <c r="B48" s="32" t="s">
        <v>20</v>
      </c>
      <c r="C48" s="32" t="s">
        <v>21</v>
      </c>
      <c r="D48" s="33" t="s">
        <v>64</v>
      </c>
      <c r="E48" s="8"/>
      <c r="F48" s="8"/>
      <c r="G48" s="8"/>
      <c r="H48" s="1">
        <v>1</v>
      </c>
      <c r="I48" s="87">
        <v>40</v>
      </c>
      <c r="J48" s="8"/>
      <c r="K48" s="8"/>
      <c r="L48" s="8"/>
      <c r="M48" s="9"/>
    </row>
    <row r="49" spans="1:13" x14ac:dyDescent="0.25">
      <c r="A49" s="13" t="s">
        <v>7</v>
      </c>
      <c r="B49" s="87">
        <f>(J41*(1+((K41/100)*0))+ J42*(1+((K42/100)*0)) + J43*(1+((K43/100)*0)))*I48*12</f>
        <v>401760</v>
      </c>
      <c r="C49" s="87">
        <f>I61*12+(I66*I48+I67*I48+I68*I48)*12 +D17*C32+E17*C33+F17*C34</f>
        <v>3540863.9999999995</v>
      </c>
      <c r="D49" s="110">
        <f>SUM(B49:C49)</f>
        <v>3942623.9999999995</v>
      </c>
      <c r="E49" s="8"/>
      <c r="F49" s="8"/>
      <c r="G49" s="8"/>
      <c r="H49" s="1">
        <v>2</v>
      </c>
      <c r="I49" s="87">
        <v>46</v>
      </c>
      <c r="J49" s="8"/>
      <c r="K49" s="8"/>
      <c r="L49" s="8"/>
      <c r="M49" s="9"/>
    </row>
    <row r="50" spans="1:13" x14ac:dyDescent="0.25">
      <c r="A50" s="13" t="s">
        <v>8</v>
      </c>
      <c r="B50" s="87">
        <f>((($J$41*(1+(($K$41/100)*1)))+ ($J$42*(1+(($K$42/100)*1))) + ($J$43*(1+(($K$43/100)*1))))*I49*12)*((1+$J$36)^1)</f>
        <v>530320.08960000006</v>
      </c>
      <c r="C50" s="87">
        <f>(I62*12+($I$66*I49+$I$67*I49+I68*I49)*12)*((1+$J$36)^1) +D18*C35+E18*C36+F18*C37</f>
        <v>8997753.0879999995</v>
      </c>
      <c r="D50" s="110">
        <f>SUM(B50:C50)</f>
        <v>9528073.1776000001</v>
      </c>
      <c r="E50" s="8"/>
      <c r="F50" s="8"/>
      <c r="G50" s="8"/>
      <c r="H50" s="1">
        <v>3</v>
      </c>
      <c r="I50" s="87">
        <v>53</v>
      </c>
      <c r="J50" s="8"/>
      <c r="K50" s="8"/>
      <c r="L50" s="8"/>
      <c r="M50" s="9"/>
    </row>
    <row r="51" spans="1:13" x14ac:dyDescent="0.25">
      <c r="A51" s="13" t="s">
        <v>9</v>
      </c>
      <c r="B51" s="87">
        <f>((($J$41*(1+(($K$41/100)*1)))+ ($J$42*(1+(($K$42/100)*1))) + ($J$43*(1+(($K$43/100)*1))))*I50*12)*((1+$J$36)^2)</f>
        <v>659902.65062400012</v>
      </c>
      <c r="C51" s="87">
        <f>(I63*12+($I$66*I50+$I$67*I50+I68*I50)*12)*((1+$J$36)^1) +(D19*E38+E19*E39+F19*E40)</f>
        <v>5066976.3840000005</v>
      </c>
      <c r="D51" s="110">
        <f t="shared" ref="D50:D55" si="12">SUM(B51:C51)</f>
        <v>5726879.034624001</v>
      </c>
      <c r="E51" s="8"/>
      <c r="F51" s="8"/>
      <c r="G51" s="8"/>
      <c r="H51" s="1">
        <v>4</v>
      </c>
      <c r="I51" s="87">
        <v>56</v>
      </c>
      <c r="J51" s="8"/>
      <c r="K51" s="8"/>
      <c r="L51" s="8"/>
      <c r="M51" s="9"/>
    </row>
    <row r="52" spans="1:13" x14ac:dyDescent="0.25">
      <c r="A52" s="13" t="s">
        <v>10</v>
      </c>
      <c r="B52" s="87">
        <f>((($J$41*(1+(($K$41/100)*1)))+ ($J$42*(1+(($K$42/100)*1))) + ($J$43*(1+(($K$43/100)*1))))*I51*12)*((1+$J$36)^3)</f>
        <v>753036.08131584013</v>
      </c>
      <c r="C52" s="87">
        <f>(I64*12+($I$66*I51+$I$67*I51)*12)*((1+$J$36)^1)+(D20*E41+E20*E42+F20*E43)</f>
        <v>5172346.3679999998</v>
      </c>
      <c r="D52" s="110">
        <f t="shared" si="12"/>
        <v>5925382.4493158404</v>
      </c>
      <c r="E52" s="8"/>
      <c r="F52" s="8"/>
      <c r="G52" s="8"/>
      <c r="H52" s="1">
        <v>5</v>
      </c>
      <c r="I52" s="87">
        <v>64</v>
      </c>
      <c r="J52" s="8"/>
      <c r="K52" s="8"/>
      <c r="L52" s="8"/>
      <c r="M52" s="9"/>
    </row>
    <row r="53" spans="1:13" x14ac:dyDescent="0.25">
      <c r="A53" s="13" t="s">
        <v>11</v>
      </c>
      <c r="B53" s="87">
        <f>((($J$41*(1+(($K$41/100)*1)))+ ($J$42*(1+(($K$42/100)*1))) + ($J$43*(1+(($K$43/100)*1))))*I52*12)*((1+$J$36)^4)</f>
        <v>929461.67750983709</v>
      </c>
      <c r="C53" s="87">
        <f>(I65*12+($I$66*I52+$I$67*I52+I68*I52)*12)*((1+$J$36)^1)+(D21*E44+E21*E45+F21*E46)</f>
        <v>6118612.9919999996</v>
      </c>
      <c r="D53" s="110">
        <f t="shared" si="12"/>
        <v>7048074.6695098365</v>
      </c>
      <c r="E53" s="8"/>
      <c r="F53" s="8"/>
      <c r="G53" s="8"/>
      <c r="H53" s="8"/>
      <c r="I53" s="8"/>
      <c r="J53" s="8"/>
      <c r="K53" s="8"/>
      <c r="L53" s="8"/>
      <c r="M53" s="9"/>
    </row>
    <row r="54" spans="1:13" ht="15.75" thickBot="1" x14ac:dyDescent="0.3">
      <c r="A54" s="14"/>
      <c r="B54" s="88"/>
      <c r="C54" s="88"/>
      <c r="D54" s="111"/>
      <c r="E54" s="8"/>
      <c r="F54" s="8"/>
      <c r="G54" s="8"/>
      <c r="H54" s="8"/>
      <c r="I54" s="8"/>
      <c r="J54" s="8"/>
      <c r="K54" s="8"/>
      <c r="L54" s="8"/>
      <c r="M54" s="9"/>
    </row>
    <row r="55" spans="1:13" ht="16.5" thickTop="1" thickBot="1" x14ac:dyDescent="0.3">
      <c r="A55" s="36" t="s">
        <v>14</v>
      </c>
      <c r="B55" s="112">
        <f>SUM(B49:B53)</f>
        <v>3274480.4990496775</v>
      </c>
      <c r="C55" s="112">
        <f>SUM(C49:C54)</f>
        <v>28896552.831999999</v>
      </c>
      <c r="D55" s="109">
        <f t="shared" si="12"/>
        <v>32171033.331049677</v>
      </c>
      <c r="E55" s="8"/>
      <c r="F55" s="8"/>
      <c r="G55" s="8"/>
      <c r="H55" s="8"/>
      <c r="I55" s="8"/>
      <c r="J55" s="8"/>
      <c r="K55" s="8"/>
      <c r="L55" s="8"/>
      <c r="M55" s="9"/>
    </row>
    <row r="56" spans="1:13" ht="19.5" thickBot="1" x14ac:dyDescent="0.35">
      <c r="A56" s="7"/>
      <c r="B56" s="8"/>
      <c r="C56" s="8"/>
      <c r="D56" s="8"/>
      <c r="E56" s="8"/>
      <c r="F56" s="8"/>
      <c r="G56" s="8"/>
      <c r="H56" s="22" t="s">
        <v>49</v>
      </c>
      <c r="I56" s="8"/>
      <c r="J56" s="8"/>
      <c r="K56" s="8"/>
      <c r="L56" s="8"/>
      <c r="M56" s="9"/>
    </row>
    <row r="57" spans="1:13" ht="20.25" x14ac:dyDescent="0.3">
      <c r="A57" s="81" t="s">
        <v>45</v>
      </c>
      <c r="B57" s="82"/>
      <c r="C57" s="79" t="s">
        <v>22</v>
      </c>
      <c r="D57" s="79"/>
      <c r="E57" s="80"/>
      <c r="F57" s="8"/>
      <c r="G57" s="8"/>
      <c r="H57" s="21" t="s">
        <v>46</v>
      </c>
      <c r="I57" s="30">
        <v>8</v>
      </c>
      <c r="J57" s="1" t="s">
        <v>63</v>
      </c>
      <c r="K57" s="8"/>
      <c r="L57" s="8"/>
      <c r="M57" s="9"/>
    </row>
    <row r="58" spans="1:13" x14ac:dyDescent="0.25">
      <c r="A58" s="20" t="s">
        <v>23</v>
      </c>
      <c r="B58" s="6" t="s">
        <v>24</v>
      </c>
      <c r="C58" s="6" t="s">
        <v>25</v>
      </c>
      <c r="D58" s="6" t="s">
        <v>26</v>
      </c>
      <c r="E58" s="39" t="s">
        <v>27</v>
      </c>
      <c r="F58" s="8"/>
      <c r="G58" s="8"/>
      <c r="H58" s="1" t="s">
        <v>47</v>
      </c>
      <c r="I58" s="47">
        <v>8</v>
      </c>
      <c r="J58" s="1"/>
      <c r="K58" s="8"/>
      <c r="L58" s="8"/>
      <c r="M58" s="9"/>
    </row>
    <row r="59" spans="1:13" x14ac:dyDescent="0.25">
      <c r="A59" s="15" t="s">
        <v>29</v>
      </c>
      <c r="B59" s="30">
        <v>425</v>
      </c>
      <c r="C59" s="30">
        <v>180</v>
      </c>
      <c r="D59" s="1">
        <v>5</v>
      </c>
      <c r="E59" s="40">
        <f>IF(ISERROR((B59-C59)/D59),0,(B59*$I$48-C59*$I$52)/D59)</f>
        <v>1096</v>
      </c>
      <c r="F59" s="8"/>
      <c r="G59" s="8"/>
      <c r="H59" s="1" t="s">
        <v>48</v>
      </c>
      <c r="I59" s="47">
        <v>22</v>
      </c>
      <c r="J59" s="1"/>
      <c r="K59" s="8"/>
      <c r="L59" s="8"/>
      <c r="M59" s="9"/>
    </row>
    <row r="60" spans="1:13" x14ac:dyDescent="0.25">
      <c r="A60" s="15" t="s">
        <v>30</v>
      </c>
      <c r="B60" s="30">
        <v>125</v>
      </c>
      <c r="C60" s="30">
        <v>40</v>
      </c>
      <c r="D60" s="1">
        <v>10</v>
      </c>
      <c r="E60" s="40">
        <f>IF(ISERROR((B60-C60)/D60),0,(B60*$I$48-C60*$I$52)/D60)</f>
        <v>244</v>
      </c>
      <c r="F60" s="8"/>
      <c r="G60" s="8"/>
      <c r="H60" s="1" t="s">
        <v>50</v>
      </c>
      <c r="I60" s="47">
        <v>4</v>
      </c>
      <c r="J60" s="1"/>
      <c r="K60" s="8"/>
      <c r="L60" s="8"/>
      <c r="M60" s="9"/>
    </row>
    <row r="61" spans="1:13" x14ac:dyDescent="0.25">
      <c r="A61" s="15" t="s">
        <v>31</v>
      </c>
      <c r="B61" s="30">
        <v>66</v>
      </c>
      <c r="C61" s="30">
        <v>15</v>
      </c>
      <c r="D61" s="1">
        <v>5</v>
      </c>
      <c r="E61" s="40">
        <f>IF(ISERROR((B61-C61)/D61),0,(B61*$I$48-C61*$I$52)/D61)</f>
        <v>336</v>
      </c>
      <c r="F61" s="8"/>
      <c r="G61" s="8"/>
      <c r="H61" s="1" t="s">
        <v>51</v>
      </c>
      <c r="I61" s="87">
        <f>(I57*I48*I58*I59*I60)*(1+(I69+I70+I71))</f>
        <v>259071.99999999997</v>
      </c>
      <c r="J61" s="1"/>
      <c r="K61" s="8"/>
      <c r="L61" s="8"/>
      <c r="M61" s="9"/>
    </row>
    <row r="62" spans="1:13" x14ac:dyDescent="0.25">
      <c r="A62" s="15" t="s">
        <v>32</v>
      </c>
      <c r="B62" s="30">
        <v>279</v>
      </c>
      <c r="C62" s="30">
        <v>110</v>
      </c>
      <c r="D62" s="1">
        <v>5</v>
      </c>
      <c r="E62" s="40">
        <f>IF(ISERROR((B62-C62)/D62),0,(B62*$I$48-C62*$I$52)/D62)</f>
        <v>824</v>
      </c>
      <c r="F62" s="8"/>
      <c r="G62" s="8"/>
      <c r="H62" s="1" t="s">
        <v>52</v>
      </c>
      <c r="I62" s="87">
        <f>(I57*I49*I58*I59*I60)*(1+(I69+I70+I71))</f>
        <v>297932.79999999999</v>
      </c>
      <c r="J62" s="1"/>
      <c r="K62" s="8"/>
      <c r="L62" s="8"/>
      <c r="M62" s="9"/>
    </row>
    <row r="63" spans="1:13" x14ac:dyDescent="0.25">
      <c r="A63" s="15" t="s">
        <v>33</v>
      </c>
      <c r="B63" s="30">
        <v>95</v>
      </c>
      <c r="C63" s="30">
        <v>15</v>
      </c>
      <c r="D63" s="1">
        <v>10</v>
      </c>
      <c r="E63" s="40">
        <f>IF(ISERROR((B63-C63)/D63),0,(B63*$I$48-C63*I50)/D63)</f>
        <v>300.5</v>
      </c>
      <c r="F63" s="8"/>
      <c r="G63" s="8"/>
      <c r="H63" s="1" t="s">
        <v>53</v>
      </c>
      <c r="I63" s="87">
        <f>(I57*I50*I58*I59*I60)*(1+(I69+I70+I71))</f>
        <v>343270.39999999997</v>
      </c>
      <c r="J63" s="1"/>
      <c r="K63" s="8"/>
      <c r="L63" s="8"/>
      <c r="M63" s="9"/>
    </row>
    <row r="64" spans="1:13" x14ac:dyDescent="0.25">
      <c r="A64" s="15"/>
      <c r="B64" s="30"/>
      <c r="C64" s="30"/>
      <c r="D64" s="1"/>
      <c r="E64" s="40">
        <f t="shared" ref="E64:E87" si="13">IF(ISERROR((B64-C64)/D64),0,(B64*$I$48-C64*$I$52)/D64)</f>
        <v>0</v>
      </c>
      <c r="F64" s="8"/>
      <c r="G64" s="8"/>
      <c r="H64" s="1" t="s">
        <v>54</v>
      </c>
      <c r="I64" s="87">
        <f>(I57*I51*I58*I59*I60)*(1+(I69+I70+I71))</f>
        <v>362700.79999999999</v>
      </c>
      <c r="J64" s="1"/>
      <c r="K64" s="8"/>
      <c r="L64" s="8"/>
      <c r="M64" s="9"/>
    </row>
    <row r="65" spans="1:13" x14ac:dyDescent="0.25">
      <c r="A65" s="15"/>
      <c r="B65" s="30"/>
      <c r="C65" s="30"/>
      <c r="D65" s="1"/>
      <c r="E65" s="40">
        <f t="shared" si="13"/>
        <v>0</v>
      </c>
      <c r="F65" s="8"/>
      <c r="G65" s="8"/>
      <c r="H65" s="1" t="s">
        <v>55</v>
      </c>
      <c r="I65" s="87">
        <f>(I57*I52*I58*I59*I60)*(1+(I69+I70+I71))</f>
        <v>414515.19999999995</v>
      </c>
      <c r="J65" s="1"/>
      <c r="K65" s="8"/>
      <c r="L65" s="8"/>
      <c r="M65" s="9"/>
    </row>
    <row r="66" spans="1:13" x14ac:dyDescent="0.25">
      <c r="A66" s="15"/>
      <c r="B66" s="30"/>
      <c r="C66" s="30"/>
      <c r="D66" s="1"/>
      <c r="E66" s="40">
        <f t="shared" si="13"/>
        <v>0</v>
      </c>
      <c r="F66" s="8"/>
      <c r="G66" s="8"/>
      <c r="H66" s="1" t="s">
        <v>99</v>
      </c>
      <c r="I66" s="1">
        <v>150</v>
      </c>
      <c r="J66" s="1" t="s">
        <v>63</v>
      </c>
      <c r="K66" s="8"/>
      <c r="L66" s="8"/>
      <c r="M66" s="9"/>
    </row>
    <row r="67" spans="1:13" x14ac:dyDescent="0.25">
      <c r="A67" s="15"/>
      <c r="B67" s="30"/>
      <c r="C67" s="30"/>
      <c r="D67" s="1"/>
      <c r="E67" s="40">
        <f t="shared" si="13"/>
        <v>0</v>
      </c>
      <c r="F67" s="8"/>
      <c r="G67" s="8"/>
      <c r="H67" s="1" t="s">
        <v>100</v>
      </c>
      <c r="I67" s="1">
        <v>500</v>
      </c>
      <c r="J67" s="1" t="s">
        <v>63</v>
      </c>
      <c r="K67" s="8"/>
      <c r="L67" s="8"/>
      <c r="M67" s="9"/>
    </row>
    <row r="68" spans="1:13" x14ac:dyDescent="0.25">
      <c r="A68" s="15"/>
      <c r="B68" s="30"/>
      <c r="C68" s="30"/>
      <c r="D68" s="1"/>
      <c r="E68" s="40">
        <f t="shared" si="13"/>
        <v>0</v>
      </c>
      <c r="F68" s="8"/>
      <c r="G68" s="8"/>
      <c r="H68" s="1" t="s">
        <v>70</v>
      </c>
      <c r="I68" s="1">
        <v>250</v>
      </c>
      <c r="J68" s="1" t="s">
        <v>63</v>
      </c>
      <c r="K68" s="8"/>
      <c r="L68" s="8"/>
      <c r="M68" s="9"/>
    </row>
    <row r="69" spans="1:13" x14ac:dyDescent="0.25">
      <c r="A69" s="15"/>
      <c r="B69" s="30"/>
      <c r="C69" s="30"/>
      <c r="D69" s="1"/>
      <c r="E69" s="40">
        <f t="shared" si="13"/>
        <v>0</v>
      </c>
      <c r="F69" s="8"/>
      <c r="G69" s="8"/>
      <c r="H69" s="1" t="s">
        <v>101</v>
      </c>
      <c r="I69" s="101">
        <v>0.03</v>
      </c>
      <c r="J69" s="8"/>
      <c r="K69" s="8"/>
      <c r="L69" s="8"/>
      <c r="M69" s="9"/>
    </row>
    <row r="70" spans="1:13" x14ac:dyDescent="0.25">
      <c r="A70" s="15"/>
      <c r="B70" s="30"/>
      <c r="C70" s="30"/>
      <c r="D70" s="1"/>
      <c r="E70" s="40">
        <f t="shared" si="13"/>
        <v>0</v>
      </c>
      <c r="F70" s="8"/>
      <c r="G70" s="8"/>
      <c r="H70" s="1" t="s">
        <v>102</v>
      </c>
      <c r="I70" s="101">
        <v>7.4999999999999997E-2</v>
      </c>
      <c r="J70" s="8"/>
      <c r="K70" s="8"/>
      <c r="L70" s="8"/>
      <c r="M70" s="9"/>
    </row>
    <row r="71" spans="1:13" x14ac:dyDescent="0.25">
      <c r="A71" s="15"/>
      <c r="B71" s="30"/>
      <c r="C71" s="30"/>
      <c r="D71" s="1"/>
      <c r="E71" s="40">
        <f t="shared" si="13"/>
        <v>0</v>
      </c>
      <c r="F71" s="8"/>
      <c r="G71" s="8"/>
      <c r="H71" s="102" t="s">
        <v>103</v>
      </c>
      <c r="I71" s="101">
        <v>4.4999999999999998E-2</v>
      </c>
      <c r="J71" s="8"/>
      <c r="K71" s="8"/>
      <c r="L71" s="8"/>
      <c r="M71" s="9"/>
    </row>
    <row r="72" spans="1:13" x14ac:dyDescent="0.25">
      <c r="A72" s="15"/>
      <c r="B72" s="30"/>
      <c r="C72" s="30"/>
      <c r="D72" s="1"/>
      <c r="E72" s="40">
        <f t="shared" si="13"/>
        <v>0</v>
      </c>
      <c r="F72" s="8"/>
      <c r="G72" s="8"/>
      <c r="H72" s="8"/>
      <c r="I72" s="8"/>
      <c r="J72" s="8"/>
      <c r="K72" s="8"/>
      <c r="L72" s="8"/>
      <c r="M72" s="9"/>
    </row>
    <row r="73" spans="1:13" x14ac:dyDescent="0.25">
      <c r="A73" s="15"/>
      <c r="B73" s="30"/>
      <c r="C73" s="30"/>
      <c r="D73" s="1"/>
      <c r="E73" s="40">
        <f t="shared" si="13"/>
        <v>0</v>
      </c>
      <c r="F73" s="8"/>
      <c r="G73" s="8"/>
      <c r="H73" s="8"/>
      <c r="I73" s="8"/>
      <c r="J73" s="8"/>
      <c r="K73" s="8"/>
      <c r="L73" s="8"/>
      <c r="M73" s="9"/>
    </row>
    <row r="74" spans="1:13" x14ac:dyDescent="0.25">
      <c r="A74" s="15"/>
      <c r="B74" s="30"/>
      <c r="C74" s="30"/>
      <c r="D74" s="1"/>
      <c r="E74" s="40">
        <f t="shared" si="13"/>
        <v>0</v>
      </c>
      <c r="F74" s="8"/>
      <c r="G74" s="8"/>
      <c r="H74" s="8"/>
      <c r="I74" s="8"/>
      <c r="J74" s="8"/>
      <c r="K74" s="8"/>
      <c r="L74" s="8"/>
      <c r="M74" s="9"/>
    </row>
    <row r="75" spans="1:13" x14ac:dyDescent="0.25">
      <c r="A75" s="15"/>
      <c r="B75" s="30"/>
      <c r="C75" s="30"/>
      <c r="D75" s="1"/>
      <c r="E75" s="40">
        <f t="shared" si="13"/>
        <v>0</v>
      </c>
      <c r="F75" s="8"/>
      <c r="G75" s="8"/>
      <c r="H75" s="8"/>
      <c r="I75" s="8"/>
      <c r="J75" s="8"/>
      <c r="K75" s="8"/>
      <c r="L75" s="8"/>
      <c r="M75" s="9"/>
    </row>
    <row r="76" spans="1:13" x14ac:dyDescent="0.25">
      <c r="A76" s="15"/>
      <c r="B76" s="30"/>
      <c r="C76" s="30"/>
      <c r="D76" s="1"/>
      <c r="E76" s="40">
        <f t="shared" si="13"/>
        <v>0</v>
      </c>
      <c r="F76" s="8"/>
      <c r="G76" s="8"/>
      <c r="H76" s="8"/>
      <c r="I76" s="8"/>
      <c r="J76" s="8"/>
      <c r="K76" s="8"/>
      <c r="L76" s="8"/>
      <c r="M76" s="9"/>
    </row>
    <row r="77" spans="1:13" x14ac:dyDescent="0.25">
      <c r="A77" s="15"/>
      <c r="B77" s="30"/>
      <c r="C77" s="30"/>
      <c r="D77" s="1"/>
      <c r="E77" s="40">
        <f t="shared" si="13"/>
        <v>0</v>
      </c>
      <c r="F77" s="8"/>
      <c r="G77" s="16"/>
      <c r="H77" s="8"/>
      <c r="I77" s="8"/>
      <c r="J77" s="8"/>
      <c r="K77" s="8"/>
      <c r="L77" s="8"/>
      <c r="M77" s="104"/>
    </row>
    <row r="78" spans="1:13" x14ac:dyDescent="0.25">
      <c r="A78" s="15"/>
      <c r="B78" s="30"/>
      <c r="C78" s="30"/>
      <c r="D78" s="1"/>
      <c r="E78" s="40">
        <f t="shared" si="13"/>
        <v>0</v>
      </c>
      <c r="F78" s="8"/>
      <c r="G78" s="16"/>
      <c r="H78" s="8"/>
      <c r="I78" s="8"/>
      <c r="J78" s="8"/>
      <c r="K78" s="8"/>
      <c r="L78" s="8"/>
      <c r="M78" s="104"/>
    </row>
    <row r="79" spans="1:13" x14ac:dyDescent="0.25">
      <c r="A79" s="15"/>
      <c r="B79" s="30"/>
      <c r="C79" s="30"/>
      <c r="D79" s="1"/>
      <c r="E79" s="40">
        <f t="shared" si="13"/>
        <v>0</v>
      </c>
      <c r="F79" s="16"/>
      <c r="G79" s="16"/>
      <c r="H79" s="8"/>
      <c r="I79" s="8"/>
      <c r="J79" s="8"/>
      <c r="K79" s="8"/>
      <c r="L79" s="8"/>
      <c r="M79" s="104"/>
    </row>
    <row r="80" spans="1:13" x14ac:dyDescent="0.25">
      <c r="A80" s="15"/>
      <c r="B80" s="30"/>
      <c r="C80" s="30"/>
      <c r="D80" s="1"/>
      <c r="E80" s="40">
        <f t="shared" si="13"/>
        <v>0</v>
      </c>
      <c r="F80" s="16"/>
      <c r="G80" s="16"/>
      <c r="H80" s="16"/>
      <c r="I80" s="16"/>
      <c r="J80" s="16"/>
      <c r="K80" s="16"/>
      <c r="L80" s="16"/>
      <c r="M80" s="105"/>
    </row>
    <row r="81" spans="1:13" x14ac:dyDescent="0.25">
      <c r="A81" s="15"/>
      <c r="B81" s="30"/>
      <c r="C81" s="30"/>
      <c r="D81" s="1"/>
      <c r="E81" s="40">
        <f t="shared" si="13"/>
        <v>0</v>
      </c>
      <c r="G81" s="16"/>
      <c r="H81" s="16"/>
      <c r="I81" s="16"/>
      <c r="J81" s="16"/>
      <c r="K81" s="16"/>
      <c r="L81" s="16"/>
      <c r="M81" s="105"/>
    </row>
    <row r="82" spans="1:13" x14ac:dyDescent="0.25">
      <c r="A82" s="15"/>
      <c r="B82" s="30"/>
      <c r="C82" s="30"/>
      <c r="D82" s="1"/>
      <c r="E82" s="40">
        <f t="shared" si="13"/>
        <v>0</v>
      </c>
      <c r="G82" s="16"/>
      <c r="H82" s="16"/>
      <c r="I82" s="16"/>
      <c r="J82" s="16"/>
      <c r="K82" s="16"/>
      <c r="L82" s="16"/>
      <c r="M82" s="105"/>
    </row>
    <row r="83" spans="1:13" x14ac:dyDescent="0.25">
      <c r="A83" s="15"/>
      <c r="B83" s="30"/>
      <c r="C83" s="30"/>
      <c r="D83" s="1"/>
      <c r="E83" s="40">
        <f t="shared" si="13"/>
        <v>0</v>
      </c>
      <c r="G83" s="16"/>
      <c r="H83" s="16"/>
      <c r="I83" s="16"/>
      <c r="J83" s="16"/>
      <c r="K83" s="16"/>
      <c r="L83" s="16"/>
      <c r="M83" s="105"/>
    </row>
    <row r="84" spans="1:13" x14ac:dyDescent="0.25">
      <c r="A84" s="15"/>
      <c r="B84" s="30"/>
      <c r="C84" s="30"/>
      <c r="D84" s="1"/>
      <c r="E84" s="40">
        <f t="shared" si="13"/>
        <v>0</v>
      </c>
      <c r="G84" s="16"/>
      <c r="H84" s="16"/>
      <c r="I84" s="16"/>
      <c r="J84" s="16"/>
      <c r="K84" s="16"/>
      <c r="L84" s="16"/>
      <c r="M84" s="105"/>
    </row>
    <row r="85" spans="1:13" x14ac:dyDescent="0.25">
      <c r="A85" s="15"/>
      <c r="B85" s="30"/>
      <c r="C85" s="30"/>
      <c r="D85" s="1"/>
      <c r="E85" s="40">
        <f t="shared" si="13"/>
        <v>0</v>
      </c>
      <c r="M85" s="105"/>
    </row>
    <row r="86" spans="1:13" x14ac:dyDescent="0.25">
      <c r="A86" s="15"/>
      <c r="B86" s="30"/>
      <c r="C86" s="30"/>
      <c r="D86" s="1"/>
      <c r="E86" s="40">
        <f t="shared" si="13"/>
        <v>0</v>
      </c>
      <c r="M86" s="105"/>
    </row>
    <row r="87" spans="1:13" ht="15.75" thickBot="1" x14ac:dyDescent="0.3">
      <c r="A87" s="37"/>
      <c r="B87" s="41"/>
      <c r="C87" s="41"/>
      <c r="D87" s="42"/>
      <c r="E87" s="43">
        <f t="shared" si="13"/>
        <v>0</v>
      </c>
      <c r="M87" s="105"/>
    </row>
    <row r="88" spans="1:13" x14ac:dyDescent="0.25">
      <c r="A88" s="7"/>
      <c r="B88" s="8"/>
      <c r="C88" s="8"/>
      <c r="D88" s="8"/>
      <c r="E88" s="8"/>
      <c r="M88" s="105"/>
    </row>
    <row r="89" spans="1:13" x14ac:dyDescent="0.25">
      <c r="A89" s="7"/>
      <c r="B89" s="8"/>
      <c r="C89" s="8"/>
      <c r="D89" s="8"/>
      <c r="E89" s="8"/>
      <c r="M89" s="105"/>
    </row>
    <row r="90" spans="1:13" ht="15.75" thickBot="1" x14ac:dyDescent="0.3">
      <c r="A90" s="17"/>
      <c r="B90" s="16"/>
      <c r="C90" s="16"/>
      <c r="D90" s="16"/>
      <c r="E90" s="16"/>
      <c r="F90" s="103"/>
      <c r="G90" s="103"/>
      <c r="H90" s="103"/>
      <c r="I90" s="103"/>
      <c r="J90" s="103"/>
      <c r="K90" s="103"/>
      <c r="L90" s="103"/>
      <c r="M90" s="105"/>
    </row>
    <row r="91" spans="1:13" ht="15.75" thickTop="1" x14ac:dyDescent="0.25">
      <c r="A91" s="27"/>
      <c r="B91" s="27"/>
      <c r="C91" s="27"/>
      <c r="D91" s="27"/>
      <c r="E91" s="27"/>
      <c r="M91" s="27"/>
    </row>
  </sheetData>
  <mergeCells count="27">
    <mergeCell ref="A24:B24"/>
    <mergeCell ref="C24:E24"/>
    <mergeCell ref="A57:B57"/>
    <mergeCell ref="C57:E57"/>
    <mergeCell ref="H40:I40"/>
    <mergeCell ref="H41:I41"/>
    <mergeCell ref="H42:I42"/>
    <mergeCell ref="H43:I43"/>
    <mergeCell ref="H44:I44"/>
    <mergeCell ref="A13:A14"/>
    <mergeCell ref="B8:C8"/>
    <mergeCell ref="D8:E8"/>
    <mergeCell ref="A7:E7"/>
    <mergeCell ref="D9:E9"/>
    <mergeCell ref="D10:E10"/>
    <mergeCell ref="D11:E11"/>
    <mergeCell ref="B11:C11"/>
    <mergeCell ref="B13:C13"/>
    <mergeCell ref="D14:E14"/>
    <mergeCell ref="B12:E12"/>
    <mergeCell ref="D13:E13"/>
    <mergeCell ref="B14:C14"/>
    <mergeCell ref="A1:M1"/>
    <mergeCell ref="B3:M3"/>
    <mergeCell ref="B5:D5"/>
    <mergeCell ref="B9:C9"/>
    <mergeCell ref="B10:C10"/>
  </mergeCells>
  <phoneticPr fontId="13" type="noConversion"/>
  <pageMargins left="0.7" right="0.7" top="0.75" bottom="0.75" header="0.3" footer="0.3"/>
  <pageSetup paperSize="9" scale="4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alumno</cp:lastModifiedBy>
  <cp:lastPrinted>2019-08-20T16:05:19Z</cp:lastPrinted>
  <dcterms:created xsi:type="dcterms:W3CDTF">2019-08-20T12:38:20Z</dcterms:created>
  <dcterms:modified xsi:type="dcterms:W3CDTF">2019-08-28T17:27:10Z</dcterms:modified>
</cp:coreProperties>
</file>