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Daniel\Downloads\"/>
    </mc:Choice>
  </mc:AlternateContent>
  <xr:revisionPtr revIDLastSave="0" documentId="13_ncr:1_{4AB2597B-1F7C-43F7-A9A5-2A6BC944B964}" xr6:coauthVersionLast="45" xr6:coauthVersionMax="45" xr10:uidLastSave="{00000000-0000-0000-0000-000000000000}"/>
  <bookViews>
    <workbookView xWindow="-120" yWindow="-120" windowWidth="29040" windowHeight="15840" xr2:uid="{00000000-000D-0000-FFFF-FFFF00000000}"/>
  </bookViews>
  <sheets>
    <sheet name="Formula" sheetId="1" r:id="rId1"/>
    <sheet name="Tablas Calculadas " sheetId="2" r:id="rId2"/>
    <sheet name="Constantes" sheetId="3" r:id="rId3"/>
    <sheet name="Observaciones" sheetId="4" r:id="rId4"/>
  </sheets>
  <calcPr calcId="18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8" roundtripDataSignature="AMtx7miKuPi7McHGJ/geJ8xcOe5LwaJmEQ=="/>
    </ext>
  </extLst>
</workbook>
</file>

<file path=xl/calcChain.xml><?xml version="1.0" encoding="utf-8"?>
<calcChain xmlns="http://schemas.openxmlformats.org/spreadsheetml/2006/main">
  <c r="C91" i="3" l="1"/>
  <c r="M90" i="3"/>
  <c r="L90" i="3"/>
  <c r="K90" i="3"/>
  <c r="J90" i="3"/>
  <c r="M89" i="3"/>
  <c r="L89" i="3"/>
  <c r="K89" i="3"/>
  <c r="J89" i="3"/>
  <c r="M88" i="3"/>
  <c r="L88" i="3"/>
  <c r="K88" i="3"/>
  <c r="J88" i="3"/>
  <c r="M87" i="3"/>
  <c r="L87" i="3"/>
  <c r="K87" i="3"/>
  <c r="I87" i="3"/>
  <c r="J87" i="3" s="1"/>
  <c r="K86" i="3"/>
  <c r="J86" i="3"/>
  <c r="M86" i="3" s="1"/>
  <c r="I86" i="3"/>
  <c r="F86" i="3"/>
  <c r="L86" i="3" s="1"/>
  <c r="I85" i="3"/>
  <c r="J85" i="3" s="1"/>
  <c r="M85" i="3" s="1"/>
  <c r="F85" i="3"/>
  <c r="K85" i="3" s="1"/>
  <c r="G84" i="3"/>
  <c r="I84" i="3" s="1"/>
  <c r="F84" i="3"/>
  <c r="G83" i="3"/>
  <c r="I83" i="3" s="1"/>
  <c r="F83" i="3"/>
  <c r="B83" i="3"/>
  <c r="G82" i="3"/>
  <c r="F82" i="3"/>
  <c r="L82" i="3" s="1"/>
  <c r="D82" i="3"/>
  <c r="B82" i="3"/>
  <c r="G81" i="3"/>
  <c r="B81" i="3"/>
  <c r="F81" i="3" s="1"/>
  <c r="K81" i="3" s="1"/>
  <c r="G80" i="3"/>
  <c r="B80" i="3"/>
  <c r="F80" i="3" s="1"/>
  <c r="K80" i="3" s="1"/>
  <c r="L79" i="3"/>
  <c r="G79" i="3"/>
  <c r="B79" i="3"/>
  <c r="F79" i="3" s="1"/>
  <c r="K79" i="3" s="1"/>
  <c r="L78" i="3"/>
  <c r="G78" i="3"/>
  <c r="F78" i="3"/>
  <c r="K78" i="3" s="1"/>
  <c r="G77" i="3"/>
  <c r="F77" i="3"/>
  <c r="L77" i="3" s="1"/>
  <c r="B77" i="3"/>
  <c r="G76" i="3"/>
  <c r="F76" i="3"/>
  <c r="L76" i="3" s="1"/>
  <c r="G75" i="3"/>
  <c r="I75" i="3" s="1"/>
  <c r="J75" i="3" s="1"/>
  <c r="M75" i="3" s="1"/>
  <c r="B75" i="3"/>
  <c r="F75" i="3" s="1"/>
  <c r="J74" i="3"/>
  <c r="M74" i="3" s="1"/>
  <c r="G74" i="3"/>
  <c r="I74" i="3" s="1"/>
  <c r="B74" i="3"/>
  <c r="F74" i="3" s="1"/>
  <c r="G73" i="3"/>
  <c r="I73" i="3" s="1"/>
  <c r="J73" i="3" s="1"/>
  <c r="M73" i="3" s="1"/>
  <c r="F73" i="3"/>
  <c r="L73" i="3" s="1"/>
  <c r="D72" i="3"/>
  <c r="G72" i="3" s="1"/>
  <c r="I72" i="3" s="1"/>
  <c r="B72" i="3"/>
  <c r="F72" i="3" s="1"/>
  <c r="G71" i="3"/>
  <c r="I71" i="3" s="1"/>
  <c r="J71" i="3" s="1"/>
  <c r="M71" i="3" s="1"/>
  <c r="B71" i="3"/>
  <c r="F71" i="3" s="1"/>
  <c r="G70" i="3"/>
  <c r="I70" i="3" s="1"/>
  <c r="J70" i="3" s="1"/>
  <c r="M70" i="3" s="1"/>
  <c r="F70" i="3"/>
  <c r="L70" i="3" s="1"/>
  <c r="M69" i="3"/>
  <c r="I69" i="3"/>
  <c r="J69" i="3" s="1"/>
  <c r="G69" i="3"/>
  <c r="F69" i="3"/>
  <c r="L69" i="3" s="1"/>
  <c r="L68" i="3"/>
  <c r="G68" i="3"/>
  <c r="F68" i="3"/>
  <c r="K68" i="3" s="1"/>
  <c r="K67" i="3"/>
  <c r="G67" i="3"/>
  <c r="F67" i="3"/>
  <c r="L67" i="3" s="1"/>
  <c r="G66" i="3"/>
  <c r="I66" i="3" s="1"/>
  <c r="J66" i="3" s="1"/>
  <c r="M66" i="3" s="1"/>
  <c r="B66" i="3"/>
  <c r="F66" i="3" s="1"/>
  <c r="J65" i="3"/>
  <c r="M65" i="3" s="1"/>
  <c r="G65" i="3"/>
  <c r="I65" i="3" s="1"/>
  <c r="B65" i="3"/>
  <c r="F65" i="3" s="1"/>
  <c r="J64" i="3"/>
  <c r="M64" i="3" s="1"/>
  <c r="G64" i="3"/>
  <c r="I64" i="3" s="1"/>
  <c r="B64" i="3"/>
  <c r="F64" i="3" s="1"/>
  <c r="G63" i="3"/>
  <c r="I63" i="3" s="1"/>
  <c r="J63" i="3" s="1"/>
  <c r="M63" i="3" s="1"/>
  <c r="B63" i="3"/>
  <c r="F63" i="3" s="1"/>
  <c r="D62" i="3"/>
  <c r="B62" i="3"/>
  <c r="B91" i="3" s="1"/>
  <c r="B48" i="3"/>
  <c r="B47" i="3"/>
  <c r="B46" i="3"/>
  <c r="C63" i="2" s="1"/>
  <c r="G7" i="1" s="1"/>
  <c r="B45" i="3"/>
  <c r="B44" i="3"/>
  <c r="B43" i="3"/>
  <c r="C25" i="3"/>
  <c r="B77" i="2"/>
  <c r="B76" i="2"/>
  <c r="B75" i="2"/>
  <c r="B74" i="2"/>
  <c r="B73" i="2"/>
  <c r="B72" i="2"/>
  <c r="B65" i="2"/>
  <c r="B64" i="2"/>
  <c r="B63" i="2"/>
  <c r="B62" i="2"/>
  <c r="B61" i="2"/>
  <c r="B60" i="2"/>
  <c r="C56" i="2"/>
  <c r="C55" i="2"/>
  <c r="C54" i="2"/>
  <c r="B54" i="2"/>
  <c r="E54" i="2" s="1"/>
  <c r="C53" i="2"/>
  <c r="B53" i="2"/>
  <c r="E53" i="2" s="1"/>
  <c r="C52" i="2"/>
  <c r="C51" i="2"/>
  <c r="C64" i="2" s="1"/>
  <c r="H7" i="1" s="1"/>
  <c r="C50" i="2"/>
  <c r="B50" i="2"/>
  <c r="E50" i="2" s="1"/>
  <c r="C49" i="2"/>
  <c r="B49" i="2"/>
  <c r="E49" i="2" s="1"/>
  <c r="E48" i="2"/>
  <c r="C48" i="2"/>
  <c r="B48" i="2"/>
  <c r="C47" i="2"/>
  <c r="E47" i="2" s="1"/>
  <c r="B47" i="2"/>
  <c r="C46" i="2"/>
  <c r="B46" i="2"/>
  <c r="E46" i="2" s="1"/>
  <c r="C45" i="2"/>
  <c r="B45" i="2"/>
  <c r="E45" i="2" s="1"/>
  <c r="C44" i="2"/>
  <c r="C43" i="2"/>
  <c r="C42" i="2"/>
  <c r="B42" i="2"/>
  <c r="E42" i="2" s="1"/>
  <c r="C41" i="2"/>
  <c r="B41" i="2"/>
  <c r="E41" i="2" s="1"/>
  <c r="C40" i="2"/>
  <c r="C39" i="2"/>
  <c r="C38" i="2"/>
  <c r="C37" i="2"/>
  <c r="B37" i="2"/>
  <c r="E37" i="2" s="1"/>
  <c r="E36" i="2"/>
  <c r="C36" i="2"/>
  <c r="B36" i="2"/>
  <c r="C35" i="2"/>
  <c r="E35" i="2" s="1"/>
  <c r="E13" i="2" s="1"/>
  <c r="B35" i="2"/>
  <c r="C34" i="2"/>
  <c r="B34" i="2"/>
  <c r="E34" i="2" s="1"/>
  <c r="C33" i="2"/>
  <c r="B33" i="2"/>
  <c r="E33" i="2" s="1"/>
  <c r="C32" i="2"/>
  <c r="C31" i="2"/>
  <c r="C30" i="2"/>
  <c r="B30" i="2"/>
  <c r="E30" i="2" s="1"/>
  <c r="C29" i="2"/>
  <c r="B29" i="2"/>
  <c r="E29" i="2" s="1"/>
  <c r="C28" i="2"/>
  <c r="C27" i="2"/>
  <c r="C26" i="2"/>
  <c r="B26" i="2"/>
  <c r="E26" i="2" s="1"/>
  <c r="C25" i="2"/>
  <c r="B25" i="2"/>
  <c r="E25" i="2" s="1"/>
  <c r="E24" i="2"/>
  <c r="C24" i="2"/>
  <c r="B24" i="2"/>
  <c r="E23" i="2"/>
  <c r="C23" i="2"/>
  <c r="B23" i="2"/>
  <c r="C22" i="2"/>
  <c r="B22" i="2"/>
  <c r="C21" i="2"/>
  <c r="B21" i="2"/>
  <c r="E21" i="2" s="1"/>
  <c r="B20" i="2"/>
  <c r="C16" i="1"/>
  <c r="C18" i="1" s="1"/>
  <c r="I8" i="1"/>
  <c r="H8" i="1"/>
  <c r="G8" i="1"/>
  <c r="F8" i="1"/>
  <c r="E8" i="1"/>
  <c r="E13" i="1" s="1"/>
  <c r="C62" i="2" l="1"/>
  <c r="B32" i="2"/>
  <c r="E32" i="2" s="1"/>
  <c r="D91" i="3"/>
  <c r="G62" i="3"/>
  <c r="F62" i="3"/>
  <c r="L65" i="3"/>
  <c r="K65" i="3"/>
  <c r="L75" i="3"/>
  <c r="K75" i="3"/>
  <c r="I81" i="3"/>
  <c r="J81" i="3" s="1"/>
  <c r="M81" i="3" s="1"/>
  <c r="L83" i="3"/>
  <c r="H83" i="3"/>
  <c r="K83" i="3"/>
  <c r="L85" i="3"/>
  <c r="C65" i="2"/>
  <c r="I7" i="1" s="1"/>
  <c r="B66" i="2"/>
  <c r="C60" i="2"/>
  <c r="L64" i="3"/>
  <c r="K64" i="3"/>
  <c r="L74" i="3"/>
  <c r="K74" i="3"/>
  <c r="K76" i="3"/>
  <c r="K77" i="3"/>
  <c r="I80" i="3"/>
  <c r="J80" i="3" s="1"/>
  <c r="M80" i="3" s="1"/>
  <c r="L81" i="3"/>
  <c r="E22" i="2"/>
  <c r="C13" i="2" s="1"/>
  <c r="B38" i="2"/>
  <c r="E38" i="2" s="1"/>
  <c r="C61" i="2"/>
  <c r="B43" i="2"/>
  <c r="E43" i="2" s="1"/>
  <c r="B44" i="2"/>
  <c r="E44" i="2" s="1"/>
  <c r="H13" i="2" s="1"/>
  <c r="B28" i="2"/>
  <c r="E28" i="2" s="1"/>
  <c r="D63" i="2"/>
  <c r="L63" i="3"/>
  <c r="K63" i="3"/>
  <c r="J68" i="3"/>
  <c r="M68" i="3" s="1"/>
  <c r="I68" i="3"/>
  <c r="L72" i="3"/>
  <c r="K72" i="3"/>
  <c r="J79" i="3"/>
  <c r="M79" i="3" s="1"/>
  <c r="I79" i="3"/>
  <c r="L80" i="3"/>
  <c r="K82" i="3"/>
  <c r="D64" i="2"/>
  <c r="L66" i="3"/>
  <c r="K66" i="3"/>
  <c r="J67" i="3"/>
  <c r="M67" i="3" s="1"/>
  <c r="L71" i="3"/>
  <c r="K71" i="3"/>
  <c r="J72" i="3"/>
  <c r="M72" i="3" s="1"/>
  <c r="J78" i="3"/>
  <c r="M78" i="3" s="1"/>
  <c r="I78" i="3"/>
  <c r="L84" i="3"/>
  <c r="H84" i="3"/>
  <c r="J84" i="3" s="1"/>
  <c r="M84" i="3" s="1"/>
  <c r="K84" i="3"/>
  <c r="K70" i="3"/>
  <c r="K73" i="3"/>
  <c r="B40" i="2"/>
  <c r="E40" i="2" s="1"/>
  <c r="B52" i="2"/>
  <c r="E52" i="2" s="1"/>
  <c r="B56" i="2"/>
  <c r="E56" i="2" s="1"/>
  <c r="I67" i="3"/>
  <c r="K69" i="3"/>
  <c r="I76" i="3"/>
  <c r="J76" i="3" s="1"/>
  <c r="M76" i="3" s="1"/>
  <c r="I77" i="3"/>
  <c r="J77" i="3" s="1"/>
  <c r="M77" i="3" s="1"/>
  <c r="I82" i="3"/>
  <c r="J82" i="3" s="1"/>
  <c r="M82" i="3" s="1"/>
  <c r="B27" i="2"/>
  <c r="E27" i="2" s="1"/>
  <c r="B31" i="2"/>
  <c r="E31" i="2" s="1"/>
  <c r="B39" i="2"/>
  <c r="E39" i="2" s="1"/>
  <c r="F13" i="2" s="1"/>
  <c r="B51" i="2"/>
  <c r="E51" i="2" s="1"/>
  <c r="B55" i="2"/>
  <c r="E55" i="2" s="1"/>
  <c r="D60" i="2"/>
  <c r="C20" i="2" l="1"/>
  <c r="E20" i="2" s="1"/>
  <c r="E7" i="1"/>
  <c r="L62" i="3"/>
  <c r="L91" i="3" s="1"/>
  <c r="K62" i="3"/>
  <c r="K91" i="3" s="1"/>
  <c r="F91" i="3"/>
  <c r="D65" i="2"/>
  <c r="C66" i="2"/>
  <c r="I62" i="3"/>
  <c r="I91" i="3" s="1"/>
  <c r="G91" i="3"/>
  <c r="D62" i="2"/>
  <c r="F7" i="1"/>
  <c r="D13" i="2"/>
  <c r="G13" i="2"/>
  <c r="D61" i="2"/>
  <c r="D66" i="2"/>
  <c r="H91" i="3"/>
  <c r="J83" i="3"/>
  <c r="M83" i="3" s="1"/>
  <c r="F9" i="1" l="1"/>
  <c r="F13" i="1" s="1"/>
  <c r="I9" i="1"/>
  <c r="I13" i="1" s="1"/>
  <c r="E9" i="1"/>
  <c r="H9" i="1"/>
  <c r="H13" i="1" s="1"/>
  <c r="G9" i="1"/>
  <c r="G13" i="1" s="1"/>
  <c r="J62" i="3"/>
  <c r="I10" i="2"/>
  <c r="G6" i="1" s="1"/>
  <c r="G10" i="1" s="1"/>
  <c r="B13" i="2"/>
  <c r="I9" i="2"/>
  <c r="F6" i="1" s="1"/>
  <c r="F10" i="1" s="1"/>
  <c r="I7" i="2"/>
  <c r="I8" i="2"/>
  <c r="E6" i="1" s="1"/>
  <c r="E10" i="1" s="1"/>
  <c r="I12" i="2"/>
  <c r="I6" i="1" s="1"/>
  <c r="I10" i="1" s="1"/>
  <c r="I11" i="2"/>
  <c r="H6" i="1" s="1"/>
  <c r="H10" i="1" s="1"/>
  <c r="I11" i="1" l="1"/>
  <c r="I12" i="1"/>
  <c r="E11" i="1"/>
  <c r="E12" i="1" s="1"/>
  <c r="E16" i="1" s="1"/>
  <c r="E18" i="1" s="1"/>
  <c r="G11" i="1"/>
  <c r="G12" i="1" s="1"/>
  <c r="G16" i="1" s="1"/>
  <c r="G18" i="1" s="1"/>
  <c r="I13" i="2"/>
  <c r="M62" i="3"/>
  <c r="J91" i="3"/>
  <c r="H11" i="1"/>
  <c r="H12" i="1" s="1"/>
  <c r="H16" i="1" s="1"/>
  <c r="H18" i="1" s="1"/>
  <c r="F12" i="1"/>
  <c r="F16" i="1" s="1"/>
  <c r="F18" i="1" s="1"/>
  <c r="F11" i="1"/>
  <c r="M91" i="3" l="1"/>
  <c r="I15" i="1"/>
  <c r="I16" i="1" s="1"/>
  <c r="I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5" authorId="0" shapeId="0" xr:uid="{00000000-0006-0000-0000-000001000000}">
      <text>
        <r>
          <rPr>
            <sz val="11"/>
            <color theme="1"/>
            <rFont val="Arial"/>
          </rPr>
          <t>======
ID#AAAADt-uWss
Gustavo Carrió    (2019-10-29 14:31:26)
aca es donde tienes que poner la referencia
------
ID#AAAADt-uWuc
Daniel Padron    (2019-10-29 14:41:21)
Eso se daba por un error de formulas cuando precio del mercado = 0. Ya esta solucionado. ¿Era eso lo que me decía?</t>
        </r>
      </text>
    </comment>
  </commentList>
  <extLst>
    <ext xmlns:r="http://schemas.openxmlformats.org/officeDocument/2006/relationships" uri="GoogleSheetsCustomDataVersion1">
      <go:sheetsCustomData xmlns:go="http://customooxmlschemas.google.com/" r:id="rId1" roundtripDataSignature="AMtx7mh3dOmkIRiwYrBF9waSu9XW6zH/mQ=="/>
    </ext>
  </extLst>
</comments>
</file>

<file path=xl/sharedStrings.xml><?xml version="1.0" encoding="utf-8"?>
<sst xmlns="http://schemas.openxmlformats.org/spreadsheetml/2006/main" count="311" uniqueCount="202">
  <si>
    <r>
      <t xml:space="preserve">Flujo de fondos </t>
    </r>
    <r>
      <rPr>
        <sz val="28"/>
        <color theme="1"/>
        <rFont val="Segoe UI"/>
      </rPr>
      <t xml:space="preserve"> (Tercera entrega) </t>
    </r>
  </si>
  <si>
    <t xml:space="preserve">Ventas: </t>
  </si>
  <si>
    <t xml:space="preserve">Venta del Software </t>
  </si>
  <si>
    <t>Soporte Basico</t>
  </si>
  <si>
    <t>Soporte SemiCompleto</t>
  </si>
  <si>
    <t xml:space="preserve">Soporte Completo </t>
  </si>
  <si>
    <t>Instalacion del hardware  (plan economico)</t>
  </si>
  <si>
    <t>Instalacion del hardware  (plan recomendado )</t>
  </si>
  <si>
    <t>Instalacion del hardware  (plan premiun)</t>
  </si>
  <si>
    <t xml:space="preserve">Total anual </t>
  </si>
  <si>
    <t>Obj2</t>
  </si>
  <si>
    <t>Año 0</t>
  </si>
  <si>
    <t>Año 1</t>
  </si>
  <si>
    <t>Año 2</t>
  </si>
  <si>
    <t>Año 3</t>
  </si>
  <si>
    <t>Año 4</t>
  </si>
  <si>
    <t>Año 5</t>
  </si>
  <si>
    <t xml:space="preserve">Totales: </t>
  </si>
  <si>
    <t xml:space="preserve">Precio de cada tipo de venta </t>
  </si>
  <si>
    <r>
      <t xml:space="preserve">Flujo de fondos </t>
    </r>
    <r>
      <rPr>
        <sz val="28"/>
        <color theme="1"/>
        <rFont val="Segoe UI"/>
      </rPr>
      <t xml:space="preserve">(Tercera entrega) </t>
    </r>
  </si>
  <si>
    <r>
      <t xml:space="preserve">Flujo de fondos </t>
    </r>
    <r>
      <rPr>
        <sz val="28"/>
        <color theme="1"/>
        <rFont val="Segoe UI Semibold"/>
      </rPr>
      <t xml:space="preserve">(Tercera entrega) </t>
    </r>
  </si>
  <si>
    <t xml:space="preserve">Precio = (Costos fijos + Costos variables) + Utilidad </t>
  </si>
  <si>
    <t>Nombre</t>
  </si>
  <si>
    <t>Calculos</t>
  </si>
  <si>
    <t>∆Ventas (+)</t>
  </si>
  <si>
    <t>-</t>
  </si>
  <si>
    <t>Obj1</t>
  </si>
  <si>
    <t>∆C.V (-)</t>
  </si>
  <si>
    <t>Aumento del la hora de trabajo por dia no laborable</t>
  </si>
  <si>
    <t>Obj5</t>
  </si>
  <si>
    <t xml:space="preserve">Planes para el equipamiento </t>
  </si>
  <si>
    <t xml:space="preserve">Economico </t>
  </si>
  <si>
    <t>Obj6</t>
  </si>
  <si>
    <t xml:space="preserve">Recomendando </t>
  </si>
  <si>
    <t xml:space="preserve">Premiun </t>
  </si>
  <si>
    <t xml:space="preserve">Planes de soporte (Durante un mes) </t>
  </si>
  <si>
    <t>Horas de trabajo entre todos los empleados por dia</t>
  </si>
  <si>
    <t>Dias laborables trabajados</t>
  </si>
  <si>
    <t>Nº de dias no laborables trabajados</t>
  </si>
  <si>
    <t>Basico</t>
  </si>
  <si>
    <t>SemiCompleto</t>
  </si>
  <si>
    <t xml:space="preserve">Completo </t>
  </si>
  <si>
    <t>Obj 7</t>
  </si>
  <si>
    <t>Costos Fijos (mensuales)</t>
  </si>
  <si>
    <t>Valor (US$)</t>
  </si>
  <si>
    <t xml:space="preserve">Aumeno anual(%) </t>
  </si>
  <si>
    <t>Arquiler</t>
  </si>
  <si>
    <t xml:space="preserve">Seguridad </t>
  </si>
  <si>
    <t>MPLS</t>
  </si>
  <si>
    <t>Total</t>
  </si>
  <si>
    <r>
      <t xml:space="preserve">Cotos fijos </t>
    </r>
    <r>
      <rPr>
        <b/>
        <sz val="11"/>
        <color rgb="FF2E75B5"/>
        <rFont val="Segoe UI"/>
      </rPr>
      <t>(Obj3)</t>
    </r>
  </si>
  <si>
    <t xml:space="preserve">Cotos variables </t>
  </si>
  <si>
    <t>Utilidad (%)</t>
  </si>
  <si>
    <t xml:space="preserve">Total </t>
  </si>
  <si>
    <t>Venta del Software (7 meses)</t>
  </si>
  <si>
    <t xml:space="preserve">Cotisacion del dólar </t>
  </si>
  <si>
    <t>Año</t>
  </si>
  <si>
    <t>valor ($)</t>
  </si>
  <si>
    <t>∆C.F (-)</t>
  </si>
  <si>
    <t>Obj8</t>
  </si>
  <si>
    <t>∆Amortizacion (-)</t>
  </si>
  <si>
    <t>Soporte Basico Año 0</t>
  </si>
  <si>
    <t>Soporte Basico Año 1</t>
  </si>
  <si>
    <t>Costos variables (Constantes)</t>
  </si>
  <si>
    <t xml:space="preserve">Salario esperado para los socios por hora </t>
  </si>
  <si>
    <t xml:space="preserve">Costo de venta de la hora de trabajo </t>
  </si>
  <si>
    <t>Soporte Basico Año 2</t>
  </si>
  <si>
    <t>Obj9</t>
  </si>
  <si>
    <t>Numero de horas trabajados por dia</t>
  </si>
  <si>
    <t>Obj10</t>
  </si>
  <si>
    <t>Soporte Basico Año 3</t>
  </si>
  <si>
    <t>Numeros de dias trabajados por mes</t>
  </si>
  <si>
    <t xml:space="preserve">Numero de socios </t>
  </si>
  <si>
    <t xml:space="preserve">Costo salarial total por mes durante año 0 </t>
  </si>
  <si>
    <t>Soporte Basico Año 4</t>
  </si>
  <si>
    <t>Costo salarial total por mes durante año 1</t>
  </si>
  <si>
    <t>Costo salarial total por mes durante año 2</t>
  </si>
  <si>
    <t>Costo salarial total por mes durante año 3</t>
  </si>
  <si>
    <t>Costo salarial total por mes durante año 4</t>
  </si>
  <si>
    <t>Costo salarial total por mes durante año 5</t>
  </si>
  <si>
    <t>OSE</t>
  </si>
  <si>
    <t>Soporte Basico Año 5</t>
  </si>
  <si>
    <t xml:space="preserve">Seguro </t>
  </si>
  <si>
    <t>Electricidad</t>
  </si>
  <si>
    <t>G.A.I (+)</t>
  </si>
  <si>
    <t>BSE</t>
  </si>
  <si>
    <t>I.R.A.E (25%) (-)</t>
  </si>
  <si>
    <t>Soporte SemiCompleto Año 0</t>
  </si>
  <si>
    <t>G.D.I (+)</t>
  </si>
  <si>
    <t xml:space="preserve">BPS patronal </t>
  </si>
  <si>
    <t>Fondo de garantia de Credito Laboral</t>
  </si>
  <si>
    <t>Jubilatorio</t>
  </si>
  <si>
    <t>FRL</t>
  </si>
  <si>
    <t xml:space="preserve">Fonasa </t>
  </si>
  <si>
    <t xml:space="preserve">Amortizacion de los bienes de uso </t>
  </si>
  <si>
    <r>
      <t>VR</t>
    </r>
    <r>
      <rPr>
        <b/>
        <vertAlign val="superscript"/>
        <sz val="14"/>
        <color theme="1"/>
        <rFont val="Segoe UI"/>
      </rPr>
      <t>+</t>
    </r>
    <r>
      <rPr>
        <b/>
        <vertAlign val="subscript"/>
        <sz val="14"/>
        <color theme="1"/>
        <rFont val="Segoe UI"/>
      </rPr>
      <t xml:space="preserve">En </t>
    </r>
    <r>
      <rPr>
        <b/>
        <sz val="14"/>
        <color theme="1"/>
        <rFont val="Segoe UI"/>
      </rPr>
      <t xml:space="preserve">=  P </t>
    </r>
    <r>
      <rPr>
        <b/>
        <sz val="14"/>
        <color theme="1"/>
        <rFont val="Calibri"/>
      </rPr>
      <t>±</t>
    </r>
    <r>
      <rPr>
        <b/>
        <sz val="11"/>
        <color theme="1"/>
        <rFont val="Segoe UI"/>
      </rPr>
      <t xml:space="preserve"> EEF</t>
    </r>
  </si>
  <si>
    <t>VNC = Costo Adquisicion - (Amorizacion * 5 años)</t>
  </si>
  <si>
    <t>Soporte SemiCompleto Año 1</t>
  </si>
  <si>
    <t>Amortizacion (+)</t>
  </si>
  <si>
    <t>Soporte SemiCompleto Año 2</t>
  </si>
  <si>
    <t>Soporte SemiCompleto Año 3</t>
  </si>
  <si>
    <t>Soporte SemiCompleto Año 4</t>
  </si>
  <si>
    <t>Soporte SemiCompleto Año 5</t>
  </si>
  <si>
    <t xml:space="preserve">Amortisacion=(costo de adquisicion - valor residual) / vida util </t>
  </si>
  <si>
    <t>Nombre del B/U</t>
  </si>
  <si>
    <t>Costo adquisicion Individual</t>
  </si>
  <si>
    <t>Cantidad</t>
  </si>
  <si>
    <t xml:space="preserve">Valor Residual
</t>
  </si>
  <si>
    <t xml:space="preserve">Vida util </t>
  </si>
  <si>
    <t xml:space="preserve">Amortizacion Anual individual </t>
  </si>
  <si>
    <t xml:space="preserve">Precio del mercado (P) Individual </t>
  </si>
  <si>
    <t>VNC</t>
  </si>
  <si>
    <t>Efecto fiscal (EEF)</t>
  </si>
  <si>
    <r>
      <t>VR</t>
    </r>
    <r>
      <rPr>
        <b/>
        <vertAlign val="superscript"/>
        <sz val="12"/>
        <color theme="1"/>
        <rFont val="Segoe UI"/>
      </rPr>
      <t>+</t>
    </r>
    <r>
      <rPr>
        <b/>
        <vertAlign val="subscript"/>
        <sz val="12"/>
        <color theme="1"/>
        <rFont val="Segoe UI"/>
      </rPr>
      <t xml:space="preserve">En </t>
    </r>
    <r>
      <rPr>
        <b/>
        <sz val="12"/>
        <color theme="1"/>
        <rFont val="Segoe UI"/>
      </rPr>
      <t>de cada B/U Idividual</t>
    </r>
  </si>
  <si>
    <t>Costo adquisicion total</t>
  </si>
  <si>
    <t>Amortisacion por año Total</t>
  </si>
  <si>
    <r>
      <rPr>
        <sz val="11"/>
        <color rgb="FF000000"/>
        <rFont val="Arial"/>
      </rPr>
      <t>VR</t>
    </r>
    <r>
      <rPr>
        <sz val="11"/>
        <color rgb="FF000000"/>
        <rFont val="Arial"/>
      </rPr>
      <t xml:space="preserve">+En Total B/U </t>
    </r>
  </si>
  <si>
    <t>Terminal</t>
  </si>
  <si>
    <t>5</t>
  </si>
  <si>
    <t>Monitor</t>
  </si>
  <si>
    <t>Disco duro</t>
  </si>
  <si>
    <t>Soporte Completo  Año 0</t>
  </si>
  <si>
    <t xml:space="preserve">Router </t>
  </si>
  <si>
    <t>Soporte Completo  Año 1</t>
  </si>
  <si>
    <t>Switch</t>
  </si>
  <si>
    <t>Soporte Completo  Año 2</t>
  </si>
  <si>
    <t>Cableado (Bobina)</t>
  </si>
  <si>
    <t>Ficha</t>
  </si>
  <si>
    <t>Soporte Completo  Año 3</t>
  </si>
  <si>
    <t>Rack</t>
  </si>
  <si>
    <t>Soporte Completo  Año 4</t>
  </si>
  <si>
    <t>Servidor</t>
  </si>
  <si>
    <t>Soporte Completo  Año 5</t>
  </si>
  <si>
    <t>RAM</t>
  </si>
  <si>
    <t>Instalacion del hardware Economico (2 meses)          AÑO 0</t>
  </si>
  <si>
    <t>Monitor (Servidor)</t>
  </si>
  <si>
    <t>UPS</t>
  </si>
  <si>
    <t>Instalacion del hardware Recomendado (2 meses)    AÑO 0</t>
  </si>
  <si>
    <t>I.I (-)</t>
  </si>
  <si>
    <t>Periféricos</t>
  </si>
  <si>
    <t>Instalacion del hardware Premiun (2 meses)               AÑO 0</t>
  </si>
  <si>
    <t>Mesa de reunión</t>
  </si>
  <si>
    <t>Sillas de reunión</t>
  </si>
  <si>
    <t>Instalacion del hardware Economico (2 meses)          AÑO 1</t>
  </si>
  <si>
    <t>Proyector LED Mini</t>
  </si>
  <si>
    <t>Instalacion del hardware Recomendado (2 meses)    AÑO 1</t>
  </si>
  <si>
    <t>Pantalla</t>
  </si>
  <si>
    <t>Instalacion del hardware Premiun (2 meses)               AÑO 1</t>
  </si>
  <si>
    <t>Escritorio</t>
  </si>
  <si>
    <t>Instalacion del hardware Economico (2 meses)          AÑO 2</t>
  </si>
  <si>
    <t>Teléfonos de línea</t>
  </si>
  <si>
    <t>Instalacion del hardware Recomendado (2 meses)    AÑO 2</t>
  </si>
  <si>
    <t>Sillas de oficina</t>
  </si>
  <si>
    <t>Instalacion del hardware Premiun (2 meses)               AÑO 2</t>
  </si>
  <si>
    <t>Instalacion del hardware Economico (2 meses)         AÑO 3</t>
  </si>
  <si>
    <t>Windows 10 Pro</t>
  </si>
  <si>
    <t>Instalacion del hardware Recomendado (2 meses)   AÑO 3</t>
  </si>
  <si>
    <t>Instalacion del hardware Premiun (2 meses)              AÑO 3</t>
  </si>
  <si>
    <t>Red Hat</t>
  </si>
  <si>
    <t>Instalacion del hardware Economico (2 meses)         AÑO 4</t>
  </si>
  <si>
    <r>
      <rPr>
        <sz val="24"/>
        <color rgb="FF000000"/>
        <rFont val="Arial"/>
      </rPr>
      <t>VR</t>
    </r>
    <r>
      <rPr>
        <sz val="24"/>
        <color rgb="FF000000"/>
        <rFont val="Arial"/>
      </rPr>
      <t>+En (+)</t>
    </r>
  </si>
  <si>
    <t>Instalacion del hardware Recomendado (2 meses)   AÑO 4</t>
  </si>
  <si>
    <t xml:space="preserve">
</t>
  </si>
  <si>
    <t>Instalacion del hardware Premiun (2 meses)              AÑO 4</t>
  </si>
  <si>
    <t>Instalacion del hardware Economico (2 meses)         AÑO 5</t>
  </si>
  <si>
    <t>Instalacion del hardware Recomendado (2 meses)   AÑO 5</t>
  </si>
  <si>
    <t xml:space="preserve">Total: </t>
  </si>
  <si>
    <t>Instalacion del hardware Premiun (2 meses)              AÑO 5</t>
  </si>
  <si>
    <t>5 años</t>
  </si>
  <si>
    <t xml:space="preserve">Costos operativos </t>
  </si>
  <si>
    <t>Costos fijos</t>
  </si>
  <si>
    <t>Cotos Variables  Obj12</t>
  </si>
  <si>
    <t xml:space="preserve">Totales Por año </t>
  </si>
  <si>
    <r>
      <t xml:space="preserve">Flujo de fondos </t>
    </r>
    <r>
      <rPr>
        <sz val="28"/>
        <color theme="1"/>
        <rFont val="Segoe UI"/>
      </rPr>
      <t xml:space="preserve">(Tercera entrega) </t>
    </r>
  </si>
  <si>
    <t>Observaciones</t>
  </si>
  <si>
    <t>Ya que no tiene sentido que nuestra compañía no desarrolle el proyecto, se considera como 0</t>
  </si>
  <si>
    <t xml:space="preserve">En esta tabla se marcan las cantidades de cada producto venido a lo largo de cada año </t>
  </si>
  <si>
    <t>Obj3</t>
  </si>
  <si>
    <t>Con la intención de cubrir los costos fijos, de los costos operativos, cada precio de venta tiene incluido los correspondientes costos fijos a la duración del desarrollo del servicio o producto a desarrollar</t>
  </si>
  <si>
    <t>Obj4</t>
  </si>
  <si>
    <t xml:space="preserve">Se calculan estimando entre multiples precios de la plaza, no es exacto </t>
  </si>
  <si>
    <t xml:space="preserve">Aumento del salario de los socios, en días no laborables </t>
  </si>
  <si>
    <t xml:space="preserve">Presupuesto del equipamiento de hardware necesario por lo clientes para el funcionamiento del sistema  </t>
  </si>
  <si>
    <t>Obj7</t>
  </si>
  <si>
    <t>Numero de dias no laborables, como sabado, domingo y feriados no laborables, los cuales los socios trabajaran. Se considera 9 dias ya que en algunos meses hay un feriado no laborable, en los que no se cobra igual para ayudar en algo a 
pagar los gastos operativos</t>
  </si>
  <si>
    <t xml:space="preserve">Cotización estimada por el docente durante el resto del año y 4 mas   </t>
  </si>
  <si>
    <t xml:space="preserve">A diferencia del salario por hora de los empleados, este valor será el cobrado a los clientes por ahora de trabajo de empleado </t>
  </si>
  <si>
    <t xml:space="preserve">Para no pagar horas extras de forma rutinaria, los socios primeramente solo trabajaran 8 horas y de lunes a viernes. Siendo un estimado de 4 semanas, ya que un mes no son puramente 4 semanas (7*4=28, cuando generalmente son 30/31),
 se toman 2 días laborales mas  </t>
  </si>
  <si>
    <t>Obj11</t>
  </si>
  <si>
    <t xml:space="preserve">Los socios no suelen trabajar días no laborables, pero en el caso que estén realizando un Soporte que se trabajen días no laborables, los costos operativos variables cambiaran, ya que tenemos que añadirle a ello a los salarios de los socios 
dichas horas trabajadas, con el aumento correspondiente por trabajo en días no laborables    </t>
  </si>
  <si>
    <t>Obj12</t>
  </si>
  <si>
    <t xml:space="preserve">Los costos variables se calculan con todos la sección tributaria, salarial y compra de equipamiento para la realización de la instalación del hardware, variando su valor en el tipo de instalación que se haga     </t>
  </si>
  <si>
    <t xml:space="preserve">Salario Extra calculado por dia no laboral </t>
  </si>
  <si>
    <t xml:space="preserve">Año 1 </t>
  </si>
  <si>
    <t xml:space="preserve">Año 2 </t>
  </si>
  <si>
    <t xml:space="preserve">Año 3 </t>
  </si>
  <si>
    <t>FF Corriente</t>
  </si>
  <si>
    <t xml:space="preserve">Deflactor </t>
  </si>
  <si>
    <t>Flujo de fondos Constantes</t>
  </si>
  <si>
    <r>
      <t xml:space="preserve">TRR= </t>
    </r>
    <r>
      <rPr>
        <b/>
        <sz val="26"/>
        <color theme="1"/>
        <rFont val="Calibri"/>
        <family val="2"/>
      </rPr>
      <t xml:space="preserve">- 8231331767 (No rentable) </t>
    </r>
  </si>
  <si>
    <r>
      <t xml:space="preserve">TRR= </t>
    </r>
    <r>
      <rPr>
        <sz val="26"/>
        <color rgb="FFFF0000"/>
        <rFont val="Calibri"/>
        <family val="2"/>
      </rPr>
      <t xml:space="preserve">- 8231331767 (No rentable) </t>
    </r>
  </si>
  <si>
    <r>
      <t xml:space="preserve">TRR= </t>
    </r>
    <r>
      <rPr>
        <sz val="22"/>
        <color rgb="FFFF0000"/>
        <rFont val="Calibri"/>
        <family val="2"/>
      </rPr>
      <t xml:space="preserve">- 8,231331767 (No rentable)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</si>
</sst>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2C0A]\ * #,##0.00_ ;_ [$$-2C0A]\ * \-#,##0.00_ ;_ [$$-2C0A]\ * &quot;-&quot;??_ ;_ @_ "/>
    <numFmt numFmtId="165" formatCode="_ [$$-340A]* #,##0.00_ ;_ [$$-340A]* \-#,##0.00_ ;_ [$$-340A]* &quot;-&quot;??_ ;_ @_ "/>
    <numFmt numFmtId="166" formatCode="_-[$$-1004]* #,##0.00_-;\-[$$-1004]* #,##0.00_-;_-[$$-1004]* &quot;-&quot;??_-;_-@"/>
    <numFmt numFmtId="167" formatCode="#,##0.00\ &quot;US$&quot;"/>
    <numFmt numFmtId="168" formatCode="_-* #,##0.00\ [$UYU]_-;\-* #,##0.00\ [$UYU]_-;_-* &quot;-&quot;??\ [$UYU]_-;_-@"/>
    <numFmt numFmtId="169" formatCode="_-[$$-340A]\ * #,##0.00_-;\-[$$-340A]\ * #,##0.00_-;_-[$$-340A]\ * &quot;-&quot;??_-;_-@"/>
    <numFmt numFmtId="170" formatCode="_-[$$-2C0A]\ * #,##0.00_-;\-[$$-2C0A]\ * #,##0.00_-;_-[$$-2C0A]\ * &quot;-&quot;??_-;_-@"/>
    <numFmt numFmtId="171" formatCode="_-[$$-45C]* #,##0.00_-;\-[$$-45C]* #,##0.00_-;_-[$$-45C]* &quot;-&quot;??_-;_-@"/>
    <numFmt numFmtId="172" formatCode="0.000%"/>
    <numFmt numFmtId="173" formatCode="#.##000\ &quot;US$&quot;"/>
    <numFmt numFmtId="174" formatCode="_-* #,##0.00\ [$€-1]_-;\-* #,##0.00\ [$€-1]_-;_-* &quot;-&quot;??\ [$€-1]_-;_-@"/>
    <numFmt numFmtId="175" formatCode="#.##0\ &quot;Unidades&quot;"/>
  </numFmts>
  <fonts count="41">
    <font>
      <sz val="11"/>
      <color theme="1"/>
      <name val="Arial"/>
    </font>
    <font>
      <sz val="72"/>
      <color theme="1"/>
      <name val="Quattrocento Sans"/>
    </font>
    <font>
      <sz val="11"/>
      <color theme="1"/>
      <name val="Quattrocento Sans"/>
    </font>
    <font>
      <b/>
      <sz val="16"/>
      <color theme="1"/>
      <name val="Quattrocento Sans"/>
    </font>
    <font>
      <b/>
      <sz val="11"/>
      <color theme="1"/>
      <name val="Quattrocento Sans"/>
    </font>
    <font>
      <sz val="11"/>
      <name val="Arial"/>
    </font>
    <font>
      <b/>
      <sz val="14"/>
      <color theme="1"/>
      <name val="Quattrocento Sans"/>
    </font>
    <font>
      <sz val="11"/>
      <color theme="1"/>
      <name val="Calibri"/>
    </font>
    <font>
      <b/>
      <sz val="28"/>
      <color theme="1"/>
      <name val="Times New Roman"/>
    </font>
    <font>
      <sz val="11"/>
      <color theme="1"/>
      <name val="Times New Roman"/>
    </font>
    <font>
      <b/>
      <sz val="25"/>
      <color theme="1"/>
      <name val="Times New Roman"/>
    </font>
    <font>
      <sz val="24"/>
      <color rgb="FF000000"/>
      <name val="Quattrocento Sans"/>
    </font>
    <font>
      <sz val="24"/>
      <color theme="1"/>
      <name val="Quattrocento Sans"/>
    </font>
    <font>
      <b/>
      <sz val="18"/>
      <color theme="1"/>
      <name val="Times New Roman"/>
    </font>
    <font>
      <sz val="24"/>
      <color rgb="FFA50021"/>
      <name val="Quattrocento Sans"/>
    </font>
    <font>
      <sz val="12"/>
      <color theme="1"/>
      <name val="Quattrocento Sans"/>
    </font>
    <font>
      <b/>
      <sz val="12"/>
      <color theme="1"/>
      <name val="Quattrocento Sans"/>
    </font>
    <font>
      <b/>
      <sz val="24"/>
      <color theme="1"/>
      <name val="Quattrocento Sans"/>
    </font>
    <font>
      <b/>
      <sz val="12"/>
      <color rgb="FF000000"/>
      <name val="Quattrocento Sans"/>
    </font>
    <font>
      <sz val="11"/>
      <color rgb="FF000000"/>
      <name val="Quattrocento Sans"/>
    </font>
    <font>
      <b/>
      <sz val="12"/>
      <name val="Arial"/>
    </font>
    <font>
      <b/>
      <sz val="12"/>
      <color theme="1"/>
      <name val="Calibri"/>
    </font>
    <font>
      <b/>
      <sz val="25"/>
      <color rgb="FF000000"/>
      <name val="Quattrocento Sans"/>
    </font>
    <font>
      <b/>
      <sz val="26"/>
      <color theme="1"/>
      <name val="Quattrocento Sans"/>
    </font>
    <font>
      <b/>
      <sz val="11"/>
      <color theme="1"/>
      <name val="Calibri"/>
    </font>
    <font>
      <sz val="11"/>
      <color theme="1"/>
      <name val="Calibri"/>
    </font>
    <font>
      <sz val="28"/>
      <color theme="1"/>
      <name val="Segoe UI"/>
    </font>
    <font>
      <sz val="28"/>
      <color theme="1"/>
      <name val="Segoe UI Semibold"/>
    </font>
    <font>
      <b/>
      <sz val="11"/>
      <color rgb="FF2E75B5"/>
      <name val="Segoe UI"/>
    </font>
    <font>
      <b/>
      <vertAlign val="superscript"/>
      <sz val="14"/>
      <color theme="1"/>
      <name val="Segoe UI"/>
    </font>
    <font>
      <b/>
      <vertAlign val="subscript"/>
      <sz val="14"/>
      <color theme="1"/>
      <name val="Segoe UI"/>
    </font>
    <font>
      <b/>
      <sz val="14"/>
      <color theme="1"/>
      <name val="Segoe UI"/>
    </font>
    <font>
      <b/>
      <sz val="14"/>
      <color theme="1"/>
      <name val="Calibri"/>
    </font>
    <font>
      <b/>
      <sz val="11"/>
      <color theme="1"/>
      <name val="Segoe UI"/>
    </font>
    <font>
      <b/>
      <vertAlign val="superscript"/>
      <sz val="12"/>
      <color theme="1"/>
      <name val="Segoe UI"/>
    </font>
    <font>
      <b/>
      <vertAlign val="subscript"/>
      <sz val="12"/>
      <color theme="1"/>
      <name val="Segoe UI"/>
    </font>
    <font>
      <b/>
      <sz val="12"/>
      <color theme="1"/>
      <name val="Segoe UI"/>
    </font>
    <font>
      <sz val="11"/>
      <color rgb="FF000000"/>
      <name val="Arial"/>
    </font>
    <font>
      <sz val="24"/>
      <color rgb="FF000000"/>
      <name val="Arial"/>
    </font>
    <font>
      <b/>
      <sz val="22"/>
      <color theme="1"/>
      <name val="Calibri"/>
      <family val="2"/>
    </font>
    <font>
      <sz val="22"/>
      <color rgb="FFFF0000"/>
      <name val="Calibri"/>
      <family val="2"/>
    </font>
  </fonts>
  <fills count="6">
    <fill>
      <patternFill patternType="none"/>
    </fill>
    <fill>
      <patternFill patternType="gray125"/>
    </fill>
    <fill>
      <patternFill patternType="solid">
        <fgColor rgb="FFFEF2CB"/>
        <bgColor rgb="FFFEF2CB"/>
      </patternFill>
    </fill>
    <fill>
      <patternFill patternType="solid">
        <fgColor rgb="FF9CC2E5"/>
        <bgColor rgb="FF9CC2E5"/>
      </patternFill>
    </fill>
    <fill>
      <patternFill patternType="solid">
        <fgColor theme="0"/>
        <bgColor theme="0"/>
      </patternFill>
    </fill>
    <fill>
      <patternFill patternType="solid">
        <fgColor rgb="FFB4C6E7"/>
        <bgColor rgb="FFB4C6E7"/>
      </patternFill>
    </fill>
  </fills>
  <borders count="130">
    <border>
      <left/>
      <right/>
      <top/>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thick">
        <color rgb="FF000000"/>
      </top>
      <bottom style="medium">
        <color rgb="FF000000"/>
      </bottom>
      <diagonal/>
    </border>
    <border>
      <left style="dotted">
        <color rgb="FF000000"/>
      </left>
      <right style="dotted">
        <color rgb="FF000000"/>
      </right>
      <top style="dotted">
        <color rgb="FF000000"/>
      </top>
      <bottom/>
      <diagonal/>
    </border>
    <border>
      <left style="medium">
        <color rgb="FF000000"/>
      </left>
      <right style="medium">
        <color rgb="FF000000"/>
      </right>
      <top style="medium">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dotted">
        <color rgb="FF000000"/>
      </left>
      <right style="dotted">
        <color rgb="FF000000"/>
      </right>
      <top/>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medium">
        <color rgb="FF000000"/>
      </right>
      <top style="thin">
        <color rgb="FF000000"/>
      </top>
      <bottom style="thick">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dotted">
        <color rgb="FF000000"/>
      </right>
      <top style="thin">
        <color rgb="FF000000"/>
      </top>
      <bottom style="medium">
        <color rgb="FF000000"/>
      </bottom>
      <diagonal/>
    </border>
    <border>
      <left style="medium">
        <color rgb="FF000000"/>
      </left>
      <right style="thin">
        <color rgb="FF000000"/>
      </right>
      <top style="thick">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dotted">
        <color rgb="FF000000"/>
      </left>
      <right style="dotted">
        <color rgb="FF000000"/>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ck">
        <color rgb="FF000000"/>
      </right>
      <top style="medium">
        <color rgb="FF000000"/>
      </top>
      <bottom/>
      <diagonal/>
    </border>
    <border>
      <left style="thick">
        <color rgb="FF000000"/>
      </left>
      <right/>
      <top/>
      <bottom/>
      <diagonal/>
    </border>
    <border>
      <left style="medium">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medium">
        <color rgb="FF000000"/>
      </left>
      <right/>
      <top style="thick">
        <color rgb="FF000000"/>
      </top>
      <bottom/>
      <diagonal/>
    </border>
    <border>
      <left/>
      <right/>
      <top style="thick">
        <color rgb="FF000000"/>
      </top>
      <bottom/>
      <diagonal/>
    </border>
    <border>
      <left style="thick">
        <color rgb="FF000000"/>
      </left>
      <right/>
      <top style="thick">
        <color rgb="FF000000"/>
      </top>
      <bottom/>
      <diagonal/>
    </border>
    <border>
      <left/>
      <right/>
      <top style="thick">
        <color rgb="FF000000"/>
      </top>
      <bottom/>
      <diagonal/>
    </border>
    <border>
      <left/>
      <right/>
      <top style="thick">
        <color rgb="FF000000"/>
      </top>
      <bottom/>
      <diagonal/>
    </border>
    <border>
      <left/>
      <right/>
      <top/>
      <bottom/>
      <diagonal/>
    </border>
    <border>
      <left/>
      <right/>
      <top/>
      <bottom style="medium">
        <color rgb="FF000000"/>
      </bottom>
      <diagonal/>
    </border>
    <border>
      <left/>
      <right style="medium">
        <color rgb="FF000000"/>
      </right>
      <top/>
      <bottom/>
      <diagonal/>
    </border>
    <border>
      <left/>
      <right/>
      <top/>
      <bottom style="thick">
        <color rgb="FF000000"/>
      </bottom>
      <diagonal/>
    </border>
    <border>
      <left style="thick">
        <color rgb="FF000000"/>
      </left>
      <right/>
      <top style="medium">
        <color rgb="FF000000"/>
      </top>
      <bottom style="thick">
        <color rgb="FF000000"/>
      </bottom>
      <diagonal/>
    </border>
    <border>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style="thin">
        <color rgb="FF000000"/>
      </left>
      <right style="thick">
        <color rgb="FF000000"/>
      </right>
      <top style="thick">
        <color rgb="FF000000"/>
      </top>
      <bottom style="thin">
        <color rgb="FF000000"/>
      </bottom>
      <diagonal/>
    </border>
    <border>
      <left/>
      <right style="dotted">
        <color rgb="FF000000"/>
      </right>
      <top style="dotted">
        <color rgb="FF000000"/>
      </top>
      <bottom style="dotted">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dotted">
        <color rgb="FF000000"/>
      </left>
      <right style="dotted">
        <color rgb="FF000000"/>
      </right>
      <top/>
      <bottom style="dotted">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medium">
        <color rgb="FF000000"/>
      </top>
      <bottom/>
      <diagonal/>
    </border>
    <border>
      <left/>
      <right/>
      <top style="medium">
        <color rgb="FF000000"/>
      </top>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double">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bottom style="double">
        <color rgb="FF000000"/>
      </bottom>
      <diagonal/>
    </border>
    <border>
      <left style="thin">
        <color rgb="FF000000"/>
      </left>
      <right/>
      <top/>
      <bottom style="double">
        <color rgb="FF000000"/>
      </bottom>
      <diagonal/>
    </border>
    <border>
      <left style="thick">
        <color rgb="FF000000"/>
      </left>
      <right style="medium">
        <color rgb="FF000000"/>
      </right>
      <top/>
      <bottom style="double">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dotted">
        <color rgb="FF000000"/>
      </top>
      <bottom/>
      <diagonal/>
    </border>
    <border>
      <left style="medium">
        <color rgb="FF000000"/>
      </left>
      <right style="dotted">
        <color rgb="FF000000"/>
      </right>
      <top/>
      <bottom/>
      <diagonal/>
    </border>
    <border>
      <left/>
      <right style="thin">
        <color rgb="FF000000"/>
      </right>
      <top style="thin">
        <color rgb="FF000000"/>
      </top>
      <bottom style="medium">
        <color rgb="FF000000"/>
      </bottom>
      <diagonal/>
    </border>
    <border>
      <left style="thick">
        <color rgb="FF000000"/>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style="dotted">
        <color rgb="FF000000"/>
      </right>
      <top/>
      <bottom style="dotted">
        <color rgb="FF000000"/>
      </bottom>
      <diagonal/>
    </border>
    <border>
      <left style="medium">
        <color rgb="FF000000"/>
      </left>
      <right style="medium">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ck">
        <color rgb="FF000000"/>
      </left>
      <right style="medium">
        <color rgb="FF000000"/>
      </right>
      <top style="thin">
        <color rgb="FF000000"/>
      </top>
      <bottom style="thin">
        <color rgb="FF000000"/>
      </bottom>
      <diagonal/>
    </border>
    <border>
      <left/>
      <right style="dotted">
        <color rgb="FF000000"/>
      </right>
      <top style="dotted">
        <color rgb="FF000000"/>
      </top>
      <bottom/>
      <diagonal/>
    </border>
    <border>
      <left/>
      <right style="dotted">
        <color rgb="FF000000"/>
      </right>
      <top/>
      <bottom style="dotted">
        <color rgb="FF000000"/>
      </bottom>
      <diagonal/>
    </border>
    <border>
      <left/>
      <right style="thin">
        <color rgb="FF000000"/>
      </right>
      <top/>
      <bottom style="medium">
        <color rgb="FF000000"/>
      </bottom>
      <diagonal/>
    </border>
    <border>
      <left/>
      <right style="medium">
        <color rgb="FF000000"/>
      </right>
      <top/>
      <bottom style="thin">
        <color rgb="FF000000"/>
      </bottom>
      <diagonal/>
    </border>
    <border>
      <left style="thin">
        <color rgb="FF000000"/>
      </left>
      <right style="thick">
        <color rgb="FF000000"/>
      </right>
      <top style="medium">
        <color rgb="FF000000"/>
      </top>
      <bottom style="thin">
        <color rgb="FF000000"/>
      </bottom>
      <diagonal/>
    </border>
    <border>
      <left style="thick">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diagonal/>
    </border>
    <border>
      <left style="thick">
        <color rgb="FF000000"/>
      </left>
      <right style="medium">
        <color rgb="FF000000"/>
      </right>
      <top/>
      <bottom style="medium">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ck">
        <color rgb="FF000000"/>
      </left>
      <right style="medium">
        <color rgb="FF000000"/>
      </right>
      <top style="thin">
        <color rgb="FF000000"/>
      </top>
      <bottom style="double">
        <color rgb="FF000000"/>
      </bottom>
      <diagonal/>
    </border>
    <border>
      <left style="thin">
        <color rgb="FF000000"/>
      </left>
      <right/>
      <top/>
      <bottom/>
      <diagonal/>
    </border>
    <border>
      <left style="thick">
        <color rgb="FF000000"/>
      </left>
      <right style="medium">
        <color rgb="FF000000"/>
      </right>
      <top/>
      <bottom/>
      <diagonal/>
    </border>
    <border>
      <left style="thin">
        <color rgb="FF000000"/>
      </left>
      <right style="medium">
        <color rgb="FF000000"/>
      </right>
      <top/>
      <bottom style="thin">
        <color rgb="FF000000"/>
      </bottom>
      <diagonal/>
    </border>
    <border>
      <left style="thick">
        <color rgb="FF000000"/>
      </left>
      <right style="medium">
        <color rgb="FF000000"/>
      </right>
      <top style="thin">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medium">
        <color rgb="FF000000"/>
      </top>
      <bottom style="medium">
        <color rgb="FF000000"/>
      </bottom>
      <diagonal/>
    </border>
    <border>
      <left/>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ck">
        <color rgb="FF000000"/>
      </top>
      <bottom style="medium">
        <color rgb="FF000000"/>
      </bottom>
      <diagonal/>
    </border>
    <border>
      <left/>
      <right style="thin">
        <color rgb="FF000000"/>
      </right>
      <top style="thick">
        <color rgb="FF000000"/>
      </top>
      <bottom style="medium">
        <color rgb="FF000000"/>
      </bottom>
      <diagonal/>
    </border>
    <border>
      <left style="thin">
        <color rgb="FF000000"/>
      </left>
      <right style="thin">
        <color rgb="FF000000"/>
      </right>
      <top style="thick">
        <color rgb="FF000000"/>
      </top>
      <bottom style="medium">
        <color rgb="FF000000"/>
      </bottom>
      <diagonal/>
    </border>
    <border>
      <left style="thin">
        <color rgb="FF000000"/>
      </left>
      <right style="medium">
        <color rgb="FF000000"/>
      </right>
      <top style="thick">
        <color rgb="FF000000"/>
      </top>
      <bottom style="medium">
        <color rgb="FF000000"/>
      </bottom>
      <diagonal/>
    </border>
    <border>
      <left style="dotted">
        <color rgb="FF000000"/>
      </left>
      <right style="dotted">
        <color rgb="FF000000"/>
      </right>
      <top style="dotted">
        <color rgb="FF000000"/>
      </top>
      <bottom style="dotted">
        <color rgb="FF000000"/>
      </bottom>
      <diagonal/>
    </border>
    <border>
      <left/>
      <right/>
      <top style="thin">
        <color rgb="FF000000"/>
      </top>
      <bottom style="medium">
        <color rgb="FF000000"/>
      </bottom>
      <diagonal/>
    </border>
    <border>
      <left style="thin">
        <color rgb="FF000000"/>
      </left>
      <right style="thick">
        <color rgb="FF000000"/>
      </right>
      <top style="thin">
        <color rgb="FF000000"/>
      </top>
      <bottom style="medium">
        <color rgb="FF000000"/>
      </bottom>
      <diagonal/>
    </border>
    <border>
      <left style="medium">
        <color rgb="FF000000"/>
      </left>
      <right/>
      <top/>
      <bottom style="medium">
        <color rgb="FF000000"/>
      </bottom>
      <diagonal/>
    </border>
    <border>
      <left/>
      <right style="thin">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style="medium">
        <color rgb="FF000000"/>
      </bottom>
      <diagonal/>
    </border>
    <border>
      <left/>
      <right style="thin">
        <color rgb="FF000000"/>
      </right>
      <top style="medium">
        <color rgb="FF000000"/>
      </top>
      <bottom/>
      <diagonal/>
    </border>
    <border>
      <left style="thin">
        <color rgb="FF000000"/>
      </left>
      <right/>
      <top style="medium">
        <color rgb="FF000000"/>
      </top>
      <bottom style="thick">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52">
    <xf numFmtId="0" fontId="0" fillId="0" borderId="0" xfId="0" applyFont="1" applyAlignment="1"/>
    <xf numFmtId="0" fontId="2" fillId="0" borderId="0" xfId="0" applyFont="1"/>
    <xf numFmtId="0" fontId="3" fillId="2" borderId="2" xfId="0" applyFont="1" applyFill="1" applyBorder="1"/>
    <xf numFmtId="0" fontId="4" fillId="0" borderId="2" xfId="0" applyFont="1" applyBorder="1"/>
    <xf numFmtId="0" fontId="4" fillId="0" borderId="3" xfId="0" applyFont="1" applyBorder="1"/>
    <xf numFmtId="0" fontId="2" fillId="0" borderId="5" xfId="0" applyFont="1" applyBorder="1" applyAlignment="1">
      <alignment horizontal="right"/>
    </xf>
    <xf numFmtId="0" fontId="2" fillId="0" borderId="6" xfId="0" applyFont="1" applyBorder="1"/>
    <xf numFmtId="0" fontId="2" fillId="0" borderId="7" xfId="0" applyFont="1" applyBorder="1"/>
    <xf numFmtId="0" fontId="2" fillId="0" borderId="8" xfId="0" applyFont="1" applyBorder="1"/>
    <xf numFmtId="164" fontId="2" fillId="0" borderId="8" xfId="0" applyNumberFormat="1" applyFont="1" applyBorder="1" applyAlignment="1">
      <alignment horizontal="left"/>
    </xf>
    <xf numFmtId="0" fontId="2" fillId="0" borderId="10" xfId="0" applyFont="1" applyBorder="1" applyAlignment="1">
      <alignment horizontal="right"/>
    </xf>
    <xf numFmtId="0" fontId="2" fillId="0" borderId="11" xfId="0" applyFont="1" applyBorder="1"/>
    <xf numFmtId="0" fontId="2" fillId="0" borderId="12" xfId="0" applyFont="1" applyBorder="1"/>
    <xf numFmtId="0" fontId="2" fillId="0" borderId="13" xfId="0" applyFont="1" applyBorder="1"/>
    <xf numFmtId="164" fontId="2" fillId="0" borderId="13" xfId="0" applyNumberFormat="1" applyFont="1" applyBorder="1" applyAlignment="1">
      <alignment horizontal="left"/>
    </xf>
    <xf numFmtId="0" fontId="2" fillId="0" borderId="14" xfId="0" applyFont="1" applyBorder="1" applyAlignment="1">
      <alignment horizontal="right"/>
    </xf>
    <xf numFmtId="0" fontId="2" fillId="0" borderId="15" xfId="0" applyFont="1" applyBorder="1"/>
    <xf numFmtId="0" fontId="2" fillId="0" borderId="16" xfId="0" applyFont="1" applyBorder="1"/>
    <xf numFmtId="0" fontId="2" fillId="0" borderId="17" xfId="0" applyFont="1" applyBorder="1"/>
    <xf numFmtId="164" fontId="2" fillId="0" borderId="17" xfId="0" applyNumberFormat="1" applyFont="1" applyBorder="1" applyAlignment="1">
      <alignment horizontal="left"/>
    </xf>
    <xf numFmtId="0" fontId="2" fillId="0" borderId="18" xfId="0" applyFont="1" applyBorder="1" applyAlignment="1">
      <alignment horizontal="right"/>
    </xf>
    <xf numFmtId="0" fontId="2" fillId="0" borderId="19" xfId="0" applyFont="1" applyBorder="1"/>
    <xf numFmtId="0" fontId="2" fillId="0" borderId="20" xfId="0" applyFont="1" applyBorder="1"/>
    <xf numFmtId="0" fontId="2" fillId="0" borderId="21" xfId="0" applyFont="1" applyBorder="1"/>
    <xf numFmtId="164" fontId="2" fillId="0" borderId="22" xfId="0" applyNumberFormat="1" applyFont="1" applyBorder="1" applyAlignment="1">
      <alignment horizontal="left"/>
    </xf>
    <xf numFmtId="0" fontId="4" fillId="0" borderId="23" xfId="0" applyFont="1" applyBorder="1" applyAlignment="1">
      <alignment horizontal="right"/>
    </xf>
    <xf numFmtId="164" fontId="4" fillId="0" borderId="24" xfId="0" applyNumberFormat="1" applyFont="1" applyBorder="1"/>
    <xf numFmtId="165" fontId="4" fillId="0" borderId="24" xfId="0" applyNumberFormat="1" applyFont="1" applyBorder="1"/>
    <xf numFmtId="164" fontId="2" fillId="0" borderId="25" xfId="0" applyNumberFormat="1" applyFont="1" applyBorder="1"/>
    <xf numFmtId="0" fontId="7" fillId="0" borderId="33" xfId="0" applyFont="1" applyBorder="1"/>
    <xf numFmtId="0" fontId="9" fillId="0" borderId="43" xfId="0" applyFont="1" applyBorder="1"/>
    <xf numFmtId="0" fontId="7" fillId="0" borderId="43" xfId="0" applyFont="1" applyBorder="1"/>
    <xf numFmtId="0" fontId="7" fillId="0" borderId="44" xfId="0" applyFont="1" applyBorder="1"/>
    <xf numFmtId="0" fontId="7" fillId="0" borderId="0" xfId="0" applyFont="1"/>
    <xf numFmtId="0" fontId="10" fillId="2" borderId="48" xfId="0" applyFont="1" applyFill="1" applyBorder="1" applyAlignment="1">
      <alignment horizontal="center" vertical="center"/>
    </xf>
    <xf numFmtId="0" fontId="10" fillId="2" borderId="49" xfId="0" applyFont="1" applyFill="1" applyBorder="1" applyAlignment="1">
      <alignment horizontal="center" vertical="center"/>
    </xf>
    <xf numFmtId="0" fontId="10" fillId="4" borderId="50" xfId="0" applyFont="1" applyFill="1" applyBorder="1"/>
    <xf numFmtId="166" fontId="12" fillId="0" borderId="7" xfId="0" applyNumberFormat="1" applyFont="1" applyBorder="1"/>
    <xf numFmtId="166" fontId="12" fillId="0" borderId="54" xfId="0" applyNumberFormat="1" applyFont="1" applyBorder="1"/>
    <xf numFmtId="0" fontId="13" fillId="3" borderId="55" xfId="0" applyFont="1" applyFill="1" applyBorder="1" applyAlignment="1">
      <alignment vertical="center"/>
    </xf>
    <xf numFmtId="166" fontId="14" fillId="0" borderId="12" xfId="0" applyNumberFormat="1" applyFont="1" applyBorder="1"/>
    <xf numFmtId="10" fontId="2" fillId="0" borderId="2" xfId="0" applyNumberFormat="1" applyFont="1" applyBorder="1"/>
    <xf numFmtId="0" fontId="4" fillId="3" borderId="55" xfId="0" applyFont="1" applyFill="1" applyBorder="1" applyAlignment="1">
      <alignment vertical="center"/>
    </xf>
    <xf numFmtId="167" fontId="2" fillId="0" borderId="7" xfId="0" applyNumberFormat="1" applyFont="1" applyBorder="1"/>
    <xf numFmtId="10" fontId="2" fillId="0" borderId="0" xfId="0" applyNumberFormat="1" applyFont="1"/>
    <xf numFmtId="167" fontId="2" fillId="0" borderId="12" xfId="0" applyNumberFormat="1" applyFont="1" applyBorder="1"/>
    <xf numFmtId="0" fontId="6" fillId="2" borderId="2" xfId="0" applyFont="1" applyFill="1" applyBorder="1"/>
    <xf numFmtId="0" fontId="2" fillId="0" borderId="2" xfId="0" applyFont="1" applyBorder="1"/>
    <xf numFmtId="0" fontId="2" fillId="0" borderId="2" xfId="0" applyFont="1" applyBorder="1" applyAlignment="1">
      <alignment horizontal="left"/>
    </xf>
    <xf numFmtId="0" fontId="2" fillId="0" borderId="59" xfId="0" applyFont="1" applyBorder="1"/>
    <xf numFmtId="0" fontId="2" fillId="0" borderId="60" xfId="0" applyFont="1" applyBorder="1"/>
    <xf numFmtId="168" fontId="2" fillId="0" borderId="2" xfId="0" applyNumberFormat="1" applyFont="1" applyBorder="1" applyAlignment="1">
      <alignment horizontal="left"/>
    </xf>
    <xf numFmtId="0" fontId="2" fillId="0" borderId="61" xfId="0" applyFont="1" applyBorder="1"/>
    <xf numFmtId="0" fontId="6" fillId="0" borderId="0" xfId="0" applyFont="1"/>
    <xf numFmtId="10" fontId="15" fillId="0" borderId="0" xfId="0" applyNumberFormat="1" applyFont="1"/>
    <xf numFmtId="167" fontId="2" fillId="0" borderId="64" xfId="0" applyNumberFormat="1" applyFont="1" applyBorder="1"/>
    <xf numFmtId="167" fontId="2" fillId="0" borderId="65" xfId="0" applyNumberFormat="1" applyFont="1" applyBorder="1"/>
    <xf numFmtId="0" fontId="4" fillId="0" borderId="2" xfId="0" applyFont="1" applyBorder="1" applyAlignment="1">
      <alignment wrapText="1"/>
    </xf>
    <xf numFmtId="0" fontId="4" fillId="0" borderId="57" xfId="0" applyFont="1" applyBorder="1"/>
    <xf numFmtId="167" fontId="2" fillId="0" borderId="19" xfId="0" applyNumberFormat="1" applyFont="1" applyBorder="1"/>
    <xf numFmtId="0" fontId="2" fillId="0" borderId="69" xfId="0" applyFont="1" applyBorder="1"/>
    <xf numFmtId="166" fontId="14" fillId="0" borderId="70" xfId="0" applyNumberFormat="1" applyFont="1" applyBorder="1"/>
    <xf numFmtId="0" fontId="2" fillId="0" borderId="64" xfId="0" applyFont="1" applyBorder="1"/>
    <xf numFmtId="164" fontId="2" fillId="0" borderId="59" xfId="0" applyNumberFormat="1" applyFont="1" applyBorder="1"/>
    <xf numFmtId="164" fontId="2" fillId="0" borderId="71" xfId="0" applyNumberFormat="1" applyFont="1" applyBorder="1"/>
    <xf numFmtId="0" fontId="2" fillId="0" borderId="72" xfId="0" applyFont="1" applyBorder="1"/>
    <xf numFmtId="166" fontId="14" fillId="0" borderId="13" xfId="0" applyNumberFormat="1" applyFont="1" applyBorder="1"/>
    <xf numFmtId="169" fontId="2" fillId="0" borderId="73" xfId="0" applyNumberFormat="1" applyFont="1" applyBorder="1"/>
    <xf numFmtId="0" fontId="2" fillId="0" borderId="75" xfId="0" applyFont="1" applyBorder="1"/>
    <xf numFmtId="164" fontId="2" fillId="0" borderId="6" xfId="0" applyNumberFormat="1" applyFont="1" applyBorder="1"/>
    <xf numFmtId="0" fontId="2" fillId="0" borderId="65" xfId="0" applyFont="1" applyBorder="1"/>
    <xf numFmtId="164" fontId="2" fillId="0" borderId="60" xfId="0" applyNumberFormat="1" applyFont="1" applyBorder="1"/>
    <xf numFmtId="164" fontId="2" fillId="0" borderId="7" xfId="0" applyNumberFormat="1" applyFont="1" applyBorder="1"/>
    <xf numFmtId="169" fontId="2" fillId="0" borderId="79" xfId="0" applyNumberFormat="1" applyFont="1" applyBorder="1"/>
    <xf numFmtId="170" fontId="2" fillId="0" borderId="80" xfId="0" applyNumberFormat="1" applyFont="1" applyBorder="1"/>
    <xf numFmtId="166" fontId="14" fillId="0" borderId="20" xfId="0" applyNumberFormat="1" applyFont="1" applyBorder="1"/>
    <xf numFmtId="0" fontId="2" fillId="0" borderId="82" xfId="0" applyFont="1" applyBorder="1"/>
    <xf numFmtId="166" fontId="14" fillId="0" borderId="20" xfId="0" applyNumberFormat="1" applyFont="1" applyBorder="1" applyAlignment="1"/>
    <xf numFmtId="0" fontId="16" fillId="0" borderId="83" xfId="0" applyFont="1" applyBorder="1"/>
    <xf numFmtId="167" fontId="4" fillId="0" borderId="59" xfId="0" applyNumberFormat="1" applyFont="1" applyBorder="1"/>
    <xf numFmtId="0" fontId="16" fillId="0" borderId="12" xfId="0" applyFont="1" applyBorder="1"/>
    <xf numFmtId="169" fontId="2" fillId="0" borderId="84" xfId="0" applyNumberFormat="1" applyFont="1" applyBorder="1"/>
    <xf numFmtId="167" fontId="4" fillId="0" borderId="60" xfId="0" applyNumberFormat="1" applyFont="1" applyBorder="1"/>
    <xf numFmtId="164" fontId="2" fillId="0" borderId="65" xfId="0" applyNumberFormat="1" applyFont="1" applyBorder="1"/>
    <xf numFmtId="164" fontId="2" fillId="0" borderId="12" xfId="0" applyNumberFormat="1" applyFont="1" applyBorder="1"/>
    <xf numFmtId="167" fontId="2" fillId="0" borderId="60" xfId="0" applyNumberFormat="1" applyFont="1" applyBorder="1"/>
    <xf numFmtId="166" fontId="14" fillId="0" borderId="21" xfId="0" applyNumberFormat="1" applyFont="1" applyBorder="1"/>
    <xf numFmtId="164" fontId="2" fillId="0" borderId="87" xfId="0" applyNumberFormat="1" applyFont="1" applyBorder="1"/>
    <xf numFmtId="164" fontId="2" fillId="0" borderId="24" xfId="0" applyNumberFormat="1" applyFont="1" applyBorder="1"/>
    <xf numFmtId="166" fontId="12" fillId="0" borderId="89" xfId="0" applyNumberFormat="1" applyFont="1" applyBorder="1"/>
    <xf numFmtId="169" fontId="2" fillId="0" borderId="90" xfId="0" applyNumberFormat="1" applyFont="1" applyBorder="1"/>
    <xf numFmtId="0" fontId="2" fillId="0" borderId="10" xfId="0" applyFont="1" applyBorder="1"/>
    <xf numFmtId="10" fontId="2" fillId="0" borderId="60" xfId="0" applyNumberFormat="1" applyFont="1" applyBorder="1"/>
    <xf numFmtId="166" fontId="12" fillId="0" borderId="20" xfId="0" applyNumberFormat="1" applyFont="1" applyBorder="1"/>
    <xf numFmtId="166" fontId="12" fillId="0" borderId="21" xfId="0" applyNumberFormat="1" applyFont="1" applyBorder="1"/>
    <xf numFmtId="172" fontId="2" fillId="0" borderId="91" xfId="0" applyNumberFormat="1" applyFont="1" applyBorder="1"/>
    <xf numFmtId="10" fontId="2" fillId="0" borderId="91" xfId="0" applyNumberFormat="1" applyFont="1" applyBorder="1"/>
    <xf numFmtId="166" fontId="12" fillId="0" borderId="8" xfId="0" applyNumberFormat="1" applyFont="1" applyBorder="1" applyAlignment="1">
      <alignment horizontal="left"/>
    </xf>
    <xf numFmtId="10" fontId="2" fillId="0" borderId="61" xfId="0" applyNumberFormat="1" applyFont="1" applyBorder="1"/>
    <xf numFmtId="0" fontId="16" fillId="0" borderId="94" xfId="0" applyFont="1" applyBorder="1" applyAlignment="1">
      <alignment horizontal="left"/>
    </xf>
    <xf numFmtId="0" fontId="16" fillId="0" borderId="95" xfId="0" applyFont="1" applyBorder="1"/>
    <xf numFmtId="0" fontId="16" fillId="0" borderId="96" xfId="0" applyFont="1" applyBorder="1"/>
    <xf numFmtId="0" fontId="18" fillId="0" borderId="96" xfId="0" applyFont="1" applyBorder="1" applyAlignment="1">
      <alignment wrapText="1"/>
    </xf>
    <xf numFmtId="0" fontId="18" fillId="0" borderId="96" xfId="0" applyFont="1" applyBorder="1" applyAlignment="1"/>
    <xf numFmtId="0" fontId="16" fillId="0" borderId="96" xfId="0" applyFont="1" applyBorder="1" applyAlignment="1">
      <alignment wrapText="1"/>
    </xf>
    <xf numFmtId="0" fontId="16" fillId="0" borderId="97" xfId="0" applyFont="1" applyBorder="1"/>
    <xf numFmtId="0" fontId="16" fillId="0" borderId="98" xfId="0" applyFont="1" applyBorder="1"/>
    <xf numFmtId="0" fontId="16" fillId="0" borderId="0" xfId="0" applyFont="1"/>
    <xf numFmtId="0" fontId="16" fillId="0" borderId="97" xfId="0" applyFont="1" applyBorder="1" applyAlignment="1"/>
    <xf numFmtId="167" fontId="2" fillId="0" borderId="83" xfId="0" applyNumberFormat="1" applyFont="1" applyBorder="1"/>
    <xf numFmtId="49" fontId="19" fillId="0" borderId="83" xfId="0" applyNumberFormat="1" applyFont="1" applyBorder="1" applyAlignment="1">
      <alignment horizontal="right"/>
    </xf>
    <xf numFmtId="0" fontId="2" fillId="0" borderId="83" xfId="0" applyFont="1" applyBorder="1"/>
    <xf numFmtId="167" fontId="19" fillId="0" borderId="83" xfId="0" applyNumberFormat="1" applyFont="1" applyBorder="1" applyAlignment="1"/>
    <xf numFmtId="173" fontId="2" fillId="0" borderId="12" xfId="0" applyNumberFormat="1" applyFont="1" applyBorder="1"/>
    <xf numFmtId="167" fontId="2" fillId="0" borderId="62" xfId="0" applyNumberFormat="1" applyFont="1" applyBorder="1"/>
    <xf numFmtId="167" fontId="2" fillId="0" borderId="59" xfId="0" applyNumberFormat="1" applyFont="1" applyBorder="1"/>
    <xf numFmtId="49" fontId="19" fillId="0" borderId="12" xfId="0" applyNumberFormat="1" applyFont="1" applyBorder="1" applyAlignment="1">
      <alignment horizontal="right"/>
    </xf>
    <xf numFmtId="167" fontId="19" fillId="0" borderId="12" xfId="0" applyNumberFormat="1" applyFont="1" applyBorder="1" applyAlignment="1"/>
    <xf numFmtId="0" fontId="2" fillId="0" borderId="25" xfId="0" applyFont="1" applyBorder="1"/>
    <xf numFmtId="49" fontId="2" fillId="0" borderId="12" xfId="0" applyNumberFormat="1" applyFont="1" applyBorder="1" applyAlignment="1">
      <alignment horizontal="right"/>
    </xf>
    <xf numFmtId="169" fontId="2" fillId="0" borderId="99" xfId="0" applyNumberFormat="1" applyFont="1" applyBorder="1"/>
    <xf numFmtId="0" fontId="2" fillId="0" borderId="12" xfId="0" applyFont="1" applyBorder="1" applyAlignment="1">
      <alignment horizontal="right"/>
    </xf>
    <xf numFmtId="164" fontId="2" fillId="0" borderId="100" xfId="0" applyNumberFormat="1" applyFont="1" applyBorder="1"/>
    <xf numFmtId="164" fontId="2" fillId="0" borderId="101" xfId="0" applyNumberFormat="1" applyFont="1" applyBorder="1"/>
    <xf numFmtId="0" fontId="2" fillId="0" borderId="102" xfId="0" applyFont="1" applyBorder="1"/>
    <xf numFmtId="169" fontId="2" fillId="0" borderId="103" xfId="0" applyNumberFormat="1" applyFont="1" applyBorder="1"/>
    <xf numFmtId="166" fontId="12" fillId="0" borderId="12" xfId="0" applyNumberFormat="1" applyFont="1" applyBorder="1"/>
    <xf numFmtId="0" fontId="2" fillId="0" borderId="104" xfId="0" applyFont="1" applyBorder="1"/>
    <xf numFmtId="169" fontId="2" fillId="0" borderId="105" xfId="0" applyNumberFormat="1" applyFont="1" applyBorder="1"/>
    <xf numFmtId="0" fontId="2" fillId="0" borderId="106" xfId="0" applyFont="1" applyBorder="1"/>
    <xf numFmtId="166" fontId="12" fillId="0" borderId="13" xfId="0" applyNumberFormat="1" applyFont="1" applyBorder="1"/>
    <xf numFmtId="164" fontId="2" fillId="0" borderId="11" xfId="0" applyNumberFormat="1" applyFont="1" applyBorder="1"/>
    <xf numFmtId="169" fontId="2" fillId="0" borderId="107" xfId="0" applyNumberFormat="1" applyFont="1" applyBorder="1"/>
    <xf numFmtId="164" fontId="2" fillId="0" borderId="78" xfId="0" applyNumberFormat="1" applyFont="1" applyBorder="1"/>
    <xf numFmtId="164" fontId="2" fillId="0" borderId="20" xfId="0" applyNumberFormat="1" applyFont="1" applyBorder="1"/>
    <xf numFmtId="0" fontId="19" fillId="0" borderId="65" xfId="0" applyFont="1" applyBorder="1" applyAlignment="1"/>
    <xf numFmtId="0" fontId="12" fillId="0" borderId="12" xfId="0" applyFont="1" applyBorder="1" applyAlignment="1">
      <alignment horizontal="center" vertical="center"/>
    </xf>
    <xf numFmtId="0" fontId="12" fillId="0" borderId="13" xfId="0" applyFont="1" applyBorder="1" applyAlignment="1">
      <alignment horizontal="center" vertical="center"/>
    </xf>
    <xf numFmtId="174" fontId="2" fillId="0" borderId="12" xfId="0" applyNumberFormat="1" applyFont="1" applyBorder="1"/>
    <xf numFmtId="167" fontId="2" fillId="0" borderId="12" xfId="0" applyNumberFormat="1" applyFont="1" applyBorder="1" applyAlignment="1"/>
    <xf numFmtId="173" fontId="2" fillId="0" borderId="12" xfId="0" applyNumberFormat="1" applyFont="1" applyBorder="1" applyAlignment="1"/>
    <xf numFmtId="167" fontId="2" fillId="0" borderId="20" xfId="0" applyNumberFormat="1" applyFont="1" applyBorder="1"/>
    <xf numFmtId="173" fontId="2" fillId="0" borderId="20" xfId="0" applyNumberFormat="1" applyFont="1" applyBorder="1"/>
    <xf numFmtId="167" fontId="2" fillId="0" borderId="61" xfId="0" applyNumberFormat="1" applyFont="1" applyBorder="1"/>
    <xf numFmtId="0" fontId="20" fillId="0" borderId="0" xfId="0" applyFont="1" applyAlignment="1"/>
    <xf numFmtId="167" fontId="21" fillId="0" borderId="0" xfId="0" applyNumberFormat="1" applyFont="1"/>
    <xf numFmtId="175" fontId="21" fillId="0" borderId="0" xfId="0" applyNumberFormat="1" applyFont="1"/>
    <xf numFmtId="173" fontId="21" fillId="0" borderId="0" xfId="0" applyNumberFormat="1" applyFont="1"/>
    <xf numFmtId="0" fontId="4" fillId="3" borderId="110" xfId="0" applyFont="1" applyFill="1" applyBorder="1" applyAlignment="1">
      <alignment vertical="center"/>
    </xf>
    <xf numFmtId="0" fontId="2" fillId="0" borderId="112" xfId="0" applyFont="1" applyBorder="1" applyAlignment="1">
      <alignment horizontal="right"/>
    </xf>
    <xf numFmtId="0" fontId="2" fillId="0" borderId="113" xfId="0" applyFont="1" applyBorder="1" applyAlignment="1">
      <alignment horizontal="right"/>
    </xf>
    <xf numFmtId="164" fontId="2" fillId="0" borderId="114" xfId="0" applyNumberFormat="1" applyFont="1" applyBorder="1"/>
    <xf numFmtId="164" fontId="2" fillId="0" borderId="115" xfId="0" applyNumberFormat="1" applyFont="1" applyBorder="1"/>
    <xf numFmtId="164" fontId="2" fillId="0" borderId="116" xfId="0" applyNumberFormat="1" applyFont="1" applyBorder="1"/>
    <xf numFmtId="0" fontId="4" fillId="3" borderId="117" xfId="0" applyFont="1" applyFill="1" applyBorder="1" applyAlignment="1">
      <alignment vertical="center"/>
    </xf>
    <xf numFmtId="170" fontId="2" fillId="0" borderId="59" xfId="0" applyNumberFormat="1" applyFont="1" applyBorder="1"/>
    <xf numFmtId="170" fontId="2" fillId="0" borderId="60" xfId="0" applyNumberFormat="1" applyFont="1" applyBorder="1"/>
    <xf numFmtId="170" fontId="2" fillId="0" borderId="61" xfId="0" applyNumberFormat="1" applyFont="1" applyBorder="1"/>
    <xf numFmtId="0" fontId="12" fillId="0" borderId="20" xfId="0" applyFont="1" applyBorder="1" applyAlignment="1">
      <alignment horizontal="center" vertical="center"/>
    </xf>
    <xf numFmtId="0" fontId="12" fillId="0" borderId="15" xfId="0" applyFont="1" applyBorder="1" applyAlignment="1">
      <alignment horizontal="center" vertical="center"/>
    </xf>
    <xf numFmtId="170" fontId="12" fillId="0" borderId="119" xfId="0" applyNumberFormat="1" applyFont="1" applyBorder="1" applyAlignment="1">
      <alignment horizontal="center" vertical="center"/>
    </xf>
    <xf numFmtId="170" fontId="17" fillId="4" borderId="122" xfId="0" applyNumberFormat="1" applyFont="1" applyFill="1" applyBorder="1"/>
    <xf numFmtId="170" fontId="17" fillId="4" borderId="2" xfId="0" applyNumberFormat="1" applyFont="1" applyFill="1" applyBorder="1"/>
    <xf numFmtId="170" fontId="17" fillId="4" borderId="123" xfId="0" applyNumberFormat="1" applyFont="1" applyFill="1" applyBorder="1"/>
    <xf numFmtId="0" fontId="12" fillId="0" borderId="95" xfId="0" applyFont="1" applyBorder="1"/>
    <xf numFmtId="0" fontId="12" fillId="0" borderId="125" xfId="0" applyFont="1" applyBorder="1"/>
    <xf numFmtId="170" fontId="23" fillId="5" borderId="115" xfId="0" applyNumberFormat="1" applyFont="1" applyFill="1" applyBorder="1"/>
    <xf numFmtId="170" fontId="23" fillId="5" borderId="128" xfId="0" applyNumberFormat="1" applyFont="1" applyFill="1" applyBorder="1"/>
    <xf numFmtId="170" fontId="23" fillId="5" borderId="129" xfId="0" applyNumberFormat="1" applyFont="1" applyFill="1" applyBorder="1"/>
    <xf numFmtId="0" fontId="24" fillId="0" borderId="0" xfId="0" applyFont="1"/>
    <xf numFmtId="0" fontId="25" fillId="0" borderId="0" xfId="0" applyFont="1" applyAlignment="1"/>
    <xf numFmtId="166" fontId="12" fillId="0" borderId="51" xfId="0" applyNumberFormat="1" applyFont="1" applyBorder="1" applyAlignment="1">
      <alignment horizontal="center" vertical="center"/>
    </xf>
    <xf numFmtId="0" fontId="5" fillId="0" borderId="11" xfId="0" applyFont="1" applyBorder="1"/>
    <xf numFmtId="0" fontId="12" fillId="0" borderId="51" xfId="0" applyFont="1" applyBorder="1" applyAlignment="1">
      <alignment horizontal="center"/>
    </xf>
    <xf numFmtId="0" fontId="5" fillId="0" borderId="52" xfId="0" applyFont="1" applyBorder="1"/>
    <xf numFmtId="0" fontId="8" fillId="2" borderId="39" xfId="0" applyFont="1" applyFill="1" applyBorder="1" applyAlignment="1">
      <alignment horizontal="center" vertical="center"/>
    </xf>
    <xf numFmtId="0" fontId="5" fillId="0" borderId="40" xfId="0" applyFont="1" applyBorder="1"/>
    <xf numFmtId="0" fontId="5" fillId="0" borderId="41" xfId="0" applyFont="1" applyBorder="1"/>
    <xf numFmtId="0" fontId="1" fillId="0" borderId="30" xfId="0" applyFont="1" applyBorder="1" applyAlignment="1">
      <alignment horizontal="left" vertical="center"/>
    </xf>
    <xf numFmtId="0" fontId="5" fillId="0" borderId="31" xfId="0" applyFont="1" applyBorder="1"/>
    <xf numFmtId="0" fontId="5" fillId="0" borderId="32" xfId="0" applyFont="1" applyBorder="1"/>
    <xf numFmtId="0" fontId="5" fillId="0" borderId="34" xfId="0" applyFont="1" applyBorder="1"/>
    <xf numFmtId="0" fontId="5" fillId="0" borderId="35" xfId="0" applyFont="1" applyBorder="1"/>
    <xf numFmtId="0" fontId="5" fillId="0" borderId="36" xfId="0" applyFont="1" applyBorder="1"/>
    <xf numFmtId="0" fontId="8" fillId="2" borderId="37" xfId="0" applyFont="1" applyFill="1" applyBorder="1" applyAlignment="1">
      <alignment horizontal="center" vertical="center"/>
    </xf>
    <xf numFmtId="0" fontId="5" fillId="0" borderId="38" xfId="0" applyFont="1" applyBorder="1"/>
    <xf numFmtId="0" fontId="5" fillId="0" borderId="1" xfId="0" applyFont="1" applyBorder="1"/>
    <xf numFmtId="0" fontId="5" fillId="0" borderId="42" xfId="0" applyFont="1" applyBorder="1"/>
    <xf numFmtId="0" fontId="5" fillId="0" borderId="45" xfId="0" applyFont="1" applyBorder="1"/>
    <xf numFmtId="0" fontId="10" fillId="2" borderId="46" xfId="0" applyFont="1" applyFill="1" applyBorder="1" applyAlignment="1">
      <alignment horizontal="center" vertical="center"/>
    </xf>
    <xf numFmtId="0" fontId="5" fillId="0" borderId="47" xfId="0" applyFont="1" applyBorder="1"/>
    <xf numFmtId="166" fontId="12" fillId="0" borderId="53" xfId="0" applyNumberFormat="1" applyFont="1" applyBorder="1" applyAlignment="1">
      <alignment horizontal="center" vertical="center"/>
    </xf>
    <xf numFmtId="0" fontId="5" fillId="0" borderId="6" xfId="0" applyFont="1" applyBorder="1"/>
    <xf numFmtId="0" fontId="11" fillId="0" borderId="51" xfId="0" applyFont="1" applyBorder="1" applyAlignment="1">
      <alignment horizontal="center"/>
    </xf>
    <xf numFmtId="0" fontId="12" fillId="0" borderId="74" xfId="0" applyFont="1" applyBorder="1" applyAlignment="1">
      <alignment horizontal="center"/>
    </xf>
    <xf numFmtId="0" fontId="5" fillId="0" borderId="68" xfId="0" applyFont="1" applyBorder="1"/>
    <xf numFmtId="0" fontId="12" fillId="0" borderId="30" xfId="0" applyFont="1" applyBorder="1" applyAlignment="1">
      <alignment horizontal="right"/>
    </xf>
    <xf numFmtId="0" fontId="5" fillId="0" borderId="124" xfId="0" applyFont="1" applyBorder="1"/>
    <xf numFmtId="170" fontId="23" fillId="5" borderId="127" xfId="0" applyNumberFormat="1" applyFont="1" applyFill="1" applyBorder="1" applyAlignment="1">
      <alignment horizontal="center"/>
    </xf>
    <xf numFmtId="0" fontId="5" fillId="0" borderId="114" xfId="0" applyFont="1" applyBorder="1"/>
    <xf numFmtId="166" fontId="12" fillId="0" borderId="74" xfId="0" applyNumberFormat="1" applyFont="1" applyBorder="1" applyAlignment="1">
      <alignment horizontal="center" vertical="center"/>
    </xf>
    <xf numFmtId="0" fontId="5" fillId="0" borderId="78" xfId="0" applyFont="1" applyBorder="1"/>
    <xf numFmtId="166" fontId="12" fillId="0" borderId="53" xfId="0" applyNumberFormat="1" applyFont="1" applyBorder="1" applyAlignment="1">
      <alignment horizontal="center"/>
    </xf>
    <xf numFmtId="171" fontId="12" fillId="0" borderId="74" xfId="0" applyNumberFormat="1" applyFont="1" applyBorder="1" applyAlignment="1">
      <alignment horizontal="center"/>
    </xf>
    <xf numFmtId="171" fontId="12" fillId="0" borderId="53" xfId="0" applyNumberFormat="1" applyFont="1" applyBorder="1" applyAlignment="1">
      <alignment horizontal="center"/>
    </xf>
    <xf numFmtId="171" fontId="12" fillId="0" borderId="51" xfId="0" applyNumberFormat="1" applyFont="1" applyBorder="1" applyAlignment="1">
      <alignment horizontal="center"/>
    </xf>
    <xf numFmtId="170" fontId="14" fillId="0" borderId="74" xfId="0" applyNumberFormat="1" applyFont="1" applyBorder="1" applyAlignment="1">
      <alignment horizontal="center"/>
    </xf>
    <xf numFmtId="170" fontId="17" fillId="4" borderId="120" xfId="0" applyNumberFormat="1" applyFont="1" applyFill="1" applyBorder="1" applyAlignment="1">
      <alignment horizontal="center"/>
    </xf>
    <xf numFmtId="0" fontId="5" fillId="0" borderId="121" xfId="0" applyFont="1" applyBorder="1"/>
    <xf numFmtId="170" fontId="12" fillId="0" borderId="51" xfId="0" applyNumberFormat="1" applyFont="1" applyBorder="1" applyAlignment="1">
      <alignment horizontal="center"/>
    </xf>
    <xf numFmtId="0" fontId="17" fillId="4" borderId="29" xfId="0" applyFont="1" applyFill="1" applyBorder="1" applyAlignment="1">
      <alignment horizontal="center"/>
    </xf>
    <xf numFmtId="0" fontId="5" fillId="0" borderId="57" xfId="0" applyFont="1" applyBorder="1"/>
    <xf numFmtId="0" fontId="17" fillId="0" borderId="53" xfId="0" applyFont="1" applyBorder="1" applyAlignment="1">
      <alignment horizontal="center"/>
    </xf>
    <xf numFmtId="0" fontId="5" fillId="0" borderId="88" xfId="0" applyFont="1" applyBorder="1"/>
    <xf numFmtId="0" fontId="12" fillId="0" borderId="30" xfId="0" applyFont="1" applyBorder="1" applyAlignment="1">
      <alignment horizontal="center"/>
    </xf>
    <xf numFmtId="0" fontId="5" fillId="0" borderId="92" xfId="0" applyFont="1" applyBorder="1"/>
    <xf numFmtId="0" fontId="22" fillId="5" borderId="126" xfId="0" applyFont="1" applyFill="1" applyBorder="1" applyAlignment="1">
      <alignment horizontal="center"/>
    </xf>
    <xf numFmtId="0" fontId="11" fillId="0" borderId="108" xfId="0" applyFont="1" applyBorder="1" applyAlignment="1">
      <alignment horizontal="center"/>
    </xf>
    <xf numFmtId="0" fontId="5" fillId="0" borderId="109" xfId="0" applyFont="1" applyBorder="1"/>
    <xf numFmtId="0" fontId="1" fillId="0" borderId="1" xfId="0" applyFont="1" applyBorder="1" applyAlignment="1">
      <alignment horizontal="left" vertical="center"/>
    </xf>
    <xf numFmtId="0" fontId="0" fillId="0" borderId="0" xfId="0" applyFont="1" applyAlignment="1"/>
    <xf numFmtId="0" fontId="6" fillId="2" borderId="27" xfId="0" applyFont="1" applyFill="1" applyBorder="1" applyAlignment="1">
      <alignment horizontal="center"/>
    </xf>
    <xf numFmtId="0" fontId="5" fillId="0" borderId="28" xfId="0" applyFont="1" applyBorder="1"/>
    <xf numFmtId="0" fontId="2" fillId="2" borderId="66" xfId="0" applyFont="1" applyFill="1" applyBorder="1" applyAlignment="1">
      <alignment horizontal="center"/>
    </xf>
    <xf numFmtId="0" fontId="5" fillId="0" borderId="67" xfId="0" applyFont="1" applyBorder="1"/>
    <xf numFmtId="0" fontId="4" fillId="3" borderId="4" xfId="0" applyFont="1" applyFill="1" applyBorder="1" applyAlignment="1">
      <alignment horizontal="center" vertical="center"/>
    </xf>
    <xf numFmtId="0" fontId="5" fillId="0" borderId="9" xfId="0" applyFont="1" applyBorder="1"/>
    <xf numFmtId="0" fontId="5" fillId="0" borderId="26" xfId="0" applyFont="1" applyBorder="1"/>
    <xf numFmtId="0" fontId="6" fillId="2" borderId="29" xfId="0" applyFont="1" applyFill="1" applyBorder="1" applyAlignment="1">
      <alignment horizontal="center"/>
    </xf>
    <xf numFmtId="0" fontId="4" fillId="3" borderId="85" xfId="0" applyFont="1" applyFill="1" applyBorder="1" applyAlignment="1">
      <alignment horizontal="left" vertical="center"/>
    </xf>
    <xf numFmtId="0" fontId="5" fillId="0" borderId="86" xfId="0" applyFont="1" applyBorder="1"/>
    <xf numFmtId="0" fontId="4" fillId="3" borderId="76" xfId="0" applyFont="1" applyFill="1" applyBorder="1" applyAlignment="1">
      <alignment horizontal="center" vertical="center"/>
    </xf>
    <xf numFmtId="0" fontId="5" fillId="0" borderId="77" xfId="0" applyFont="1" applyBorder="1"/>
    <xf numFmtId="0" fontId="5" fillId="0" borderId="81" xfId="0" applyFont="1" applyBorder="1"/>
    <xf numFmtId="0" fontId="5" fillId="0" borderId="58" xfId="0" applyFont="1" applyBorder="1"/>
    <xf numFmtId="0" fontId="2" fillId="0" borderId="13" xfId="0" applyFont="1" applyBorder="1" applyAlignment="1">
      <alignment horizontal="center"/>
    </xf>
    <xf numFmtId="0" fontId="1" fillId="0" borderId="29" xfId="0" applyFont="1" applyBorder="1" applyAlignment="1">
      <alignment horizontal="left" vertical="center"/>
    </xf>
    <xf numFmtId="0" fontId="5" fillId="0" borderId="56" xfId="0" applyFont="1" applyBorder="1"/>
    <xf numFmtId="0" fontId="2" fillId="0" borderId="29" xfId="0" applyFont="1" applyBorder="1" applyAlignment="1">
      <alignment horizontal="center"/>
    </xf>
    <xf numFmtId="0" fontId="2" fillId="0" borderId="62" xfId="0" applyFont="1" applyBorder="1" applyAlignment="1">
      <alignment horizontal="center"/>
    </xf>
    <xf numFmtId="0" fontId="5" fillId="0" borderId="63" xfId="0" applyFont="1" applyBorder="1"/>
    <xf numFmtId="0" fontId="3" fillId="2" borderId="30" xfId="0" applyFont="1" applyFill="1" applyBorder="1" applyAlignment="1">
      <alignment horizontal="center" vertical="center"/>
    </xf>
    <xf numFmtId="0" fontId="5" fillId="0" borderId="93" xfId="0" applyFont="1" applyBorder="1"/>
    <xf numFmtId="0" fontId="5" fillId="0" borderId="80" xfId="0" applyFont="1" applyBorder="1"/>
    <xf numFmtId="0" fontId="16" fillId="2" borderId="29" xfId="0" applyFont="1" applyFill="1" applyBorder="1" applyAlignment="1">
      <alignment horizontal="center"/>
    </xf>
    <xf numFmtId="0" fontId="2" fillId="0" borderId="21" xfId="0" applyFont="1" applyBorder="1" applyAlignment="1">
      <alignment horizontal="center"/>
    </xf>
    <xf numFmtId="0" fontId="2" fillId="0" borderId="111" xfId="0" applyFont="1" applyBorder="1" applyAlignment="1">
      <alignment horizontal="left"/>
    </xf>
    <xf numFmtId="0" fontId="5" fillId="0" borderId="111" xfId="0" applyFont="1" applyBorder="1"/>
    <xf numFmtId="0" fontId="2" fillId="0" borderId="111" xfId="0" applyFont="1" applyBorder="1" applyAlignment="1">
      <alignment horizontal="left" wrapText="1"/>
    </xf>
    <xf numFmtId="0" fontId="2" fillId="0" borderId="118" xfId="0" applyFont="1" applyBorder="1" applyAlignment="1">
      <alignment horizontal="left"/>
    </xf>
    <xf numFmtId="0" fontId="5" fillId="0" borderId="118" xfId="0" applyFont="1" applyBorder="1"/>
    <xf numFmtId="0" fontId="39"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381000</xdr:colOff>
      <xdr:row>0</xdr:row>
      <xdr:rowOff>114300</xdr:rowOff>
    </xdr:from>
    <xdr:ext cx="2514600" cy="2505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1352550</xdr:colOff>
      <xdr:row>0</xdr:row>
      <xdr:rowOff>9525</xdr:rowOff>
    </xdr:from>
    <xdr:ext cx="2571750" cy="25050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466725</xdr:colOff>
      <xdr:row>0</xdr:row>
      <xdr:rowOff>123825</xdr:rowOff>
    </xdr:from>
    <xdr:ext cx="1619250" cy="16668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2590800</xdr:colOff>
      <xdr:row>0</xdr:row>
      <xdr:rowOff>38100</xdr:rowOff>
    </xdr:from>
    <xdr:ext cx="1314450" cy="138112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abSelected="1" topLeftCell="A8" workbookViewId="0">
      <selection activeCell="A26" sqref="A26"/>
    </sheetView>
  </sheetViews>
  <sheetFormatPr baseColWidth="10" defaultColWidth="12.625" defaultRowHeight="15" customHeight="1"/>
  <cols>
    <col min="1" max="1" width="62.625" bestFit="1" customWidth="1"/>
    <col min="2" max="2" width="6.375" customWidth="1"/>
    <col min="3" max="3" width="30.375" customWidth="1"/>
    <col min="4" max="4" width="0.375" customWidth="1"/>
    <col min="5" max="5" width="38.375" customWidth="1"/>
    <col min="6" max="6" width="38.875" customWidth="1"/>
    <col min="7" max="7" width="37.25" customWidth="1"/>
    <col min="8" max="8" width="43" customWidth="1"/>
    <col min="9" max="9" width="40.125" customWidth="1"/>
    <col min="10" max="10" width="34.375" customWidth="1"/>
    <col min="11" max="26" width="9.375" customWidth="1"/>
  </cols>
  <sheetData>
    <row r="1" spans="1:10" ht="182.25" customHeight="1">
      <c r="A1" s="178" t="s">
        <v>20</v>
      </c>
      <c r="B1" s="179"/>
      <c r="C1" s="179"/>
      <c r="D1" s="179"/>
      <c r="E1" s="179"/>
      <c r="F1" s="179"/>
      <c r="G1" s="179"/>
      <c r="H1" s="179"/>
      <c r="I1" s="180"/>
      <c r="J1" s="29"/>
    </row>
    <row r="2" spans="1:10" ht="25.5" customHeight="1">
      <c r="A2" s="181"/>
      <c r="B2" s="182"/>
      <c r="C2" s="182"/>
      <c r="D2" s="182"/>
      <c r="E2" s="182"/>
      <c r="F2" s="182"/>
      <c r="G2" s="182"/>
      <c r="H2" s="182"/>
      <c r="I2" s="183"/>
      <c r="J2" s="29"/>
    </row>
    <row r="3" spans="1:10" ht="39" customHeight="1">
      <c r="A3" s="184" t="s">
        <v>22</v>
      </c>
      <c r="B3" s="185"/>
      <c r="C3" s="175" t="s">
        <v>23</v>
      </c>
      <c r="D3" s="176"/>
      <c r="E3" s="176"/>
      <c r="F3" s="176"/>
      <c r="G3" s="176"/>
      <c r="H3" s="176"/>
      <c r="I3" s="177"/>
      <c r="J3" s="29"/>
    </row>
    <row r="4" spans="1:10" ht="47.25" hidden="1" customHeight="1">
      <c r="A4" s="186"/>
      <c r="B4" s="187"/>
      <c r="C4" s="30"/>
      <c r="D4" s="31"/>
      <c r="E4" s="32"/>
      <c r="F4" s="33"/>
      <c r="G4" s="33"/>
      <c r="H4" s="33"/>
      <c r="I4" s="32"/>
    </row>
    <row r="5" spans="1:10" ht="42" customHeight="1">
      <c r="A5" s="181"/>
      <c r="B5" s="188"/>
      <c r="C5" s="189" t="s">
        <v>11</v>
      </c>
      <c r="D5" s="190"/>
      <c r="E5" s="34" t="s">
        <v>12</v>
      </c>
      <c r="F5" s="34" t="s">
        <v>13</v>
      </c>
      <c r="G5" s="34" t="s">
        <v>14</v>
      </c>
      <c r="H5" s="34" t="s">
        <v>15</v>
      </c>
      <c r="I5" s="35" t="s">
        <v>16</v>
      </c>
      <c r="J5" s="36"/>
    </row>
    <row r="6" spans="1:10" ht="30">
      <c r="A6" s="193" t="s">
        <v>24</v>
      </c>
      <c r="B6" s="174"/>
      <c r="C6" s="191" t="s">
        <v>25</v>
      </c>
      <c r="D6" s="192"/>
      <c r="E6" s="37">
        <f>'Tablas Calculadas '!I8 *0.8</f>
        <v>10698041.867946668</v>
      </c>
      <c r="F6" s="37">
        <f>'Tablas Calculadas '!I9 *0.8</f>
        <v>2446370.6023466666</v>
      </c>
      <c r="G6" s="37">
        <f>'Tablas Calculadas '!I10 *0.8</f>
        <v>3625624.3131733332</v>
      </c>
      <c r="H6" s="37">
        <f>'Tablas Calculadas '!I11 *0.8</f>
        <v>4421353.4856533334</v>
      </c>
      <c r="I6" s="38">
        <f>'Tablas Calculadas '!I12 *0.8</f>
        <v>3341452.4313600003</v>
      </c>
      <c r="J6" s="39" t="s">
        <v>26</v>
      </c>
    </row>
    <row r="7" spans="1:10" ht="30">
      <c r="A7" s="173" t="s">
        <v>27</v>
      </c>
      <c r="B7" s="174"/>
      <c r="C7" s="171" t="s">
        <v>25</v>
      </c>
      <c r="D7" s="172"/>
      <c r="E7" s="40">
        <f>'Tablas Calculadas '!C61*-1</f>
        <v>-11809488</v>
      </c>
      <c r="F7" s="40">
        <f>'Tablas Calculadas '!C62*-1</f>
        <v>-6329472</v>
      </c>
      <c r="G7" s="40">
        <f>'Tablas Calculadas '!C63*-1</f>
        <v>-6777792</v>
      </c>
      <c r="H7" s="40">
        <f>'Tablas Calculadas '!C64*-1</f>
        <v>-9186240</v>
      </c>
      <c r="I7" s="61">
        <f>'Tablas Calculadas '!C65*-1</f>
        <v>-8968224</v>
      </c>
    </row>
    <row r="8" spans="1:10" ht="30">
      <c r="A8" s="173" t="s">
        <v>58</v>
      </c>
      <c r="B8" s="174"/>
      <c r="C8" s="171" t="s">
        <v>25</v>
      </c>
      <c r="D8" s="172"/>
      <c r="E8" s="40">
        <f>'Tablas Calculadas '!B61*-1</f>
        <v>-584877.11999999988</v>
      </c>
      <c r="F8" s="40">
        <f>'Tablas Calculadas '!B62*-1</f>
        <v>-673880.16</v>
      </c>
      <c r="G8" s="40">
        <f>'Tablas Calculadas '!B63*-1</f>
        <v>-712024.32000000007</v>
      </c>
      <c r="H8" s="40">
        <f>'Tablas Calculadas '!B64*-1</f>
        <v>-813742.07999999996</v>
      </c>
      <c r="I8" s="66">
        <f>'Tablas Calculadas '!B65*-1</f>
        <v>-966318.72</v>
      </c>
      <c r="J8" s="29"/>
    </row>
    <row r="9" spans="1:10" ht="30">
      <c r="A9" s="194" t="s">
        <v>60</v>
      </c>
      <c r="B9" s="195"/>
      <c r="C9" s="200" t="s">
        <v>25</v>
      </c>
      <c r="D9" s="201"/>
      <c r="E9" s="75">
        <f>Constantes!L91*Constantes!B29 *-1</f>
        <v>-538686.71999999997</v>
      </c>
      <c r="F9" s="77">
        <f>Constantes!L91*Constantes!B30 *-1</f>
        <v>-619489.72799999989</v>
      </c>
      <c r="G9" s="75">
        <f>Constantes!L91*Constantes!B31 *-1</f>
        <v>-713759.90399999986</v>
      </c>
      <c r="H9" s="75">
        <f>Constantes!L91*Constantes!B32 *-1</f>
        <v>-754161.40799999982</v>
      </c>
      <c r="I9" s="86">
        <f>Constantes!L91*Constantes!B33 *-1</f>
        <v>-861898.75199999986</v>
      </c>
      <c r="J9" s="29"/>
    </row>
    <row r="10" spans="1:10" ht="30">
      <c r="A10" s="212" t="s">
        <v>84</v>
      </c>
      <c r="B10" s="213"/>
      <c r="C10" s="202" t="s">
        <v>25</v>
      </c>
      <c r="D10" s="192"/>
      <c r="E10" s="37">
        <f t="shared" ref="E10:I10" si="0">SUM(E6:E9)</f>
        <v>-2235009.9720533323</v>
      </c>
      <c r="F10" s="37">
        <f t="shared" si="0"/>
        <v>-5176471.2856533332</v>
      </c>
      <c r="G10" s="37">
        <f t="shared" si="0"/>
        <v>-4577951.9108266672</v>
      </c>
      <c r="H10" s="37">
        <f t="shared" si="0"/>
        <v>-6332790.0023466665</v>
      </c>
      <c r="I10" s="89">
        <f t="shared" si="0"/>
        <v>-7454989.0406399984</v>
      </c>
    </row>
    <row r="11" spans="1:10" ht="30">
      <c r="A11" s="194" t="s">
        <v>86</v>
      </c>
      <c r="B11" s="195"/>
      <c r="C11" s="203" t="s">
        <v>25</v>
      </c>
      <c r="D11" s="201"/>
      <c r="E11" s="93">
        <f t="shared" ref="E11:I11" si="1">IF(E10&gt;0,E10/4,0)</f>
        <v>0</v>
      </c>
      <c r="F11" s="93">
        <f t="shared" si="1"/>
        <v>0</v>
      </c>
      <c r="G11" s="93">
        <f t="shared" si="1"/>
        <v>0</v>
      </c>
      <c r="H11" s="93">
        <f t="shared" si="1"/>
        <v>0</v>
      </c>
      <c r="I11" s="94">
        <f t="shared" si="1"/>
        <v>0</v>
      </c>
      <c r="J11" s="29"/>
    </row>
    <row r="12" spans="1:10" ht="30">
      <c r="A12" s="212" t="s">
        <v>88</v>
      </c>
      <c r="B12" s="213"/>
      <c r="C12" s="204" t="s">
        <v>25</v>
      </c>
      <c r="D12" s="192"/>
      <c r="E12" s="37">
        <f t="shared" ref="E12:I12" si="2">E10-E11</f>
        <v>-2235009.9720533323</v>
      </c>
      <c r="F12" s="37">
        <f t="shared" si="2"/>
        <v>-5176471.2856533332</v>
      </c>
      <c r="G12" s="37">
        <f t="shared" si="2"/>
        <v>-4577951.9108266672</v>
      </c>
      <c r="H12" s="37">
        <f t="shared" si="2"/>
        <v>-6332790.0023466665</v>
      </c>
      <c r="I12" s="97">
        <f t="shared" si="2"/>
        <v>-7454989.0406399984</v>
      </c>
      <c r="J12" s="29"/>
    </row>
    <row r="13" spans="1:10" ht="30">
      <c r="A13" s="173" t="s">
        <v>98</v>
      </c>
      <c r="B13" s="174"/>
      <c r="C13" s="205"/>
      <c r="D13" s="172"/>
      <c r="E13" s="126">
        <f>-E8</f>
        <v>584877.11999999988</v>
      </c>
      <c r="F13" s="126">
        <f>-F9</f>
        <v>619489.72799999989</v>
      </c>
      <c r="G13" s="126">
        <f t="shared" ref="G13:H13" si="3">G9 *-1</f>
        <v>713759.90399999986</v>
      </c>
      <c r="H13" s="126">
        <f t="shared" si="3"/>
        <v>754161.40799999982</v>
      </c>
      <c r="I13" s="130">
        <f>I9*-1</f>
        <v>861898.75199999986</v>
      </c>
      <c r="J13" s="29"/>
    </row>
    <row r="14" spans="1:10" ht="30">
      <c r="A14" s="217" t="s">
        <v>138</v>
      </c>
      <c r="B14" s="218"/>
      <c r="C14" s="209">
        <v>-890454.4</v>
      </c>
      <c r="D14" s="172"/>
      <c r="E14" s="136" t="s">
        <v>25</v>
      </c>
      <c r="F14" s="136" t="s">
        <v>25</v>
      </c>
      <c r="G14" s="136" t="s">
        <v>25</v>
      </c>
      <c r="H14" s="136" t="s">
        <v>25</v>
      </c>
      <c r="I14" s="137" t="s">
        <v>25</v>
      </c>
      <c r="J14" s="29"/>
    </row>
    <row r="15" spans="1:10" ht="30">
      <c r="A15" s="194" t="s">
        <v>160</v>
      </c>
      <c r="B15" s="195"/>
      <c r="C15" s="206"/>
      <c r="D15" s="201"/>
      <c r="E15" s="158"/>
      <c r="F15" s="158"/>
      <c r="G15" s="159"/>
      <c r="H15" s="159"/>
      <c r="I15" s="160">
        <f>SUM(Constantes!M62:M90)*Constantes!B34</f>
        <v>22773400</v>
      </c>
      <c r="J15" s="29"/>
    </row>
    <row r="16" spans="1:10" ht="30">
      <c r="A16" s="210" t="s">
        <v>196</v>
      </c>
      <c r="B16" s="211"/>
      <c r="C16" s="207">
        <f>C14</f>
        <v>-890454.4</v>
      </c>
      <c r="D16" s="208"/>
      <c r="E16" s="161">
        <f t="shared" ref="E16:H16" si="4">E12+E13</f>
        <v>-1650132.8520533324</v>
      </c>
      <c r="F16" s="161">
        <f t="shared" si="4"/>
        <v>-4556981.5576533331</v>
      </c>
      <c r="G16" s="162">
        <f t="shared" si="4"/>
        <v>-3864192.0068266671</v>
      </c>
      <c r="H16" s="162">
        <f t="shared" si="4"/>
        <v>-5578628.5943466667</v>
      </c>
      <c r="I16" s="163">
        <f>I12+I13+I15</f>
        <v>16180309.711360002</v>
      </c>
      <c r="J16" s="29"/>
    </row>
    <row r="17" spans="1:10" ht="30">
      <c r="A17" s="214" t="s">
        <v>197</v>
      </c>
      <c r="B17" s="215"/>
      <c r="C17" s="196">
        <v>1</v>
      </c>
      <c r="D17" s="197"/>
      <c r="E17" s="164">
        <v>1.08</v>
      </c>
      <c r="F17" s="164">
        <v>1.1664000000000001</v>
      </c>
      <c r="G17" s="164">
        <v>1.2597</v>
      </c>
      <c r="H17" s="164">
        <v>1.3605</v>
      </c>
      <c r="I17" s="165">
        <v>1.4693000000000001</v>
      </c>
      <c r="J17" s="29"/>
    </row>
    <row r="18" spans="1:10" ht="33.75">
      <c r="A18" s="216" t="s">
        <v>198</v>
      </c>
      <c r="B18" s="199"/>
      <c r="C18" s="198">
        <f>C16/C17</f>
        <v>-890454.4</v>
      </c>
      <c r="D18" s="199"/>
      <c r="E18" s="166">
        <f t="shared" ref="E18:I18" si="5">E16/E17</f>
        <v>-1527900.7889382706</v>
      </c>
      <c r="F18" s="166">
        <f t="shared" si="5"/>
        <v>-3906877.1927754912</v>
      </c>
      <c r="G18" s="166">
        <f t="shared" si="5"/>
        <v>-3067549.4219470248</v>
      </c>
      <c r="H18" s="167">
        <f t="shared" si="5"/>
        <v>-4100425.2806664216</v>
      </c>
      <c r="I18" s="168">
        <f t="shared" si="5"/>
        <v>11012257.341155654</v>
      </c>
    </row>
    <row r="19" spans="1:10">
      <c r="A19" s="33"/>
      <c r="B19" s="33"/>
      <c r="C19" s="33"/>
    </row>
    <row r="20" spans="1:10" ht="15" customHeight="1">
      <c r="B20" s="33"/>
    </row>
    <row r="21" spans="1:10" ht="28.5">
      <c r="A21" s="251" t="s">
        <v>201</v>
      </c>
      <c r="B21" s="33"/>
      <c r="C21" s="33"/>
      <c r="D21" s="33"/>
    </row>
    <row r="22" spans="1:10" ht="15.75" customHeight="1">
      <c r="A22" s="169"/>
      <c r="B22" s="33"/>
      <c r="C22" s="33"/>
      <c r="D22" s="33"/>
      <c r="F22" s="170"/>
    </row>
    <row r="23" spans="1:10" ht="15.75" customHeight="1">
      <c r="A23" s="169"/>
      <c r="B23" s="33"/>
      <c r="C23" s="33"/>
      <c r="D23" s="33"/>
      <c r="F23" s="170"/>
    </row>
    <row r="24" spans="1:10" ht="15.75" customHeight="1">
      <c r="B24" s="33"/>
      <c r="C24" s="33"/>
      <c r="D24" s="33"/>
    </row>
    <row r="25" spans="1:10" ht="15.75" customHeight="1">
      <c r="B25" s="33"/>
      <c r="C25" s="33"/>
      <c r="D25" s="33"/>
    </row>
    <row r="26" spans="1:10" ht="15.75" customHeight="1">
      <c r="B26" s="33"/>
      <c r="C26" s="33"/>
      <c r="D26" s="33"/>
    </row>
    <row r="27" spans="1:10" ht="15.75" customHeight="1">
      <c r="B27" s="33"/>
      <c r="C27" s="33"/>
      <c r="D27" s="33"/>
    </row>
    <row r="28" spans="1:10" ht="15.75" customHeight="1">
      <c r="B28" s="33"/>
      <c r="D28" s="33"/>
    </row>
    <row r="29" spans="1:10" ht="15.75" customHeight="1">
      <c r="B29" s="33"/>
      <c r="D29" s="33"/>
    </row>
    <row r="30" spans="1:10" ht="15.75" customHeight="1">
      <c r="B30" s="33"/>
    </row>
    <row r="31" spans="1:10" ht="15.75" customHeight="1">
      <c r="B31" s="33"/>
    </row>
    <row r="32" spans="1:10" ht="15.75" customHeight="1">
      <c r="B32" s="33"/>
    </row>
    <row r="33" spans="2:2" ht="15.75" customHeight="1">
      <c r="B33" s="33"/>
    </row>
    <row r="34" spans="2:2" ht="15.75" customHeight="1">
      <c r="B34" s="33"/>
    </row>
    <row r="35" spans="2:2" ht="15.75" customHeight="1">
      <c r="B35" s="33"/>
    </row>
    <row r="36" spans="2:2" ht="15.75" customHeight="1">
      <c r="B36" s="33"/>
    </row>
    <row r="37" spans="2:2" ht="15.75" customHeight="1">
      <c r="B37" s="33"/>
    </row>
    <row r="38" spans="2:2" ht="15.75" customHeight="1">
      <c r="B38" s="33"/>
    </row>
    <row r="39" spans="2:2" ht="15.75" customHeight="1">
      <c r="B39" s="33"/>
    </row>
    <row r="40" spans="2:2" ht="15.75" customHeight="1">
      <c r="B40" s="33"/>
    </row>
    <row r="41" spans="2:2" ht="15.75" customHeight="1">
      <c r="B41" s="33"/>
    </row>
    <row r="42" spans="2:2" ht="15.75" customHeight="1">
      <c r="B42" s="33"/>
    </row>
    <row r="43" spans="2:2" ht="15.75" customHeight="1">
      <c r="B43" s="33"/>
    </row>
    <row r="44" spans="2:2" ht="15.75" customHeight="1">
      <c r="B44" s="33"/>
    </row>
    <row r="45" spans="2:2" ht="15.75" customHeight="1">
      <c r="B45" s="33"/>
    </row>
    <row r="46" spans="2:2" ht="15.75" customHeight="1">
      <c r="B46" s="33"/>
    </row>
    <row r="47" spans="2:2" ht="15.75" customHeight="1">
      <c r="B47" s="33"/>
    </row>
    <row r="48" spans="2:2" ht="15.75" customHeight="1">
      <c r="B48" s="33"/>
    </row>
    <row r="49" spans="2:2" ht="15.75" customHeight="1">
      <c r="B49" s="33"/>
    </row>
    <row r="50" spans="2:2" ht="15.75" customHeight="1">
      <c r="B50" s="33"/>
    </row>
    <row r="51" spans="2:2" ht="15.75" customHeight="1">
      <c r="B51" s="33"/>
    </row>
    <row r="52" spans="2:2" ht="15.75" customHeight="1">
      <c r="B52" s="33"/>
    </row>
    <row r="53" spans="2:2" ht="15.75" customHeight="1">
      <c r="B53" s="33"/>
    </row>
    <row r="54" spans="2:2" ht="15.75" customHeight="1">
      <c r="B54" s="33"/>
    </row>
    <row r="55" spans="2:2" ht="15.75" customHeight="1">
      <c r="B55" s="33"/>
    </row>
    <row r="56" spans="2:2" ht="15.75" customHeight="1">
      <c r="B56" s="33"/>
    </row>
    <row r="57" spans="2:2" ht="15.75" customHeight="1">
      <c r="B57" s="33"/>
    </row>
    <row r="58" spans="2:2" ht="15.75" customHeight="1">
      <c r="B58" s="33"/>
    </row>
    <row r="59" spans="2:2" ht="15.75" customHeight="1">
      <c r="B59" s="33"/>
    </row>
    <row r="60" spans="2:2" ht="15.75" customHeight="1">
      <c r="B60" s="33"/>
    </row>
    <row r="61" spans="2:2" ht="15.75" customHeight="1">
      <c r="B61" s="33"/>
    </row>
    <row r="62" spans="2:2" ht="15.75" customHeight="1">
      <c r="B62" s="33"/>
    </row>
    <row r="63" spans="2:2" ht="15.75" customHeight="1">
      <c r="B63" s="33"/>
    </row>
    <row r="64" spans="2:2" ht="15.75" customHeight="1">
      <c r="B64" s="33"/>
    </row>
    <row r="65" spans="2:2" ht="15.75" customHeight="1">
      <c r="B65" s="33"/>
    </row>
    <row r="66" spans="2:2" ht="15.75" customHeight="1">
      <c r="B66" s="33"/>
    </row>
    <row r="67" spans="2:2" ht="15.75" customHeight="1">
      <c r="B67" s="33"/>
    </row>
    <row r="68" spans="2:2" ht="15.75" customHeight="1">
      <c r="B68" s="33"/>
    </row>
    <row r="69" spans="2:2" ht="15.75" customHeight="1">
      <c r="B69" s="33"/>
    </row>
    <row r="70" spans="2:2" ht="15.75" customHeight="1">
      <c r="B70" s="33"/>
    </row>
    <row r="71" spans="2:2" ht="15.75" customHeight="1">
      <c r="B71" s="33"/>
    </row>
    <row r="72" spans="2:2" ht="15.75" customHeight="1">
      <c r="B72" s="33"/>
    </row>
    <row r="73" spans="2:2" ht="15.75" customHeight="1">
      <c r="B73" s="33"/>
    </row>
    <row r="74" spans="2:2" ht="15.75" customHeight="1">
      <c r="B74" s="33"/>
    </row>
    <row r="75" spans="2:2" ht="15.75" customHeight="1">
      <c r="B75" s="33"/>
    </row>
    <row r="76" spans="2:2" ht="15.75" customHeight="1">
      <c r="B76" s="33"/>
    </row>
    <row r="77" spans="2:2" ht="15.75" customHeight="1">
      <c r="B77" s="33"/>
    </row>
    <row r="78" spans="2:2" ht="15.75" customHeight="1">
      <c r="B78" s="33"/>
    </row>
    <row r="79" spans="2:2" ht="15.75" customHeight="1">
      <c r="B79" s="33"/>
    </row>
    <row r="80" spans="2:2" ht="15.75" customHeight="1">
      <c r="B80" s="33"/>
    </row>
    <row r="81" spans="2:2" ht="15.75" customHeight="1">
      <c r="B81" s="33"/>
    </row>
    <row r="82" spans="2:2" ht="15.75" customHeight="1">
      <c r="B82" s="33"/>
    </row>
    <row r="83" spans="2:2" ht="15.75" customHeight="1">
      <c r="B83" s="33"/>
    </row>
    <row r="84" spans="2:2" ht="15.75" customHeight="1">
      <c r="B84" s="33"/>
    </row>
    <row r="85" spans="2:2" ht="15.75" customHeight="1">
      <c r="B85" s="33"/>
    </row>
    <row r="86" spans="2:2" ht="15.75" customHeight="1">
      <c r="B86" s="33"/>
    </row>
    <row r="87" spans="2:2" ht="15.75" customHeight="1">
      <c r="B87" s="33"/>
    </row>
    <row r="88" spans="2:2" ht="15.75" customHeight="1">
      <c r="B88" s="33"/>
    </row>
    <row r="89" spans="2:2" ht="15.75" customHeight="1">
      <c r="B89" s="33"/>
    </row>
    <row r="90" spans="2:2" ht="15.75" customHeight="1">
      <c r="B90" s="33"/>
    </row>
    <row r="91" spans="2:2" ht="15.75" customHeight="1">
      <c r="B91" s="33"/>
    </row>
    <row r="92" spans="2:2" ht="15.75" customHeight="1">
      <c r="B92" s="33"/>
    </row>
    <row r="93" spans="2:2" ht="15.75" customHeight="1">
      <c r="B93" s="33"/>
    </row>
    <row r="94" spans="2:2" ht="15.75" customHeight="1">
      <c r="B94" s="33"/>
    </row>
    <row r="95" spans="2:2" ht="15.75" customHeight="1">
      <c r="B95" s="33"/>
    </row>
    <row r="96" spans="2:2" ht="15.75" customHeight="1">
      <c r="B96" s="33"/>
    </row>
    <row r="97" spans="2:2" ht="15.75" customHeight="1">
      <c r="B97" s="33"/>
    </row>
    <row r="98" spans="2:2" ht="15.75" customHeight="1">
      <c r="B98" s="33"/>
    </row>
    <row r="99" spans="2:2" ht="15.75" customHeight="1">
      <c r="B99" s="33"/>
    </row>
    <row r="100" spans="2:2" ht="15.75" customHeight="1">
      <c r="B100" s="33"/>
    </row>
    <row r="101" spans="2:2" ht="15.75" customHeight="1">
      <c r="B101" s="33"/>
    </row>
    <row r="102" spans="2:2" ht="15.75" customHeight="1">
      <c r="B102" s="33"/>
    </row>
    <row r="103" spans="2:2" ht="15.75" customHeight="1">
      <c r="B103" s="33"/>
    </row>
    <row r="104" spans="2:2" ht="15.75" customHeight="1">
      <c r="B104" s="33"/>
    </row>
    <row r="105" spans="2:2" ht="15.75" customHeight="1">
      <c r="B105" s="33"/>
    </row>
    <row r="106" spans="2:2" ht="15.75" customHeight="1">
      <c r="B106" s="33"/>
    </row>
    <row r="107" spans="2:2" ht="15.75" customHeight="1">
      <c r="B107" s="33"/>
    </row>
    <row r="108" spans="2:2" ht="15.75" customHeight="1">
      <c r="B108" s="33"/>
    </row>
    <row r="109" spans="2:2" ht="15.75" customHeight="1">
      <c r="B109" s="33"/>
    </row>
    <row r="110" spans="2:2" ht="15.75" customHeight="1">
      <c r="B110" s="33"/>
    </row>
    <row r="111" spans="2:2" ht="15.75" customHeight="1">
      <c r="B111" s="33"/>
    </row>
    <row r="112" spans="2:2" ht="15.75" customHeight="1">
      <c r="B112" s="33"/>
    </row>
    <row r="113" spans="2:2" ht="15.75" customHeight="1">
      <c r="B113" s="33"/>
    </row>
    <row r="114" spans="2:2" ht="15.75" customHeight="1">
      <c r="B114" s="33"/>
    </row>
    <row r="115" spans="2:2" ht="15.75" customHeight="1">
      <c r="B115" s="33"/>
    </row>
    <row r="116" spans="2:2" ht="15.75" customHeight="1">
      <c r="B116" s="33"/>
    </row>
    <row r="117" spans="2:2" ht="15.75" customHeight="1">
      <c r="B117" s="33"/>
    </row>
    <row r="118" spans="2:2" ht="15.75" customHeight="1">
      <c r="B118" s="33"/>
    </row>
    <row r="119" spans="2:2" ht="15.75" customHeight="1">
      <c r="B119" s="33"/>
    </row>
    <row r="120" spans="2:2" ht="15.75" customHeight="1">
      <c r="B120" s="33"/>
    </row>
    <row r="121" spans="2:2" ht="15.75" customHeight="1">
      <c r="B121" s="33"/>
    </row>
    <row r="122" spans="2:2" ht="15.75" customHeight="1">
      <c r="B122" s="33"/>
    </row>
    <row r="123" spans="2:2" ht="15.75" customHeight="1">
      <c r="B123" s="33"/>
    </row>
    <row r="124" spans="2:2" ht="15.75" customHeight="1">
      <c r="B124" s="33"/>
    </row>
    <row r="125" spans="2:2" ht="15.75" customHeight="1">
      <c r="B125" s="33"/>
    </row>
    <row r="126" spans="2:2" ht="15.75" customHeight="1">
      <c r="B126" s="33"/>
    </row>
    <row r="127" spans="2:2" ht="15.75" customHeight="1">
      <c r="B127" s="33"/>
    </row>
    <row r="128" spans="2:2" ht="15.75" customHeight="1">
      <c r="B128" s="33"/>
    </row>
    <row r="129" spans="2:2" ht="15.75" customHeight="1">
      <c r="B129" s="33"/>
    </row>
    <row r="130" spans="2:2" ht="15.75" customHeight="1">
      <c r="B130" s="33"/>
    </row>
    <row r="131" spans="2:2" ht="15.75" customHeight="1">
      <c r="B131" s="33"/>
    </row>
    <row r="132" spans="2:2" ht="15.75" customHeight="1">
      <c r="B132" s="33"/>
    </row>
    <row r="133" spans="2:2" ht="15.75" customHeight="1">
      <c r="B133" s="33"/>
    </row>
    <row r="134" spans="2:2" ht="15.75" customHeight="1">
      <c r="B134" s="33"/>
    </row>
    <row r="135" spans="2:2" ht="15.75" customHeight="1">
      <c r="B135" s="33"/>
    </row>
    <row r="136" spans="2:2" ht="15.75" customHeight="1">
      <c r="B136" s="33"/>
    </row>
    <row r="137" spans="2:2" ht="15.75" customHeight="1">
      <c r="B137" s="33"/>
    </row>
    <row r="138" spans="2:2" ht="15.75" customHeight="1">
      <c r="B138" s="33"/>
    </row>
    <row r="139" spans="2:2" ht="15.75" customHeight="1">
      <c r="B139" s="33"/>
    </row>
    <row r="140" spans="2:2" ht="15.75" customHeight="1">
      <c r="B140" s="33"/>
    </row>
    <row r="141" spans="2:2" ht="15.75" customHeight="1">
      <c r="B141" s="33"/>
    </row>
    <row r="142" spans="2:2" ht="15.75" customHeight="1">
      <c r="B142" s="33"/>
    </row>
    <row r="143" spans="2:2" ht="15.75" customHeight="1">
      <c r="B143" s="33"/>
    </row>
    <row r="144" spans="2:2" ht="15.75" customHeight="1">
      <c r="B144" s="33"/>
    </row>
    <row r="145" spans="2:2" ht="15.75" customHeight="1">
      <c r="B145" s="33"/>
    </row>
    <row r="146" spans="2:2" ht="15.75" customHeight="1">
      <c r="B146" s="33"/>
    </row>
    <row r="147" spans="2:2" ht="15.75" customHeight="1">
      <c r="B147" s="33"/>
    </row>
    <row r="148" spans="2:2" ht="15.75" customHeight="1">
      <c r="B148" s="33"/>
    </row>
    <row r="149" spans="2:2" ht="15.75" customHeight="1">
      <c r="B149" s="33"/>
    </row>
    <row r="150" spans="2:2" ht="15.75" customHeight="1">
      <c r="B150" s="33"/>
    </row>
    <row r="151" spans="2:2" ht="15.75" customHeight="1">
      <c r="B151" s="33"/>
    </row>
    <row r="152" spans="2:2" ht="15.75" customHeight="1">
      <c r="B152" s="33"/>
    </row>
    <row r="153" spans="2:2" ht="15.75" customHeight="1">
      <c r="B153" s="33"/>
    </row>
    <row r="154" spans="2:2" ht="15.75" customHeight="1">
      <c r="B154" s="33"/>
    </row>
    <row r="155" spans="2:2" ht="15.75" customHeight="1">
      <c r="B155" s="33"/>
    </row>
    <row r="156" spans="2:2" ht="15.75" customHeight="1">
      <c r="B156" s="33"/>
    </row>
    <row r="157" spans="2:2" ht="15.75" customHeight="1">
      <c r="B157" s="33"/>
    </row>
    <row r="158" spans="2:2" ht="15.75" customHeight="1">
      <c r="B158" s="33"/>
    </row>
    <row r="159" spans="2:2" ht="15.75" customHeight="1">
      <c r="B159" s="33"/>
    </row>
    <row r="160" spans="2:2" ht="15.75" customHeight="1">
      <c r="B160" s="33"/>
    </row>
    <row r="161" spans="2:2" ht="15.75" customHeight="1">
      <c r="B161" s="33"/>
    </row>
    <row r="162" spans="2:2" ht="15.75" customHeight="1">
      <c r="B162" s="33"/>
    </row>
    <row r="163" spans="2:2" ht="15.75" customHeight="1">
      <c r="B163" s="33"/>
    </row>
    <row r="164" spans="2:2" ht="15.75" customHeight="1">
      <c r="B164" s="33"/>
    </row>
    <row r="165" spans="2:2" ht="15.75" customHeight="1">
      <c r="B165" s="33"/>
    </row>
    <row r="166" spans="2:2" ht="15.75" customHeight="1">
      <c r="B166" s="33"/>
    </row>
    <row r="167" spans="2:2" ht="15.75" customHeight="1">
      <c r="B167" s="33"/>
    </row>
    <row r="168" spans="2:2" ht="15.75" customHeight="1">
      <c r="B168" s="33"/>
    </row>
    <row r="169" spans="2:2" ht="15.75" customHeight="1">
      <c r="B169" s="33"/>
    </row>
    <row r="170" spans="2:2" ht="15.75" customHeight="1">
      <c r="B170" s="33"/>
    </row>
    <row r="171" spans="2:2" ht="15.75" customHeight="1">
      <c r="B171" s="33"/>
    </row>
    <row r="172" spans="2:2" ht="15.75" customHeight="1">
      <c r="B172" s="33"/>
    </row>
    <row r="173" spans="2:2" ht="15.75" customHeight="1">
      <c r="B173" s="33"/>
    </row>
    <row r="174" spans="2:2" ht="15.75" customHeight="1">
      <c r="B174" s="33"/>
    </row>
    <row r="175" spans="2:2" ht="15.75" customHeight="1">
      <c r="B175" s="33"/>
    </row>
    <row r="176" spans="2:2" ht="15.75" customHeight="1">
      <c r="B176" s="33"/>
    </row>
    <row r="177" spans="2:2" ht="15.75" customHeight="1">
      <c r="B177" s="33"/>
    </row>
    <row r="178" spans="2:2" ht="15.75" customHeight="1">
      <c r="B178" s="33"/>
    </row>
    <row r="179" spans="2:2" ht="15.75" customHeight="1">
      <c r="B179" s="33"/>
    </row>
    <row r="180" spans="2:2" ht="15.75" customHeight="1">
      <c r="B180" s="33"/>
    </row>
    <row r="181" spans="2:2" ht="15.75" customHeight="1">
      <c r="B181" s="33"/>
    </row>
    <row r="182" spans="2:2" ht="15.75" customHeight="1">
      <c r="B182" s="33"/>
    </row>
    <row r="183" spans="2:2" ht="15.75" customHeight="1">
      <c r="B183" s="33"/>
    </row>
    <row r="184" spans="2:2" ht="15.75" customHeight="1">
      <c r="B184" s="33"/>
    </row>
    <row r="185" spans="2:2" ht="15.75" customHeight="1">
      <c r="B185" s="33"/>
    </row>
    <row r="186" spans="2:2" ht="15.75" customHeight="1">
      <c r="B186" s="33"/>
    </row>
    <row r="187" spans="2:2" ht="15.75" customHeight="1">
      <c r="B187" s="33"/>
    </row>
    <row r="188" spans="2:2" ht="15.75" customHeight="1">
      <c r="B188" s="33"/>
    </row>
    <row r="189" spans="2:2" ht="15.75" customHeight="1">
      <c r="B189" s="33"/>
    </row>
    <row r="190" spans="2:2" ht="15.75" customHeight="1">
      <c r="B190" s="33"/>
    </row>
    <row r="191" spans="2:2" ht="15.75" customHeight="1">
      <c r="B191" s="33"/>
    </row>
    <row r="192" spans="2:2" ht="15.75" customHeight="1">
      <c r="B192" s="33"/>
    </row>
    <row r="193" spans="2:2" ht="15.75" customHeight="1">
      <c r="B193" s="33"/>
    </row>
    <row r="194" spans="2:2" ht="15.75" customHeight="1">
      <c r="B194" s="33"/>
    </row>
    <row r="195" spans="2:2" ht="15.75" customHeight="1">
      <c r="B195" s="33"/>
    </row>
    <row r="196" spans="2:2" ht="15.75" customHeight="1">
      <c r="B196" s="33"/>
    </row>
    <row r="197" spans="2:2" ht="15.75" customHeight="1">
      <c r="B197" s="33"/>
    </row>
    <row r="198" spans="2:2" ht="15.75" customHeight="1">
      <c r="B198" s="33"/>
    </row>
    <row r="199" spans="2:2" ht="15.75" customHeight="1">
      <c r="B199" s="33"/>
    </row>
    <row r="200" spans="2:2" ht="15.75" customHeight="1">
      <c r="B200" s="33"/>
    </row>
    <row r="201" spans="2:2" ht="15.75" customHeight="1">
      <c r="B201" s="33"/>
    </row>
    <row r="202" spans="2:2" ht="15.75" customHeight="1">
      <c r="B202" s="33"/>
    </row>
    <row r="203" spans="2:2" ht="15.75" customHeight="1">
      <c r="B203" s="33"/>
    </row>
    <row r="204" spans="2:2" ht="15.75" customHeight="1">
      <c r="B204" s="33"/>
    </row>
    <row r="205" spans="2:2" ht="15.75" customHeight="1">
      <c r="B205" s="33"/>
    </row>
    <row r="206" spans="2:2" ht="15.75" customHeight="1">
      <c r="B206" s="33"/>
    </row>
    <row r="207" spans="2:2" ht="15.75" customHeight="1">
      <c r="B207" s="33"/>
    </row>
    <row r="208" spans="2:2" ht="15.75" customHeight="1">
      <c r="B208" s="33"/>
    </row>
    <row r="209" spans="2:2" ht="15.75" customHeight="1">
      <c r="B209" s="33"/>
    </row>
    <row r="210" spans="2:2" ht="15.75" customHeight="1">
      <c r="B210" s="33"/>
    </row>
    <row r="211" spans="2:2" ht="15.75" customHeight="1">
      <c r="B211" s="33"/>
    </row>
    <row r="212" spans="2:2" ht="15.75" customHeight="1">
      <c r="B212" s="33"/>
    </row>
    <row r="213" spans="2:2" ht="15.75" customHeight="1">
      <c r="B213" s="33"/>
    </row>
    <row r="214" spans="2:2" ht="15.75" customHeight="1">
      <c r="B214" s="33"/>
    </row>
    <row r="215" spans="2:2" ht="15.75" customHeight="1">
      <c r="B215" s="33"/>
    </row>
    <row r="216" spans="2:2" ht="15.75" customHeight="1">
      <c r="B216" s="33"/>
    </row>
    <row r="217" spans="2:2" ht="15.75" customHeight="1">
      <c r="B217" s="33"/>
    </row>
    <row r="218" spans="2:2" ht="15.75" customHeight="1">
      <c r="B218" s="33"/>
    </row>
    <row r="219" spans="2:2" ht="15.75" customHeight="1">
      <c r="B219" s="33"/>
    </row>
    <row r="220" spans="2:2" ht="15.75" customHeight="1">
      <c r="B220" s="33"/>
    </row>
    <row r="221" spans="2:2" ht="15.75" customHeight="1">
      <c r="B221" s="33"/>
    </row>
    <row r="222" spans="2:2" ht="15.75" customHeight="1">
      <c r="B222" s="33"/>
    </row>
    <row r="223" spans="2:2" ht="15.75" customHeight="1">
      <c r="B223" s="33"/>
    </row>
    <row r="224" spans="2:2" ht="15.75" customHeight="1">
      <c r="B224" s="33"/>
    </row>
    <row r="225" spans="2:2" ht="15.75" customHeight="1">
      <c r="B225" s="33"/>
    </row>
    <row r="226" spans="2:2" ht="15.75" customHeight="1">
      <c r="B226" s="33"/>
    </row>
    <row r="227" spans="2:2" ht="15.75" customHeight="1">
      <c r="B227" s="33"/>
    </row>
    <row r="228" spans="2:2" ht="15.75" customHeight="1">
      <c r="B228" s="33"/>
    </row>
    <row r="229" spans="2:2" ht="15.75" customHeight="1">
      <c r="B229" s="33"/>
    </row>
    <row r="230" spans="2:2" ht="15.75" customHeight="1">
      <c r="B230" s="33"/>
    </row>
    <row r="231" spans="2:2" ht="15.75" customHeight="1">
      <c r="B231" s="33"/>
    </row>
    <row r="232" spans="2:2" ht="15.75" customHeight="1">
      <c r="B232" s="33"/>
    </row>
    <row r="233" spans="2:2" ht="15.75" customHeight="1">
      <c r="B233" s="33"/>
    </row>
    <row r="234" spans="2:2" ht="15.75" customHeight="1">
      <c r="B234" s="33"/>
    </row>
    <row r="235" spans="2:2" ht="15.75" customHeight="1">
      <c r="B235" s="33"/>
    </row>
    <row r="236" spans="2:2" ht="15.75" customHeight="1">
      <c r="B236" s="33"/>
    </row>
    <row r="237" spans="2:2" ht="15.75" customHeight="1">
      <c r="B237" s="33"/>
    </row>
    <row r="238" spans="2:2" ht="15.75" customHeight="1">
      <c r="B238" s="33"/>
    </row>
    <row r="239" spans="2:2" ht="15.75" customHeight="1">
      <c r="B239" s="33"/>
    </row>
    <row r="240" spans="2:2" ht="15.75" customHeight="1">
      <c r="B240" s="33"/>
    </row>
    <row r="241" spans="2:2" ht="15.75" customHeight="1">
      <c r="B241" s="33"/>
    </row>
    <row r="242" spans="2:2" ht="15.75" customHeight="1">
      <c r="B242" s="33"/>
    </row>
    <row r="243" spans="2:2" ht="15.75" customHeight="1">
      <c r="B243" s="33"/>
    </row>
    <row r="244" spans="2:2" ht="15.75" customHeight="1">
      <c r="B244" s="33"/>
    </row>
    <row r="245" spans="2:2" ht="15.75" customHeight="1">
      <c r="B245" s="33"/>
    </row>
    <row r="246" spans="2:2" ht="15.75" customHeight="1">
      <c r="B246" s="33"/>
    </row>
    <row r="247" spans="2:2" ht="15.75" customHeight="1">
      <c r="B247" s="33"/>
    </row>
    <row r="248" spans="2:2" ht="15.75" customHeight="1">
      <c r="B248" s="33"/>
    </row>
    <row r="249" spans="2:2" ht="15.75" customHeight="1">
      <c r="B249" s="33"/>
    </row>
    <row r="250" spans="2:2" ht="15.75" customHeight="1">
      <c r="B250" s="33"/>
    </row>
    <row r="251" spans="2:2" ht="15.75" customHeight="1">
      <c r="B251" s="33"/>
    </row>
    <row r="252" spans="2:2" ht="15.75" customHeight="1">
      <c r="B252" s="33"/>
    </row>
    <row r="253" spans="2:2" ht="15.75" customHeight="1">
      <c r="B253" s="33"/>
    </row>
    <row r="254" spans="2:2" ht="15.75" customHeight="1">
      <c r="B254" s="33"/>
    </row>
    <row r="255" spans="2:2" ht="15.75" customHeight="1">
      <c r="B255" s="33"/>
    </row>
    <row r="256" spans="2:2" ht="15.75" customHeight="1">
      <c r="B256" s="33"/>
    </row>
    <row r="257" spans="2:2" ht="15.75" customHeight="1">
      <c r="B257" s="33"/>
    </row>
    <row r="258" spans="2:2" ht="15.75" customHeight="1">
      <c r="B258" s="33"/>
    </row>
    <row r="259" spans="2:2" ht="15.75" customHeight="1">
      <c r="B259" s="33"/>
    </row>
    <row r="260" spans="2:2" ht="15.75" customHeight="1">
      <c r="B260" s="33"/>
    </row>
    <row r="261" spans="2:2" ht="15.75" customHeight="1">
      <c r="B261" s="33"/>
    </row>
    <row r="262" spans="2:2" ht="15.75" customHeight="1">
      <c r="B262" s="33"/>
    </row>
    <row r="263" spans="2:2" ht="15.75" customHeight="1">
      <c r="B263" s="33"/>
    </row>
    <row r="264" spans="2:2" ht="15.75" customHeight="1">
      <c r="B264" s="33"/>
    </row>
    <row r="265" spans="2:2" ht="15.75" customHeight="1">
      <c r="B265" s="33"/>
    </row>
    <row r="266" spans="2:2" ht="15.75" customHeight="1">
      <c r="B266" s="33"/>
    </row>
    <row r="267" spans="2:2" ht="15.75" customHeight="1">
      <c r="B267" s="33"/>
    </row>
    <row r="268" spans="2:2" ht="15.75" customHeight="1">
      <c r="B268" s="33"/>
    </row>
    <row r="269" spans="2:2" ht="15.75" customHeight="1">
      <c r="B269" s="33"/>
    </row>
    <row r="270" spans="2:2" ht="15.75" customHeight="1">
      <c r="B270" s="33"/>
    </row>
    <row r="271" spans="2:2" ht="15.75" customHeight="1">
      <c r="B271" s="33"/>
    </row>
    <row r="272" spans="2:2" ht="15.75" customHeight="1">
      <c r="B272" s="33"/>
    </row>
    <row r="273" spans="2:2" ht="15.75" customHeight="1">
      <c r="B273" s="33"/>
    </row>
    <row r="274" spans="2:2" ht="15.75" customHeight="1">
      <c r="B274" s="33"/>
    </row>
    <row r="275" spans="2:2" ht="15.75" customHeight="1">
      <c r="B275" s="33"/>
    </row>
    <row r="276" spans="2:2" ht="15.75" customHeight="1">
      <c r="B276" s="33"/>
    </row>
    <row r="277" spans="2:2" ht="15.75" customHeight="1">
      <c r="B277" s="33"/>
    </row>
    <row r="278" spans="2:2" ht="15.75" customHeight="1">
      <c r="B278" s="33"/>
    </row>
    <row r="279" spans="2:2" ht="15.75" customHeight="1">
      <c r="B279" s="33"/>
    </row>
    <row r="280" spans="2:2" ht="15.75" customHeight="1">
      <c r="B280" s="33"/>
    </row>
    <row r="281" spans="2:2" ht="15.75" customHeight="1">
      <c r="B281" s="33"/>
    </row>
    <row r="282" spans="2:2" ht="15.75" customHeight="1">
      <c r="B282" s="33"/>
    </row>
    <row r="283" spans="2:2" ht="15.75" customHeight="1">
      <c r="B283" s="33"/>
    </row>
    <row r="284" spans="2:2" ht="15.75" customHeight="1">
      <c r="B284" s="33"/>
    </row>
    <row r="285" spans="2:2" ht="15.75" customHeight="1">
      <c r="B285" s="33"/>
    </row>
    <row r="286" spans="2:2" ht="15.75" customHeight="1">
      <c r="B286" s="33"/>
    </row>
    <row r="287" spans="2:2" ht="15.75" customHeight="1">
      <c r="B287" s="33"/>
    </row>
    <row r="288" spans="2:2" ht="15.75" customHeight="1">
      <c r="B288" s="33"/>
    </row>
    <row r="289" spans="2:2" ht="15.75" customHeight="1">
      <c r="B289" s="33"/>
    </row>
    <row r="290" spans="2:2" ht="15.75" customHeight="1">
      <c r="B290" s="33"/>
    </row>
    <row r="291" spans="2:2" ht="15.75" customHeight="1">
      <c r="B291" s="33"/>
    </row>
    <row r="292" spans="2:2" ht="15.75" customHeight="1">
      <c r="B292" s="33"/>
    </row>
    <row r="293" spans="2:2" ht="15.75" customHeight="1">
      <c r="B293" s="33"/>
    </row>
    <row r="294" spans="2:2" ht="15.75" customHeight="1">
      <c r="B294" s="33"/>
    </row>
    <row r="295" spans="2:2" ht="15.75" customHeight="1">
      <c r="B295" s="33"/>
    </row>
    <row r="296" spans="2:2" ht="15.75" customHeight="1">
      <c r="B296" s="33"/>
    </row>
    <row r="297" spans="2:2" ht="15.75" customHeight="1">
      <c r="B297" s="33"/>
    </row>
    <row r="298" spans="2:2" ht="15.75" customHeight="1">
      <c r="B298" s="33"/>
    </row>
    <row r="299" spans="2:2" ht="15.75" customHeight="1">
      <c r="B299" s="33"/>
    </row>
    <row r="300" spans="2:2" ht="15.75" customHeight="1">
      <c r="B300" s="33"/>
    </row>
    <row r="301" spans="2:2" ht="15.75" customHeight="1">
      <c r="B301" s="33"/>
    </row>
    <row r="302" spans="2:2" ht="15.75" customHeight="1">
      <c r="B302" s="33"/>
    </row>
    <row r="303" spans="2:2" ht="15.75" customHeight="1">
      <c r="B303" s="33"/>
    </row>
    <row r="304" spans="2:2" ht="15.75" customHeight="1">
      <c r="B304" s="33"/>
    </row>
    <row r="305" spans="2:2" ht="15.75" customHeight="1">
      <c r="B305" s="33"/>
    </row>
    <row r="306" spans="2:2" ht="15.75" customHeight="1">
      <c r="B306" s="33"/>
    </row>
    <row r="307" spans="2:2" ht="15.75" customHeight="1">
      <c r="B307" s="33"/>
    </row>
    <row r="308" spans="2:2" ht="15.75" customHeight="1">
      <c r="B308" s="33"/>
    </row>
    <row r="309" spans="2:2" ht="15.75" customHeight="1">
      <c r="B309" s="33"/>
    </row>
    <row r="310" spans="2:2" ht="15.75" customHeight="1">
      <c r="B310" s="33"/>
    </row>
    <row r="311" spans="2:2" ht="15.75" customHeight="1">
      <c r="B311" s="33"/>
    </row>
    <row r="312" spans="2:2" ht="15.75" customHeight="1">
      <c r="B312" s="33"/>
    </row>
    <row r="313" spans="2:2" ht="15.75" customHeight="1">
      <c r="B313" s="33"/>
    </row>
    <row r="314" spans="2:2" ht="15.75" customHeight="1">
      <c r="B314" s="33"/>
    </row>
    <row r="315" spans="2:2" ht="15.75" customHeight="1">
      <c r="B315" s="33"/>
    </row>
    <row r="316" spans="2:2" ht="15.75" customHeight="1">
      <c r="B316" s="33"/>
    </row>
    <row r="317" spans="2:2" ht="15.75" customHeight="1">
      <c r="B317" s="33"/>
    </row>
    <row r="318" spans="2:2" ht="15.75" customHeight="1">
      <c r="B318" s="33"/>
    </row>
    <row r="319" spans="2:2" ht="15.75" customHeight="1">
      <c r="B319" s="33"/>
    </row>
    <row r="320" spans="2:2" ht="15.75" customHeight="1">
      <c r="B320" s="33"/>
    </row>
    <row r="321" spans="2:2" ht="15.75" customHeight="1">
      <c r="B321" s="33"/>
    </row>
    <row r="322" spans="2:2" ht="15.75" customHeight="1">
      <c r="B322" s="33"/>
    </row>
    <row r="323" spans="2:2" ht="15.75" customHeight="1">
      <c r="B323" s="33"/>
    </row>
    <row r="324" spans="2:2" ht="15.75" customHeight="1">
      <c r="B324" s="33"/>
    </row>
    <row r="325" spans="2:2" ht="15.75" customHeight="1">
      <c r="B325" s="33"/>
    </row>
    <row r="326" spans="2:2" ht="15.75" customHeight="1">
      <c r="B326" s="33"/>
    </row>
    <row r="327" spans="2:2" ht="15.75" customHeight="1">
      <c r="B327" s="33"/>
    </row>
    <row r="328" spans="2:2" ht="15.75" customHeight="1">
      <c r="B328" s="33"/>
    </row>
    <row r="329" spans="2:2" ht="15.75" customHeight="1">
      <c r="B329" s="33"/>
    </row>
    <row r="330" spans="2:2" ht="15.75" customHeight="1">
      <c r="B330" s="33"/>
    </row>
    <row r="331" spans="2:2" ht="15.75" customHeight="1">
      <c r="B331" s="33"/>
    </row>
    <row r="332" spans="2:2" ht="15.75" customHeight="1">
      <c r="B332" s="33"/>
    </row>
    <row r="333" spans="2:2" ht="15.75" customHeight="1">
      <c r="B333" s="33"/>
    </row>
    <row r="334" spans="2:2" ht="15.75" customHeight="1">
      <c r="B334" s="33"/>
    </row>
    <row r="335" spans="2:2" ht="15.75" customHeight="1">
      <c r="B335" s="33"/>
    </row>
    <row r="336" spans="2:2" ht="15.75" customHeight="1">
      <c r="B336" s="33"/>
    </row>
    <row r="337" spans="2:2" ht="15.75" customHeight="1">
      <c r="B337" s="33"/>
    </row>
    <row r="338" spans="2:2" ht="15.75" customHeight="1">
      <c r="B338" s="33"/>
    </row>
    <row r="339" spans="2:2" ht="15.75" customHeight="1">
      <c r="B339" s="33"/>
    </row>
    <row r="340" spans="2:2" ht="15.75" customHeight="1">
      <c r="B340" s="33"/>
    </row>
    <row r="341" spans="2:2" ht="15.75" customHeight="1">
      <c r="B341" s="33"/>
    </row>
    <row r="342" spans="2:2" ht="15.75" customHeight="1">
      <c r="B342" s="33"/>
    </row>
    <row r="343" spans="2:2" ht="15.75" customHeight="1">
      <c r="B343" s="33"/>
    </row>
    <row r="344" spans="2:2" ht="15.75" customHeight="1">
      <c r="B344" s="33"/>
    </row>
    <row r="345" spans="2:2" ht="15.75" customHeight="1">
      <c r="B345" s="33"/>
    </row>
    <row r="346" spans="2:2" ht="15.75" customHeight="1">
      <c r="B346" s="33"/>
    </row>
    <row r="347" spans="2:2" ht="15.75" customHeight="1">
      <c r="B347" s="33"/>
    </row>
    <row r="348" spans="2:2" ht="15.75" customHeight="1">
      <c r="B348" s="33"/>
    </row>
    <row r="349" spans="2:2" ht="15.75" customHeight="1">
      <c r="B349" s="33"/>
    </row>
    <row r="350" spans="2:2" ht="15.75" customHeight="1">
      <c r="B350" s="33"/>
    </row>
    <row r="351" spans="2:2" ht="15.75" customHeight="1">
      <c r="B351" s="33"/>
    </row>
    <row r="352" spans="2:2" ht="15.75" customHeight="1">
      <c r="B352" s="33"/>
    </row>
    <row r="353" spans="2:2" ht="15.75" customHeight="1">
      <c r="B353" s="33"/>
    </row>
    <row r="354" spans="2:2" ht="15.75" customHeight="1">
      <c r="B354" s="33"/>
    </row>
    <row r="355" spans="2:2" ht="15.75" customHeight="1">
      <c r="B355" s="33"/>
    </row>
    <row r="356" spans="2:2" ht="15.75" customHeight="1">
      <c r="B356" s="33"/>
    </row>
    <row r="357" spans="2:2" ht="15.75" customHeight="1">
      <c r="B357" s="33"/>
    </row>
    <row r="358" spans="2:2" ht="15.75" customHeight="1">
      <c r="B358" s="33"/>
    </row>
    <row r="359" spans="2:2" ht="15.75" customHeight="1">
      <c r="B359" s="33"/>
    </row>
    <row r="360" spans="2:2" ht="15.75" customHeight="1">
      <c r="B360" s="33"/>
    </row>
    <row r="361" spans="2:2" ht="15.75" customHeight="1">
      <c r="B361" s="33"/>
    </row>
    <row r="362" spans="2:2" ht="15.75" customHeight="1">
      <c r="B362" s="33"/>
    </row>
    <row r="363" spans="2:2" ht="15.75" customHeight="1">
      <c r="B363" s="33"/>
    </row>
    <row r="364" spans="2:2" ht="15.75" customHeight="1">
      <c r="B364" s="33"/>
    </row>
    <row r="365" spans="2:2" ht="15.75" customHeight="1">
      <c r="B365" s="33"/>
    </row>
    <row r="366" spans="2:2" ht="15.75" customHeight="1">
      <c r="B366" s="33"/>
    </row>
    <row r="367" spans="2:2" ht="15.75" customHeight="1">
      <c r="B367" s="33"/>
    </row>
    <row r="368" spans="2:2" ht="15.75" customHeight="1">
      <c r="B368" s="33"/>
    </row>
    <row r="369" spans="2:2" ht="15.75" customHeight="1">
      <c r="B369" s="33"/>
    </row>
    <row r="370" spans="2:2" ht="15.75" customHeight="1">
      <c r="B370" s="33"/>
    </row>
    <row r="371" spans="2:2" ht="15.75" customHeight="1">
      <c r="B371" s="33"/>
    </row>
    <row r="372" spans="2:2" ht="15.75" customHeight="1">
      <c r="B372" s="33"/>
    </row>
    <row r="373" spans="2:2" ht="15.75" customHeight="1">
      <c r="B373" s="33"/>
    </row>
    <row r="374" spans="2:2" ht="15.75" customHeight="1">
      <c r="B374" s="33"/>
    </row>
    <row r="375" spans="2:2" ht="15.75" customHeight="1">
      <c r="B375" s="33"/>
    </row>
    <row r="376" spans="2:2" ht="15.75" customHeight="1">
      <c r="B376" s="33"/>
    </row>
    <row r="377" spans="2:2" ht="15.75" customHeight="1">
      <c r="B377" s="33"/>
    </row>
    <row r="378" spans="2:2" ht="15.75" customHeight="1">
      <c r="B378" s="33"/>
    </row>
    <row r="379" spans="2:2" ht="15.75" customHeight="1">
      <c r="B379" s="33"/>
    </row>
    <row r="380" spans="2:2" ht="15.75" customHeight="1">
      <c r="B380" s="33"/>
    </row>
    <row r="381" spans="2:2" ht="15.75" customHeight="1">
      <c r="B381" s="33"/>
    </row>
    <row r="382" spans="2:2" ht="15.75" customHeight="1">
      <c r="B382" s="33"/>
    </row>
    <row r="383" spans="2:2" ht="15.75" customHeight="1">
      <c r="B383" s="33"/>
    </row>
    <row r="384" spans="2:2" ht="15.75" customHeight="1">
      <c r="B384" s="33"/>
    </row>
    <row r="385" spans="2:2" ht="15.75" customHeight="1">
      <c r="B385" s="33"/>
    </row>
    <row r="386" spans="2:2" ht="15.75" customHeight="1">
      <c r="B386" s="33"/>
    </row>
    <row r="387" spans="2:2" ht="15.75" customHeight="1">
      <c r="B387" s="33"/>
    </row>
    <row r="388" spans="2:2" ht="15.75" customHeight="1">
      <c r="B388" s="33"/>
    </row>
    <row r="389" spans="2:2" ht="15.75" customHeight="1">
      <c r="B389" s="33"/>
    </row>
    <row r="390" spans="2:2" ht="15.75" customHeight="1">
      <c r="B390" s="33"/>
    </row>
    <row r="391" spans="2:2" ht="15.75" customHeight="1">
      <c r="B391" s="33"/>
    </row>
    <row r="392" spans="2:2" ht="15.75" customHeight="1">
      <c r="B392" s="33"/>
    </row>
    <row r="393" spans="2:2" ht="15.75" customHeight="1">
      <c r="B393" s="33"/>
    </row>
    <row r="394" spans="2:2" ht="15.75" customHeight="1">
      <c r="B394" s="33"/>
    </row>
    <row r="395" spans="2:2" ht="15.75" customHeight="1">
      <c r="B395" s="33"/>
    </row>
    <row r="396" spans="2:2" ht="15.75" customHeight="1">
      <c r="B396" s="33"/>
    </row>
    <row r="397" spans="2:2" ht="15.75" customHeight="1">
      <c r="B397" s="33"/>
    </row>
    <row r="398" spans="2:2" ht="15.75" customHeight="1">
      <c r="B398" s="33"/>
    </row>
    <row r="399" spans="2:2" ht="15.75" customHeight="1">
      <c r="B399" s="33"/>
    </row>
    <row r="400" spans="2:2" ht="15.75" customHeight="1">
      <c r="B400" s="33"/>
    </row>
    <row r="401" spans="2:2" ht="15.75" customHeight="1">
      <c r="B401" s="33"/>
    </row>
    <row r="402" spans="2:2" ht="15.75" customHeight="1">
      <c r="B402" s="33"/>
    </row>
    <row r="403" spans="2:2" ht="15.75" customHeight="1">
      <c r="B403" s="33"/>
    </row>
    <row r="404" spans="2:2" ht="15.75" customHeight="1">
      <c r="B404" s="33"/>
    </row>
    <row r="405" spans="2:2" ht="15.75" customHeight="1">
      <c r="B405" s="33"/>
    </row>
    <row r="406" spans="2:2" ht="15.75" customHeight="1">
      <c r="B406" s="33"/>
    </row>
    <row r="407" spans="2:2" ht="15.75" customHeight="1">
      <c r="B407" s="33"/>
    </row>
    <row r="408" spans="2:2" ht="15.75" customHeight="1">
      <c r="B408" s="33"/>
    </row>
    <row r="409" spans="2:2" ht="15.75" customHeight="1">
      <c r="B409" s="33"/>
    </row>
    <row r="410" spans="2:2" ht="15.75" customHeight="1">
      <c r="B410" s="33"/>
    </row>
    <row r="411" spans="2:2" ht="15.75" customHeight="1">
      <c r="B411" s="33"/>
    </row>
    <row r="412" spans="2:2" ht="15.75" customHeight="1">
      <c r="B412" s="33"/>
    </row>
    <row r="413" spans="2:2" ht="15.75" customHeight="1">
      <c r="B413" s="33"/>
    </row>
    <row r="414" spans="2:2" ht="15.75" customHeight="1">
      <c r="B414" s="33"/>
    </row>
    <row r="415" spans="2:2" ht="15.75" customHeight="1">
      <c r="B415" s="33"/>
    </row>
    <row r="416" spans="2:2" ht="15.75" customHeight="1">
      <c r="B416" s="33"/>
    </row>
    <row r="417" spans="2:2" ht="15.75" customHeight="1">
      <c r="B417" s="33"/>
    </row>
    <row r="418" spans="2:2" ht="15.75" customHeight="1">
      <c r="B418" s="33"/>
    </row>
    <row r="419" spans="2:2" ht="15.75" customHeight="1">
      <c r="B419" s="33"/>
    </row>
    <row r="420" spans="2:2" ht="15.75" customHeight="1">
      <c r="B420" s="33"/>
    </row>
    <row r="421" spans="2:2" ht="15.75" customHeight="1">
      <c r="B421" s="33"/>
    </row>
    <row r="422" spans="2:2" ht="15.75" customHeight="1">
      <c r="B422" s="33"/>
    </row>
    <row r="423" spans="2:2" ht="15.75" customHeight="1">
      <c r="B423" s="33"/>
    </row>
    <row r="424" spans="2:2" ht="15.75" customHeight="1">
      <c r="B424" s="33"/>
    </row>
    <row r="425" spans="2:2" ht="15.75" customHeight="1">
      <c r="B425" s="33"/>
    </row>
    <row r="426" spans="2:2" ht="15.75" customHeight="1">
      <c r="B426" s="33"/>
    </row>
    <row r="427" spans="2:2" ht="15.75" customHeight="1">
      <c r="B427" s="33"/>
    </row>
    <row r="428" spans="2:2" ht="15.75" customHeight="1">
      <c r="B428" s="33"/>
    </row>
    <row r="429" spans="2:2" ht="15.75" customHeight="1">
      <c r="B429" s="33"/>
    </row>
    <row r="430" spans="2:2" ht="15.75" customHeight="1">
      <c r="B430" s="33"/>
    </row>
    <row r="431" spans="2:2" ht="15.75" customHeight="1">
      <c r="B431" s="33"/>
    </row>
    <row r="432" spans="2:2" ht="15.75" customHeight="1">
      <c r="B432" s="33"/>
    </row>
    <row r="433" spans="2:2" ht="15.75" customHeight="1">
      <c r="B433" s="33"/>
    </row>
    <row r="434" spans="2:2" ht="15.75" customHeight="1">
      <c r="B434" s="33"/>
    </row>
    <row r="435" spans="2:2" ht="15.75" customHeight="1">
      <c r="B435" s="33"/>
    </row>
    <row r="436" spans="2:2" ht="15.75" customHeight="1">
      <c r="B436" s="33"/>
    </row>
    <row r="437" spans="2:2" ht="15.75" customHeight="1">
      <c r="B437" s="33"/>
    </row>
    <row r="438" spans="2:2" ht="15.75" customHeight="1">
      <c r="B438" s="33"/>
    </row>
    <row r="439" spans="2:2" ht="15.75" customHeight="1">
      <c r="B439" s="33"/>
    </row>
    <row r="440" spans="2:2" ht="15.75" customHeight="1">
      <c r="B440" s="33"/>
    </row>
    <row r="441" spans="2:2" ht="15.75" customHeight="1">
      <c r="B441" s="33"/>
    </row>
    <row r="442" spans="2:2" ht="15.75" customHeight="1">
      <c r="B442" s="33"/>
    </row>
    <row r="443" spans="2:2" ht="15.75" customHeight="1">
      <c r="B443" s="33"/>
    </row>
    <row r="444" spans="2:2" ht="15.75" customHeight="1">
      <c r="B444" s="33"/>
    </row>
    <row r="445" spans="2:2" ht="15.75" customHeight="1">
      <c r="B445" s="33"/>
    </row>
    <row r="446" spans="2:2" ht="15.75" customHeight="1">
      <c r="B446" s="33"/>
    </row>
    <row r="447" spans="2:2" ht="15.75" customHeight="1">
      <c r="B447" s="33"/>
    </row>
    <row r="448" spans="2:2" ht="15.75" customHeight="1">
      <c r="B448" s="33"/>
    </row>
    <row r="449" spans="2:2" ht="15.75" customHeight="1">
      <c r="B449" s="33"/>
    </row>
    <row r="450" spans="2:2" ht="15.75" customHeight="1">
      <c r="B450" s="33"/>
    </row>
    <row r="451" spans="2:2" ht="15.75" customHeight="1">
      <c r="B451" s="33"/>
    </row>
    <row r="452" spans="2:2" ht="15.75" customHeight="1">
      <c r="B452" s="33"/>
    </row>
    <row r="453" spans="2:2" ht="15.75" customHeight="1">
      <c r="B453" s="33"/>
    </row>
    <row r="454" spans="2:2" ht="15.75" customHeight="1">
      <c r="B454" s="33"/>
    </row>
    <row r="455" spans="2:2" ht="15.75" customHeight="1">
      <c r="B455" s="33"/>
    </row>
    <row r="456" spans="2:2" ht="15.75" customHeight="1">
      <c r="B456" s="33"/>
    </row>
    <row r="457" spans="2:2" ht="15.75" customHeight="1">
      <c r="B457" s="33"/>
    </row>
    <row r="458" spans="2:2" ht="15.75" customHeight="1">
      <c r="B458" s="33"/>
    </row>
    <row r="459" spans="2:2" ht="15.75" customHeight="1">
      <c r="B459" s="33"/>
    </row>
    <row r="460" spans="2:2" ht="15.75" customHeight="1">
      <c r="B460" s="33"/>
    </row>
    <row r="461" spans="2:2" ht="15.75" customHeight="1">
      <c r="B461" s="33"/>
    </row>
    <row r="462" spans="2:2" ht="15.75" customHeight="1">
      <c r="B462" s="33"/>
    </row>
    <row r="463" spans="2:2" ht="15.75" customHeight="1">
      <c r="B463" s="33"/>
    </row>
    <row r="464" spans="2:2" ht="15.75" customHeight="1">
      <c r="B464" s="33"/>
    </row>
    <row r="465" spans="2:2" ht="15.75" customHeight="1">
      <c r="B465" s="33"/>
    </row>
    <row r="466" spans="2:2" ht="15.75" customHeight="1">
      <c r="B466" s="33"/>
    </row>
    <row r="467" spans="2:2" ht="15.75" customHeight="1">
      <c r="B467" s="33"/>
    </row>
    <row r="468" spans="2:2" ht="15.75" customHeight="1">
      <c r="B468" s="33"/>
    </row>
    <row r="469" spans="2:2" ht="15.75" customHeight="1">
      <c r="B469" s="33"/>
    </row>
    <row r="470" spans="2:2" ht="15.75" customHeight="1">
      <c r="B470" s="33"/>
    </row>
    <row r="471" spans="2:2" ht="15.75" customHeight="1">
      <c r="B471" s="33"/>
    </row>
    <row r="472" spans="2:2" ht="15.75" customHeight="1">
      <c r="B472" s="33"/>
    </row>
    <row r="473" spans="2:2" ht="15.75" customHeight="1">
      <c r="B473" s="33"/>
    </row>
    <row r="474" spans="2:2" ht="15.75" customHeight="1">
      <c r="B474" s="33"/>
    </row>
    <row r="475" spans="2:2" ht="15.75" customHeight="1">
      <c r="B475" s="33"/>
    </row>
    <row r="476" spans="2:2" ht="15.75" customHeight="1">
      <c r="B476" s="33"/>
    </row>
    <row r="477" spans="2:2" ht="15.75" customHeight="1">
      <c r="B477" s="33"/>
    </row>
    <row r="478" spans="2:2" ht="15.75" customHeight="1">
      <c r="B478" s="33"/>
    </row>
    <row r="479" spans="2:2" ht="15.75" customHeight="1">
      <c r="B479" s="33"/>
    </row>
    <row r="480" spans="2:2" ht="15.75" customHeight="1">
      <c r="B480" s="33"/>
    </row>
    <row r="481" spans="2:2" ht="15.75" customHeight="1">
      <c r="B481" s="33"/>
    </row>
    <row r="482" spans="2:2" ht="15.75" customHeight="1">
      <c r="B482" s="33"/>
    </row>
    <row r="483" spans="2:2" ht="15.75" customHeight="1">
      <c r="B483" s="33"/>
    </row>
    <row r="484" spans="2:2" ht="15.75" customHeight="1">
      <c r="B484" s="33"/>
    </row>
    <row r="485" spans="2:2" ht="15.75" customHeight="1">
      <c r="B485" s="33"/>
    </row>
    <row r="486" spans="2:2" ht="15.75" customHeight="1">
      <c r="B486" s="33"/>
    </row>
    <row r="487" spans="2:2" ht="15.75" customHeight="1">
      <c r="B487" s="33"/>
    </row>
    <row r="488" spans="2:2" ht="15.75" customHeight="1">
      <c r="B488" s="33"/>
    </row>
    <row r="489" spans="2:2" ht="15.75" customHeight="1">
      <c r="B489" s="33"/>
    </row>
    <row r="490" spans="2:2" ht="15.75" customHeight="1">
      <c r="B490" s="33"/>
    </row>
    <row r="491" spans="2:2" ht="15.75" customHeight="1">
      <c r="B491" s="33"/>
    </row>
    <row r="492" spans="2:2" ht="15.75" customHeight="1">
      <c r="B492" s="33"/>
    </row>
    <row r="493" spans="2:2" ht="15.75" customHeight="1">
      <c r="B493" s="33"/>
    </row>
    <row r="494" spans="2:2" ht="15.75" customHeight="1">
      <c r="B494" s="33"/>
    </row>
    <row r="495" spans="2:2" ht="15.75" customHeight="1">
      <c r="B495" s="33"/>
    </row>
    <row r="496" spans="2:2" ht="15.75" customHeight="1">
      <c r="B496" s="33"/>
    </row>
    <row r="497" spans="2:2" ht="15.75" customHeight="1">
      <c r="B497" s="33"/>
    </row>
    <row r="498" spans="2:2" ht="15.75" customHeight="1">
      <c r="B498" s="33"/>
    </row>
    <row r="499" spans="2:2" ht="15.75" customHeight="1">
      <c r="B499" s="33"/>
    </row>
    <row r="500" spans="2:2" ht="15.75" customHeight="1">
      <c r="B500" s="33"/>
    </row>
    <row r="501" spans="2:2" ht="15.75" customHeight="1">
      <c r="B501" s="33"/>
    </row>
    <row r="502" spans="2:2" ht="15.75" customHeight="1">
      <c r="B502" s="33"/>
    </row>
    <row r="503" spans="2:2" ht="15.75" customHeight="1">
      <c r="B503" s="33"/>
    </row>
    <row r="504" spans="2:2" ht="15.75" customHeight="1">
      <c r="B504" s="33"/>
    </row>
    <row r="505" spans="2:2" ht="15.75" customHeight="1">
      <c r="B505" s="33"/>
    </row>
    <row r="506" spans="2:2" ht="15.75" customHeight="1">
      <c r="B506" s="33"/>
    </row>
    <row r="507" spans="2:2" ht="15.75" customHeight="1">
      <c r="B507" s="33"/>
    </row>
    <row r="508" spans="2:2" ht="15.75" customHeight="1">
      <c r="B508" s="33"/>
    </row>
    <row r="509" spans="2:2" ht="15.75" customHeight="1">
      <c r="B509" s="33"/>
    </row>
    <row r="510" spans="2:2" ht="15.75" customHeight="1">
      <c r="B510" s="33"/>
    </row>
    <row r="511" spans="2:2" ht="15.75" customHeight="1">
      <c r="B511" s="33"/>
    </row>
    <row r="512" spans="2:2" ht="15.75" customHeight="1">
      <c r="B512" s="33"/>
    </row>
    <row r="513" spans="2:2" ht="15.75" customHeight="1">
      <c r="B513" s="33"/>
    </row>
    <row r="514" spans="2:2" ht="15.75" customHeight="1">
      <c r="B514" s="33"/>
    </row>
    <row r="515" spans="2:2" ht="15.75" customHeight="1">
      <c r="B515" s="33"/>
    </row>
    <row r="516" spans="2:2" ht="15.75" customHeight="1">
      <c r="B516" s="33"/>
    </row>
    <row r="517" spans="2:2" ht="15.75" customHeight="1">
      <c r="B517" s="33"/>
    </row>
    <row r="518" spans="2:2" ht="15.75" customHeight="1">
      <c r="B518" s="33"/>
    </row>
    <row r="519" spans="2:2" ht="15.75" customHeight="1">
      <c r="B519" s="33"/>
    </row>
    <row r="520" spans="2:2" ht="15.75" customHeight="1">
      <c r="B520" s="33"/>
    </row>
    <row r="521" spans="2:2" ht="15.75" customHeight="1">
      <c r="B521" s="33"/>
    </row>
    <row r="522" spans="2:2" ht="15.75" customHeight="1">
      <c r="B522" s="33"/>
    </row>
    <row r="523" spans="2:2" ht="15.75" customHeight="1">
      <c r="B523" s="33"/>
    </row>
    <row r="524" spans="2:2" ht="15.75" customHeight="1">
      <c r="B524" s="33"/>
    </row>
    <row r="525" spans="2:2" ht="15.75" customHeight="1">
      <c r="B525" s="33"/>
    </row>
    <row r="526" spans="2:2" ht="15.75" customHeight="1">
      <c r="B526" s="33"/>
    </row>
    <row r="527" spans="2:2" ht="15.75" customHeight="1">
      <c r="B527" s="33"/>
    </row>
    <row r="528" spans="2:2" ht="15.75" customHeight="1">
      <c r="B528" s="33"/>
    </row>
    <row r="529" spans="2:2" ht="15.75" customHeight="1">
      <c r="B529" s="33"/>
    </row>
    <row r="530" spans="2:2" ht="15.75" customHeight="1">
      <c r="B530" s="33"/>
    </row>
    <row r="531" spans="2:2" ht="15.75" customHeight="1">
      <c r="B531" s="33"/>
    </row>
    <row r="532" spans="2:2" ht="15.75" customHeight="1">
      <c r="B532" s="33"/>
    </row>
    <row r="533" spans="2:2" ht="15.75" customHeight="1">
      <c r="B533" s="33"/>
    </row>
    <row r="534" spans="2:2" ht="15.75" customHeight="1">
      <c r="B534" s="33"/>
    </row>
    <row r="535" spans="2:2" ht="15.75" customHeight="1">
      <c r="B535" s="33"/>
    </row>
    <row r="536" spans="2:2" ht="15.75" customHeight="1">
      <c r="B536" s="33"/>
    </row>
    <row r="537" spans="2:2" ht="15.75" customHeight="1">
      <c r="B537" s="33"/>
    </row>
    <row r="538" spans="2:2" ht="15.75" customHeight="1">
      <c r="B538" s="33"/>
    </row>
    <row r="539" spans="2:2" ht="15.75" customHeight="1">
      <c r="B539" s="33"/>
    </row>
    <row r="540" spans="2:2" ht="15.75" customHeight="1">
      <c r="B540" s="33"/>
    </row>
    <row r="541" spans="2:2" ht="15.75" customHeight="1">
      <c r="B541" s="33"/>
    </row>
    <row r="542" spans="2:2" ht="15.75" customHeight="1">
      <c r="B542" s="33"/>
    </row>
    <row r="543" spans="2:2" ht="15.75" customHeight="1">
      <c r="B543" s="33"/>
    </row>
    <row r="544" spans="2:2" ht="15.75" customHeight="1">
      <c r="B544" s="33"/>
    </row>
    <row r="545" spans="2:2" ht="15.75" customHeight="1">
      <c r="B545" s="33"/>
    </row>
    <row r="546" spans="2:2" ht="15.75" customHeight="1">
      <c r="B546" s="33"/>
    </row>
    <row r="547" spans="2:2" ht="15.75" customHeight="1">
      <c r="B547" s="33"/>
    </row>
    <row r="548" spans="2:2" ht="15.75" customHeight="1">
      <c r="B548" s="33"/>
    </row>
    <row r="549" spans="2:2" ht="15.75" customHeight="1">
      <c r="B549" s="33"/>
    </row>
    <row r="550" spans="2:2" ht="15.75" customHeight="1">
      <c r="B550" s="33"/>
    </row>
    <row r="551" spans="2:2" ht="15.75" customHeight="1">
      <c r="B551" s="33"/>
    </row>
    <row r="552" spans="2:2" ht="15.75" customHeight="1">
      <c r="B552" s="33"/>
    </row>
    <row r="553" spans="2:2" ht="15.75" customHeight="1">
      <c r="B553" s="33"/>
    </row>
    <row r="554" spans="2:2" ht="15.75" customHeight="1">
      <c r="B554" s="33"/>
    </row>
    <row r="555" spans="2:2" ht="15.75" customHeight="1">
      <c r="B555" s="33"/>
    </row>
    <row r="556" spans="2:2" ht="15.75" customHeight="1">
      <c r="B556" s="33"/>
    </row>
    <row r="557" spans="2:2" ht="15.75" customHeight="1">
      <c r="B557" s="33"/>
    </row>
    <row r="558" spans="2:2" ht="15.75" customHeight="1">
      <c r="B558" s="33"/>
    </row>
    <row r="559" spans="2:2" ht="15.75" customHeight="1">
      <c r="B559" s="33"/>
    </row>
    <row r="560" spans="2:2" ht="15.75" customHeight="1">
      <c r="B560" s="33"/>
    </row>
    <row r="561" spans="2:2" ht="15.75" customHeight="1">
      <c r="B561" s="33"/>
    </row>
    <row r="562" spans="2:2" ht="15.75" customHeight="1">
      <c r="B562" s="33"/>
    </row>
    <row r="563" spans="2:2" ht="15.75" customHeight="1">
      <c r="B563" s="33"/>
    </row>
    <row r="564" spans="2:2" ht="15.75" customHeight="1">
      <c r="B564" s="33"/>
    </row>
    <row r="565" spans="2:2" ht="15.75" customHeight="1">
      <c r="B565" s="33"/>
    </row>
    <row r="566" spans="2:2" ht="15.75" customHeight="1">
      <c r="B566" s="33"/>
    </row>
    <row r="567" spans="2:2" ht="15.75" customHeight="1">
      <c r="B567" s="33"/>
    </row>
    <row r="568" spans="2:2" ht="15.75" customHeight="1">
      <c r="B568" s="33"/>
    </row>
    <row r="569" spans="2:2" ht="15.75" customHeight="1">
      <c r="B569" s="33"/>
    </row>
    <row r="570" spans="2:2" ht="15.75" customHeight="1">
      <c r="B570" s="33"/>
    </row>
    <row r="571" spans="2:2" ht="15.75" customHeight="1">
      <c r="B571" s="33"/>
    </row>
    <row r="572" spans="2:2" ht="15.75" customHeight="1">
      <c r="B572" s="33"/>
    </row>
    <row r="573" spans="2:2" ht="15.75" customHeight="1">
      <c r="B573" s="33"/>
    </row>
    <row r="574" spans="2:2" ht="15.75" customHeight="1">
      <c r="B574" s="33"/>
    </row>
    <row r="575" spans="2:2" ht="15.75" customHeight="1">
      <c r="B575" s="33"/>
    </row>
    <row r="576" spans="2:2" ht="15.75" customHeight="1">
      <c r="B576" s="33"/>
    </row>
    <row r="577" spans="2:2" ht="15.75" customHeight="1">
      <c r="B577" s="33"/>
    </row>
    <row r="578" spans="2:2" ht="15.75" customHeight="1">
      <c r="B578" s="33"/>
    </row>
    <row r="579" spans="2:2" ht="15.75" customHeight="1">
      <c r="B579" s="33"/>
    </row>
    <row r="580" spans="2:2" ht="15.75" customHeight="1">
      <c r="B580" s="33"/>
    </row>
    <row r="581" spans="2:2" ht="15.75" customHeight="1">
      <c r="B581" s="33"/>
    </row>
    <row r="582" spans="2:2" ht="15.75" customHeight="1">
      <c r="B582" s="33"/>
    </row>
    <row r="583" spans="2:2" ht="15.75" customHeight="1">
      <c r="B583" s="33"/>
    </row>
    <row r="584" spans="2:2" ht="15.75" customHeight="1">
      <c r="B584" s="33"/>
    </row>
    <row r="585" spans="2:2" ht="15.75" customHeight="1">
      <c r="B585" s="33"/>
    </row>
    <row r="586" spans="2:2" ht="15.75" customHeight="1">
      <c r="B586" s="33"/>
    </row>
    <row r="587" spans="2:2" ht="15.75" customHeight="1">
      <c r="B587" s="33"/>
    </row>
    <row r="588" spans="2:2" ht="15.75" customHeight="1">
      <c r="B588" s="33"/>
    </row>
    <row r="589" spans="2:2" ht="15.75" customHeight="1">
      <c r="B589" s="33"/>
    </row>
    <row r="590" spans="2:2" ht="15.75" customHeight="1">
      <c r="B590" s="33"/>
    </row>
    <row r="591" spans="2:2" ht="15.75" customHeight="1">
      <c r="B591" s="33"/>
    </row>
    <row r="592" spans="2:2" ht="15.75" customHeight="1">
      <c r="B592" s="33"/>
    </row>
    <row r="593" spans="2:2" ht="15.75" customHeight="1">
      <c r="B593" s="33"/>
    </row>
    <row r="594" spans="2:2" ht="15.75" customHeight="1">
      <c r="B594" s="33"/>
    </row>
    <row r="595" spans="2:2" ht="15.75" customHeight="1">
      <c r="B595" s="33"/>
    </row>
    <row r="596" spans="2:2" ht="15.75" customHeight="1">
      <c r="B596" s="33"/>
    </row>
    <row r="597" spans="2:2" ht="15.75" customHeight="1">
      <c r="B597" s="33"/>
    </row>
    <row r="598" spans="2:2" ht="15.75" customHeight="1">
      <c r="B598" s="33"/>
    </row>
    <row r="599" spans="2:2" ht="15.75" customHeight="1">
      <c r="B599" s="33"/>
    </row>
    <row r="600" spans="2:2" ht="15.75" customHeight="1">
      <c r="B600" s="33"/>
    </row>
    <row r="601" spans="2:2" ht="15.75" customHeight="1">
      <c r="B601" s="33"/>
    </row>
    <row r="602" spans="2:2" ht="15.75" customHeight="1">
      <c r="B602" s="33"/>
    </row>
    <row r="603" spans="2:2" ht="15.75" customHeight="1">
      <c r="B603" s="33"/>
    </row>
    <row r="604" spans="2:2" ht="15.75" customHeight="1">
      <c r="B604" s="33"/>
    </row>
    <row r="605" spans="2:2" ht="15.75" customHeight="1">
      <c r="B605" s="33"/>
    </row>
    <row r="606" spans="2:2" ht="15.75" customHeight="1">
      <c r="B606" s="33"/>
    </row>
    <row r="607" spans="2:2" ht="15.75" customHeight="1">
      <c r="B607" s="33"/>
    </row>
    <row r="608" spans="2:2" ht="15.75" customHeight="1">
      <c r="B608" s="33"/>
    </row>
    <row r="609" spans="2:2" ht="15.75" customHeight="1">
      <c r="B609" s="33"/>
    </row>
    <row r="610" spans="2:2" ht="15.75" customHeight="1">
      <c r="B610" s="33"/>
    </row>
    <row r="611" spans="2:2" ht="15.75" customHeight="1">
      <c r="B611" s="33"/>
    </row>
    <row r="612" spans="2:2" ht="15.75" customHeight="1">
      <c r="B612" s="33"/>
    </row>
    <row r="613" spans="2:2" ht="15.75" customHeight="1">
      <c r="B613" s="33"/>
    </row>
    <row r="614" spans="2:2" ht="15.75" customHeight="1">
      <c r="B614" s="33"/>
    </row>
    <row r="615" spans="2:2" ht="15.75" customHeight="1">
      <c r="B615" s="33"/>
    </row>
    <row r="616" spans="2:2" ht="15.75" customHeight="1">
      <c r="B616" s="33"/>
    </row>
    <row r="617" spans="2:2" ht="15.75" customHeight="1">
      <c r="B617" s="33"/>
    </row>
    <row r="618" spans="2:2" ht="15.75" customHeight="1">
      <c r="B618" s="33"/>
    </row>
    <row r="619" spans="2:2" ht="15.75" customHeight="1">
      <c r="B619" s="33"/>
    </row>
    <row r="620" spans="2:2" ht="15.75" customHeight="1">
      <c r="B620" s="33"/>
    </row>
    <row r="621" spans="2:2" ht="15.75" customHeight="1">
      <c r="B621" s="33"/>
    </row>
    <row r="622" spans="2:2" ht="15.75" customHeight="1">
      <c r="B622" s="33"/>
    </row>
    <row r="623" spans="2:2" ht="15.75" customHeight="1">
      <c r="B623" s="33"/>
    </row>
    <row r="624" spans="2:2" ht="15.75" customHeight="1">
      <c r="B624" s="33"/>
    </row>
    <row r="625" spans="2:2" ht="15.75" customHeight="1">
      <c r="B625" s="33"/>
    </row>
    <row r="626" spans="2:2" ht="15.75" customHeight="1">
      <c r="B626" s="33"/>
    </row>
    <row r="627" spans="2:2" ht="15.75" customHeight="1">
      <c r="B627" s="33"/>
    </row>
    <row r="628" spans="2:2" ht="15.75" customHeight="1">
      <c r="B628" s="33"/>
    </row>
    <row r="629" spans="2:2" ht="15.75" customHeight="1">
      <c r="B629" s="33"/>
    </row>
    <row r="630" spans="2:2" ht="15.75" customHeight="1">
      <c r="B630" s="33"/>
    </row>
    <row r="631" spans="2:2" ht="15.75" customHeight="1">
      <c r="B631" s="33"/>
    </row>
    <row r="632" spans="2:2" ht="15.75" customHeight="1">
      <c r="B632" s="33"/>
    </row>
    <row r="633" spans="2:2" ht="15.75" customHeight="1">
      <c r="B633" s="33"/>
    </row>
    <row r="634" spans="2:2" ht="15.75" customHeight="1">
      <c r="B634" s="33"/>
    </row>
    <row r="635" spans="2:2" ht="15.75" customHeight="1">
      <c r="B635" s="33"/>
    </row>
    <row r="636" spans="2:2" ht="15.75" customHeight="1">
      <c r="B636" s="33"/>
    </row>
    <row r="637" spans="2:2" ht="15.75" customHeight="1">
      <c r="B637" s="33"/>
    </row>
    <row r="638" spans="2:2" ht="15.75" customHeight="1">
      <c r="B638" s="33"/>
    </row>
    <row r="639" spans="2:2" ht="15.75" customHeight="1">
      <c r="B639" s="33"/>
    </row>
    <row r="640" spans="2:2" ht="15.75" customHeight="1">
      <c r="B640" s="33"/>
    </row>
    <row r="641" spans="2:2" ht="15.75" customHeight="1">
      <c r="B641" s="33"/>
    </row>
    <row r="642" spans="2:2" ht="15.75" customHeight="1">
      <c r="B642" s="33"/>
    </row>
    <row r="643" spans="2:2" ht="15.75" customHeight="1">
      <c r="B643" s="33"/>
    </row>
    <row r="644" spans="2:2" ht="15.75" customHeight="1">
      <c r="B644" s="33"/>
    </row>
    <row r="645" spans="2:2" ht="15.75" customHeight="1">
      <c r="B645" s="33"/>
    </row>
    <row r="646" spans="2:2" ht="15.75" customHeight="1">
      <c r="B646" s="33"/>
    </row>
    <row r="647" spans="2:2" ht="15.75" customHeight="1">
      <c r="B647" s="33"/>
    </row>
    <row r="648" spans="2:2" ht="15.75" customHeight="1">
      <c r="B648" s="33"/>
    </row>
    <row r="649" spans="2:2" ht="15.75" customHeight="1">
      <c r="B649" s="33"/>
    </row>
    <row r="650" spans="2:2" ht="15.75" customHeight="1">
      <c r="B650" s="33"/>
    </row>
    <row r="651" spans="2:2" ht="15.75" customHeight="1">
      <c r="B651" s="33"/>
    </row>
    <row r="652" spans="2:2" ht="15.75" customHeight="1">
      <c r="B652" s="33"/>
    </row>
    <row r="653" spans="2:2" ht="15.75" customHeight="1">
      <c r="B653" s="33"/>
    </row>
    <row r="654" spans="2:2" ht="15.75" customHeight="1">
      <c r="B654" s="33"/>
    </row>
    <row r="655" spans="2:2" ht="15.75" customHeight="1">
      <c r="B655" s="33"/>
    </row>
    <row r="656" spans="2:2" ht="15.75" customHeight="1">
      <c r="B656" s="33"/>
    </row>
    <row r="657" spans="2:2" ht="15.75" customHeight="1">
      <c r="B657" s="33"/>
    </row>
    <row r="658" spans="2:2" ht="15.75" customHeight="1">
      <c r="B658" s="33"/>
    </row>
    <row r="659" spans="2:2" ht="15.75" customHeight="1">
      <c r="B659" s="33"/>
    </row>
    <row r="660" spans="2:2" ht="15.75" customHeight="1">
      <c r="B660" s="33"/>
    </row>
    <row r="661" spans="2:2" ht="15.75" customHeight="1">
      <c r="B661" s="33"/>
    </row>
    <row r="662" spans="2:2" ht="15.75" customHeight="1">
      <c r="B662" s="33"/>
    </row>
    <row r="663" spans="2:2" ht="15.75" customHeight="1">
      <c r="B663" s="33"/>
    </row>
    <row r="664" spans="2:2" ht="15.75" customHeight="1">
      <c r="B664" s="33"/>
    </row>
    <row r="665" spans="2:2" ht="15.75" customHeight="1">
      <c r="B665" s="33"/>
    </row>
    <row r="666" spans="2:2" ht="15.75" customHeight="1">
      <c r="B666" s="33"/>
    </row>
    <row r="667" spans="2:2" ht="15.75" customHeight="1">
      <c r="B667" s="33"/>
    </row>
    <row r="668" spans="2:2" ht="15.75" customHeight="1">
      <c r="B668" s="33"/>
    </row>
    <row r="669" spans="2:2" ht="15.75" customHeight="1">
      <c r="B669" s="33"/>
    </row>
    <row r="670" spans="2:2" ht="15.75" customHeight="1">
      <c r="B670" s="33"/>
    </row>
    <row r="671" spans="2:2" ht="15.75" customHeight="1">
      <c r="B671" s="33"/>
    </row>
    <row r="672" spans="2:2" ht="15.75" customHeight="1">
      <c r="B672" s="33"/>
    </row>
    <row r="673" spans="2:2" ht="15.75" customHeight="1">
      <c r="B673" s="33"/>
    </row>
    <row r="674" spans="2:2" ht="15.75" customHeight="1">
      <c r="B674" s="33"/>
    </row>
    <row r="675" spans="2:2" ht="15.75" customHeight="1">
      <c r="B675" s="33"/>
    </row>
    <row r="676" spans="2:2" ht="15.75" customHeight="1">
      <c r="B676" s="33"/>
    </row>
    <row r="677" spans="2:2" ht="15.75" customHeight="1">
      <c r="B677" s="33"/>
    </row>
    <row r="678" spans="2:2" ht="15.75" customHeight="1">
      <c r="B678" s="33"/>
    </row>
    <row r="679" spans="2:2" ht="15.75" customHeight="1">
      <c r="B679" s="33"/>
    </row>
    <row r="680" spans="2:2" ht="15.75" customHeight="1">
      <c r="B680" s="33"/>
    </row>
    <row r="681" spans="2:2" ht="15.75" customHeight="1">
      <c r="B681" s="33"/>
    </row>
    <row r="682" spans="2:2" ht="15.75" customHeight="1">
      <c r="B682" s="33"/>
    </row>
    <row r="683" spans="2:2" ht="15.75" customHeight="1">
      <c r="B683" s="33"/>
    </row>
    <row r="684" spans="2:2" ht="15.75" customHeight="1">
      <c r="B684" s="33"/>
    </row>
    <row r="685" spans="2:2" ht="15.75" customHeight="1">
      <c r="B685" s="33"/>
    </row>
    <row r="686" spans="2:2" ht="15.75" customHeight="1">
      <c r="B686" s="33"/>
    </row>
    <row r="687" spans="2:2" ht="15.75" customHeight="1">
      <c r="B687" s="33"/>
    </row>
    <row r="688" spans="2:2" ht="15.75" customHeight="1">
      <c r="B688" s="33"/>
    </row>
    <row r="689" spans="2:2" ht="15.75" customHeight="1">
      <c r="B689" s="33"/>
    </row>
    <row r="690" spans="2:2" ht="15.75" customHeight="1">
      <c r="B690" s="33"/>
    </row>
    <row r="691" spans="2:2" ht="15.75" customHeight="1">
      <c r="B691" s="33"/>
    </row>
    <row r="692" spans="2:2" ht="15.75" customHeight="1">
      <c r="B692" s="33"/>
    </row>
    <row r="693" spans="2:2" ht="15.75" customHeight="1">
      <c r="B693" s="33"/>
    </row>
    <row r="694" spans="2:2" ht="15.75" customHeight="1">
      <c r="B694" s="33"/>
    </row>
    <row r="695" spans="2:2" ht="15.75" customHeight="1">
      <c r="B695" s="33"/>
    </row>
    <row r="696" spans="2:2" ht="15.75" customHeight="1">
      <c r="B696" s="33"/>
    </row>
    <row r="697" spans="2:2" ht="15.75" customHeight="1">
      <c r="B697" s="33"/>
    </row>
    <row r="698" spans="2:2" ht="15.75" customHeight="1">
      <c r="B698" s="33"/>
    </row>
    <row r="699" spans="2:2" ht="15.75" customHeight="1">
      <c r="B699" s="33"/>
    </row>
    <row r="700" spans="2:2" ht="15.75" customHeight="1">
      <c r="B700" s="33"/>
    </row>
    <row r="701" spans="2:2" ht="15.75" customHeight="1">
      <c r="B701" s="33"/>
    </row>
    <row r="702" spans="2:2" ht="15.75" customHeight="1">
      <c r="B702" s="33"/>
    </row>
    <row r="703" spans="2:2" ht="15.75" customHeight="1">
      <c r="B703" s="33"/>
    </row>
    <row r="704" spans="2:2" ht="15.75" customHeight="1">
      <c r="B704" s="33"/>
    </row>
    <row r="705" spans="2:2" ht="15.75" customHeight="1">
      <c r="B705" s="33"/>
    </row>
    <row r="706" spans="2:2" ht="15.75" customHeight="1">
      <c r="B706" s="33"/>
    </row>
    <row r="707" spans="2:2" ht="15.75" customHeight="1">
      <c r="B707" s="33"/>
    </row>
    <row r="708" spans="2:2" ht="15.75" customHeight="1">
      <c r="B708" s="33"/>
    </row>
    <row r="709" spans="2:2" ht="15.75" customHeight="1">
      <c r="B709" s="33"/>
    </row>
    <row r="710" spans="2:2" ht="15.75" customHeight="1">
      <c r="B710" s="33"/>
    </row>
    <row r="711" spans="2:2" ht="15.75" customHeight="1">
      <c r="B711" s="33"/>
    </row>
    <row r="712" spans="2:2" ht="15.75" customHeight="1">
      <c r="B712" s="33"/>
    </row>
    <row r="713" spans="2:2" ht="15.75" customHeight="1">
      <c r="B713" s="33"/>
    </row>
    <row r="714" spans="2:2" ht="15.75" customHeight="1">
      <c r="B714" s="33"/>
    </row>
    <row r="715" spans="2:2" ht="15.75" customHeight="1">
      <c r="B715" s="33"/>
    </row>
    <row r="716" spans="2:2" ht="15.75" customHeight="1">
      <c r="B716" s="33"/>
    </row>
    <row r="717" spans="2:2" ht="15.75" customHeight="1">
      <c r="B717" s="33"/>
    </row>
    <row r="718" spans="2:2" ht="15.75" customHeight="1">
      <c r="B718" s="33"/>
    </row>
    <row r="719" spans="2:2" ht="15.75" customHeight="1">
      <c r="B719" s="33"/>
    </row>
    <row r="720" spans="2:2" ht="15.75" customHeight="1">
      <c r="B720" s="33"/>
    </row>
    <row r="721" spans="2:2" ht="15.75" customHeight="1">
      <c r="B721" s="33"/>
    </row>
    <row r="722" spans="2:2" ht="15.75" customHeight="1">
      <c r="B722" s="33"/>
    </row>
    <row r="723" spans="2:2" ht="15.75" customHeight="1">
      <c r="B723" s="33"/>
    </row>
    <row r="724" spans="2:2" ht="15.75" customHeight="1">
      <c r="B724" s="33"/>
    </row>
    <row r="725" spans="2:2" ht="15.75" customHeight="1">
      <c r="B725" s="33"/>
    </row>
    <row r="726" spans="2:2" ht="15.75" customHeight="1">
      <c r="B726" s="33"/>
    </row>
    <row r="727" spans="2:2" ht="15.75" customHeight="1">
      <c r="B727" s="33"/>
    </row>
    <row r="728" spans="2:2" ht="15.75" customHeight="1">
      <c r="B728" s="33"/>
    </row>
    <row r="729" spans="2:2" ht="15.75" customHeight="1">
      <c r="B729" s="33"/>
    </row>
    <row r="730" spans="2:2" ht="15.75" customHeight="1">
      <c r="B730" s="33"/>
    </row>
    <row r="731" spans="2:2" ht="15.75" customHeight="1">
      <c r="B731" s="33"/>
    </row>
    <row r="732" spans="2:2" ht="15.75" customHeight="1">
      <c r="B732" s="33"/>
    </row>
    <row r="733" spans="2:2" ht="15.75" customHeight="1">
      <c r="B733" s="33"/>
    </row>
    <row r="734" spans="2:2" ht="15.75" customHeight="1">
      <c r="B734" s="33"/>
    </row>
    <row r="735" spans="2:2" ht="15.75" customHeight="1">
      <c r="B735" s="33"/>
    </row>
    <row r="736" spans="2:2" ht="15.75" customHeight="1">
      <c r="B736" s="33"/>
    </row>
    <row r="737" spans="2:2" ht="15.75" customHeight="1">
      <c r="B737" s="33"/>
    </row>
    <row r="738" spans="2:2" ht="15.75" customHeight="1">
      <c r="B738" s="33"/>
    </row>
    <row r="739" spans="2:2" ht="15.75" customHeight="1">
      <c r="B739" s="33"/>
    </row>
    <row r="740" spans="2:2" ht="15.75" customHeight="1">
      <c r="B740" s="33"/>
    </row>
    <row r="741" spans="2:2" ht="15.75" customHeight="1">
      <c r="B741" s="33"/>
    </row>
    <row r="742" spans="2:2" ht="15.75" customHeight="1">
      <c r="B742" s="33"/>
    </row>
    <row r="743" spans="2:2" ht="15.75" customHeight="1">
      <c r="B743" s="33"/>
    </row>
    <row r="744" spans="2:2" ht="15.75" customHeight="1">
      <c r="B744" s="33"/>
    </row>
    <row r="745" spans="2:2" ht="15.75" customHeight="1">
      <c r="B745" s="33"/>
    </row>
    <row r="746" spans="2:2" ht="15.75" customHeight="1">
      <c r="B746" s="33"/>
    </row>
    <row r="747" spans="2:2" ht="15.75" customHeight="1">
      <c r="B747" s="33"/>
    </row>
    <row r="748" spans="2:2" ht="15.75" customHeight="1">
      <c r="B748" s="33"/>
    </row>
    <row r="749" spans="2:2" ht="15.75" customHeight="1">
      <c r="B749" s="33"/>
    </row>
    <row r="750" spans="2:2" ht="15.75" customHeight="1">
      <c r="B750" s="33"/>
    </row>
    <row r="751" spans="2:2" ht="15.75" customHeight="1">
      <c r="B751" s="33"/>
    </row>
    <row r="752" spans="2:2" ht="15.75" customHeight="1">
      <c r="B752" s="33"/>
    </row>
    <row r="753" spans="2:2" ht="15.75" customHeight="1">
      <c r="B753" s="33"/>
    </row>
    <row r="754" spans="2:2" ht="15.75" customHeight="1">
      <c r="B754" s="33"/>
    </row>
    <row r="755" spans="2:2" ht="15.75" customHeight="1">
      <c r="B755" s="33"/>
    </row>
    <row r="756" spans="2:2" ht="15.75" customHeight="1">
      <c r="B756" s="33"/>
    </row>
    <row r="757" spans="2:2" ht="15.75" customHeight="1">
      <c r="B757" s="33"/>
    </row>
    <row r="758" spans="2:2" ht="15.75" customHeight="1">
      <c r="B758" s="33"/>
    </row>
    <row r="759" spans="2:2" ht="15.75" customHeight="1">
      <c r="B759" s="33"/>
    </row>
    <row r="760" spans="2:2" ht="15.75" customHeight="1">
      <c r="B760" s="33"/>
    </row>
    <row r="761" spans="2:2" ht="15.75" customHeight="1">
      <c r="B761" s="33"/>
    </row>
    <row r="762" spans="2:2" ht="15.75" customHeight="1">
      <c r="B762" s="33"/>
    </row>
    <row r="763" spans="2:2" ht="15.75" customHeight="1">
      <c r="B763" s="33"/>
    </row>
    <row r="764" spans="2:2" ht="15.75" customHeight="1">
      <c r="B764" s="33"/>
    </row>
    <row r="765" spans="2:2" ht="15.75" customHeight="1">
      <c r="B765" s="33"/>
    </row>
    <row r="766" spans="2:2" ht="15.75" customHeight="1">
      <c r="B766" s="33"/>
    </row>
    <row r="767" spans="2:2" ht="15.75" customHeight="1">
      <c r="B767" s="33"/>
    </row>
    <row r="768" spans="2:2" ht="15.75" customHeight="1">
      <c r="B768" s="33"/>
    </row>
    <row r="769" spans="2:2" ht="15.75" customHeight="1">
      <c r="B769" s="33"/>
    </row>
    <row r="770" spans="2:2" ht="15.75" customHeight="1">
      <c r="B770" s="33"/>
    </row>
    <row r="771" spans="2:2" ht="15.75" customHeight="1">
      <c r="B771" s="33"/>
    </row>
    <row r="772" spans="2:2" ht="15.75" customHeight="1">
      <c r="B772" s="33"/>
    </row>
    <row r="773" spans="2:2" ht="15.75" customHeight="1">
      <c r="B773" s="33"/>
    </row>
    <row r="774" spans="2:2" ht="15.75" customHeight="1">
      <c r="B774" s="33"/>
    </row>
    <row r="775" spans="2:2" ht="15.75" customHeight="1">
      <c r="B775" s="33"/>
    </row>
    <row r="776" spans="2:2" ht="15.75" customHeight="1">
      <c r="B776" s="33"/>
    </row>
    <row r="777" spans="2:2" ht="15.75" customHeight="1">
      <c r="B777" s="33"/>
    </row>
    <row r="778" spans="2:2" ht="15.75" customHeight="1">
      <c r="B778" s="33"/>
    </row>
    <row r="779" spans="2:2" ht="15.75" customHeight="1">
      <c r="B779" s="33"/>
    </row>
    <row r="780" spans="2:2" ht="15.75" customHeight="1">
      <c r="B780" s="33"/>
    </row>
    <row r="781" spans="2:2" ht="15.75" customHeight="1">
      <c r="B781" s="33"/>
    </row>
    <row r="782" spans="2:2" ht="15.75" customHeight="1">
      <c r="B782" s="33"/>
    </row>
    <row r="783" spans="2:2" ht="15.75" customHeight="1">
      <c r="B783" s="33"/>
    </row>
    <row r="784" spans="2:2" ht="15.75" customHeight="1">
      <c r="B784" s="33"/>
    </row>
    <row r="785" spans="2:2" ht="15.75" customHeight="1">
      <c r="B785" s="33"/>
    </row>
    <row r="786" spans="2:2" ht="15.75" customHeight="1">
      <c r="B786" s="33"/>
    </row>
    <row r="787" spans="2:2" ht="15.75" customHeight="1">
      <c r="B787" s="33"/>
    </row>
    <row r="788" spans="2:2" ht="15.75" customHeight="1">
      <c r="B788" s="33"/>
    </row>
    <row r="789" spans="2:2" ht="15.75" customHeight="1">
      <c r="B789" s="33"/>
    </row>
    <row r="790" spans="2:2" ht="15.75" customHeight="1">
      <c r="B790" s="33"/>
    </row>
    <row r="791" spans="2:2" ht="15.75" customHeight="1">
      <c r="B791" s="33"/>
    </row>
    <row r="792" spans="2:2" ht="15.75" customHeight="1">
      <c r="B792" s="33"/>
    </row>
    <row r="793" spans="2:2" ht="15.75" customHeight="1">
      <c r="B793" s="33"/>
    </row>
    <row r="794" spans="2:2" ht="15.75" customHeight="1">
      <c r="B794" s="33"/>
    </row>
    <row r="795" spans="2:2" ht="15.75" customHeight="1">
      <c r="B795" s="33"/>
    </row>
    <row r="796" spans="2:2" ht="15.75" customHeight="1">
      <c r="B796" s="33"/>
    </row>
    <row r="797" spans="2:2" ht="15.75" customHeight="1">
      <c r="B797" s="33"/>
    </row>
    <row r="798" spans="2:2" ht="15.75" customHeight="1">
      <c r="B798" s="33"/>
    </row>
    <row r="799" spans="2:2" ht="15.75" customHeight="1">
      <c r="B799" s="33"/>
    </row>
    <row r="800" spans="2:2" ht="15.75" customHeight="1">
      <c r="B800" s="33"/>
    </row>
    <row r="801" spans="2:2" ht="15.75" customHeight="1">
      <c r="B801" s="33"/>
    </row>
    <row r="802" spans="2:2" ht="15.75" customHeight="1">
      <c r="B802" s="33"/>
    </row>
    <row r="803" spans="2:2" ht="15.75" customHeight="1">
      <c r="B803" s="33"/>
    </row>
    <row r="804" spans="2:2" ht="15.75" customHeight="1">
      <c r="B804" s="33"/>
    </row>
    <row r="805" spans="2:2" ht="15.75" customHeight="1">
      <c r="B805" s="33"/>
    </row>
    <row r="806" spans="2:2" ht="15.75" customHeight="1">
      <c r="B806" s="33"/>
    </row>
    <row r="807" spans="2:2" ht="15.75" customHeight="1">
      <c r="B807" s="33"/>
    </row>
    <row r="808" spans="2:2" ht="15.75" customHeight="1">
      <c r="B808" s="33"/>
    </row>
    <row r="809" spans="2:2" ht="15.75" customHeight="1">
      <c r="B809" s="33"/>
    </row>
    <row r="810" spans="2:2" ht="15.75" customHeight="1">
      <c r="B810" s="33"/>
    </row>
    <row r="811" spans="2:2" ht="15.75" customHeight="1">
      <c r="B811" s="33"/>
    </row>
    <row r="812" spans="2:2" ht="15.75" customHeight="1">
      <c r="B812" s="33"/>
    </row>
    <row r="813" spans="2:2" ht="15.75" customHeight="1">
      <c r="B813" s="33"/>
    </row>
    <row r="814" spans="2:2" ht="15.75" customHeight="1">
      <c r="B814" s="33"/>
    </row>
    <row r="815" spans="2:2" ht="15.75" customHeight="1">
      <c r="B815" s="33"/>
    </row>
    <row r="816" spans="2:2" ht="15.75" customHeight="1">
      <c r="B816" s="33"/>
    </row>
    <row r="817" spans="2:2" ht="15.75" customHeight="1">
      <c r="B817" s="33"/>
    </row>
    <row r="818" spans="2:2" ht="15.75" customHeight="1">
      <c r="B818" s="33"/>
    </row>
    <row r="819" spans="2:2" ht="15.75" customHeight="1">
      <c r="B819" s="33"/>
    </row>
    <row r="820" spans="2:2" ht="15.75" customHeight="1">
      <c r="B820" s="33"/>
    </row>
    <row r="821" spans="2:2" ht="15.75" customHeight="1">
      <c r="B821" s="33"/>
    </row>
    <row r="822" spans="2:2" ht="15.75" customHeight="1">
      <c r="B822" s="33"/>
    </row>
    <row r="823" spans="2:2" ht="15.75" customHeight="1">
      <c r="B823" s="33"/>
    </row>
    <row r="824" spans="2:2" ht="15.75" customHeight="1">
      <c r="B824" s="33"/>
    </row>
    <row r="825" spans="2:2" ht="15.75" customHeight="1">
      <c r="B825" s="33"/>
    </row>
    <row r="826" spans="2:2" ht="15.75" customHeight="1">
      <c r="B826" s="33"/>
    </row>
    <row r="827" spans="2:2" ht="15.75" customHeight="1">
      <c r="B827" s="33"/>
    </row>
    <row r="828" spans="2:2" ht="15.75" customHeight="1">
      <c r="B828" s="33"/>
    </row>
    <row r="829" spans="2:2" ht="15.75" customHeight="1">
      <c r="B829" s="33"/>
    </row>
    <row r="830" spans="2:2" ht="15.75" customHeight="1">
      <c r="B830" s="33"/>
    </row>
    <row r="831" spans="2:2" ht="15.75" customHeight="1">
      <c r="B831" s="33"/>
    </row>
    <row r="832" spans="2:2" ht="15.75" customHeight="1">
      <c r="B832" s="33"/>
    </row>
    <row r="833" spans="2:2" ht="15.75" customHeight="1">
      <c r="B833" s="33"/>
    </row>
    <row r="834" spans="2:2" ht="15.75" customHeight="1">
      <c r="B834" s="33"/>
    </row>
    <row r="835" spans="2:2" ht="15.75" customHeight="1">
      <c r="B835" s="33"/>
    </row>
    <row r="836" spans="2:2" ht="15.75" customHeight="1">
      <c r="B836" s="33"/>
    </row>
    <row r="837" spans="2:2" ht="15.75" customHeight="1">
      <c r="B837" s="33"/>
    </row>
    <row r="838" spans="2:2" ht="15.75" customHeight="1">
      <c r="B838" s="33"/>
    </row>
    <row r="839" spans="2:2" ht="15.75" customHeight="1">
      <c r="B839" s="33"/>
    </row>
    <row r="840" spans="2:2" ht="15.75" customHeight="1">
      <c r="B840" s="33"/>
    </row>
    <row r="841" spans="2:2" ht="15.75" customHeight="1">
      <c r="B841" s="33"/>
    </row>
    <row r="842" spans="2:2" ht="15.75" customHeight="1">
      <c r="B842" s="33"/>
    </row>
    <row r="843" spans="2:2" ht="15.75" customHeight="1">
      <c r="B843" s="33"/>
    </row>
    <row r="844" spans="2:2" ht="15.75" customHeight="1">
      <c r="B844" s="33"/>
    </row>
    <row r="845" spans="2:2" ht="15.75" customHeight="1">
      <c r="B845" s="33"/>
    </row>
    <row r="846" spans="2:2" ht="15.75" customHeight="1">
      <c r="B846" s="33"/>
    </row>
    <row r="847" spans="2:2" ht="15.75" customHeight="1">
      <c r="B847" s="33"/>
    </row>
    <row r="848" spans="2:2" ht="15.75" customHeight="1">
      <c r="B848" s="33"/>
    </row>
    <row r="849" spans="2:2" ht="15.75" customHeight="1">
      <c r="B849" s="33"/>
    </row>
    <row r="850" spans="2:2" ht="15.75" customHeight="1">
      <c r="B850" s="33"/>
    </row>
    <row r="851" spans="2:2" ht="15.75" customHeight="1">
      <c r="B851" s="33"/>
    </row>
    <row r="852" spans="2:2" ht="15.75" customHeight="1">
      <c r="B852" s="33"/>
    </row>
    <row r="853" spans="2:2" ht="15.75" customHeight="1">
      <c r="B853" s="33"/>
    </row>
    <row r="854" spans="2:2" ht="15.75" customHeight="1">
      <c r="B854" s="33"/>
    </row>
    <row r="855" spans="2:2" ht="15.75" customHeight="1">
      <c r="B855" s="33"/>
    </row>
    <row r="856" spans="2:2" ht="15.75" customHeight="1">
      <c r="B856" s="33"/>
    </row>
    <row r="857" spans="2:2" ht="15.75" customHeight="1">
      <c r="B857" s="33"/>
    </row>
    <row r="858" spans="2:2" ht="15.75" customHeight="1">
      <c r="B858" s="33"/>
    </row>
    <row r="859" spans="2:2" ht="15.75" customHeight="1">
      <c r="B859" s="33"/>
    </row>
    <row r="860" spans="2:2" ht="15.75" customHeight="1">
      <c r="B860" s="33"/>
    </row>
    <row r="861" spans="2:2" ht="15.75" customHeight="1">
      <c r="B861" s="33"/>
    </row>
    <row r="862" spans="2:2" ht="15.75" customHeight="1">
      <c r="B862" s="33"/>
    </row>
    <row r="863" spans="2:2" ht="15.75" customHeight="1">
      <c r="B863" s="33"/>
    </row>
    <row r="864" spans="2:2" ht="15.75" customHeight="1">
      <c r="B864" s="33"/>
    </row>
    <row r="865" spans="2:2" ht="15.75" customHeight="1">
      <c r="B865" s="33"/>
    </row>
    <row r="866" spans="2:2" ht="15.75" customHeight="1">
      <c r="B866" s="33"/>
    </row>
    <row r="867" spans="2:2" ht="15.75" customHeight="1">
      <c r="B867" s="33"/>
    </row>
    <row r="868" spans="2:2" ht="15.75" customHeight="1">
      <c r="B868" s="33"/>
    </row>
    <row r="869" spans="2:2" ht="15.75" customHeight="1">
      <c r="B869" s="33"/>
    </row>
    <row r="870" spans="2:2" ht="15.75" customHeight="1">
      <c r="B870" s="33"/>
    </row>
    <row r="871" spans="2:2" ht="15.75" customHeight="1">
      <c r="B871" s="33"/>
    </row>
    <row r="872" spans="2:2" ht="15.75" customHeight="1">
      <c r="B872" s="33"/>
    </row>
    <row r="873" spans="2:2" ht="15.75" customHeight="1">
      <c r="B873" s="33"/>
    </row>
    <row r="874" spans="2:2" ht="15.75" customHeight="1">
      <c r="B874" s="33"/>
    </row>
    <row r="875" spans="2:2" ht="15.75" customHeight="1">
      <c r="B875" s="33"/>
    </row>
    <row r="876" spans="2:2" ht="15.75" customHeight="1">
      <c r="B876" s="33"/>
    </row>
    <row r="877" spans="2:2" ht="15.75" customHeight="1">
      <c r="B877" s="33"/>
    </row>
    <row r="878" spans="2:2" ht="15.75" customHeight="1">
      <c r="B878" s="33"/>
    </row>
    <row r="879" spans="2:2" ht="15.75" customHeight="1">
      <c r="B879" s="33"/>
    </row>
    <row r="880" spans="2:2" ht="15.75" customHeight="1">
      <c r="B880" s="33"/>
    </row>
    <row r="881" spans="2:2" ht="15.75" customHeight="1">
      <c r="B881" s="33"/>
    </row>
    <row r="882" spans="2:2" ht="15.75" customHeight="1">
      <c r="B882" s="33"/>
    </row>
    <row r="883" spans="2:2" ht="15.75" customHeight="1">
      <c r="B883" s="33"/>
    </row>
    <row r="884" spans="2:2" ht="15.75" customHeight="1">
      <c r="B884" s="33"/>
    </row>
    <row r="885" spans="2:2" ht="15.75" customHeight="1">
      <c r="B885" s="33"/>
    </row>
    <row r="886" spans="2:2" ht="15.75" customHeight="1">
      <c r="B886" s="33"/>
    </row>
    <row r="887" spans="2:2" ht="15.75" customHeight="1">
      <c r="B887" s="33"/>
    </row>
    <row r="888" spans="2:2" ht="15.75" customHeight="1">
      <c r="B888" s="33"/>
    </row>
    <row r="889" spans="2:2" ht="15.75" customHeight="1">
      <c r="B889" s="33"/>
    </row>
    <row r="890" spans="2:2" ht="15.75" customHeight="1">
      <c r="B890" s="33"/>
    </row>
    <row r="891" spans="2:2" ht="15.75" customHeight="1">
      <c r="B891" s="33"/>
    </row>
    <row r="892" spans="2:2" ht="15.75" customHeight="1">
      <c r="B892" s="33"/>
    </row>
    <row r="893" spans="2:2" ht="15.75" customHeight="1">
      <c r="B893" s="33"/>
    </row>
    <row r="894" spans="2:2" ht="15.75" customHeight="1">
      <c r="B894" s="33"/>
    </row>
    <row r="895" spans="2:2" ht="15.75" customHeight="1">
      <c r="B895" s="33"/>
    </row>
    <row r="896" spans="2:2" ht="15.75" customHeight="1">
      <c r="B896" s="33"/>
    </row>
    <row r="897" spans="2:2" ht="15.75" customHeight="1">
      <c r="B897" s="33"/>
    </row>
    <row r="898" spans="2:2" ht="15.75" customHeight="1">
      <c r="B898" s="33"/>
    </row>
    <row r="899" spans="2:2" ht="15.75" customHeight="1">
      <c r="B899" s="33"/>
    </row>
    <row r="900" spans="2:2" ht="15.75" customHeight="1">
      <c r="B900" s="33"/>
    </row>
    <row r="901" spans="2:2" ht="15.75" customHeight="1">
      <c r="B901" s="33"/>
    </row>
    <row r="902" spans="2:2" ht="15.75" customHeight="1">
      <c r="B902" s="33"/>
    </row>
    <row r="903" spans="2:2" ht="15.75" customHeight="1">
      <c r="B903" s="33"/>
    </row>
    <row r="904" spans="2:2" ht="15.75" customHeight="1">
      <c r="B904" s="33"/>
    </row>
    <row r="905" spans="2:2" ht="15.75" customHeight="1">
      <c r="B905" s="33"/>
    </row>
    <row r="906" spans="2:2" ht="15.75" customHeight="1">
      <c r="B906" s="33"/>
    </row>
    <row r="907" spans="2:2" ht="15.75" customHeight="1">
      <c r="B907" s="33"/>
    </row>
    <row r="908" spans="2:2" ht="15.75" customHeight="1">
      <c r="B908" s="33"/>
    </row>
    <row r="909" spans="2:2" ht="15.75" customHeight="1">
      <c r="B909" s="33"/>
    </row>
    <row r="910" spans="2:2" ht="15.75" customHeight="1">
      <c r="B910" s="33"/>
    </row>
    <row r="911" spans="2:2" ht="15.75" customHeight="1">
      <c r="B911" s="33"/>
    </row>
    <row r="912" spans="2:2" ht="15.75" customHeight="1">
      <c r="B912" s="33"/>
    </row>
    <row r="913" spans="2:2" ht="15.75" customHeight="1">
      <c r="B913" s="33"/>
    </row>
    <row r="914" spans="2:2" ht="15.75" customHeight="1">
      <c r="B914" s="33"/>
    </row>
    <row r="915" spans="2:2" ht="15.75" customHeight="1">
      <c r="B915" s="33"/>
    </row>
    <row r="916" spans="2:2" ht="15.75" customHeight="1">
      <c r="B916" s="33"/>
    </row>
    <row r="917" spans="2:2" ht="15.75" customHeight="1">
      <c r="B917" s="33"/>
    </row>
    <row r="918" spans="2:2" ht="15.75" customHeight="1">
      <c r="B918" s="33"/>
    </row>
    <row r="919" spans="2:2" ht="15.75" customHeight="1">
      <c r="B919" s="33"/>
    </row>
    <row r="920" spans="2:2" ht="15.75" customHeight="1">
      <c r="B920" s="33"/>
    </row>
    <row r="921" spans="2:2" ht="15.75" customHeight="1">
      <c r="B921" s="33"/>
    </row>
    <row r="922" spans="2:2" ht="15.75" customHeight="1">
      <c r="B922" s="33"/>
    </row>
    <row r="923" spans="2:2" ht="15.75" customHeight="1">
      <c r="B923" s="33"/>
    </row>
    <row r="924" spans="2:2" ht="15.75" customHeight="1">
      <c r="B924" s="33"/>
    </row>
    <row r="925" spans="2:2" ht="15.75" customHeight="1">
      <c r="B925" s="33"/>
    </row>
    <row r="926" spans="2:2" ht="15.75" customHeight="1">
      <c r="B926" s="33"/>
    </row>
    <row r="927" spans="2:2" ht="15.75" customHeight="1">
      <c r="B927" s="33"/>
    </row>
    <row r="928" spans="2:2" ht="15.75" customHeight="1">
      <c r="B928" s="33"/>
    </row>
    <row r="929" spans="2:2" ht="15.75" customHeight="1">
      <c r="B929" s="33"/>
    </row>
    <row r="930" spans="2:2" ht="15.75" customHeight="1">
      <c r="B930" s="33"/>
    </row>
    <row r="931" spans="2:2" ht="15.75" customHeight="1">
      <c r="B931" s="33"/>
    </row>
    <row r="932" spans="2:2" ht="15.75" customHeight="1">
      <c r="B932" s="33"/>
    </row>
    <row r="933" spans="2:2" ht="15.75" customHeight="1">
      <c r="B933" s="33"/>
    </row>
    <row r="934" spans="2:2" ht="15.75" customHeight="1">
      <c r="B934" s="33"/>
    </row>
    <row r="935" spans="2:2" ht="15.75" customHeight="1">
      <c r="B935" s="33"/>
    </row>
    <row r="936" spans="2:2" ht="15.75" customHeight="1">
      <c r="B936" s="33"/>
    </row>
    <row r="937" spans="2:2" ht="15.75" customHeight="1">
      <c r="B937" s="33"/>
    </row>
    <row r="938" spans="2:2" ht="15.75" customHeight="1">
      <c r="B938" s="33"/>
    </row>
    <row r="939" spans="2:2" ht="15.75" customHeight="1">
      <c r="B939" s="33"/>
    </row>
    <row r="940" spans="2:2" ht="15.75" customHeight="1">
      <c r="B940" s="33"/>
    </row>
    <row r="941" spans="2:2" ht="15.75" customHeight="1">
      <c r="B941" s="33"/>
    </row>
    <row r="942" spans="2:2" ht="15.75" customHeight="1">
      <c r="B942" s="33"/>
    </row>
    <row r="943" spans="2:2" ht="15.75" customHeight="1">
      <c r="B943" s="33"/>
    </row>
    <row r="944" spans="2:2" ht="15.75" customHeight="1">
      <c r="B944" s="33"/>
    </row>
    <row r="945" spans="2:2" ht="15.75" customHeight="1">
      <c r="B945" s="33"/>
    </row>
    <row r="946" spans="2:2" ht="15.75" customHeight="1">
      <c r="B946" s="33"/>
    </row>
    <row r="947" spans="2:2" ht="15.75" customHeight="1">
      <c r="B947" s="33"/>
    </row>
    <row r="948" spans="2:2" ht="15.75" customHeight="1">
      <c r="B948" s="33"/>
    </row>
    <row r="949" spans="2:2" ht="15.75" customHeight="1">
      <c r="B949" s="33"/>
    </row>
    <row r="950" spans="2:2" ht="15.75" customHeight="1">
      <c r="B950" s="33"/>
    </row>
    <row r="951" spans="2:2" ht="15.75" customHeight="1">
      <c r="B951" s="33"/>
    </row>
    <row r="952" spans="2:2" ht="15.75" customHeight="1">
      <c r="B952" s="33"/>
    </row>
    <row r="953" spans="2:2" ht="15.75" customHeight="1">
      <c r="B953" s="33"/>
    </row>
    <row r="954" spans="2:2" ht="15.75" customHeight="1">
      <c r="B954" s="33"/>
    </row>
    <row r="955" spans="2:2" ht="15.75" customHeight="1">
      <c r="B955" s="33"/>
    </row>
    <row r="956" spans="2:2" ht="15.75" customHeight="1">
      <c r="B956" s="33"/>
    </row>
    <row r="957" spans="2:2" ht="15.75" customHeight="1">
      <c r="B957" s="33"/>
    </row>
    <row r="958" spans="2:2" ht="15.75" customHeight="1">
      <c r="B958" s="33"/>
    </row>
    <row r="959" spans="2:2" ht="15.75" customHeight="1">
      <c r="B959" s="33"/>
    </row>
    <row r="960" spans="2:2" ht="15.75" customHeight="1">
      <c r="B960" s="33"/>
    </row>
    <row r="961" spans="2:2" ht="15.75" customHeight="1">
      <c r="B961" s="33"/>
    </row>
    <row r="962" spans="2:2" ht="15.75" customHeight="1">
      <c r="B962" s="33"/>
    </row>
    <row r="963" spans="2:2" ht="15.75" customHeight="1">
      <c r="B963" s="33"/>
    </row>
    <row r="964" spans="2:2" ht="15.75" customHeight="1">
      <c r="B964" s="33"/>
    </row>
    <row r="965" spans="2:2" ht="15.75" customHeight="1">
      <c r="B965" s="33"/>
    </row>
    <row r="966" spans="2:2" ht="15.75" customHeight="1">
      <c r="B966" s="33"/>
    </row>
    <row r="967" spans="2:2" ht="15.75" customHeight="1">
      <c r="B967" s="33"/>
    </row>
    <row r="968" spans="2:2" ht="15.75" customHeight="1">
      <c r="B968" s="33"/>
    </row>
    <row r="969" spans="2:2" ht="15.75" customHeight="1">
      <c r="B969" s="33"/>
    </row>
    <row r="970" spans="2:2" ht="15.75" customHeight="1">
      <c r="B970" s="33"/>
    </row>
    <row r="971" spans="2:2" ht="15.75" customHeight="1">
      <c r="B971" s="33"/>
    </row>
    <row r="972" spans="2:2" ht="15.75" customHeight="1">
      <c r="B972" s="33"/>
    </row>
    <row r="973" spans="2:2" ht="15.75" customHeight="1">
      <c r="B973" s="33"/>
    </row>
    <row r="974" spans="2:2" ht="15.75" customHeight="1">
      <c r="B974" s="33"/>
    </row>
    <row r="975" spans="2:2" ht="15.75" customHeight="1">
      <c r="B975" s="33"/>
    </row>
    <row r="976" spans="2:2" ht="15.75" customHeight="1">
      <c r="B976" s="33"/>
    </row>
    <row r="977" spans="2:2" ht="15.75" customHeight="1">
      <c r="B977" s="33"/>
    </row>
    <row r="978" spans="2:2" ht="15.75" customHeight="1">
      <c r="B978" s="33"/>
    </row>
    <row r="979" spans="2:2" ht="15.75" customHeight="1">
      <c r="B979" s="33"/>
    </row>
    <row r="980" spans="2:2" ht="15.75" customHeight="1">
      <c r="B980" s="33"/>
    </row>
    <row r="981" spans="2:2" ht="15.75" customHeight="1">
      <c r="B981" s="33"/>
    </row>
    <row r="982" spans="2:2" ht="15.75" customHeight="1">
      <c r="B982" s="33"/>
    </row>
    <row r="983" spans="2:2" ht="15.75" customHeight="1">
      <c r="B983" s="33"/>
    </row>
    <row r="984" spans="2:2" ht="15.75" customHeight="1">
      <c r="B984" s="33"/>
    </row>
    <row r="985" spans="2:2" ht="15.75" customHeight="1">
      <c r="B985" s="33"/>
    </row>
    <row r="986" spans="2:2" ht="15.75" customHeight="1">
      <c r="B986" s="33"/>
    </row>
    <row r="987" spans="2:2" ht="15.75" customHeight="1">
      <c r="B987" s="33"/>
    </row>
    <row r="988" spans="2:2" ht="15.75" customHeight="1">
      <c r="B988" s="33"/>
    </row>
    <row r="989" spans="2:2" ht="15.75" customHeight="1">
      <c r="B989" s="33"/>
    </row>
    <row r="990" spans="2:2" ht="15.75" customHeight="1">
      <c r="B990" s="33"/>
    </row>
    <row r="991" spans="2:2" ht="15.75" customHeight="1">
      <c r="B991" s="33"/>
    </row>
    <row r="992" spans="2:2" ht="15.75" customHeight="1">
      <c r="B992" s="33"/>
    </row>
    <row r="993" spans="2:2" ht="15.75" customHeight="1">
      <c r="B993" s="33"/>
    </row>
    <row r="994" spans="2:2" ht="15.75" customHeight="1">
      <c r="B994" s="33"/>
    </row>
    <row r="995" spans="2:2" ht="15.75" customHeight="1">
      <c r="B995" s="33"/>
    </row>
    <row r="996" spans="2:2" ht="15.75" customHeight="1">
      <c r="B996" s="33"/>
    </row>
    <row r="997" spans="2:2" ht="15.75" customHeight="1">
      <c r="B997" s="33"/>
    </row>
    <row r="998" spans="2:2" ht="15.75" customHeight="1">
      <c r="B998" s="33"/>
    </row>
    <row r="999" spans="2:2" ht="15.75" customHeight="1">
      <c r="B999" s="33"/>
    </row>
    <row r="1000" spans="2:2" ht="15.75" customHeight="1">
      <c r="B1000" s="33"/>
    </row>
  </sheetData>
  <mergeCells count="30">
    <mergeCell ref="A13:B13"/>
    <mergeCell ref="A17:B17"/>
    <mergeCell ref="A18:B18"/>
    <mergeCell ref="A14:B14"/>
    <mergeCell ref="A9:B9"/>
    <mergeCell ref="C17:D17"/>
    <mergeCell ref="C18:D18"/>
    <mergeCell ref="C9:D9"/>
    <mergeCell ref="C10:D10"/>
    <mergeCell ref="C11:D11"/>
    <mergeCell ref="C12:D12"/>
    <mergeCell ref="C13:D13"/>
    <mergeCell ref="C15:D15"/>
    <mergeCell ref="C16:D16"/>
    <mergeCell ref="C14:D14"/>
    <mergeCell ref="A16:B16"/>
    <mergeCell ref="A15:B15"/>
    <mergeCell ref="A10:B10"/>
    <mergeCell ref="A11:B11"/>
    <mergeCell ref="A12:B12"/>
    <mergeCell ref="C8:D8"/>
    <mergeCell ref="A8:B8"/>
    <mergeCell ref="C3:I3"/>
    <mergeCell ref="A1:I2"/>
    <mergeCell ref="A3:B5"/>
    <mergeCell ref="C5:D5"/>
    <mergeCell ref="C6:D6"/>
    <mergeCell ref="C7:D7"/>
    <mergeCell ref="A6:B6"/>
    <mergeCell ref="A7:B7"/>
  </mergeCells>
  <conditionalFormatting sqref="C14:I14 C16:I18 C15 E6:I15">
    <cfRule type="cellIs" dxfId="1" priority="1" operator="equal">
      <formula>0</formula>
    </cfRule>
  </conditionalFormatting>
  <conditionalFormatting sqref="C14:I14 C16:I18 C15 E6:I15">
    <cfRule type="cellIs" dxfId="0" priority="2" operator="lessThan">
      <formula>0</formula>
    </cfRule>
  </conditionalFormatting>
  <pageMargins left="0.7" right="0.7" top="0.75" bottom="0.75" header="0" footer="0"/>
  <pageSetup paperSize="9" scale="44"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heetViews>
  <sheetFormatPr baseColWidth="10" defaultColWidth="12.625" defaultRowHeight="15" customHeight="1"/>
  <cols>
    <col min="1" max="1" width="44.375" customWidth="1"/>
    <col min="2" max="2" width="43.75" customWidth="1"/>
    <col min="3" max="3" width="41.125" customWidth="1"/>
    <col min="4" max="4" width="26.25" customWidth="1"/>
    <col min="5" max="5" width="36.5" customWidth="1"/>
    <col min="6" max="6" width="47.125" customWidth="1"/>
    <col min="7" max="7" width="50.75" customWidth="1"/>
    <col min="8" max="8" width="44.25" customWidth="1"/>
    <col min="9" max="9" width="15.5" customWidth="1"/>
    <col min="10" max="10" width="21.25" customWidth="1"/>
    <col min="11" max="26" width="9.375" customWidth="1"/>
  </cols>
  <sheetData>
    <row r="1" spans="1:10" ht="205.5" customHeight="1">
      <c r="A1" s="219" t="s">
        <v>0</v>
      </c>
      <c r="B1" s="220"/>
      <c r="C1" s="220"/>
      <c r="D1" s="220"/>
      <c r="E1" s="220"/>
      <c r="F1" s="220"/>
      <c r="G1" s="220"/>
      <c r="H1" s="220"/>
      <c r="I1" s="220"/>
      <c r="J1" s="220"/>
    </row>
    <row r="2" spans="1:10" ht="14.25">
      <c r="A2" s="1"/>
      <c r="B2" s="1"/>
      <c r="C2" s="1"/>
      <c r="D2" s="1"/>
      <c r="E2" s="1"/>
      <c r="F2" s="1"/>
      <c r="G2" s="1"/>
      <c r="H2" s="1"/>
      <c r="I2" s="1"/>
      <c r="J2" s="1"/>
    </row>
    <row r="3" spans="1:10" ht="14.25">
      <c r="A3" s="1"/>
      <c r="B3" s="1"/>
      <c r="C3" s="1"/>
      <c r="D3" s="1"/>
      <c r="E3" s="1"/>
      <c r="F3" s="1"/>
      <c r="G3" s="1"/>
      <c r="H3" s="1"/>
      <c r="I3" s="1"/>
      <c r="J3" s="1"/>
    </row>
    <row r="4" spans="1:10" ht="14.25">
      <c r="A4" s="1"/>
      <c r="B4" s="1"/>
      <c r="C4" s="1"/>
      <c r="D4" s="1"/>
      <c r="E4" s="1"/>
      <c r="F4" s="1"/>
      <c r="G4" s="1"/>
      <c r="H4" s="1"/>
      <c r="I4" s="1"/>
      <c r="J4" s="1"/>
    </row>
    <row r="5" spans="1:10" ht="14.25">
      <c r="A5" s="1"/>
      <c r="B5" s="1"/>
      <c r="C5" s="1"/>
      <c r="D5" s="1"/>
      <c r="E5" s="1"/>
      <c r="F5" s="1"/>
      <c r="G5" s="1"/>
      <c r="H5" s="1"/>
      <c r="I5" s="1"/>
      <c r="J5" s="1"/>
    </row>
    <row r="6" spans="1:10" ht="20.25">
      <c r="A6" s="2" t="s">
        <v>1</v>
      </c>
      <c r="B6" s="3" t="s">
        <v>2</v>
      </c>
      <c r="C6" s="3" t="s">
        <v>3</v>
      </c>
      <c r="D6" s="3" t="s">
        <v>4</v>
      </c>
      <c r="E6" s="3" t="s">
        <v>5</v>
      </c>
      <c r="F6" s="3" t="s">
        <v>6</v>
      </c>
      <c r="G6" s="3" t="s">
        <v>7</v>
      </c>
      <c r="H6" s="3" t="s">
        <v>8</v>
      </c>
      <c r="I6" s="4" t="s">
        <v>9</v>
      </c>
      <c r="J6" s="225" t="s">
        <v>10</v>
      </c>
    </row>
    <row r="7" spans="1:10" ht="14.25">
      <c r="A7" s="5" t="s">
        <v>11</v>
      </c>
      <c r="B7" s="6"/>
      <c r="C7" s="7"/>
      <c r="D7" s="7"/>
      <c r="E7" s="7"/>
      <c r="F7" s="7"/>
      <c r="G7" s="7"/>
      <c r="H7" s="8"/>
      <c r="I7" s="9">
        <f>B7*'Tablas Calculadas '!E20+C7*'Tablas Calculadas '!E21+F7*'Tablas Calculadas '!E39+G7*'Tablas Calculadas '!E40+'Tablas Calculadas '!E41*H7+D7*'Tablas Calculadas '!E27+E7*'Tablas Calculadas '!E33</f>
        <v>0</v>
      </c>
      <c r="J7" s="226"/>
    </row>
    <row r="8" spans="1:10" ht="14.25">
      <c r="A8" s="10" t="s">
        <v>12</v>
      </c>
      <c r="B8" s="11">
        <v>1</v>
      </c>
      <c r="C8" s="12">
        <v>4</v>
      </c>
      <c r="D8" s="12">
        <v>2</v>
      </c>
      <c r="E8" s="12"/>
      <c r="F8" s="12"/>
      <c r="G8" s="12">
        <v>1</v>
      </c>
      <c r="H8" s="13"/>
      <c r="I8" s="14">
        <f>B8*'Tablas Calculadas '!E20+C8*'Tablas Calculadas '!E22+F8*'Tablas Calculadas '!E42+G8*'Tablas Calculadas '!E43+'Tablas Calculadas '!E44*H8+D8*'Tablas Calculadas '!E28+E8*'Tablas Calculadas '!E34</f>
        <v>13372552.334933333</v>
      </c>
      <c r="J8" s="226"/>
    </row>
    <row r="9" spans="1:10" ht="14.25">
      <c r="A9" s="10" t="s">
        <v>13</v>
      </c>
      <c r="B9" s="11"/>
      <c r="C9" s="12">
        <v>5</v>
      </c>
      <c r="D9" s="12">
        <v>2</v>
      </c>
      <c r="E9" s="12">
        <v>1</v>
      </c>
      <c r="F9" s="12"/>
      <c r="G9" s="12"/>
      <c r="H9" s="13"/>
      <c r="I9" s="14">
        <f>B9*'Tablas Calculadas '!E20+C9*'Tablas Calculadas '!E23+F9*'Tablas Calculadas '!E45+G9*'Tablas Calculadas '!E46+H9*'Tablas Calculadas '!E47+D9*'Tablas Calculadas '!E29+E9*'Tablas Calculadas '!E35</f>
        <v>3057963.2529333332</v>
      </c>
      <c r="J9" s="226"/>
    </row>
    <row r="10" spans="1:10" ht="15" customHeight="1">
      <c r="A10" s="10" t="s">
        <v>14</v>
      </c>
      <c r="B10" s="11"/>
      <c r="C10" s="12">
        <v>4</v>
      </c>
      <c r="D10" s="12">
        <v>2</v>
      </c>
      <c r="E10" s="12">
        <v>2</v>
      </c>
      <c r="F10" s="12"/>
      <c r="G10" s="12"/>
      <c r="H10" s="13"/>
      <c r="I10" s="9">
        <f>B10*'Tablas Calculadas '!E20+C10*'Tablas Calculadas '!E24+F10*'Tablas Calculadas '!E48+'Tablas Calculadas '!E49*G10+H10*'Tablas Calculadas '!E50+D10*'Tablas Calculadas '!E30+E10*'Tablas Calculadas '!E36</f>
        <v>4532030.391466666</v>
      </c>
      <c r="J10" s="226"/>
    </row>
    <row r="11" spans="1:10" ht="15" customHeight="1">
      <c r="A11" s="15" t="s">
        <v>15</v>
      </c>
      <c r="B11" s="16"/>
      <c r="C11" s="17">
        <v>2</v>
      </c>
      <c r="D11" s="17">
        <v>3</v>
      </c>
      <c r="E11" s="17">
        <v>2</v>
      </c>
      <c r="F11" s="17"/>
      <c r="G11" s="17"/>
      <c r="H11" s="18"/>
      <c r="I11" s="19">
        <f>B11*'Tablas Calculadas '!E20+C11*'Tablas Calculadas '!E25+F11*'Tablas Calculadas '!E51+'Tablas Calculadas '!E52*G11+H11*'Tablas Calculadas '!E53+D11*'Tablas Calculadas '!E31+E11*'Tablas Calculadas '!E37</f>
        <v>5526691.8570666667</v>
      </c>
      <c r="J11" s="226"/>
    </row>
    <row r="12" spans="1:10" ht="14.25">
      <c r="A12" s="20" t="s">
        <v>16</v>
      </c>
      <c r="B12" s="21"/>
      <c r="C12" s="22">
        <v>4</v>
      </c>
      <c r="D12" s="22">
        <v>2</v>
      </c>
      <c r="E12" s="22">
        <v>1</v>
      </c>
      <c r="F12" s="22"/>
      <c r="G12" s="22"/>
      <c r="H12" s="23"/>
      <c r="I12" s="24">
        <f>B12*'Tablas Calculadas '!E20+C12*'Tablas Calculadas '!E26+F12*'Tablas Calculadas '!E54+'Tablas Calculadas '!E55*G12+H12*'Tablas Calculadas '!E56+D12*'Tablas Calculadas '!E32+E12*'Tablas Calculadas '!E38</f>
        <v>4176815.5392</v>
      </c>
      <c r="J12" s="226"/>
    </row>
    <row r="13" spans="1:10">
      <c r="A13" s="25" t="s">
        <v>17</v>
      </c>
      <c r="B13" s="26">
        <f>SUM(B7:B11)*'Tablas Calculadas '!E20</f>
        <v>4435410</v>
      </c>
      <c r="C13" s="26">
        <f>C7*'Tablas Calculadas '!E21+C8*'Tablas Calculadas '!E22+C9*'Tablas Calculadas '!E23+C10*'Tablas Calculadas '!E24+C11*'Tablas Calculadas '!E25</f>
        <v>1891548.15</v>
      </c>
      <c r="D13" s="26">
        <f>D7*'Tablas Calculadas '!E27+D8*'Tablas Calculadas '!E28+D9*'Tablas Calculadas '!E29+D10*'Tablas Calculadas '!E30+D11*'Tablas Calculadas '!E31</f>
        <v>5094503.2256000005</v>
      </c>
      <c r="E13" s="27">
        <f>E7*'Tablas Calculadas '!E33+E8*'Tablas Calculadas '!E34+E9*'Tablas Calculadas '!E35+E10*'Tablas Calculadas '!E36+E11*'Tablas Calculadas '!E37</f>
        <v>7498801.036799999</v>
      </c>
      <c r="F13" s="27">
        <f>F7*'Tablas Calculadas '!E39+F8*'Tablas Calculadas '!E42+F9*'Tablas Calculadas '!E45+F10*'Tablas Calculadas '!E48+F11*'Tablas Calculadas '!E51</f>
        <v>0</v>
      </c>
      <c r="G13" s="27">
        <f>G7*'Tablas Calculadas '!E40+G8*'Tablas Calculadas '!E43+G9*'Tablas Calculadas '!E46+G10*'Tablas Calculadas '!E49+G11*'Tablas Calculadas '!E52</f>
        <v>7568975.4239999987</v>
      </c>
      <c r="H13" s="27">
        <f>H7*'Tablas Calculadas '!E41+H8*'Tablas Calculadas '!E44+H9*'Tablas Calculadas '!E47+H10*'Tablas Calculadas '!E50+H11*'Tablas Calculadas '!E53</f>
        <v>0</v>
      </c>
      <c r="I13" s="28">
        <f>SUM(I7:I12)</f>
        <v>30666053.375600003</v>
      </c>
      <c r="J13" s="227"/>
    </row>
    <row r="14" spans="1:10" ht="14.25">
      <c r="A14" s="1"/>
      <c r="B14" s="1"/>
      <c r="C14" s="1"/>
      <c r="D14" s="1"/>
      <c r="E14" s="1"/>
      <c r="F14" s="1"/>
      <c r="G14" s="1"/>
      <c r="H14" s="1"/>
      <c r="I14" s="1"/>
      <c r="J14" s="1"/>
    </row>
    <row r="15" spans="1:10" ht="14.25">
      <c r="A15" s="1"/>
      <c r="B15" s="1"/>
      <c r="C15" s="1"/>
      <c r="D15" s="1"/>
      <c r="E15" s="1"/>
      <c r="F15" s="1"/>
      <c r="G15" s="1"/>
      <c r="H15" s="1"/>
      <c r="I15" s="1"/>
      <c r="J15" s="1"/>
    </row>
    <row r="16" spans="1:10" ht="14.25">
      <c r="A16" s="1"/>
      <c r="B16" s="1"/>
      <c r="C16" s="1"/>
      <c r="D16" s="1"/>
      <c r="E16" s="1"/>
      <c r="F16" s="1"/>
      <c r="G16" s="1"/>
      <c r="H16" s="1"/>
      <c r="I16" s="1"/>
      <c r="J16" s="1"/>
    </row>
    <row r="17" spans="1:10" ht="14.25">
      <c r="A17" s="1"/>
      <c r="B17" s="1"/>
      <c r="C17" s="1"/>
      <c r="D17" s="1"/>
      <c r="E17" s="1"/>
      <c r="F17" s="1"/>
      <c r="G17" s="1"/>
      <c r="H17" s="1"/>
      <c r="I17" s="1"/>
      <c r="J17" s="1"/>
    </row>
    <row r="18" spans="1:10" ht="18">
      <c r="A18" s="221" t="s">
        <v>18</v>
      </c>
      <c r="B18" s="222"/>
      <c r="C18" s="223" t="s">
        <v>21</v>
      </c>
      <c r="D18" s="224"/>
      <c r="E18" s="222"/>
      <c r="F18" s="1"/>
      <c r="G18" s="1"/>
      <c r="H18" s="1"/>
      <c r="I18" s="1"/>
      <c r="J18" s="1"/>
    </row>
    <row r="19" spans="1:10" ht="16.5">
      <c r="A19" s="3" t="s">
        <v>22</v>
      </c>
      <c r="B19" s="57" t="s">
        <v>50</v>
      </c>
      <c r="C19" s="3" t="s">
        <v>51</v>
      </c>
      <c r="D19" s="3" t="s">
        <v>52</v>
      </c>
      <c r="E19" s="58" t="s">
        <v>53</v>
      </c>
      <c r="F19" s="1"/>
      <c r="G19" s="1"/>
      <c r="H19" s="1"/>
      <c r="I19" s="1"/>
      <c r="J19" s="1"/>
    </row>
    <row r="20" spans="1:10" ht="14.25">
      <c r="A20" s="60" t="s">
        <v>54</v>
      </c>
      <c r="B20" s="64">
        <f>(Constantes!C22*(1+((Constantes!D22/100)*0))+ Constantes!C23*(1+((Constantes!D23/100)*0)) + Constantes!C24*(1+((Constantes!D24/100)*0)))*Constantes!B29*7</f>
        <v>281960</v>
      </c>
      <c r="C20" s="64">
        <f>(('Tablas Calculadas '!C61-C43)/12)*7</f>
        <v>3266368</v>
      </c>
      <c r="D20" s="65">
        <v>25</v>
      </c>
      <c r="E20" s="67">
        <f t="shared" ref="E20:E56" si="0">SUM(B20:C20)*(1+(D20/100))</f>
        <v>4435410</v>
      </c>
      <c r="F20" s="1"/>
      <c r="G20" s="1"/>
      <c r="H20" s="1"/>
      <c r="I20" s="1"/>
      <c r="J20" s="1"/>
    </row>
    <row r="21" spans="1:10" ht="15.75" customHeight="1">
      <c r="A21" s="68" t="s">
        <v>61</v>
      </c>
      <c r="B21" s="69">
        <f>('Tablas Calculadas '!B60/(12*30))*(Constantes!$C$13+2)</f>
        <v>13426.666666666668</v>
      </c>
      <c r="C21" s="72">
        <f>(Constantes!$B$13*Constantes!$B$39*Constantes!B29*Constantes!$C$13)+(Constantes!$B$13*(Constantes!$B$38*(1+Constantes!$E$6))*Constantes!B29*Constantes!$D$13)</f>
        <v>61440</v>
      </c>
      <c r="D21" s="8">
        <v>25</v>
      </c>
      <c r="E21" s="73">
        <f t="shared" si="0"/>
        <v>93583.333333333343</v>
      </c>
      <c r="F21" s="1"/>
      <c r="G21" s="1"/>
      <c r="H21" s="1"/>
      <c r="I21" s="1"/>
      <c r="J21" s="1"/>
    </row>
    <row r="22" spans="1:10" ht="15.75" customHeight="1">
      <c r="A22" s="76" t="s">
        <v>62</v>
      </c>
      <c r="B22" s="69">
        <f>('Tablas Calculadas '!B61/(12*30))*(Constantes!$C$13+2)</f>
        <v>16246.586666666662</v>
      </c>
      <c r="C22" s="72">
        <f>(Constantes!$B$13*Constantes!$B$39*Constantes!B30*Constantes!$C$13)+(Constantes!$B$13*(Constantes!$B$38*(1+Constantes!$E$6))*Constantes!B30*Constantes!$D$13)</f>
        <v>70656</v>
      </c>
      <c r="D22" s="8">
        <v>25</v>
      </c>
      <c r="E22" s="81">
        <f t="shared" si="0"/>
        <v>108628.23333333334</v>
      </c>
      <c r="F22" s="1"/>
      <c r="G22" s="1"/>
      <c r="H22" s="1"/>
      <c r="I22" s="1"/>
      <c r="J22" s="1"/>
    </row>
    <row r="23" spans="1:10" ht="15.75" customHeight="1">
      <c r="A23" s="76" t="s">
        <v>66</v>
      </c>
      <c r="B23" s="69">
        <f>('Tablas Calculadas '!B62/(12*30))*(Constantes!$C$13+2)</f>
        <v>18718.893333333333</v>
      </c>
      <c r="C23" s="72">
        <f>(Constantes!$B$13*Constantes!$B$39*Constantes!B31*Constantes!$C$13)+(Constantes!$B$13*(Constantes!$B$38*(1+Constantes!$E$6))*Constantes!B31*Constantes!$D$13)</f>
        <v>81408</v>
      </c>
      <c r="D23" s="8">
        <v>25</v>
      </c>
      <c r="E23" s="81">
        <f t="shared" si="0"/>
        <v>125158.61666666667</v>
      </c>
      <c r="F23" s="1"/>
      <c r="G23" s="1"/>
      <c r="H23" s="1"/>
      <c r="I23" s="1"/>
      <c r="J23" s="1"/>
    </row>
    <row r="24" spans="1:10" ht="15.75" customHeight="1">
      <c r="A24" s="76" t="s">
        <v>70</v>
      </c>
      <c r="B24" s="69">
        <f>('Tablas Calculadas '!B63/(12*30))*(Constantes!$C$13+2)</f>
        <v>19778.453333333335</v>
      </c>
      <c r="C24" s="72">
        <f>(Constantes!$B$13*Constantes!$B$39*Constantes!B32*Constantes!$C$13)+(Constantes!$B$13*(Constantes!$B$38*(1+Constantes!$E$6))*Constantes!B32*Constantes!$D$13)</f>
        <v>86016</v>
      </c>
      <c r="D24" s="8">
        <v>25</v>
      </c>
      <c r="E24" s="81">
        <f t="shared" si="0"/>
        <v>132243.06666666668</v>
      </c>
      <c r="F24" s="1"/>
      <c r="G24" s="1"/>
      <c r="H24" s="1"/>
      <c r="I24" s="1"/>
      <c r="J24" s="1"/>
    </row>
    <row r="25" spans="1:10" ht="15.75" customHeight="1">
      <c r="A25" s="76" t="s">
        <v>74</v>
      </c>
      <c r="B25" s="83">
        <f>('Tablas Calculadas '!B64/(12*30))*(Constantes!$C$13+2)</f>
        <v>22603.946666666667</v>
      </c>
      <c r="C25" s="84">
        <f>(Constantes!$B$13*Constantes!$B$39*Constantes!B33*Constantes!$C$13)+(Constantes!$B$13*(Constantes!$B$38*(1+Constantes!$E$6))*Constantes!B33*Constantes!$D$13)</f>
        <v>98304</v>
      </c>
      <c r="D25" s="13">
        <v>25</v>
      </c>
      <c r="E25" s="81">
        <f t="shared" si="0"/>
        <v>151134.93333333335</v>
      </c>
      <c r="F25" s="1"/>
      <c r="G25" s="1"/>
      <c r="H25" s="1"/>
      <c r="I25" s="1"/>
      <c r="J25" s="1"/>
    </row>
    <row r="26" spans="1:10" ht="15.75" customHeight="1">
      <c r="A26" s="76" t="s">
        <v>81</v>
      </c>
      <c r="B26" s="87">
        <f>('Tablas Calculadas '!B65/(12*30))*(Constantes!$C$13+2)</f>
        <v>26842.186666666668</v>
      </c>
      <c r="C26" s="88">
        <f>(Constantes!$B$13*Constantes!$B$39*Constantes!B34*Constantes!$C$13)+(Constantes!$B$13*(Constantes!$B$38*(1+Constantes!$E$6))*Constantes!B34*Constantes!$D$13)</f>
        <v>116736</v>
      </c>
      <c r="D26" s="23">
        <v>20</v>
      </c>
      <c r="E26" s="90">
        <f t="shared" si="0"/>
        <v>172293.82399999999</v>
      </c>
      <c r="F26" s="1"/>
      <c r="G26" s="1"/>
      <c r="H26" s="1"/>
      <c r="I26" s="1"/>
      <c r="J26" s="1"/>
    </row>
    <row r="27" spans="1:10" ht="15.75" customHeight="1">
      <c r="A27" s="91" t="s">
        <v>87</v>
      </c>
      <c r="B27" s="69">
        <f>('Tablas Calculadas '!B60/(12*30))*(Constantes!$C$14+2)</f>
        <v>29538.666666666668</v>
      </c>
      <c r="C27" s="72">
        <f>(Constantes!$B$14*Constantes!$B$39*Constantes!B29*Constantes!$C$14)+(Constantes!$B$14*(Constantes!$B$39*(1+Constantes!$E$6))*Constantes!B29*Constantes!$D$14)</f>
        <v>307200</v>
      </c>
      <c r="D27" s="8">
        <v>20</v>
      </c>
      <c r="E27" s="73">
        <f t="shared" si="0"/>
        <v>404086.4</v>
      </c>
      <c r="F27" s="1"/>
      <c r="G27" s="1"/>
      <c r="H27" s="1"/>
      <c r="I27" s="1"/>
      <c r="J27" s="1"/>
    </row>
    <row r="28" spans="1:10" ht="15.75" customHeight="1">
      <c r="A28" s="91" t="s">
        <v>97</v>
      </c>
      <c r="B28" s="69">
        <f>('Tablas Calculadas '!B61/(12*30))*(Constantes!$C$14+2)</f>
        <v>35742.490666666657</v>
      </c>
      <c r="C28" s="72">
        <f>(Constantes!$B$14*Constantes!$B$39*Constantes!B30*Constantes!$C$14)+(Constantes!$B$14*(Constantes!$B$39*(1+Constantes!$E$6))*Constantes!B30*Constantes!$D$14)</f>
        <v>353280</v>
      </c>
      <c r="D28" s="8">
        <v>20</v>
      </c>
      <c r="E28" s="81">
        <f t="shared" si="0"/>
        <v>466826.98879999999</v>
      </c>
      <c r="F28" s="1"/>
      <c r="G28" s="1"/>
      <c r="H28" s="1"/>
      <c r="I28" s="1"/>
      <c r="J28" s="1"/>
    </row>
    <row r="29" spans="1:10" ht="15.75" customHeight="1">
      <c r="A29" s="91" t="s">
        <v>99</v>
      </c>
      <c r="B29" s="69">
        <f>('Tablas Calculadas '!B62/(12*30))*(Constantes!$C$14+2)</f>
        <v>41181.565333333339</v>
      </c>
      <c r="C29" s="72">
        <f>(Constantes!$B$14*Constantes!$B$39*Constantes!B31*Constantes!$C$14)+(Constantes!$B$14*(Constantes!$B$39*(1+Constantes!$E$6))*Constantes!B31*Constantes!$D$14)</f>
        <v>407040</v>
      </c>
      <c r="D29" s="8">
        <v>20</v>
      </c>
      <c r="E29" s="81">
        <f t="shared" si="0"/>
        <v>537865.87839999993</v>
      </c>
      <c r="F29" s="1"/>
      <c r="G29" s="1"/>
      <c r="H29" s="1"/>
      <c r="I29" s="1"/>
      <c r="J29" s="1"/>
    </row>
    <row r="30" spans="1:10" ht="15.75" customHeight="1">
      <c r="A30" s="91" t="s">
        <v>100</v>
      </c>
      <c r="B30" s="69">
        <f>('Tablas Calculadas '!B63/(12*30))*(Constantes!$C$14+2)</f>
        <v>43512.597333333339</v>
      </c>
      <c r="C30" s="72">
        <f>(Constantes!$B$14*Constantes!$B$39*Constantes!B32*Constantes!$C$14)+(Constantes!$B$14*(Constantes!$B$39*(1+Constantes!$E$6))*Constantes!B32*Constantes!$D$14)</f>
        <v>430080</v>
      </c>
      <c r="D30" s="8">
        <v>20</v>
      </c>
      <c r="E30" s="81">
        <f t="shared" si="0"/>
        <v>568311.11679999996</v>
      </c>
      <c r="F30" s="1"/>
      <c r="G30" s="1"/>
      <c r="H30" s="1"/>
      <c r="I30" s="1"/>
      <c r="J30" s="1"/>
    </row>
    <row r="31" spans="1:10" ht="15.75" customHeight="1">
      <c r="A31" s="91" t="s">
        <v>101</v>
      </c>
      <c r="B31" s="83">
        <f>('Tablas Calculadas '!B64/(12*30))*(Constantes!$C$14+2)</f>
        <v>49728.682666666668</v>
      </c>
      <c r="C31" s="84">
        <f>(Constantes!$B$14*Constantes!$B$39*Constantes!B33*Constantes!$C$14)+(Constantes!$B$14*(Constantes!$B$39*(1+Constantes!$E$6))*Constantes!B33*Constantes!$D$14)</f>
        <v>491520</v>
      </c>
      <c r="D31" s="13">
        <v>20</v>
      </c>
      <c r="E31" s="81">
        <f t="shared" si="0"/>
        <v>649498.4192</v>
      </c>
      <c r="F31" s="1"/>
      <c r="G31" s="1"/>
      <c r="H31" s="1"/>
      <c r="I31" s="1"/>
      <c r="J31" s="1"/>
    </row>
    <row r="32" spans="1:10" ht="15.75" customHeight="1">
      <c r="A32" s="91" t="s">
        <v>102</v>
      </c>
      <c r="B32" s="87">
        <f>('Tablas Calculadas '!B65/(12*30))*(Constantes!$C$14+2)</f>
        <v>59052.810666666664</v>
      </c>
      <c r="C32" s="88">
        <f>(Constantes!$B$14*Constantes!$B$39*Constantes!B34*Constantes!$C$14)+(Constantes!$B$14*(Constantes!$B$39*(1+Constantes!$E$6))*Constantes!B34*Constantes!$D$14)</f>
        <v>583680</v>
      </c>
      <c r="D32" s="118">
        <v>20</v>
      </c>
      <c r="E32" s="120">
        <f t="shared" si="0"/>
        <v>771279.37280000001</v>
      </c>
      <c r="F32" s="1"/>
      <c r="G32" s="1"/>
      <c r="H32" s="1"/>
      <c r="I32" s="1"/>
      <c r="J32" s="1"/>
    </row>
    <row r="33" spans="1:10" ht="15.75" customHeight="1">
      <c r="A33" s="91" t="s">
        <v>121</v>
      </c>
      <c r="B33" s="69">
        <f>('Tablas Calculadas '!B60/(12*30))*(Constantes!$C$15+2)</f>
        <v>32224</v>
      </c>
      <c r="C33" s="72">
        <f>(Constantes!$B$15*Constantes!$B$39*Constantes!B29*Constantes!$C$15)+(Constantes!$B$15*(Constantes!$B$39*(1+Constantes!$E$6))*Constantes!B29*Constantes!$D$15)</f>
        <v>819200</v>
      </c>
      <c r="D33" s="8">
        <v>20</v>
      </c>
      <c r="E33" s="73">
        <f t="shared" si="0"/>
        <v>1021708.7999999999</v>
      </c>
      <c r="F33" s="1"/>
      <c r="G33" s="1"/>
      <c r="H33" s="1"/>
      <c r="I33" s="1"/>
      <c r="J33" s="1"/>
    </row>
    <row r="34" spans="1:10" ht="15.75" customHeight="1">
      <c r="A34" s="91" t="s">
        <v>123</v>
      </c>
      <c r="B34" s="69">
        <f>('Tablas Calculadas '!B61/(12*30))*(Constantes!$C$15+2)</f>
        <v>38991.80799999999</v>
      </c>
      <c r="C34" s="84">
        <f>(Constantes!$B$15*Constantes!$B$39*Constantes!B30*Constantes!$C$15)+(Constantes!$B$15*(Constantes!$B$39*(1+Constantes!$E$6))*Constantes!B30*Constantes!$D$15)</f>
        <v>942080</v>
      </c>
      <c r="D34" s="13">
        <v>20</v>
      </c>
      <c r="E34" s="81">
        <f t="shared" si="0"/>
        <v>1177286.1695999999</v>
      </c>
      <c r="F34" s="1"/>
      <c r="G34" s="1"/>
      <c r="H34" s="1"/>
      <c r="I34" s="1"/>
      <c r="J34" s="1"/>
    </row>
    <row r="35" spans="1:10" ht="15.75" customHeight="1">
      <c r="A35" s="91" t="s">
        <v>125</v>
      </c>
      <c r="B35" s="69">
        <f>('Tablas Calculadas '!B62/(12*30))*(Constantes!$C$15+2)</f>
        <v>44925.344000000005</v>
      </c>
      <c r="C35" s="84">
        <f>(Constantes!$B$15*Constantes!$B$39*Constantes!B31*Constantes!$C$15)+(Constantes!$B$15*(Constantes!$B$39*(1+Constantes!$E$6))*Constantes!B31*Constantes!$D$15)</f>
        <v>1085440</v>
      </c>
      <c r="D35" s="13">
        <v>20</v>
      </c>
      <c r="E35" s="81">
        <f t="shared" si="0"/>
        <v>1356438.4128</v>
      </c>
      <c r="F35" s="1"/>
      <c r="G35" s="1"/>
      <c r="H35" s="1"/>
      <c r="I35" s="1"/>
      <c r="J35" s="1"/>
    </row>
    <row r="36" spans="1:10" ht="15.75" customHeight="1">
      <c r="A36" s="91" t="s">
        <v>128</v>
      </c>
      <c r="B36" s="69">
        <f>('Tablas Calculadas '!B63/(12*30))*(Constantes!$C$15+2)</f>
        <v>47468.288</v>
      </c>
      <c r="C36" s="84">
        <f>(Constantes!$B$15*Constantes!$B$39*Constantes!B32*Constantes!$C$15)+(Constantes!$B$15*(Constantes!$B$39*(1+Constantes!$E$6))*Constantes!B32*Constantes!$D$15)</f>
        <v>1146880</v>
      </c>
      <c r="D36" s="13">
        <v>20</v>
      </c>
      <c r="E36" s="81">
        <f t="shared" si="0"/>
        <v>1433217.9456</v>
      </c>
      <c r="F36" s="1"/>
      <c r="G36" s="1"/>
      <c r="H36" s="1"/>
      <c r="I36" s="1"/>
      <c r="J36" s="1"/>
    </row>
    <row r="37" spans="1:10" ht="15.75" customHeight="1">
      <c r="A37" s="91" t="s">
        <v>130</v>
      </c>
      <c r="B37" s="122">
        <f>('Tablas Calculadas '!B64/(12*30))*(Constantes!$C$15+2)</f>
        <v>54249.471999999994</v>
      </c>
      <c r="C37" s="123">
        <f>(Constantes!$B$15*Constantes!$B$39*Constantes!B33*Constantes!$C$15)+(Constantes!$B$15*(Constantes!$B$39*(1+Constantes!$E$6))*Constantes!B33*Constantes!$D$15)</f>
        <v>1310720</v>
      </c>
      <c r="D37" s="124">
        <v>20</v>
      </c>
      <c r="E37" s="125">
        <f t="shared" si="0"/>
        <v>1637963.3663999999</v>
      </c>
      <c r="F37" s="1"/>
      <c r="G37" s="1"/>
      <c r="H37" s="1"/>
      <c r="I37" s="1"/>
      <c r="J37" s="1"/>
    </row>
    <row r="38" spans="1:10" ht="15.75" customHeight="1">
      <c r="A38" s="91" t="s">
        <v>132</v>
      </c>
      <c r="B38" s="122">
        <f>('Tablas Calculadas '!B65/(12*30))*(Constantes!$C$15+2)</f>
        <v>64421.248</v>
      </c>
      <c r="C38" s="123">
        <f>(Constantes!$B$15*Constantes!$B$39*Constantes!B34*Constantes!$C$15)+(Constantes!$B$15*(Constantes!$B$39*(1+Constantes!$E$6))*Constantes!B34*Constantes!$D$15)</f>
        <v>1556480</v>
      </c>
      <c r="D38" s="127">
        <v>20</v>
      </c>
      <c r="E38" s="128">
        <f t="shared" si="0"/>
        <v>1945081.4975999999</v>
      </c>
      <c r="F38" s="1"/>
      <c r="G38" s="1"/>
      <c r="H38" s="1"/>
      <c r="I38" s="1"/>
      <c r="J38" s="1"/>
    </row>
    <row r="39" spans="1:10" ht="15.75" customHeight="1">
      <c r="A39" s="129" t="s">
        <v>134</v>
      </c>
      <c r="B39" s="69">
        <f>'Tablas Calculadas '!B60/12*2</f>
        <v>80560</v>
      </c>
      <c r="C39" s="72">
        <f>Constantes!B8*Constantes!B29</f>
        <v>3240000</v>
      </c>
      <c r="D39" s="127">
        <v>20</v>
      </c>
      <c r="E39" s="128">
        <f t="shared" si="0"/>
        <v>3984672</v>
      </c>
      <c r="F39" s="1"/>
      <c r="G39" s="1"/>
      <c r="H39" s="1"/>
      <c r="I39" s="1"/>
      <c r="J39" s="1"/>
    </row>
    <row r="40" spans="1:10" ht="15.75" customHeight="1">
      <c r="A40" s="50" t="s">
        <v>137</v>
      </c>
      <c r="B40" s="131">
        <f>'Tablas Calculadas '!B60/12*2</f>
        <v>80560</v>
      </c>
      <c r="C40" s="84">
        <f>Constantes!B9*Constantes!B29</f>
        <v>5400000</v>
      </c>
      <c r="D40" s="18">
        <v>20</v>
      </c>
      <c r="E40" s="132">
        <f t="shared" si="0"/>
        <v>6576672</v>
      </c>
      <c r="F40" s="1"/>
      <c r="G40" s="1"/>
      <c r="H40" s="1"/>
      <c r="I40" s="1"/>
      <c r="J40" s="1"/>
    </row>
    <row r="41" spans="1:10" ht="15.75" customHeight="1">
      <c r="A41" s="52" t="s">
        <v>140</v>
      </c>
      <c r="B41" s="133">
        <f>'Tablas Calculadas '!B60/12*2</f>
        <v>80560</v>
      </c>
      <c r="C41" s="134">
        <f>Constantes!B10*Constantes!B29</f>
        <v>7760000</v>
      </c>
      <c r="D41" s="23">
        <v>20</v>
      </c>
      <c r="E41" s="90">
        <f t="shared" si="0"/>
        <v>9408672</v>
      </c>
      <c r="F41" s="1"/>
      <c r="G41" s="1"/>
      <c r="H41" s="1"/>
      <c r="I41" s="1"/>
      <c r="J41" s="1"/>
    </row>
    <row r="42" spans="1:10" ht="15.75" customHeight="1">
      <c r="A42" s="129" t="s">
        <v>143</v>
      </c>
      <c r="B42" s="69">
        <f>'Tablas Calculadas '!B61/12*2</f>
        <v>97479.519999999975</v>
      </c>
      <c r="C42" s="72">
        <f>Constantes!B8*Constantes!$B$30</f>
        <v>3726000</v>
      </c>
      <c r="D42" s="18">
        <v>20</v>
      </c>
      <c r="E42" s="132">
        <f t="shared" si="0"/>
        <v>4588175.4239999996</v>
      </c>
      <c r="F42" s="1"/>
      <c r="G42" s="1"/>
      <c r="H42" s="1"/>
      <c r="I42" s="1"/>
      <c r="J42" s="1"/>
    </row>
    <row r="43" spans="1:10" ht="15.75" customHeight="1">
      <c r="A43" s="50" t="s">
        <v>145</v>
      </c>
      <c r="B43" s="131">
        <f>'Tablas Calculadas '!B61/12*2</f>
        <v>97479.519999999975</v>
      </c>
      <c r="C43" s="84">
        <f>Constantes!B9*Constantes!$B$30</f>
        <v>6210000</v>
      </c>
      <c r="D43" s="18">
        <v>20</v>
      </c>
      <c r="E43" s="132">
        <f t="shared" si="0"/>
        <v>7568975.4239999987</v>
      </c>
      <c r="F43" s="1"/>
      <c r="G43" s="1"/>
      <c r="H43" s="1"/>
      <c r="I43" s="1"/>
      <c r="J43" s="1"/>
    </row>
    <row r="44" spans="1:10" ht="15.75" customHeight="1">
      <c r="A44" s="52" t="s">
        <v>147</v>
      </c>
      <c r="B44" s="133">
        <f>'Tablas Calculadas '!B61/12*2</f>
        <v>97479.519999999975</v>
      </c>
      <c r="C44" s="134">
        <f>Constantes!B10*Constantes!$B$30</f>
        <v>8924000</v>
      </c>
      <c r="D44" s="23">
        <v>20</v>
      </c>
      <c r="E44" s="90">
        <f t="shared" si="0"/>
        <v>10825775.423999999</v>
      </c>
      <c r="F44" s="1"/>
      <c r="G44" s="1"/>
      <c r="H44" s="1"/>
      <c r="I44" s="1"/>
      <c r="J44" s="1"/>
    </row>
    <row r="45" spans="1:10" ht="15.75" customHeight="1">
      <c r="A45" s="129" t="s">
        <v>149</v>
      </c>
      <c r="B45" s="69">
        <f>'Tablas Calculadas '!$B$62/12*2</f>
        <v>112313.36</v>
      </c>
      <c r="C45" s="72">
        <f>Constantes!B8*Constantes!$B$31</f>
        <v>4293000</v>
      </c>
      <c r="D45" s="18">
        <v>20</v>
      </c>
      <c r="E45" s="132">
        <f t="shared" si="0"/>
        <v>5286376.0320000006</v>
      </c>
      <c r="F45" s="1"/>
      <c r="G45" s="1"/>
      <c r="H45" s="1"/>
      <c r="I45" s="1"/>
      <c r="J45" s="1"/>
    </row>
    <row r="46" spans="1:10" ht="15.75" customHeight="1">
      <c r="A46" s="50" t="s">
        <v>151</v>
      </c>
      <c r="B46" s="131">
        <f>'Tablas Calculadas '!$B$62/12*2</f>
        <v>112313.36</v>
      </c>
      <c r="C46" s="84">
        <f>Constantes!B9*Constantes!$B$31</f>
        <v>7155000</v>
      </c>
      <c r="D46" s="18">
        <v>20</v>
      </c>
      <c r="E46" s="132">
        <f t="shared" si="0"/>
        <v>8720776.0319999997</v>
      </c>
      <c r="F46" s="1"/>
      <c r="G46" s="1"/>
      <c r="H46" s="1"/>
      <c r="I46" s="1"/>
      <c r="J46" s="1"/>
    </row>
    <row r="47" spans="1:10" ht="15.75" customHeight="1">
      <c r="A47" s="52" t="s">
        <v>153</v>
      </c>
      <c r="B47" s="133">
        <f>'Tablas Calculadas '!$B$62/12*2</f>
        <v>112313.36</v>
      </c>
      <c r="C47" s="134">
        <f>Constantes!B10*Constantes!$B$31</f>
        <v>10282000</v>
      </c>
      <c r="D47" s="23">
        <v>20</v>
      </c>
      <c r="E47" s="90">
        <f t="shared" si="0"/>
        <v>12473176.032</v>
      </c>
      <c r="F47" s="1"/>
      <c r="G47" s="1"/>
      <c r="H47" s="1"/>
      <c r="I47" s="1"/>
      <c r="J47" s="1"/>
    </row>
    <row r="48" spans="1:10" ht="15.75" customHeight="1">
      <c r="A48" s="129" t="s">
        <v>154</v>
      </c>
      <c r="B48" s="69">
        <f>'Tablas Calculadas '!$B$63/12*2</f>
        <v>118670.72000000002</v>
      </c>
      <c r="C48" s="72">
        <f>Constantes!B8*Constantes!$B$32</f>
        <v>4536000</v>
      </c>
      <c r="D48" s="18">
        <v>20</v>
      </c>
      <c r="E48" s="132">
        <f t="shared" si="0"/>
        <v>5585604.8639999991</v>
      </c>
      <c r="F48" s="1"/>
      <c r="G48" s="1"/>
      <c r="H48" s="1"/>
      <c r="I48" s="1"/>
      <c r="J48" s="1"/>
    </row>
    <row r="49" spans="1:10" ht="15.75" customHeight="1">
      <c r="A49" s="50" t="s">
        <v>156</v>
      </c>
      <c r="B49" s="131">
        <f>'Tablas Calculadas '!$B$63/12*2</f>
        <v>118670.72000000002</v>
      </c>
      <c r="C49" s="84">
        <f>Constantes!B9*Constantes!$B$32</f>
        <v>7560000</v>
      </c>
      <c r="D49" s="18">
        <v>20</v>
      </c>
      <c r="E49" s="132">
        <f t="shared" si="0"/>
        <v>9214404.8640000001</v>
      </c>
      <c r="F49" s="1"/>
      <c r="G49" s="1"/>
      <c r="H49" s="1"/>
      <c r="I49" s="1"/>
      <c r="J49" s="1"/>
    </row>
    <row r="50" spans="1:10" ht="15.75" customHeight="1">
      <c r="A50" s="52" t="s">
        <v>157</v>
      </c>
      <c r="B50" s="133">
        <f>'Tablas Calculadas '!$B$63/12*2</f>
        <v>118670.72000000002</v>
      </c>
      <c r="C50" s="134">
        <f>Constantes!B10*Constantes!$B$32</f>
        <v>10864000</v>
      </c>
      <c r="D50" s="23">
        <v>20</v>
      </c>
      <c r="E50" s="90">
        <f t="shared" si="0"/>
        <v>13179204.864</v>
      </c>
      <c r="F50" s="1"/>
      <c r="G50" s="1"/>
      <c r="H50" s="1"/>
      <c r="I50" s="1"/>
      <c r="J50" s="1"/>
    </row>
    <row r="51" spans="1:10" ht="15.75" customHeight="1">
      <c r="A51" s="129" t="s">
        <v>159</v>
      </c>
      <c r="B51" s="69">
        <f>'Tablas Calculadas '!$B$64/12*2</f>
        <v>135623.67999999999</v>
      </c>
      <c r="C51" s="72">
        <f>Constantes!B8*Constantes!$B$33</f>
        <v>5184000</v>
      </c>
      <c r="D51" s="18">
        <v>20</v>
      </c>
      <c r="E51" s="132">
        <f t="shared" si="0"/>
        <v>6383548.4159999993</v>
      </c>
      <c r="F51" s="1"/>
      <c r="G51" s="1"/>
      <c r="H51" s="1"/>
      <c r="I51" s="1"/>
      <c r="J51" s="1"/>
    </row>
    <row r="52" spans="1:10" ht="15.75" customHeight="1">
      <c r="A52" s="50" t="s">
        <v>161</v>
      </c>
      <c r="B52" s="131">
        <f>'Tablas Calculadas '!$B$64/12*2</f>
        <v>135623.67999999999</v>
      </c>
      <c r="C52" s="84">
        <f>Constantes!B9*Constantes!$B$33</f>
        <v>8640000</v>
      </c>
      <c r="D52" s="18">
        <v>20</v>
      </c>
      <c r="E52" s="132">
        <f t="shared" si="0"/>
        <v>10530748.415999999</v>
      </c>
      <c r="F52" s="1"/>
      <c r="G52" s="1"/>
      <c r="H52" s="1"/>
      <c r="I52" s="1"/>
      <c r="J52" s="1"/>
    </row>
    <row r="53" spans="1:10" ht="15.75" customHeight="1">
      <c r="A53" s="52" t="s">
        <v>163</v>
      </c>
      <c r="B53" s="133">
        <f>'Tablas Calculadas '!$B$64/12*2</f>
        <v>135623.67999999999</v>
      </c>
      <c r="C53" s="134">
        <f>Constantes!B10*Constantes!$B$33</f>
        <v>12416000</v>
      </c>
      <c r="D53" s="23">
        <v>20</v>
      </c>
      <c r="E53" s="90">
        <f t="shared" si="0"/>
        <v>15061948.415999999</v>
      </c>
      <c r="F53" s="1"/>
      <c r="G53" s="1"/>
      <c r="H53" s="1"/>
      <c r="I53" s="1"/>
      <c r="J53" s="1"/>
    </row>
    <row r="54" spans="1:10" ht="15.75" customHeight="1">
      <c r="A54" s="129" t="s">
        <v>164</v>
      </c>
      <c r="B54" s="69">
        <f>'Tablas Calculadas '!$B$64/12*2</f>
        <v>135623.67999999999</v>
      </c>
      <c r="C54" s="72">
        <f>Constantes!B8*Constantes!$B$33</f>
        <v>5184000</v>
      </c>
      <c r="D54" s="18">
        <v>20</v>
      </c>
      <c r="E54" s="132">
        <f t="shared" si="0"/>
        <v>6383548.4159999993</v>
      </c>
      <c r="F54" s="1"/>
      <c r="G54" s="1"/>
      <c r="H54" s="1"/>
      <c r="I54" s="1"/>
      <c r="J54" s="1"/>
    </row>
    <row r="55" spans="1:10" ht="15.75" customHeight="1">
      <c r="A55" s="50" t="s">
        <v>165</v>
      </c>
      <c r="B55" s="131">
        <f>'Tablas Calculadas '!$B$64/12*2</f>
        <v>135623.67999999999</v>
      </c>
      <c r="C55" s="84">
        <f>Constantes!B9*Constantes!$B$33</f>
        <v>8640000</v>
      </c>
      <c r="D55" s="18">
        <v>20</v>
      </c>
      <c r="E55" s="132">
        <f t="shared" si="0"/>
        <v>10530748.415999999</v>
      </c>
      <c r="F55" s="1"/>
      <c r="G55" s="1"/>
      <c r="H55" s="1"/>
      <c r="I55" s="1"/>
      <c r="J55" s="1"/>
    </row>
    <row r="56" spans="1:10" ht="15.75" customHeight="1">
      <c r="A56" s="52" t="s">
        <v>167</v>
      </c>
      <c r="B56" s="133">
        <f>'Tablas Calculadas '!$B$64/12*2</f>
        <v>135623.67999999999</v>
      </c>
      <c r="C56" s="134">
        <f>Constantes!B10*Constantes!$B$33</f>
        <v>12416000</v>
      </c>
      <c r="D56" s="23">
        <v>20</v>
      </c>
      <c r="E56" s="90">
        <f t="shared" si="0"/>
        <v>15061948.415999999</v>
      </c>
      <c r="F56" s="1"/>
      <c r="G56" s="1"/>
      <c r="H56" s="1"/>
      <c r="I56" s="1"/>
      <c r="J56" s="1"/>
    </row>
    <row r="57" spans="1:10" ht="15.75" customHeight="1">
      <c r="A57" s="1"/>
      <c r="B57" s="1"/>
      <c r="C57" s="1"/>
      <c r="D57" s="1"/>
      <c r="E57" s="1"/>
      <c r="F57" s="1"/>
      <c r="G57" s="1"/>
      <c r="H57" s="1"/>
      <c r="I57" s="1"/>
      <c r="J57" s="1"/>
    </row>
    <row r="58" spans="1:10" ht="15.75" customHeight="1">
      <c r="A58" s="1"/>
      <c r="B58" s="1"/>
      <c r="C58" s="1"/>
      <c r="D58" s="1"/>
      <c r="E58" s="1"/>
      <c r="F58" s="1"/>
      <c r="G58" s="1"/>
      <c r="H58" s="1"/>
      <c r="I58" s="1"/>
      <c r="J58" s="1"/>
    </row>
    <row r="59" spans="1:10" ht="15.75" customHeight="1">
      <c r="A59" s="2" t="s">
        <v>169</v>
      </c>
      <c r="B59" s="2" t="s">
        <v>170</v>
      </c>
      <c r="C59" s="2" t="s">
        <v>171</v>
      </c>
      <c r="D59" s="2" t="s">
        <v>172</v>
      </c>
      <c r="E59" s="1"/>
      <c r="F59" s="1"/>
      <c r="G59" s="1"/>
      <c r="H59" s="1"/>
      <c r="I59" s="1"/>
      <c r="J59" s="1"/>
    </row>
    <row r="60" spans="1:10" ht="15.75" customHeight="1">
      <c r="A60" s="5" t="s">
        <v>11</v>
      </c>
      <c r="B60" s="131">
        <f>(Constantes!C22*(1+((Constantes!D22/100)*0))+ Constantes!C23*(1+((Constantes!D23/100)*0)) + Constantes!C24*(1+((Constantes!D24/100)*0)))*Constantes!B29*12</f>
        <v>483360</v>
      </c>
      <c r="C60" s="84">
        <f>Constantes!B43*12+(Constantes!B49*Constantes!B29+Constantes!B50*Constantes!B29+Constantes!B51*Constantes!B29)*12 +'Tablas Calculadas '!F7*'Tablas Calculadas '!C39+'Tablas Calculadas '!G7*'Tablas Calculadas '!C40+'Tablas Calculadas '!H7*'Tablas Calculadas '!C41 + 'Tablas Calculadas '!B72</f>
        <v>4592640</v>
      </c>
      <c r="D60" s="71">
        <f t="shared" ref="D60:D66" si="1">SUM(B60:C60)</f>
        <v>5076000</v>
      </c>
      <c r="E60" s="1"/>
      <c r="F60" s="1"/>
      <c r="G60" s="1"/>
      <c r="H60" s="1"/>
      <c r="I60" s="1"/>
      <c r="J60" s="1"/>
    </row>
    <row r="61" spans="1:10" ht="15.75" customHeight="1">
      <c r="A61" s="10" t="s">
        <v>12</v>
      </c>
      <c r="B61" s="131">
        <f>(((Constantes!$C$22*(1+((Constantes!$D$22/100)*1)))+ (Constantes!$C$23*(1+((Constantes!$D$23/100)*1))) + (Constantes!$C$24*(1+((Constantes!$D$24/100)*1))))*Constantes!B30*12)*((1+Constantes!$C$17)^1)</f>
        <v>584877.11999999988</v>
      </c>
      <c r="C61" s="84">
        <f>(Constantes!B44*12+(Constantes!$B$49*Constantes!B30+Constantes!$B$50*Constantes!B30+Constantes!B51*Constantes!B30)*12) +'Tablas Calculadas '!F8*'Tablas Calculadas '!C42+'Tablas Calculadas '!G8*'Tablas Calculadas '!C43+'Tablas Calculadas '!H8*'Tablas Calculadas '!C44 +'Tablas Calculadas '!B73</f>
        <v>11809488</v>
      </c>
      <c r="D61" s="71">
        <f t="shared" si="1"/>
        <v>12394365.119999999</v>
      </c>
      <c r="E61" s="1"/>
      <c r="F61" s="1"/>
      <c r="G61" s="1"/>
      <c r="H61" s="1"/>
      <c r="I61" s="1"/>
      <c r="J61" s="1"/>
    </row>
    <row r="62" spans="1:10" ht="15.75" customHeight="1">
      <c r="A62" s="10" t="s">
        <v>13</v>
      </c>
      <c r="B62" s="131">
        <f>(((Constantes!$C$22*(1+((Constantes!$D$22/100)*1)))+ (Constantes!$C$23*(1+((Constantes!$D$23/100)*1))) + (Constantes!$C$24*(1+((Constantes!$D$24/100)*1))))*Constantes!B31*12)*((1+Constantes!$C$17)^2)</f>
        <v>673880.16</v>
      </c>
      <c r="C62" s="84">
        <f>(Constantes!B45*12+(Constantes!$B$49*Constantes!B31+Constantes!$B$50*Constantes!B31+Constantes!B51*Constantes!B31)*12) +('Tablas Calculadas '!F9*'Tablas Calculadas '!C45+'Tablas Calculadas '!G9*'Tablas Calculadas '!C46+'Tablas Calculadas '!H9*'Tablas Calculadas '!C47) +'Tablas Calculadas '!B74</f>
        <v>6329472</v>
      </c>
      <c r="D62" s="71">
        <f t="shared" si="1"/>
        <v>7003352.1600000001</v>
      </c>
      <c r="E62" s="1"/>
      <c r="F62" s="1"/>
      <c r="G62" s="1"/>
      <c r="H62" s="1"/>
      <c r="I62" s="1"/>
      <c r="J62" s="1"/>
    </row>
    <row r="63" spans="1:10" ht="15.75" customHeight="1">
      <c r="A63" s="10" t="s">
        <v>14</v>
      </c>
      <c r="B63" s="131">
        <f>(((Constantes!$C$22*(1+((Constantes!$D$22/100)*1)))+ (Constantes!$C$23*(1+((Constantes!$D$23/100)*1))) + (Constantes!$C$24*(1+((Constantes!$D$24/100)*1))))*Constantes!B32*12)*((1+Constantes!$C$17)^3)</f>
        <v>712024.32000000007</v>
      </c>
      <c r="C63" s="84">
        <f>(Constantes!B46*12+(Constantes!$B$49*Constantes!B32+Constantes!$B$50*Constantes!B32)*12)+('Tablas Calculadas '!F10*'Tablas Calculadas '!C48+'Tablas Calculadas '!G10*'Tablas Calculadas '!C49+'Tablas Calculadas '!H10*'Tablas Calculadas '!C50) +'Tablas Calculadas '!B75</f>
        <v>6777792</v>
      </c>
      <c r="D63" s="71">
        <f t="shared" si="1"/>
        <v>7489816.3200000003</v>
      </c>
      <c r="E63" s="1"/>
      <c r="F63" s="1"/>
      <c r="G63" s="1"/>
      <c r="H63" s="1"/>
      <c r="I63" s="1"/>
      <c r="J63" s="1"/>
    </row>
    <row r="64" spans="1:10" ht="15.75" customHeight="1">
      <c r="A64" s="10" t="s">
        <v>15</v>
      </c>
      <c r="B64" s="131">
        <f>(((Constantes!$C$22*(1+((Constantes!$D$22/100)*1)))+ (Constantes!$C$23*(1+((Constantes!$D$23/100)*1))) + (Constantes!$C$24*(1+((Constantes!$D$24/100)*1))))*Constantes!B33*12)*((1+Constantes!$C$17)^4)</f>
        <v>813742.07999999996</v>
      </c>
      <c r="C64" s="84">
        <f>(Constantes!B48*12+(Constantes!$B$49*Constantes!B33+Constantes!$B$50*Constantes!B33+Constantes!B51*Constantes!B33)*12)+('Tablas Calculadas '!F11*'Tablas Calculadas '!C51+'Tablas Calculadas '!G11*'Tablas Calculadas '!C52+'Tablas Calculadas '!H11*'Tablas Calculadas '!C53) +'Tablas Calculadas '!B76</f>
        <v>9186240</v>
      </c>
      <c r="D64" s="71">
        <f t="shared" si="1"/>
        <v>9999982.0800000001</v>
      </c>
      <c r="E64" s="1"/>
      <c r="F64" s="1"/>
      <c r="G64" s="1"/>
      <c r="H64" s="1"/>
      <c r="I64" s="1"/>
      <c r="J64" s="1"/>
    </row>
    <row r="65" spans="1:10" ht="15.75" customHeight="1">
      <c r="A65" s="149" t="s">
        <v>16</v>
      </c>
      <c r="B65" s="131">
        <f>(((Constantes!$C$22*(1+((Constantes!$D$22/100)*1)))+ (Constantes!$C$23*(1+((Constantes!$D$23/100)*1))) + (Constantes!$C$24*(1+((Constantes!$D$24/100)*1))))*Constantes!B34*12)*((1+Constantes!$C$17)^4)</f>
        <v>966318.72</v>
      </c>
      <c r="C65" s="84">
        <f>(Constantes!B48*12+(Constantes!$B$49*Constantes!B34+Constantes!$B$50*Constantes!B33+Constantes!B51*Constantes!B33)*12)+('Tablas Calculadas '!F12*'Tablas Calculadas '!C54+'Tablas Calculadas '!G12*'Tablas Calculadas '!C55+'Tablas Calculadas '!H12*'Tablas Calculadas '!C56) +'Tablas Calculadas '!B77</f>
        <v>8968224</v>
      </c>
      <c r="D65" s="71">
        <f t="shared" si="1"/>
        <v>9934542.7200000007</v>
      </c>
      <c r="E65" s="1"/>
      <c r="F65" s="1"/>
      <c r="G65" s="1"/>
      <c r="H65" s="1"/>
      <c r="I65" s="1"/>
      <c r="J65" s="1"/>
    </row>
    <row r="66" spans="1:10" ht="15.75" customHeight="1">
      <c r="A66" s="150" t="s">
        <v>17</v>
      </c>
      <c r="B66" s="151">
        <f t="shared" ref="B66:C66" si="2">SUM(B60:B64)</f>
        <v>3267883.6799999997</v>
      </c>
      <c r="C66" s="152">
        <f t="shared" si="2"/>
        <v>38695632</v>
      </c>
      <c r="D66" s="153">
        <f t="shared" si="1"/>
        <v>41963515.68</v>
      </c>
      <c r="E66" s="1"/>
      <c r="F66" s="1"/>
      <c r="G66" s="1"/>
      <c r="H66" s="1"/>
      <c r="I66" s="1"/>
      <c r="J66" s="1"/>
    </row>
    <row r="67" spans="1:10" ht="15.75" customHeight="1">
      <c r="A67" s="1"/>
      <c r="B67" s="1"/>
      <c r="C67" s="1"/>
      <c r="D67" s="1"/>
      <c r="E67" s="1"/>
      <c r="F67" s="1"/>
      <c r="G67" s="1"/>
      <c r="H67" s="1"/>
      <c r="I67" s="1"/>
      <c r="J67" s="1"/>
    </row>
    <row r="68" spans="1:10" ht="15.75" customHeight="1">
      <c r="A68" s="1"/>
      <c r="B68" s="1"/>
      <c r="C68" s="1"/>
      <c r="D68" s="1"/>
      <c r="E68" s="1"/>
      <c r="F68" s="1"/>
      <c r="G68" s="1"/>
      <c r="H68" s="1"/>
      <c r="I68" s="1"/>
      <c r="J68" s="1"/>
    </row>
    <row r="69" spans="1:10" ht="15.75" customHeight="1">
      <c r="A69" s="1"/>
      <c r="B69" s="1"/>
      <c r="C69" s="1"/>
      <c r="D69" s="1"/>
      <c r="E69" s="1"/>
      <c r="F69" s="1"/>
      <c r="G69" s="1"/>
      <c r="H69" s="1"/>
      <c r="I69" s="1"/>
      <c r="J69" s="1"/>
    </row>
    <row r="70" spans="1:10" ht="15.75" customHeight="1">
      <c r="A70" s="1"/>
      <c r="B70" s="1"/>
      <c r="C70" s="1"/>
      <c r="D70" s="1"/>
      <c r="E70" s="1"/>
      <c r="F70" s="1"/>
      <c r="G70" s="1"/>
      <c r="H70" s="1"/>
      <c r="I70" s="1"/>
      <c r="J70" s="1"/>
    </row>
    <row r="71" spans="1:10" ht="15.75" customHeight="1">
      <c r="A71" s="228" t="s">
        <v>192</v>
      </c>
      <c r="B71" s="211"/>
      <c r="C71" s="154" t="s">
        <v>188</v>
      </c>
      <c r="D71" s="1"/>
      <c r="E71" s="1"/>
      <c r="F71" s="1"/>
      <c r="G71" s="1"/>
      <c r="H71" s="1"/>
      <c r="I71" s="1"/>
      <c r="J71" s="1"/>
    </row>
    <row r="72" spans="1:10" ht="15.75" customHeight="1">
      <c r="A72" s="111" t="s">
        <v>11</v>
      </c>
      <c r="B72" s="155">
        <f>('Tablas Calculadas '!C7*Constantes!$D$13*Constantes!$B$13+'Tablas Calculadas '!$D$7*Constantes!D14*Constantes!$B$14+'Tablas Calculadas '!E7*Constantes!$D$15*Constantes!$B$15)*(Constantes!$B$38*(1+Constantes!$E$6)*Constantes!B29)</f>
        <v>0</v>
      </c>
      <c r="C72" s="1"/>
      <c r="D72" s="1"/>
      <c r="E72" s="1"/>
      <c r="F72" s="1"/>
      <c r="G72" s="1"/>
      <c r="H72" s="1"/>
      <c r="I72" s="1"/>
      <c r="J72" s="1"/>
    </row>
    <row r="73" spans="1:10" ht="15.75" customHeight="1">
      <c r="A73" s="12" t="s">
        <v>193</v>
      </c>
      <c r="B73" s="156">
        <f>('Tablas Calculadas '!C8*Constantes!$D$13*Constantes!$B$13+'Tablas Calculadas '!$D$8*Constantes!D15*Constantes!$B$14+'Tablas Calculadas '!E8*Constantes!$D$15*Constantes!$B$15)*(Constantes!$B$38*(1+Constantes!$E$6)*Constantes!B30)</f>
        <v>317952</v>
      </c>
      <c r="C73" s="1"/>
      <c r="D73" s="1"/>
      <c r="E73" s="1"/>
      <c r="F73" s="1"/>
      <c r="G73" s="1"/>
      <c r="H73" s="1"/>
      <c r="I73" s="1"/>
      <c r="J73" s="1"/>
    </row>
    <row r="74" spans="1:10" ht="15.75" customHeight="1">
      <c r="A74" s="12" t="s">
        <v>194</v>
      </c>
      <c r="B74" s="156">
        <f>('Tablas Calculadas '!C9*Constantes!$D$13*Constantes!$B$13+'Tablas Calculadas '!$D$7*Constantes!D16*Constantes!$B$14+'Tablas Calculadas '!E9*Constantes!$D$15*Constantes!$B$15)*(Constantes!$B$38*(1+Constantes!$E$6)*Constantes!B31)</f>
        <v>244224</v>
      </c>
      <c r="C74" s="1"/>
      <c r="D74" s="1"/>
      <c r="E74" s="1"/>
      <c r="F74" s="1"/>
      <c r="G74" s="1"/>
      <c r="H74" s="1"/>
      <c r="I74" s="1"/>
      <c r="J74" s="1"/>
    </row>
    <row r="75" spans="1:10" ht="15.75" customHeight="1">
      <c r="A75" s="12" t="s">
        <v>195</v>
      </c>
      <c r="B75" s="156">
        <f>('Tablas Calculadas '!C10*Constantes!$D$13*Constantes!$B$13+'Tablas Calculadas '!$D$10*Constantes!D14*Constantes!$B$14+'Tablas Calculadas '!E10*Constantes!$D$15*Constantes!$B$15)*(Constantes!$B$38*(1+Constantes!$E$6)*Constantes!B32)</f>
        <v>516096</v>
      </c>
      <c r="C75" s="1"/>
      <c r="D75" s="1"/>
      <c r="E75" s="1"/>
      <c r="F75" s="1"/>
      <c r="G75" s="1"/>
      <c r="H75" s="1"/>
      <c r="I75" s="1"/>
      <c r="J75" s="1"/>
    </row>
    <row r="76" spans="1:10" ht="15.75" customHeight="1">
      <c r="A76" s="22" t="s">
        <v>15</v>
      </c>
      <c r="B76" s="157">
        <f>('Tablas Calculadas '!C11*Constantes!$D$13*Constantes!$B$13+'Tablas Calculadas '!$D$11*Constantes!D14*Constantes!$B$14+'Tablas Calculadas '!E11*Constantes!$D$15*Constantes!$B$15)*(Constantes!$B$38*(1+Constantes!$E$6)*Constantes!B33)</f>
        <v>589824</v>
      </c>
      <c r="C76" s="1"/>
      <c r="D76" s="1"/>
      <c r="E76" s="1"/>
      <c r="F76" s="1"/>
      <c r="G76" s="1"/>
      <c r="H76" s="1"/>
      <c r="I76" s="1"/>
      <c r="J76" s="1"/>
    </row>
    <row r="77" spans="1:10" ht="15.75" customHeight="1">
      <c r="A77" s="22" t="s">
        <v>16</v>
      </c>
      <c r="B77" s="157">
        <f>('Tablas Calculadas '!C12*Constantes!$D$13*Constantes!$B$13+'Tablas Calculadas '!$D$12*Constantes!D19*Constantes!$B$14+'Tablas Calculadas '!E12*Constantes!$D$15*Constantes!$B$15)*(Constantes!$B$38*(1+Constantes!$E$6)*Constantes!B34)</f>
        <v>350208</v>
      </c>
      <c r="C77" s="1"/>
      <c r="D77" s="1"/>
      <c r="E77" s="1"/>
      <c r="F77" s="1"/>
      <c r="G77" s="1"/>
      <c r="H77" s="1"/>
      <c r="I77" s="1"/>
      <c r="J77" s="1"/>
    </row>
    <row r="78" spans="1:10" ht="15.75" customHeight="1">
      <c r="A78" s="1"/>
      <c r="B78" s="1"/>
      <c r="C78" s="1"/>
      <c r="D78" s="1"/>
      <c r="E78" s="1"/>
      <c r="F78" s="1"/>
      <c r="G78" s="1"/>
      <c r="H78" s="1"/>
      <c r="I78" s="1"/>
      <c r="J78" s="1"/>
    </row>
    <row r="79" spans="1:10" ht="15.75" customHeight="1"/>
    <row r="80" spans="1:10" ht="15.75" customHeight="1"/>
    <row r="81" spans="8:8" ht="15.75" customHeight="1"/>
    <row r="82" spans="8:8" ht="15.75" customHeight="1">
      <c r="H82" s="1"/>
    </row>
    <row r="83" spans="8:8" ht="15.75" customHeight="1">
      <c r="H83" s="1"/>
    </row>
    <row r="84" spans="8:8" ht="15.75" customHeight="1">
      <c r="H84" s="1"/>
    </row>
    <row r="85" spans="8:8" ht="15.75" customHeight="1">
      <c r="H85" s="1"/>
    </row>
    <row r="86" spans="8:8" ht="15.75" customHeight="1">
      <c r="H86" s="1"/>
    </row>
    <row r="87" spans="8:8" ht="15.75" customHeight="1">
      <c r="H87" s="1"/>
    </row>
    <row r="88" spans="8:8" ht="15.75" customHeight="1">
      <c r="H88" s="1"/>
    </row>
    <row r="89" spans="8:8" ht="15.75" customHeight="1">
      <c r="H89" s="1"/>
    </row>
    <row r="90" spans="8:8" ht="15.75" customHeight="1">
      <c r="H90" s="1"/>
    </row>
    <row r="91" spans="8:8" ht="15.75" customHeight="1">
      <c r="H91" s="1"/>
    </row>
    <row r="92" spans="8:8" ht="15.75" customHeight="1">
      <c r="H92" s="1"/>
    </row>
    <row r="93" spans="8:8" ht="15.75" customHeight="1">
      <c r="H93" s="1"/>
    </row>
    <row r="94" spans="8:8" ht="15.75" customHeight="1">
      <c r="H94" s="1"/>
    </row>
    <row r="95" spans="8:8" ht="15.75" customHeight="1">
      <c r="H95" s="1"/>
    </row>
    <row r="96" spans="8:8" ht="15.75" customHeight="1">
      <c r="H96" s="1"/>
    </row>
    <row r="97" spans="8:8" ht="15.75" customHeight="1">
      <c r="H97" s="1"/>
    </row>
    <row r="98" spans="8:8" ht="15.75" customHeight="1">
      <c r="H98" s="1"/>
    </row>
    <row r="99" spans="8:8" ht="15.75" customHeight="1">
      <c r="H99" s="1"/>
    </row>
    <row r="100" spans="8:8" ht="15.75" customHeight="1">
      <c r="H100" s="1"/>
    </row>
    <row r="101" spans="8:8" ht="15.75" customHeight="1">
      <c r="H101" s="1"/>
    </row>
    <row r="102" spans="8:8" ht="15.75" customHeight="1">
      <c r="H102" s="1"/>
    </row>
    <row r="103" spans="8:8" ht="15.75" customHeight="1">
      <c r="H103" s="1"/>
    </row>
    <row r="104" spans="8:8" ht="15.75" customHeight="1">
      <c r="H104" s="1"/>
    </row>
    <row r="105" spans="8:8" ht="15.75" customHeight="1">
      <c r="H105" s="1"/>
    </row>
    <row r="106" spans="8:8" ht="15.75" customHeight="1">
      <c r="H106" s="1"/>
    </row>
    <row r="107" spans="8:8" ht="15.75" customHeight="1">
      <c r="H107" s="1"/>
    </row>
    <row r="108" spans="8:8" ht="15.75" customHeight="1">
      <c r="H108" s="1"/>
    </row>
    <row r="109" spans="8:8" ht="15.75" customHeight="1">
      <c r="H109" s="1"/>
    </row>
    <row r="110" spans="8:8" ht="15.75" customHeight="1">
      <c r="H110" s="1"/>
    </row>
    <row r="111" spans="8:8" ht="15.75" customHeight="1">
      <c r="H111" s="1"/>
    </row>
    <row r="112" spans="8:8" ht="15.75" customHeight="1">
      <c r="H112" s="1"/>
    </row>
    <row r="113" spans="8:8" ht="15.75" customHeight="1">
      <c r="H113" s="1"/>
    </row>
    <row r="114" spans="8:8" ht="15.75" customHeight="1">
      <c r="H114" s="1"/>
    </row>
    <row r="115" spans="8:8" ht="15.75" customHeight="1">
      <c r="H115" s="1"/>
    </row>
    <row r="116" spans="8:8" ht="15.75" customHeight="1">
      <c r="H116" s="1"/>
    </row>
    <row r="117" spans="8:8" ht="15.75" customHeight="1">
      <c r="H117" s="1"/>
    </row>
    <row r="118" spans="8:8" ht="15.75" customHeight="1">
      <c r="H118" s="1"/>
    </row>
    <row r="119" spans="8:8" ht="15.75" customHeight="1">
      <c r="H119" s="1"/>
    </row>
    <row r="120" spans="8:8" ht="15.75" customHeight="1">
      <c r="H120" s="1"/>
    </row>
    <row r="121" spans="8:8" ht="15.75" customHeight="1">
      <c r="H121" s="1"/>
    </row>
    <row r="122" spans="8:8" ht="15.75" customHeight="1">
      <c r="H122" s="1"/>
    </row>
    <row r="123" spans="8:8" ht="15.75" customHeight="1">
      <c r="H123" s="1"/>
    </row>
    <row r="124" spans="8:8" ht="15.75" customHeight="1">
      <c r="H124" s="1"/>
    </row>
    <row r="125" spans="8:8" ht="15.75" customHeight="1">
      <c r="H125" s="1"/>
    </row>
    <row r="126" spans="8:8" ht="15.75" customHeight="1">
      <c r="H126" s="1"/>
    </row>
    <row r="127" spans="8:8" ht="15.75" customHeight="1">
      <c r="H127" s="1"/>
    </row>
    <row r="128" spans="8:8" ht="15.75" customHeight="1">
      <c r="H128" s="1"/>
    </row>
    <row r="129" spans="8:8" ht="15.75" customHeight="1">
      <c r="H129" s="1"/>
    </row>
    <row r="130" spans="8:8" ht="15.75" customHeight="1">
      <c r="H130" s="1"/>
    </row>
    <row r="131" spans="8:8" ht="15.75" customHeight="1">
      <c r="H131" s="1"/>
    </row>
    <row r="132" spans="8:8" ht="15.75" customHeight="1">
      <c r="H132" s="1"/>
    </row>
    <row r="133" spans="8:8" ht="15.75" customHeight="1">
      <c r="H133" s="1"/>
    </row>
    <row r="134" spans="8:8" ht="15.75" customHeight="1">
      <c r="H134" s="1"/>
    </row>
    <row r="135" spans="8:8" ht="15.75" customHeight="1">
      <c r="H135" s="1"/>
    </row>
    <row r="136" spans="8:8" ht="15.75" customHeight="1">
      <c r="H136" s="1"/>
    </row>
    <row r="137" spans="8:8" ht="15.75" customHeight="1">
      <c r="H137" s="1"/>
    </row>
    <row r="138" spans="8:8" ht="15.75" customHeight="1">
      <c r="H138" s="1"/>
    </row>
    <row r="139" spans="8:8" ht="15.75" customHeight="1">
      <c r="H139" s="1"/>
    </row>
    <row r="140" spans="8:8" ht="15.75" customHeight="1">
      <c r="H140" s="1"/>
    </row>
    <row r="141" spans="8:8" ht="15.75" customHeight="1">
      <c r="H141" s="1"/>
    </row>
    <row r="142" spans="8:8" ht="15.75" customHeight="1">
      <c r="H142" s="1"/>
    </row>
    <row r="143" spans="8:8" ht="15.75" customHeight="1">
      <c r="H143" s="1"/>
    </row>
    <row r="144" spans="8:8" ht="15.75" customHeight="1">
      <c r="H144" s="1"/>
    </row>
    <row r="145" spans="8:8" ht="15.75" customHeight="1">
      <c r="H145" s="1"/>
    </row>
    <row r="146" spans="8:8" ht="15.75" customHeight="1">
      <c r="H146" s="1"/>
    </row>
    <row r="147" spans="8:8" ht="15.75" customHeight="1">
      <c r="H147" s="1"/>
    </row>
    <row r="148" spans="8:8" ht="15.75" customHeight="1">
      <c r="H148" s="1"/>
    </row>
    <row r="149" spans="8:8" ht="15.75" customHeight="1">
      <c r="H149" s="1"/>
    </row>
    <row r="150" spans="8:8" ht="15.75" customHeight="1">
      <c r="H150" s="1"/>
    </row>
    <row r="151" spans="8:8" ht="15.75" customHeight="1">
      <c r="H151" s="1"/>
    </row>
    <row r="152" spans="8:8" ht="15.75" customHeight="1">
      <c r="H152" s="1"/>
    </row>
    <row r="153" spans="8:8" ht="15.75" customHeight="1">
      <c r="H153" s="1"/>
    </row>
    <row r="154" spans="8:8" ht="15.75" customHeight="1">
      <c r="H154" s="1"/>
    </row>
    <row r="155" spans="8:8" ht="15.75" customHeight="1">
      <c r="H155" s="1"/>
    </row>
    <row r="156" spans="8:8" ht="15.75" customHeight="1">
      <c r="H156" s="1"/>
    </row>
    <row r="157" spans="8:8" ht="15.75" customHeight="1">
      <c r="H157" s="1"/>
    </row>
    <row r="158" spans="8:8" ht="15.75" customHeight="1">
      <c r="H158" s="1"/>
    </row>
    <row r="159" spans="8:8" ht="15.75" customHeight="1">
      <c r="H159" s="1"/>
    </row>
    <row r="160" spans="8:8" ht="15.75" customHeight="1">
      <c r="H160" s="1"/>
    </row>
    <row r="161" spans="2:8" ht="15.75" customHeight="1">
      <c r="H161" s="1"/>
    </row>
    <row r="162" spans="2:8" ht="15.75" customHeight="1">
      <c r="H162" s="1"/>
    </row>
    <row r="163" spans="2:8" ht="15.75" customHeight="1">
      <c r="H163" s="1"/>
    </row>
    <row r="164" spans="2:8" ht="15.75" customHeight="1">
      <c r="H164" s="1"/>
    </row>
    <row r="165" spans="2:8" ht="15.75" customHeight="1">
      <c r="H165" s="1"/>
    </row>
    <row r="166" spans="2:8" ht="15.75" customHeight="1">
      <c r="H166" s="1"/>
    </row>
    <row r="167" spans="2:8" ht="15.75" customHeight="1">
      <c r="B167" s="1"/>
      <c r="C167" s="1"/>
      <c r="D167" s="1"/>
      <c r="E167" s="1"/>
      <c r="F167" s="1"/>
      <c r="G167" s="1"/>
      <c r="H167" s="1"/>
    </row>
    <row r="168" spans="2:8" ht="15.75" customHeight="1"/>
    <row r="169" spans="2:8" ht="15.75" customHeight="1"/>
    <row r="170" spans="2:8" ht="15.75" customHeight="1"/>
    <row r="171" spans="2:8" ht="15.75" customHeight="1"/>
    <row r="172" spans="2:8" ht="15.75" customHeight="1"/>
    <row r="173" spans="2:8" ht="15.75" customHeight="1"/>
    <row r="174" spans="2:8" ht="15.75" customHeight="1"/>
    <row r="175" spans="2:8" ht="15.75" customHeight="1"/>
    <row r="176" spans="2:8"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J1"/>
    <mergeCell ref="A18:B18"/>
    <mergeCell ref="C18:E18"/>
    <mergeCell ref="J6:J13"/>
    <mergeCell ref="A71:B71"/>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baseColWidth="10" defaultColWidth="12.625" defaultRowHeight="15" customHeight="1"/>
  <cols>
    <col min="1" max="1" width="45.625" customWidth="1"/>
    <col min="2" max="2" width="23.25" customWidth="1"/>
    <col min="3" max="3" width="16.75" customWidth="1"/>
    <col min="4" max="4" width="15.875" customWidth="1"/>
    <col min="5" max="5" width="9.25" customWidth="1"/>
    <col min="6" max="6" width="28.125" customWidth="1"/>
    <col min="7" max="7" width="31" customWidth="1"/>
    <col min="8" max="8" width="11" customWidth="1"/>
    <col min="9" max="9" width="18.375" customWidth="1"/>
    <col min="10" max="10" width="27.625" customWidth="1"/>
    <col min="11" max="11" width="23.75" customWidth="1"/>
    <col min="12" max="12" width="28.125" customWidth="1"/>
    <col min="13" max="13" width="24" customWidth="1"/>
    <col min="14" max="26" width="9.375" customWidth="1"/>
  </cols>
  <sheetData>
    <row r="1" spans="1:9" ht="148.5" customHeight="1">
      <c r="A1" s="236" t="s">
        <v>19</v>
      </c>
      <c r="B1" s="237"/>
      <c r="C1" s="237"/>
      <c r="D1" s="237"/>
      <c r="E1" s="237"/>
      <c r="F1" s="237"/>
      <c r="G1" s="237"/>
      <c r="H1" s="237"/>
      <c r="I1" s="211"/>
    </row>
    <row r="2" spans="1:9" ht="14.25">
      <c r="H2" s="1"/>
      <c r="I2" s="1"/>
    </row>
    <row r="3" spans="1:9" ht="14.25">
      <c r="H3" s="1"/>
      <c r="I3" s="1"/>
    </row>
    <row r="4" spans="1:9" ht="14.25">
      <c r="H4" s="1"/>
      <c r="I4" s="1"/>
    </row>
    <row r="5" spans="1:9" ht="14.25">
      <c r="A5" s="1"/>
      <c r="B5" s="1"/>
      <c r="C5" s="1"/>
      <c r="D5" s="1"/>
      <c r="E5" s="1"/>
      <c r="F5" s="1"/>
      <c r="H5" s="1"/>
      <c r="I5" s="1"/>
    </row>
    <row r="6" spans="1:9" ht="18">
      <c r="A6" s="1"/>
      <c r="B6" s="1"/>
      <c r="C6" s="228" t="s">
        <v>28</v>
      </c>
      <c r="D6" s="211"/>
      <c r="E6" s="41">
        <v>1</v>
      </c>
      <c r="F6" s="42" t="s">
        <v>29</v>
      </c>
      <c r="H6" s="1"/>
      <c r="I6" s="1"/>
    </row>
    <row r="7" spans="1:9" ht="18">
      <c r="A7" s="228" t="s">
        <v>30</v>
      </c>
      <c r="B7" s="211"/>
      <c r="C7" s="1"/>
      <c r="D7" s="1"/>
      <c r="E7" s="1"/>
      <c r="F7" s="1"/>
      <c r="H7" s="1"/>
      <c r="I7" s="1"/>
    </row>
    <row r="8" spans="1:9" ht="14.25">
      <c r="A8" s="7" t="s">
        <v>31</v>
      </c>
      <c r="B8" s="43">
        <v>81000</v>
      </c>
      <c r="C8" s="225" t="s">
        <v>32</v>
      </c>
      <c r="D8" s="44"/>
      <c r="E8" s="1"/>
      <c r="F8" s="1"/>
      <c r="H8" s="1"/>
      <c r="I8" s="1"/>
    </row>
    <row r="9" spans="1:9" ht="14.25">
      <c r="A9" s="12" t="s">
        <v>33</v>
      </c>
      <c r="B9" s="45">
        <v>135000</v>
      </c>
      <c r="C9" s="226"/>
      <c r="D9" s="1"/>
      <c r="E9" s="1"/>
      <c r="F9" s="1"/>
      <c r="H9" s="1"/>
      <c r="I9" s="1"/>
    </row>
    <row r="10" spans="1:9" ht="14.25">
      <c r="A10" s="12" t="s">
        <v>34</v>
      </c>
      <c r="B10" s="45">
        <v>194000</v>
      </c>
      <c r="C10" s="234"/>
      <c r="D10" s="1"/>
      <c r="E10" s="1"/>
      <c r="F10" s="1"/>
      <c r="H10" s="1"/>
      <c r="I10" s="1"/>
    </row>
    <row r="11" spans="1:9" ht="14.25">
      <c r="A11" s="1"/>
      <c r="B11" s="1"/>
      <c r="C11" s="1"/>
      <c r="D11" s="1"/>
      <c r="E11" s="1"/>
      <c r="F11" s="1"/>
      <c r="H11" s="1"/>
      <c r="I11" s="1"/>
    </row>
    <row r="12" spans="1:9" ht="18">
      <c r="A12" s="46" t="s">
        <v>35</v>
      </c>
      <c r="B12" s="47" t="s">
        <v>36</v>
      </c>
      <c r="C12" s="47" t="s">
        <v>37</v>
      </c>
      <c r="D12" s="47" t="s">
        <v>38</v>
      </c>
      <c r="E12" s="1"/>
      <c r="F12" s="1"/>
      <c r="H12" s="1"/>
      <c r="I12" s="1"/>
    </row>
    <row r="13" spans="1:9" ht="14.25">
      <c r="A13" s="48" t="s">
        <v>39</v>
      </c>
      <c r="B13" s="6">
        <v>12</v>
      </c>
      <c r="C13" s="12">
        <v>8</v>
      </c>
      <c r="D13" s="49">
        <v>0</v>
      </c>
      <c r="E13" s="1"/>
      <c r="F13" s="1"/>
      <c r="H13" s="1"/>
      <c r="I13" s="1"/>
    </row>
    <row r="14" spans="1:9" ht="14.25">
      <c r="A14" s="48" t="s">
        <v>40</v>
      </c>
      <c r="B14" s="11">
        <v>24</v>
      </c>
      <c r="C14" s="12">
        <v>20</v>
      </c>
      <c r="D14" s="50">
        <v>0</v>
      </c>
      <c r="E14" s="1"/>
      <c r="F14" s="1"/>
      <c r="H14" s="1"/>
      <c r="I14" s="1"/>
    </row>
    <row r="15" spans="1:9">
      <c r="A15" s="51" t="s">
        <v>41</v>
      </c>
      <c r="B15" s="21">
        <v>32</v>
      </c>
      <c r="C15" s="22">
        <v>22</v>
      </c>
      <c r="D15" s="52">
        <v>9</v>
      </c>
      <c r="E15" s="42" t="s">
        <v>42</v>
      </c>
      <c r="F15" s="1"/>
      <c r="H15" s="1"/>
      <c r="I15" s="1"/>
    </row>
    <row r="16" spans="1:9" ht="14.25">
      <c r="A16" s="1"/>
      <c r="B16" s="1"/>
      <c r="C16" s="1"/>
      <c r="D16" s="1"/>
      <c r="E16" s="1"/>
      <c r="F16" s="1"/>
      <c r="H16" s="1"/>
      <c r="I16" s="1"/>
    </row>
    <row r="17" spans="1:9" ht="18">
      <c r="A17" s="1"/>
      <c r="B17" s="53"/>
      <c r="C17" s="54"/>
      <c r="D17" s="1"/>
      <c r="E17" s="1"/>
      <c r="F17" s="1"/>
      <c r="H17" s="1"/>
      <c r="I17" s="1"/>
    </row>
    <row r="18" spans="1:9" ht="14.25">
      <c r="A18" s="1"/>
      <c r="B18" s="1"/>
      <c r="C18" s="1"/>
      <c r="D18" s="1"/>
      <c r="E18" s="1"/>
      <c r="F18" s="1"/>
      <c r="H18" s="1"/>
      <c r="I18" s="1"/>
    </row>
    <row r="19" spans="1:9" ht="14.25">
      <c r="A19" s="1"/>
      <c r="B19" s="1"/>
      <c r="C19" s="1"/>
      <c r="D19" s="1"/>
      <c r="E19" s="1"/>
      <c r="F19" s="1"/>
      <c r="H19" s="1"/>
      <c r="I19" s="1"/>
    </row>
    <row r="20" spans="1:9" ht="18">
      <c r="A20" s="228" t="s">
        <v>43</v>
      </c>
      <c r="B20" s="237"/>
      <c r="C20" s="237"/>
      <c r="D20" s="211"/>
      <c r="E20" s="1"/>
      <c r="F20" s="1"/>
      <c r="H20" s="1"/>
      <c r="I20" s="1"/>
    </row>
    <row r="21" spans="1:9" ht="15.75" customHeight="1">
      <c r="A21" s="238" t="s">
        <v>22</v>
      </c>
      <c r="B21" s="211"/>
      <c r="C21" s="47" t="s">
        <v>44</v>
      </c>
      <c r="D21" s="47" t="s">
        <v>45</v>
      </c>
      <c r="E21" s="1"/>
      <c r="F21" s="1"/>
      <c r="H21" s="1"/>
      <c r="I21" s="1"/>
    </row>
    <row r="22" spans="1:9" ht="15.75" customHeight="1">
      <c r="A22" s="239" t="s">
        <v>46</v>
      </c>
      <c r="B22" s="240"/>
      <c r="C22" s="55">
        <v>657</v>
      </c>
      <c r="D22" s="49">
        <v>8</v>
      </c>
      <c r="E22" s="1"/>
      <c r="F22" s="1"/>
      <c r="H22" s="1"/>
      <c r="I22" s="1"/>
    </row>
    <row r="23" spans="1:9" ht="15.75" customHeight="1">
      <c r="A23" s="235" t="s">
        <v>47</v>
      </c>
      <c r="B23" s="174"/>
      <c r="C23" s="56">
        <v>200</v>
      </c>
      <c r="D23" s="50">
        <v>0</v>
      </c>
      <c r="E23" s="1"/>
      <c r="F23" s="1"/>
      <c r="H23" s="1"/>
      <c r="I23" s="1"/>
    </row>
    <row r="24" spans="1:9" ht="15.75" customHeight="1">
      <c r="A24" s="235" t="s">
        <v>48</v>
      </c>
      <c r="B24" s="174"/>
      <c r="C24" s="56">
        <v>150</v>
      </c>
      <c r="D24" s="50">
        <v>0</v>
      </c>
      <c r="E24" s="1"/>
      <c r="F24" s="1"/>
      <c r="H24" s="1"/>
      <c r="I24" s="1"/>
    </row>
    <row r="25" spans="1:9" ht="15.75" customHeight="1">
      <c r="A25" s="245" t="s">
        <v>49</v>
      </c>
      <c r="B25" s="195"/>
      <c r="C25" s="59">
        <f>SUM(C22:C24)</f>
        <v>1007</v>
      </c>
      <c r="D25" s="52"/>
      <c r="E25" s="1"/>
      <c r="F25" s="1"/>
      <c r="H25" s="1"/>
      <c r="I25" s="1"/>
    </row>
    <row r="26" spans="1:9" ht="15.75" customHeight="1">
      <c r="A26" s="1"/>
      <c r="B26" s="1"/>
      <c r="C26" s="1"/>
      <c r="D26" s="1"/>
      <c r="E26" s="1"/>
      <c r="F26" s="1"/>
      <c r="H26" s="1"/>
      <c r="I26" s="1"/>
    </row>
    <row r="27" spans="1:9" ht="15.75" customHeight="1">
      <c r="A27" s="228" t="s">
        <v>55</v>
      </c>
      <c r="B27" s="211"/>
      <c r="C27" s="1"/>
      <c r="D27" s="1"/>
      <c r="E27" s="1"/>
      <c r="F27" s="1"/>
      <c r="H27" s="1"/>
      <c r="I27" s="1"/>
    </row>
    <row r="28" spans="1:9" ht="15.75" customHeight="1">
      <c r="A28" s="47" t="s">
        <v>56</v>
      </c>
      <c r="B28" s="47" t="s">
        <v>57</v>
      </c>
      <c r="C28" s="1"/>
      <c r="D28" s="1"/>
      <c r="E28" s="1"/>
      <c r="F28" s="1"/>
      <c r="H28" s="1"/>
      <c r="I28" s="1"/>
    </row>
    <row r="29" spans="1:9" ht="15.75" customHeight="1">
      <c r="A29" s="62">
        <v>0</v>
      </c>
      <c r="B29" s="63">
        <v>40</v>
      </c>
      <c r="C29" s="231" t="s">
        <v>59</v>
      </c>
      <c r="D29" s="1"/>
      <c r="E29" s="1"/>
      <c r="F29" s="1"/>
      <c r="H29" s="1"/>
      <c r="I29" s="1"/>
    </row>
    <row r="30" spans="1:9" ht="15.75" customHeight="1">
      <c r="A30" s="70">
        <v>1</v>
      </c>
      <c r="B30" s="71">
        <v>46</v>
      </c>
      <c r="C30" s="232"/>
      <c r="D30" s="1"/>
      <c r="E30" s="1"/>
      <c r="F30" s="1"/>
      <c r="H30" s="1"/>
      <c r="I30" s="1"/>
    </row>
    <row r="31" spans="1:9" ht="15.75" customHeight="1">
      <c r="A31" s="70">
        <v>2</v>
      </c>
      <c r="B31" s="71">
        <v>53</v>
      </c>
      <c r="C31" s="232"/>
      <c r="D31" s="1"/>
      <c r="E31" s="1"/>
      <c r="F31" s="1"/>
      <c r="H31" s="1"/>
      <c r="I31" s="1"/>
    </row>
    <row r="32" spans="1:9" ht="15.75" customHeight="1">
      <c r="A32" s="70">
        <v>3</v>
      </c>
      <c r="B32" s="71">
        <v>56</v>
      </c>
      <c r="C32" s="232"/>
      <c r="D32" s="1"/>
      <c r="E32" s="1"/>
      <c r="F32" s="1"/>
      <c r="H32" s="1"/>
      <c r="I32" s="1"/>
    </row>
    <row r="33" spans="1:9" ht="15.75" customHeight="1">
      <c r="A33" s="70">
        <v>4</v>
      </c>
      <c r="B33" s="71">
        <v>64</v>
      </c>
      <c r="C33" s="232"/>
      <c r="D33" s="1"/>
      <c r="E33" s="1"/>
      <c r="F33" s="1"/>
      <c r="H33" s="1"/>
      <c r="I33" s="1"/>
    </row>
    <row r="34" spans="1:9" ht="15.75" customHeight="1">
      <c r="A34" s="21">
        <v>5</v>
      </c>
      <c r="B34" s="74">
        <v>76</v>
      </c>
      <c r="C34" s="233"/>
      <c r="D34" s="1"/>
      <c r="E34" s="1"/>
      <c r="F34" s="1"/>
      <c r="H34" s="1"/>
      <c r="I34" s="1"/>
    </row>
    <row r="35" spans="1:9" ht="15.75" customHeight="1">
      <c r="A35" s="1"/>
      <c r="B35" s="1"/>
      <c r="C35" s="1"/>
      <c r="D35" s="1"/>
      <c r="E35" s="1"/>
      <c r="F35" s="1"/>
      <c r="H35" s="1"/>
      <c r="I35" s="1"/>
    </row>
    <row r="36" spans="1:9" ht="15.75" customHeight="1">
      <c r="A36" s="1"/>
      <c r="B36" s="1"/>
      <c r="C36" s="1"/>
      <c r="D36" s="1"/>
      <c r="E36" s="1"/>
      <c r="F36" s="1"/>
      <c r="H36" s="1"/>
      <c r="I36" s="1"/>
    </row>
    <row r="37" spans="1:9" ht="15.75" customHeight="1">
      <c r="A37" s="228" t="s">
        <v>63</v>
      </c>
      <c r="B37" s="211"/>
      <c r="C37" s="1"/>
      <c r="D37" s="1"/>
      <c r="E37" s="1"/>
      <c r="F37" s="1"/>
      <c r="H37" s="1"/>
      <c r="I37" s="1"/>
    </row>
    <row r="38" spans="1:9" ht="15.75" customHeight="1">
      <c r="A38" s="78" t="s">
        <v>64</v>
      </c>
      <c r="B38" s="79">
        <v>8</v>
      </c>
      <c r="C38" s="1"/>
      <c r="D38" s="1"/>
      <c r="E38" s="1"/>
      <c r="F38" s="1"/>
      <c r="H38" s="1"/>
      <c r="I38" s="1"/>
    </row>
    <row r="39" spans="1:9" ht="15.75" customHeight="1">
      <c r="A39" s="80" t="s">
        <v>65</v>
      </c>
      <c r="B39" s="82">
        <v>16</v>
      </c>
      <c r="C39" s="42" t="s">
        <v>67</v>
      </c>
      <c r="D39" s="1"/>
      <c r="E39" s="1"/>
      <c r="F39" s="1"/>
      <c r="H39" s="1"/>
      <c r="I39" s="1"/>
    </row>
    <row r="40" spans="1:9" ht="15.75" customHeight="1">
      <c r="A40" s="12" t="s">
        <v>68</v>
      </c>
      <c r="B40" s="50">
        <v>8</v>
      </c>
      <c r="C40" s="229" t="s">
        <v>69</v>
      </c>
      <c r="D40" s="1"/>
      <c r="E40" s="1"/>
      <c r="F40" s="1"/>
      <c r="H40" s="1"/>
      <c r="I40" s="1"/>
    </row>
    <row r="41" spans="1:9" ht="15.75" customHeight="1">
      <c r="A41" s="12" t="s">
        <v>71</v>
      </c>
      <c r="B41" s="50">
        <v>22</v>
      </c>
      <c r="C41" s="230"/>
      <c r="D41" s="1"/>
      <c r="E41" s="1"/>
      <c r="F41" s="1"/>
      <c r="H41" s="1"/>
      <c r="I41" s="1"/>
    </row>
    <row r="42" spans="1:9" ht="15.75" customHeight="1">
      <c r="A42" s="12" t="s">
        <v>72</v>
      </c>
      <c r="B42" s="50">
        <v>5</v>
      </c>
      <c r="C42" s="1"/>
      <c r="D42" s="1"/>
      <c r="E42" s="1"/>
      <c r="F42" s="1"/>
      <c r="H42" s="1"/>
      <c r="I42" s="1"/>
    </row>
    <row r="43" spans="1:9" ht="15.75" customHeight="1">
      <c r="A43" s="12" t="s">
        <v>73</v>
      </c>
      <c r="B43" s="71">
        <f t="shared" ref="B43:B48" si="0">($B$38*B29*$B$40*$B$41*$B$42)*(1+(SUM($B$52:$B$57)))</f>
        <v>346720</v>
      </c>
      <c r="C43" s="1"/>
      <c r="D43" s="1"/>
      <c r="E43" s="1"/>
      <c r="F43" s="1"/>
      <c r="H43" s="1"/>
      <c r="I43" s="1"/>
    </row>
    <row r="44" spans="1:9" ht="15.75" customHeight="1">
      <c r="A44" s="12" t="s">
        <v>75</v>
      </c>
      <c r="B44" s="71">
        <f t="shared" si="0"/>
        <v>398728</v>
      </c>
      <c r="C44" s="1"/>
      <c r="D44" s="1"/>
      <c r="E44" s="1"/>
      <c r="F44" s="1"/>
      <c r="H44" s="1"/>
      <c r="I44" s="1"/>
    </row>
    <row r="45" spans="1:9" ht="15.75" customHeight="1">
      <c r="A45" s="12" t="s">
        <v>76</v>
      </c>
      <c r="B45" s="71">
        <f t="shared" si="0"/>
        <v>459404</v>
      </c>
      <c r="C45" s="1"/>
      <c r="D45" s="1"/>
      <c r="E45" s="1"/>
      <c r="F45" s="1"/>
      <c r="H45" s="1"/>
      <c r="I45" s="1"/>
    </row>
    <row r="46" spans="1:9" ht="15.75" customHeight="1">
      <c r="A46" s="12" t="s">
        <v>77</v>
      </c>
      <c r="B46" s="71">
        <f t="shared" si="0"/>
        <v>485408</v>
      </c>
      <c r="C46" s="1"/>
      <c r="D46" s="1"/>
      <c r="E46" s="1"/>
      <c r="F46" s="1"/>
      <c r="H46" s="1"/>
      <c r="I46" s="1"/>
    </row>
    <row r="47" spans="1:9" ht="15.75" customHeight="1">
      <c r="A47" s="12" t="s">
        <v>78</v>
      </c>
      <c r="B47" s="71">
        <f t="shared" si="0"/>
        <v>554752</v>
      </c>
      <c r="C47" s="1"/>
      <c r="D47" s="1"/>
      <c r="E47" s="1"/>
      <c r="F47" s="1"/>
      <c r="H47" s="1"/>
      <c r="I47" s="1"/>
    </row>
    <row r="48" spans="1:9" ht="15.75" customHeight="1">
      <c r="A48" s="12" t="s">
        <v>79</v>
      </c>
      <c r="B48" s="71">
        <f t="shared" si="0"/>
        <v>658768</v>
      </c>
      <c r="C48" s="1"/>
      <c r="D48" s="1"/>
      <c r="E48" s="1"/>
      <c r="F48" s="1"/>
      <c r="H48" s="1"/>
      <c r="I48" s="1"/>
    </row>
    <row r="49" spans="1:13" ht="15.75" customHeight="1">
      <c r="A49" s="12" t="s">
        <v>80</v>
      </c>
      <c r="B49" s="85">
        <v>150</v>
      </c>
      <c r="C49" s="1"/>
      <c r="D49" s="1"/>
      <c r="E49" s="1"/>
      <c r="F49" s="1"/>
      <c r="H49" s="1"/>
      <c r="I49" s="1"/>
    </row>
    <row r="50" spans="1:13" ht="15.75" customHeight="1">
      <c r="A50" s="12" t="s">
        <v>82</v>
      </c>
      <c r="B50" s="85">
        <v>500</v>
      </c>
      <c r="C50" s="1"/>
      <c r="D50" s="1"/>
      <c r="E50" s="1"/>
      <c r="F50" s="1"/>
      <c r="H50" s="1"/>
      <c r="I50" s="1"/>
    </row>
    <row r="51" spans="1:13" ht="15.75" customHeight="1">
      <c r="A51" s="12" t="s">
        <v>83</v>
      </c>
      <c r="B51" s="85">
        <v>250</v>
      </c>
      <c r="C51" s="1"/>
      <c r="D51" s="1"/>
      <c r="E51" s="1"/>
      <c r="F51" s="1"/>
      <c r="H51" s="1"/>
      <c r="I51" s="1"/>
    </row>
    <row r="52" spans="1:13" ht="15.75" customHeight="1">
      <c r="A52" s="12" t="s">
        <v>85</v>
      </c>
      <c r="B52" s="92">
        <v>0.03</v>
      </c>
      <c r="C52" s="1"/>
      <c r="D52" s="1"/>
      <c r="E52" s="1"/>
      <c r="F52" s="1"/>
      <c r="H52" s="1"/>
      <c r="I52" s="1"/>
    </row>
    <row r="53" spans="1:13" ht="15.75" customHeight="1">
      <c r="A53" s="12" t="s">
        <v>89</v>
      </c>
      <c r="B53" s="92">
        <v>7.4999999999999997E-2</v>
      </c>
      <c r="C53" s="1"/>
      <c r="D53" s="1"/>
      <c r="E53" s="1"/>
      <c r="F53" s="1"/>
      <c r="H53" s="1"/>
      <c r="I53" s="1"/>
    </row>
    <row r="54" spans="1:13" ht="15.75" customHeight="1">
      <c r="A54" s="17" t="s">
        <v>90</v>
      </c>
      <c r="B54" s="95">
        <v>2.5000000000000001E-4</v>
      </c>
      <c r="C54" s="1"/>
      <c r="D54" s="1"/>
      <c r="E54" s="1"/>
      <c r="F54" s="1"/>
      <c r="H54" s="1"/>
      <c r="I54" s="1"/>
    </row>
    <row r="55" spans="1:13" ht="15.75" customHeight="1">
      <c r="A55" s="17" t="s">
        <v>91</v>
      </c>
      <c r="B55" s="96">
        <v>7.4999999999999997E-2</v>
      </c>
      <c r="C55" s="1"/>
      <c r="D55" s="1"/>
      <c r="E55" s="1"/>
      <c r="F55" s="1"/>
      <c r="H55" s="1"/>
      <c r="I55" s="1"/>
    </row>
    <row r="56" spans="1:13" ht="15.75" customHeight="1">
      <c r="A56" s="17" t="s">
        <v>92</v>
      </c>
      <c r="B56" s="96">
        <v>1E-3</v>
      </c>
      <c r="C56" s="1"/>
      <c r="D56" s="1"/>
      <c r="E56" s="1"/>
      <c r="F56" s="1"/>
      <c r="H56" s="1"/>
      <c r="I56" s="1"/>
    </row>
    <row r="57" spans="1:13" ht="15.75" customHeight="1">
      <c r="A57" s="22" t="s">
        <v>93</v>
      </c>
      <c r="B57" s="98">
        <v>0.05</v>
      </c>
      <c r="C57" s="1"/>
      <c r="D57" s="1"/>
      <c r="E57" s="1"/>
      <c r="F57" s="1"/>
      <c r="H57" s="1"/>
      <c r="I57" s="1"/>
    </row>
    <row r="58" spans="1:13" ht="15.75" customHeight="1">
      <c r="A58" s="1"/>
      <c r="B58" s="1"/>
      <c r="C58" s="1"/>
      <c r="D58" s="1"/>
      <c r="E58" s="1"/>
      <c r="F58" s="1"/>
      <c r="H58" s="1"/>
      <c r="I58" s="1"/>
    </row>
    <row r="59" spans="1:13" ht="23.25" customHeight="1">
      <c r="A59" s="241" t="s">
        <v>94</v>
      </c>
      <c r="B59" s="215"/>
      <c r="C59" s="228" t="s">
        <v>95</v>
      </c>
      <c r="D59" s="237"/>
      <c r="E59" s="211"/>
      <c r="F59" s="244" t="s">
        <v>96</v>
      </c>
      <c r="G59" s="237"/>
      <c r="H59" s="237"/>
      <c r="I59" s="237"/>
      <c r="J59" s="237"/>
      <c r="K59" s="237"/>
      <c r="L59" s="237"/>
      <c r="M59" s="211"/>
    </row>
    <row r="60" spans="1:13" ht="21" customHeight="1">
      <c r="A60" s="242"/>
      <c r="B60" s="243"/>
      <c r="C60" s="228" t="s">
        <v>103</v>
      </c>
      <c r="D60" s="237"/>
      <c r="E60" s="237"/>
      <c r="F60" s="237"/>
      <c r="G60" s="237"/>
      <c r="H60" s="237"/>
      <c r="I60" s="237"/>
      <c r="J60" s="237"/>
      <c r="K60" s="237"/>
      <c r="L60" s="237"/>
      <c r="M60" s="211"/>
    </row>
    <row r="61" spans="1:13" ht="15.75" customHeight="1">
      <c r="A61" s="99" t="s">
        <v>104</v>
      </c>
      <c r="B61" s="100" t="s">
        <v>105</v>
      </c>
      <c r="C61" s="101" t="s">
        <v>106</v>
      </c>
      <c r="D61" s="102" t="s">
        <v>107</v>
      </c>
      <c r="E61" s="101" t="s">
        <v>108</v>
      </c>
      <c r="F61" s="103" t="s">
        <v>109</v>
      </c>
      <c r="G61" s="103" t="s">
        <v>110</v>
      </c>
      <c r="H61" s="104" t="s">
        <v>111</v>
      </c>
      <c r="I61" s="101" t="s">
        <v>112</v>
      </c>
      <c r="J61" s="105" t="s">
        <v>113</v>
      </c>
      <c r="K61" s="106" t="s">
        <v>114</v>
      </c>
      <c r="L61" s="107" t="s">
        <v>115</v>
      </c>
      <c r="M61" s="108" t="s">
        <v>116</v>
      </c>
    </row>
    <row r="62" spans="1:13" ht="15.75" customHeight="1">
      <c r="A62" s="62" t="s">
        <v>117</v>
      </c>
      <c r="B62" s="109">
        <f>450*5</f>
        <v>2250</v>
      </c>
      <c r="C62" s="110" t="s">
        <v>118</v>
      </c>
      <c r="D62" s="109">
        <f>180*5</f>
        <v>900</v>
      </c>
      <c r="E62" s="111">
        <v>5</v>
      </c>
      <c r="F62" s="109">
        <f t="shared" ref="F62:F86" si="1">IF(ISERROR((B62-D62)/E62),0,(B62-D62)/E62)</f>
        <v>270</v>
      </c>
      <c r="G62" s="109">
        <f t="shared" ref="G62:G84" si="2">D62</f>
        <v>900</v>
      </c>
      <c r="H62" s="112">
        <v>0</v>
      </c>
      <c r="I62" s="113">
        <f>(G62*76*0.25)/38</f>
        <v>450</v>
      </c>
      <c r="J62" s="114">
        <f t="shared" ref="J62:J90" si="3">IFERROR(IF((G62-H62)&gt;0,(G62+I62),(G62-I62)),0)</f>
        <v>1350</v>
      </c>
      <c r="K62" s="109">
        <f t="shared" ref="K62:K90" si="4">F62*C62</f>
        <v>1350</v>
      </c>
      <c r="L62" s="109">
        <f t="shared" ref="L62:L90" si="5">F62*C62</f>
        <v>1350</v>
      </c>
      <c r="M62" s="115">
        <f t="shared" ref="M62:M90" si="6">J62*C62</f>
        <v>6750</v>
      </c>
    </row>
    <row r="63" spans="1:13" ht="15.75" customHeight="1">
      <c r="A63" s="70" t="s">
        <v>119</v>
      </c>
      <c r="B63" s="45">
        <f>125*5</f>
        <v>625</v>
      </c>
      <c r="C63" s="116" t="s">
        <v>118</v>
      </c>
      <c r="D63" s="117">
        <v>200</v>
      </c>
      <c r="E63" s="12">
        <v>5</v>
      </c>
      <c r="F63" s="45">
        <f t="shared" si="1"/>
        <v>85</v>
      </c>
      <c r="G63" s="45">
        <f t="shared" si="2"/>
        <v>200</v>
      </c>
      <c r="H63" s="112">
        <v>0</v>
      </c>
      <c r="I63" s="113">
        <f t="shared" ref="I63:I84" si="7">G63*76*0.25</f>
        <v>3800</v>
      </c>
      <c r="J63" s="114">
        <f t="shared" si="3"/>
        <v>4000</v>
      </c>
      <c r="K63" s="45">
        <f t="shared" si="4"/>
        <v>425</v>
      </c>
      <c r="L63" s="45">
        <f t="shared" si="5"/>
        <v>425</v>
      </c>
      <c r="M63" s="85">
        <f t="shared" si="6"/>
        <v>20000</v>
      </c>
    </row>
    <row r="64" spans="1:13" ht="15.75" customHeight="1">
      <c r="A64" s="70" t="s">
        <v>120</v>
      </c>
      <c r="B64" s="117">
        <f>365</f>
        <v>365</v>
      </c>
      <c r="C64" s="119">
        <v>1</v>
      </c>
      <c r="D64" s="117">
        <v>100</v>
      </c>
      <c r="E64" s="12">
        <v>5</v>
      </c>
      <c r="F64" s="45">
        <f t="shared" si="1"/>
        <v>53</v>
      </c>
      <c r="G64" s="45">
        <f t="shared" si="2"/>
        <v>100</v>
      </c>
      <c r="H64" s="112">
        <v>0</v>
      </c>
      <c r="I64" s="113">
        <f t="shared" si="7"/>
        <v>1900</v>
      </c>
      <c r="J64" s="114">
        <f t="shared" si="3"/>
        <v>2000</v>
      </c>
      <c r="K64" s="45">
        <f t="shared" si="4"/>
        <v>53</v>
      </c>
      <c r="L64" s="45">
        <f t="shared" si="5"/>
        <v>53</v>
      </c>
      <c r="M64" s="85">
        <f t="shared" si="6"/>
        <v>2000</v>
      </c>
    </row>
    <row r="65" spans="1:13" ht="15.75" customHeight="1">
      <c r="A65" s="70" t="s">
        <v>122</v>
      </c>
      <c r="B65" s="117">
        <f>97.6</f>
        <v>97.6</v>
      </c>
      <c r="C65" s="121">
        <v>1</v>
      </c>
      <c r="D65" s="117">
        <v>30</v>
      </c>
      <c r="E65" s="12">
        <v>5</v>
      </c>
      <c r="F65" s="45">
        <f t="shared" si="1"/>
        <v>13.52</v>
      </c>
      <c r="G65" s="45">
        <f t="shared" si="2"/>
        <v>30</v>
      </c>
      <c r="H65" s="112">
        <v>0</v>
      </c>
      <c r="I65" s="113">
        <f t="shared" si="7"/>
        <v>570</v>
      </c>
      <c r="J65" s="114">
        <f t="shared" si="3"/>
        <v>600</v>
      </c>
      <c r="K65" s="45">
        <f t="shared" si="4"/>
        <v>13.52</v>
      </c>
      <c r="L65" s="45">
        <f t="shared" si="5"/>
        <v>13.52</v>
      </c>
      <c r="M65" s="85">
        <f t="shared" si="6"/>
        <v>600</v>
      </c>
    </row>
    <row r="66" spans="1:13" ht="15.75" customHeight="1">
      <c r="A66" s="70" t="s">
        <v>124</v>
      </c>
      <c r="B66" s="45">
        <f>465</f>
        <v>465</v>
      </c>
      <c r="C66" s="121">
        <v>1</v>
      </c>
      <c r="D66" s="117">
        <v>82</v>
      </c>
      <c r="E66" s="12">
        <v>5</v>
      </c>
      <c r="F66" s="45">
        <f t="shared" si="1"/>
        <v>76.599999999999994</v>
      </c>
      <c r="G66" s="45">
        <f t="shared" si="2"/>
        <v>82</v>
      </c>
      <c r="H66" s="112">
        <v>0</v>
      </c>
      <c r="I66" s="113">
        <f t="shared" si="7"/>
        <v>1558</v>
      </c>
      <c r="J66" s="114">
        <f t="shared" si="3"/>
        <v>1640</v>
      </c>
      <c r="K66" s="45">
        <f t="shared" si="4"/>
        <v>76.599999999999994</v>
      </c>
      <c r="L66" s="45">
        <f t="shared" si="5"/>
        <v>76.599999999999994</v>
      </c>
      <c r="M66" s="85">
        <f t="shared" si="6"/>
        <v>1640</v>
      </c>
    </row>
    <row r="67" spans="1:13" ht="15.75" customHeight="1">
      <c r="A67" s="70" t="s">
        <v>126</v>
      </c>
      <c r="B67" s="45">
        <v>258</v>
      </c>
      <c r="C67" s="119">
        <v>1</v>
      </c>
      <c r="D67" s="117">
        <v>0</v>
      </c>
      <c r="E67" s="12">
        <v>5</v>
      </c>
      <c r="F67" s="45">
        <f t="shared" si="1"/>
        <v>51.6</v>
      </c>
      <c r="G67" s="45">
        <f t="shared" si="2"/>
        <v>0</v>
      </c>
      <c r="H67" s="112">
        <v>0</v>
      </c>
      <c r="I67" s="113">
        <f t="shared" si="7"/>
        <v>0</v>
      </c>
      <c r="J67" s="114">
        <f t="shared" si="3"/>
        <v>0</v>
      </c>
      <c r="K67" s="45">
        <f t="shared" si="4"/>
        <v>51.6</v>
      </c>
      <c r="L67" s="45">
        <f t="shared" si="5"/>
        <v>51.6</v>
      </c>
      <c r="M67" s="85">
        <f t="shared" si="6"/>
        <v>0</v>
      </c>
    </row>
    <row r="68" spans="1:13" ht="15.75" customHeight="1">
      <c r="A68" s="70" t="s">
        <v>127</v>
      </c>
      <c r="B68" s="45">
        <v>0.28000000000000003</v>
      </c>
      <c r="C68" s="121">
        <v>1</v>
      </c>
      <c r="D68" s="117">
        <v>0</v>
      </c>
      <c r="E68" s="12">
        <v>5</v>
      </c>
      <c r="F68" s="45">
        <f t="shared" si="1"/>
        <v>5.6000000000000008E-2</v>
      </c>
      <c r="G68" s="45">
        <f t="shared" si="2"/>
        <v>0</v>
      </c>
      <c r="H68" s="112">
        <v>0</v>
      </c>
      <c r="I68" s="113">
        <f t="shared" si="7"/>
        <v>0</v>
      </c>
      <c r="J68" s="114">
        <f t="shared" si="3"/>
        <v>0</v>
      </c>
      <c r="K68" s="45">
        <f t="shared" si="4"/>
        <v>5.6000000000000008E-2</v>
      </c>
      <c r="L68" s="45">
        <f t="shared" si="5"/>
        <v>5.6000000000000008E-2</v>
      </c>
      <c r="M68" s="85">
        <f t="shared" si="6"/>
        <v>0</v>
      </c>
    </row>
    <row r="69" spans="1:13" ht="15.75" customHeight="1">
      <c r="A69" s="70" t="s">
        <v>129</v>
      </c>
      <c r="B69" s="45">
        <v>135</v>
      </c>
      <c r="C69" s="119">
        <v>1</v>
      </c>
      <c r="D69" s="45">
        <v>53</v>
      </c>
      <c r="E69" s="12">
        <v>5</v>
      </c>
      <c r="F69" s="45">
        <f t="shared" si="1"/>
        <v>16.399999999999999</v>
      </c>
      <c r="G69" s="45">
        <f t="shared" si="2"/>
        <v>53</v>
      </c>
      <c r="H69" s="112">
        <v>0</v>
      </c>
      <c r="I69" s="113">
        <f t="shared" si="7"/>
        <v>1007</v>
      </c>
      <c r="J69" s="114">
        <f t="shared" si="3"/>
        <v>1060</v>
      </c>
      <c r="K69" s="45">
        <f t="shared" si="4"/>
        <v>16.399999999999999</v>
      </c>
      <c r="L69" s="45">
        <f t="shared" si="5"/>
        <v>16.399999999999999</v>
      </c>
      <c r="M69" s="85">
        <f t="shared" si="6"/>
        <v>1060</v>
      </c>
    </row>
    <row r="70" spans="1:13" ht="15.75" customHeight="1">
      <c r="A70" s="70" t="s">
        <v>131</v>
      </c>
      <c r="B70" s="45">
        <v>6100</v>
      </c>
      <c r="C70" s="119">
        <v>1</v>
      </c>
      <c r="D70" s="45">
        <v>1200</v>
      </c>
      <c r="E70" s="12">
        <v>5</v>
      </c>
      <c r="F70" s="45">
        <f t="shared" si="1"/>
        <v>980</v>
      </c>
      <c r="G70" s="45">
        <f t="shared" si="2"/>
        <v>1200</v>
      </c>
      <c r="H70" s="112">
        <v>0</v>
      </c>
      <c r="I70" s="113">
        <f t="shared" si="7"/>
        <v>22800</v>
      </c>
      <c r="J70" s="114">
        <f t="shared" si="3"/>
        <v>24000</v>
      </c>
      <c r="K70" s="45">
        <f t="shared" si="4"/>
        <v>980</v>
      </c>
      <c r="L70" s="45">
        <f t="shared" si="5"/>
        <v>980</v>
      </c>
      <c r="M70" s="85">
        <f t="shared" si="6"/>
        <v>24000</v>
      </c>
    </row>
    <row r="71" spans="1:13" ht="15.75" customHeight="1">
      <c r="A71" s="70" t="s">
        <v>120</v>
      </c>
      <c r="B71" s="45">
        <f>423.34*2</f>
        <v>846.68</v>
      </c>
      <c r="C71" s="119">
        <v>2</v>
      </c>
      <c r="D71" s="117">
        <v>400</v>
      </c>
      <c r="E71" s="12">
        <v>5</v>
      </c>
      <c r="F71" s="45">
        <f t="shared" si="1"/>
        <v>89.335999999999984</v>
      </c>
      <c r="G71" s="45">
        <f t="shared" si="2"/>
        <v>400</v>
      </c>
      <c r="H71" s="112">
        <v>0</v>
      </c>
      <c r="I71" s="113">
        <f t="shared" si="7"/>
        <v>7600</v>
      </c>
      <c r="J71" s="114">
        <f t="shared" si="3"/>
        <v>8000</v>
      </c>
      <c r="K71" s="45">
        <f t="shared" si="4"/>
        <v>178.67199999999997</v>
      </c>
      <c r="L71" s="45">
        <f t="shared" si="5"/>
        <v>178.67199999999997</v>
      </c>
      <c r="M71" s="85">
        <f t="shared" si="6"/>
        <v>16000</v>
      </c>
    </row>
    <row r="72" spans="1:13" ht="15.75" customHeight="1">
      <c r="A72" s="70" t="s">
        <v>133</v>
      </c>
      <c r="B72" s="45">
        <f>268.4*7</f>
        <v>1878.7999999999997</v>
      </c>
      <c r="C72" s="121">
        <v>7</v>
      </c>
      <c r="D72" s="117">
        <f>100*7</f>
        <v>700</v>
      </c>
      <c r="E72" s="12">
        <v>5</v>
      </c>
      <c r="F72" s="45">
        <f t="shared" si="1"/>
        <v>235.75999999999993</v>
      </c>
      <c r="G72" s="45">
        <f t="shared" si="2"/>
        <v>700</v>
      </c>
      <c r="H72" s="112">
        <v>0</v>
      </c>
      <c r="I72" s="113">
        <f t="shared" si="7"/>
        <v>13300</v>
      </c>
      <c r="J72" s="114">
        <f t="shared" si="3"/>
        <v>14000</v>
      </c>
      <c r="K72" s="45">
        <f t="shared" si="4"/>
        <v>1650.3199999999995</v>
      </c>
      <c r="L72" s="45">
        <f t="shared" si="5"/>
        <v>1650.3199999999995</v>
      </c>
      <c r="M72" s="85">
        <f t="shared" si="6"/>
        <v>98000</v>
      </c>
    </row>
    <row r="73" spans="1:13" ht="15.75" customHeight="1">
      <c r="A73" s="70" t="s">
        <v>135</v>
      </c>
      <c r="B73" s="45">
        <v>125</v>
      </c>
      <c r="C73" s="119">
        <v>1</v>
      </c>
      <c r="D73" s="45">
        <v>30</v>
      </c>
      <c r="E73" s="12">
        <v>5</v>
      </c>
      <c r="F73" s="45">
        <f t="shared" si="1"/>
        <v>19</v>
      </c>
      <c r="G73" s="45">
        <f t="shared" si="2"/>
        <v>30</v>
      </c>
      <c r="H73" s="112">
        <v>0</v>
      </c>
      <c r="I73" s="113">
        <f t="shared" si="7"/>
        <v>570</v>
      </c>
      <c r="J73" s="114">
        <f t="shared" si="3"/>
        <v>600</v>
      </c>
      <c r="K73" s="45">
        <f t="shared" si="4"/>
        <v>19</v>
      </c>
      <c r="L73" s="45">
        <f t="shared" si="5"/>
        <v>19</v>
      </c>
      <c r="M73" s="85">
        <f t="shared" si="6"/>
        <v>600</v>
      </c>
    </row>
    <row r="74" spans="1:13" ht="15.75" customHeight="1">
      <c r="A74" s="70" t="s">
        <v>136</v>
      </c>
      <c r="B74" s="45">
        <f>610*6</f>
        <v>3660</v>
      </c>
      <c r="C74" s="121">
        <v>6</v>
      </c>
      <c r="D74" s="117">
        <v>180</v>
      </c>
      <c r="E74" s="12">
        <v>5</v>
      </c>
      <c r="F74" s="45">
        <f t="shared" si="1"/>
        <v>696</v>
      </c>
      <c r="G74" s="45">
        <f t="shared" si="2"/>
        <v>180</v>
      </c>
      <c r="H74" s="112">
        <v>0</v>
      </c>
      <c r="I74" s="113">
        <f t="shared" si="7"/>
        <v>3420</v>
      </c>
      <c r="J74" s="114">
        <f t="shared" si="3"/>
        <v>3600</v>
      </c>
      <c r="K74" s="45">
        <f t="shared" si="4"/>
        <v>4176</v>
      </c>
      <c r="L74" s="45">
        <f t="shared" si="5"/>
        <v>4176</v>
      </c>
      <c r="M74" s="85">
        <f t="shared" si="6"/>
        <v>21600</v>
      </c>
    </row>
    <row r="75" spans="1:13" ht="15.75" customHeight="1">
      <c r="A75" s="70" t="s">
        <v>139</v>
      </c>
      <c r="B75" s="45">
        <f>27*6</f>
        <v>162</v>
      </c>
      <c r="C75" s="121">
        <v>6</v>
      </c>
      <c r="D75" s="45">
        <v>5</v>
      </c>
      <c r="E75" s="12">
        <v>5</v>
      </c>
      <c r="F75" s="45">
        <f t="shared" si="1"/>
        <v>31.4</v>
      </c>
      <c r="G75" s="45">
        <f t="shared" si="2"/>
        <v>5</v>
      </c>
      <c r="H75" s="112">
        <v>0</v>
      </c>
      <c r="I75" s="113">
        <f t="shared" si="7"/>
        <v>95</v>
      </c>
      <c r="J75" s="114">
        <f t="shared" si="3"/>
        <v>100</v>
      </c>
      <c r="K75" s="45">
        <f t="shared" si="4"/>
        <v>188.39999999999998</v>
      </c>
      <c r="L75" s="45">
        <f t="shared" si="5"/>
        <v>188.39999999999998</v>
      </c>
      <c r="M75" s="85">
        <f t="shared" si="6"/>
        <v>600</v>
      </c>
    </row>
    <row r="76" spans="1:13" ht="15.75" customHeight="1">
      <c r="A76" s="70" t="s">
        <v>141</v>
      </c>
      <c r="B76" s="45">
        <v>148</v>
      </c>
      <c r="C76" s="119">
        <v>1</v>
      </c>
      <c r="D76" s="45">
        <v>58</v>
      </c>
      <c r="E76" s="12">
        <v>5</v>
      </c>
      <c r="F76" s="45">
        <f t="shared" si="1"/>
        <v>18</v>
      </c>
      <c r="G76" s="45">
        <f t="shared" si="2"/>
        <v>58</v>
      </c>
      <c r="H76" s="112">
        <v>0</v>
      </c>
      <c r="I76" s="113">
        <f t="shared" si="7"/>
        <v>1102</v>
      </c>
      <c r="J76" s="114">
        <f t="shared" si="3"/>
        <v>1160</v>
      </c>
      <c r="K76" s="45">
        <f t="shared" si="4"/>
        <v>18</v>
      </c>
      <c r="L76" s="45">
        <f t="shared" si="5"/>
        <v>18</v>
      </c>
      <c r="M76" s="85">
        <f t="shared" si="6"/>
        <v>1160</v>
      </c>
    </row>
    <row r="77" spans="1:13" ht="15.75" customHeight="1">
      <c r="A77" s="70" t="s">
        <v>142</v>
      </c>
      <c r="B77" s="45">
        <f>36*6</f>
        <v>216</v>
      </c>
      <c r="C77" s="121">
        <v>6</v>
      </c>
      <c r="D77" s="117">
        <v>72</v>
      </c>
      <c r="E77" s="12">
        <v>5</v>
      </c>
      <c r="F77" s="45">
        <f t="shared" si="1"/>
        <v>28.8</v>
      </c>
      <c r="G77" s="45">
        <f t="shared" si="2"/>
        <v>72</v>
      </c>
      <c r="H77" s="112">
        <v>0</v>
      </c>
      <c r="I77" s="113">
        <f t="shared" si="7"/>
        <v>1368</v>
      </c>
      <c r="J77" s="114">
        <f t="shared" si="3"/>
        <v>1440</v>
      </c>
      <c r="K77" s="45">
        <f t="shared" si="4"/>
        <v>172.8</v>
      </c>
      <c r="L77" s="45">
        <f t="shared" si="5"/>
        <v>172.8</v>
      </c>
      <c r="M77" s="85">
        <f t="shared" si="6"/>
        <v>8640</v>
      </c>
    </row>
    <row r="78" spans="1:13" ht="15.75" customHeight="1">
      <c r="A78" s="70" t="s">
        <v>144</v>
      </c>
      <c r="B78" s="45">
        <v>79</v>
      </c>
      <c r="C78" s="121">
        <v>1</v>
      </c>
      <c r="D78" s="45">
        <v>20</v>
      </c>
      <c r="E78" s="12">
        <v>5</v>
      </c>
      <c r="F78" s="45">
        <f t="shared" si="1"/>
        <v>11.8</v>
      </c>
      <c r="G78" s="45">
        <f t="shared" si="2"/>
        <v>20</v>
      </c>
      <c r="H78" s="112">
        <v>0</v>
      </c>
      <c r="I78" s="113">
        <f t="shared" si="7"/>
        <v>380</v>
      </c>
      <c r="J78" s="114">
        <f t="shared" si="3"/>
        <v>400</v>
      </c>
      <c r="K78" s="45">
        <f t="shared" si="4"/>
        <v>11.8</v>
      </c>
      <c r="L78" s="45">
        <f t="shared" si="5"/>
        <v>11.8</v>
      </c>
      <c r="M78" s="85">
        <f t="shared" si="6"/>
        <v>400</v>
      </c>
    </row>
    <row r="79" spans="1:13" ht="15.75" customHeight="1">
      <c r="A79" s="70" t="s">
        <v>146</v>
      </c>
      <c r="B79" s="45">
        <f>99*5</f>
        <v>495</v>
      </c>
      <c r="C79" s="121">
        <v>5</v>
      </c>
      <c r="D79" s="117">
        <v>200</v>
      </c>
      <c r="E79" s="12">
        <v>5</v>
      </c>
      <c r="F79" s="45">
        <f t="shared" si="1"/>
        <v>59</v>
      </c>
      <c r="G79" s="45">
        <f t="shared" si="2"/>
        <v>200</v>
      </c>
      <c r="H79" s="112">
        <v>0</v>
      </c>
      <c r="I79" s="113">
        <f t="shared" si="7"/>
        <v>3800</v>
      </c>
      <c r="J79" s="114">
        <f t="shared" si="3"/>
        <v>4000</v>
      </c>
      <c r="K79" s="45">
        <f t="shared" si="4"/>
        <v>295</v>
      </c>
      <c r="L79" s="45">
        <f t="shared" si="5"/>
        <v>295</v>
      </c>
      <c r="M79" s="85">
        <f t="shared" si="6"/>
        <v>20000</v>
      </c>
    </row>
    <row r="80" spans="1:13" ht="15.75" customHeight="1">
      <c r="A80" s="70" t="s">
        <v>148</v>
      </c>
      <c r="B80" s="45">
        <f>600</f>
        <v>600</v>
      </c>
      <c r="C80" s="121">
        <v>6</v>
      </c>
      <c r="D80" s="117">
        <v>150</v>
      </c>
      <c r="E80" s="12">
        <v>5</v>
      </c>
      <c r="F80" s="45">
        <f t="shared" si="1"/>
        <v>90</v>
      </c>
      <c r="G80" s="45">
        <f t="shared" si="2"/>
        <v>150</v>
      </c>
      <c r="H80" s="112">
        <v>0</v>
      </c>
      <c r="I80" s="113">
        <f t="shared" si="7"/>
        <v>2850</v>
      </c>
      <c r="J80" s="114">
        <f t="shared" si="3"/>
        <v>3000</v>
      </c>
      <c r="K80" s="45">
        <f t="shared" si="4"/>
        <v>540</v>
      </c>
      <c r="L80" s="45">
        <f t="shared" si="5"/>
        <v>540</v>
      </c>
      <c r="M80" s="85">
        <f t="shared" si="6"/>
        <v>18000</v>
      </c>
    </row>
    <row r="81" spans="1:13" ht="15.75" customHeight="1">
      <c r="A81" s="70" t="s">
        <v>150</v>
      </c>
      <c r="B81" s="45">
        <f>15*5</f>
        <v>75</v>
      </c>
      <c r="C81" s="121">
        <v>5</v>
      </c>
      <c r="D81" s="117">
        <v>10</v>
      </c>
      <c r="E81" s="12">
        <v>5</v>
      </c>
      <c r="F81" s="45">
        <f t="shared" si="1"/>
        <v>13</v>
      </c>
      <c r="G81" s="45">
        <f t="shared" si="2"/>
        <v>10</v>
      </c>
      <c r="H81" s="112">
        <v>0</v>
      </c>
      <c r="I81" s="113">
        <f t="shared" si="7"/>
        <v>190</v>
      </c>
      <c r="J81" s="114">
        <f t="shared" si="3"/>
        <v>200</v>
      </c>
      <c r="K81" s="45">
        <f t="shared" si="4"/>
        <v>65</v>
      </c>
      <c r="L81" s="45">
        <f t="shared" si="5"/>
        <v>65</v>
      </c>
      <c r="M81" s="85">
        <f t="shared" si="6"/>
        <v>1000</v>
      </c>
    </row>
    <row r="82" spans="1:13" ht="15.75" customHeight="1">
      <c r="A82" s="70" t="s">
        <v>152</v>
      </c>
      <c r="B82" s="117">
        <f>6*301</f>
        <v>1806</v>
      </c>
      <c r="C82" s="121">
        <v>6</v>
      </c>
      <c r="D82" s="45">
        <f>80*6</f>
        <v>480</v>
      </c>
      <c r="E82" s="12">
        <v>5</v>
      </c>
      <c r="F82" s="45">
        <f t="shared" si="1"/>
        <v>265.2</v>
      </c>
      <c r="G82" s="45">
        <f t="shared" si="2"/>
        <v>480</v>
      </c>
      <c r="H82" s="112">
        <v>0</v>
      </c>
      <c r="I82" s="113">
        <f t="shared" si="7"/>
        <v>9120</v>
      </c>
      <c r="J82" s="114">
        <f t="shared" si="3"/>
        <v>9600</v>
      </c>
      <c r="K82" s="45">
        <f t="shared" si="4"/>
        <v>1591.1999999999998</v>
      </c>
      <c r="L82" s="45">
        <f t="shared" si="5"/>
        <v>1591.1999999999998</v>
      </c>
      <c r="M82" s="85">
        <f t="shared" si="6"/>
        <v>57600</v>
      </c>
    </row>
    <row r="83" spans="1:13" ht="15.75" customHeight="1">
      <c r="A83" s="135" t="s">
        <v>155</v>
      </c>
      <c r="B83" s="45">
        <f>305*5</f>
        <v>1525</v>
      </c>
      <c r="C83" s="121">
        <v>5</v>
      </c>
      <c r="D83" s="45">
        <v>0</v>
      </c>
      <c r="E83" s="12">
        <v>5</v>
      </c>
      <c r="F83" s="45">
        <f t="shared" si="1"/>
        <v>305</v>
      </c>
      <c r="G83" s="45">
        <f t="shared" si="2"/>
        <v>0</v>
      </c>
      <c r="H83" s="45">
        <f t="shared" ref="H83:H84" si="8">B83-(F83*5)</f>
        <v>0</v>
      </c>
      <c r="I83" s="113">
        <f t="shared" si="7"/>
        <v>0</v>
      </c>
      <c r="J83" s="114">
        <f t="shared" si="3"/>
        <v>0</v>
      </c>
      <c r="K83" s="45">
        <f t="shared" si="4"/>
        <v>1525</v>
      </c>
      <c r="L83" s="45">
        <f t="shared" si="5"/>
        <v>1525</v>
      </c>
      <c r="M83" s="85">
        <f t="shared" si="6"/>
        <v>0</v>
      </c>
    </row>
    <row r="84" spans="1:13" ht="15.75" customHeight="1">
      <c r="A84" s="70" t="s">
        <v>158</v>
      </c>
      <c r="B84" s="45">
        <v>349</v>
      </c>
      <c r="C84" s="119">
        <v>1</v>
      </c>
      <c r="D84" s="45">
        <v>0</v>
      </c>
      <c r="E84" s="12">
        <v>5</v>
      </c>
      <c r="F84" s="45">
        <f t="shared" si="1"/>
        <v>69.8</v>
      </c>
      <c r="G84" s="45">
        <f t="shared" si="2"/>
        <v>0</v>
      </c>
      <c r="H84" s="45">
        <f t="shared" si="8"/>
        <v>0</v>
      </c>
      <c r="I84" s="113">
        <f t="shared" si="7"/>
        <v>0</v>
      </c>
      <c r="J84" s="114">
        <f t="shared" si="3"/>
        <v>0</v>
      </c>
      <c r="K84" s="45">
        <f t="shared" si="4"/>
        <v>69.8</v>
      </c>
      <c r="L84" s="45">
        <f t="shared" si="5"/>
        <v>69.8</v>
      </c>
      <c r="M84" s="85">
        <f t="shared" si="6"/>
        <v>0</v>
      </c>
    </row>
    <row r="85" spans="1:13" ht="15.75" customHeight="1">
      <c r="A85" s="70"/>
      <c r="B85" s="45"/>
      <c r="C85" s="45"/>
      <c r="D85" s="45"/>
      <c r="E85" s="12"/>
      <c r="F85" s="45">
        <f t="shared" si="1"/>
        <v>0</v>
      </c>
      <c r="G85" s="45"/>
      <c r="H85" s="45"/>
      <c r="I85" s="113">
        <f t="shared" ref="I85:I87" si="9">G85*0.25</f>
        <v>0</v>
      </c>
      <c r="J85" s="114">
        <f t="shared" si="3"/>
        <v>0</v>
      </c>
      <c r="K85" s="45">
        <f t="shared" si="4"/>
        <v>0</v>
      </c>
      <c r="L85" s="45">
        <f t="shared" si="5"/>
        <v>0</v>
      </c>
      <c r="M85" s="85">
        <f t="shared" si="6"/>
        <v>0</v>
      </c>
    </row>
    <row r="86" spans="1:13" ht="15.75" customHeight="1">
      <c r="A86" s="70"/>
      <c r="B86" s="45"/>
      <c r="C86" s="45"/>
      <c r="D86" s="45"/>
      <c r="E86" s="12"/>
      <c r="F86" s="45">
        <f t="shared" si="1"/>
        <v>0</v>
      </c>
      <c r="G86" s="45"/>
      <c r="H86" s="45"/>
      <c r="I86" s="113">
        <f t="shared" si="9"/>
        <v>0</v>
      </c>
      <c r="J86" s="114">
        <f t="shared" si="3"/>
        <v>0</v>
      </c>
      <c r="K86" s="45">
        <f t="shared" si="4"/>
        <v>0</v>
      </c>
      <c r="L86" s="45">
        <f t="shared" si="5"/>
        <v>0</v>
      </c>
      <c r="M86" s="85">
        <f t="shared" si="6"/>
        <v>0</v>
      </c>
    </row>
    <row r="87" spans="1:13" ht="15.75" customHeight="1">
      <c r="A87" s="70"/>
      <c r="B87" s="45"/>
      <c r="C87" s="45"/>
      <c r="D87" s="45"/>
      <c r="E87" s="12"/>
      <c r="F87" s="45"/>
      <c r="G87" s="45"/>
      <c r="H87" s="45"/>
      <c r="I87" s="113">
        <f t="shared" si="9"/>
        <v>0</v>
      </c>
      <c r="J87" s="114">
        <f t="shared" si="3"/>
        <v>0</v>
      </c>
      <c r="K87" s="45">
        <f t="shared" si="4"/>
        <v>0</v>
      </c>
      <c r="L87" s="45">
        <f t="shared" si="5"/>
        <v>0</v>
      </c>
      <c r="M87" s="85">
        <f t="shared" si="6"/>
        <v>0</v>
      </c>
    </row>
    <row r="88" spans="1:13" ht="17.25" customHeight="1">
      <c r="A88" s="70"/>
      <c r="B88" s="138"/>
      <c r="C88" s="45"/>
      <c r="D88" s="45"/>
      <c r="E88" s="12"/>
      <c r="F88" s="139"/>
      <c r="G88" s="45"/>
      <c r="H88" s="45"/>
      <c r="I88" s="140" t="s">
        <v>162</v>
      </c>
      <c r="J88" s="114">
        <f t="shared" si="3"/>
        <v>0</v>
      </c>
      <c r="K88" s="45">
        <f t="shared" si="4"/>
        <v>0</v>
      </c>
      <c r="L88" s="45">
        <f t="shared" si="5"/>
        <v>0</v>
      </c>
      <c r="M88" s="85">
        <f t="shared" si="6"/>
        <v>0</v>
      </c>
    </row>
    <row r="89" spans="1:13" ht="15.75" customHeight="1">
      <c r="A89" s="70"/>
      <c r="B89" s="45"/>
      <c r="C89" s="45"/>
      <c r="D89" s="45"/>
      <c r="E89" s="12"/>
      <c r="F89" s="45"/>
      <c r="G89" s="45"/>
      <c r="H89" s="45"/>
      <c r="I89" s="113"/>
      <c r="J89" s="114">
        <f t="shared" si="3"/>
        <v>0</v>
      </c>
      <c r="K89" s="45">
        <f t="shared" si="4"/>
        <v>0</v>
      </c>
      <c r="L89" s="45">
        <f t="shared" si="5"/>
        <v>0</v>
      </c>
      <c r="M89" s="85">
        <f t="shared" si="6"/>
        <v>0</v>
      </c>
    </row>
    <row r="90" spans="1:13" ht="15.75" customHeight="1">
      <c r="A90" s="21"/>
      <c r="B90" s="141"/>
      <c r="C90" s="141"/>
      <c r="D90" s="141"/>
      <c r="E90" s="22"/>
      <c r="F90" s="141"/>
      <c r="G90" s="141"/>
      <c r="H90" s="141"/>
      <c r="I90" s="142"/>
      <c r="J90" s="114">
        <f t="shared" si="3"/>
        <v>0</v>
      </c>
      <c r="K90" s="141">
        <f t="shared" si="4"/>
        <v>0</v>
      </c>
      <c r="L90" s="141">
        <f t="shared" si="5"/>
        <v>0</v>
      </c>
      <c r="M90" s="143">
        <f t="shared" si="6"/>
        <v>0</v>
      </c>
    </row>
    <row r="91" spans="1:13" ht="15.75" customHeight="1">
      <c r="A91" s="144" t="s">
        <v>166</v>
      </c>
      <c r="B91" s="145">
        <f t="shared" ref="B91:D91" si="10">SUM(B62:B90)</f>
        <v>22261.360000000001</v>
      </c>
      <c r="C91" s="146">
        <f t="shared" si="10"/>
        <v>65</v>
      </c>
      <c r="D91" s="145">
        <f t="shared" si="10"/>
        <v>4870</v>
      </c>
      <c r="E91" s="144" t="s">
        <v>168</v>
      </c>
      <c r="F91" s="145">
        <f t="shared" ref="F91:M91" si="11">SUM(F62:F90)</f>
        <v>3478.2720000000004</v>
      </c>
      <c r="G91" s="145">
        <f t="shared" si="11"/>
        <v>4870</v>
      </c>
      <c r="H91" s="145">
        <f t="shared" si="11"/>
        <v>0</v>
      </c>
      <c r="I91" s="147">
        <f t="shared" si="11"/>
        <v>75880</v>
      </c>
      <c r="J91" s="145">
        <f t="shared" si="11"/>
        <v>80750</v>
      </c>
      <c r="K91" s="145">
        <f t="shared" si="11"/>
        <v>13467.167999999998</v>
      </c>
      <c r="L91" s="145">
        <f t="shared" si="11"/>
        <v>13467.167999999998</v>
      </c>
      <c r="M91" s="145">
        <f t="shared" si="11"/>
        <v>299650</v>
      </c>
    </row>
    <row r="92" spans="1:13" ht="15.75" customHeight="1"/>
    <row r="93" spans="1:13" ht="15.75" customHeight="1"/>
    <row r="94" spans="1:13" ht="15.75" customHeight="1"/>
    <row r="95" spans="1:13" ht="15.75" customHeight="1"/>
    <row r="96" spans="1:1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59:B60"/>
    <mergeCell ref="C59:E59"/>
    <mergeCell ref="C60:M60"/>
    <mergeCell ref="F59:M59"/>
    <mergeCell ref="A27:B27"/>
    <mergeCell ref="A1:I1"/>
    <mergeCell ref="A24:B24"/>
    <mergeCell ref="A21:B21"/>
    <mergeCell ref="A22:B22"/>
    <mergeCell ref="A20:D20"/>
    <mergeCell ref="A7:B7"/>
    <mergeCell ref="C40:C41"/>
    <mergeCell ref="C29:C34"/>
    <mergeCell ref="C6:D6"/>
    <mergeCell ref="C8:C10"/>
    <mergeCell ref="A23:B23"/>
    <mergeCell ref="A37:B37"/>
    <mergeCell ref="A25:B25"/>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workbookViewId="0"/>
  </sheetViews>
  <sheetFormatPr baseColWidth="10" defaultColWidth="12.625" defaultRowHeight="15" customHeight="1"/>
  <cols>
    <col min="1" max="1" width="23" customWidth="1"/>
    <col min="2" max="2" width="21.875" customWidth="1"/>
    <col min="3" max="3" width="27.75" customWidth="1"/>
    <col min="4" max="4" width="28.5" customWidth="1"/>
    <col min="5" max="5" width="35" customWidth="1"/>
    <col min="6" max="6" width="45.75" customWidth="1"/>
    <col min="7" max="7" width="35" customWidth="1"/>
    <col min="8" max="26" width="9.375" customWidth="1"/>
  </cols>
  <sheetData>
    <row r="1" spans="1:12" ht="117" customHeight="1">
      <c r="A1" s="236" t="s">
        <v>173</v>
      </c>
      <c r="B1" s="237"/>
      <c r="C1" s="237"/>
      <c r="D1" s="237"/>
      <c r="E1" s="237"/>
      <c r="F1" s="237"/>
      <c r="G1" s="237"/>
      <c r="H1" s="237"/>
      <c r="I1" s="211"/>
      <c r="J1" s="1"/>
      <c r="K1" s="1"/>
      <c r="L1" s="1"/>
    </row>
    <row r="2" spans="1:12" ht="14.25">
      <c r="A2" s="1"/>
      <c r="B2" s="1"/>
      <c r="C2" s="1"/>
      <c r="D2" s="1"/>
      <c r="E2" s="1"/>
      <c r="F2" s="1"/>
      <c r="G2" s="1"/>
      <c r="H2" s="1"/>
      <c r="I2" s="1"/>
      <c r="J2" s="1"/>
      <c r="K2" s="1"/>
      <c r="L2" s="1"/>
    </row>
    <row r="3" spans="1:12" ht="18">
      <c r="A3" s="228" t="s">
        <v>174</v>
      </c>
      <c r="B3" s="237"/>
      <c r="C3" s="237"/>
      <c r="D3" s="237"/>
      <c r="E3" s="237"/>
      <c r="F3" s="237"/>
      <c r="G3" s="211"/>
      <c r="H3" s="1"/>
      <c r="I3" s="1"/>
      <c r="J3" s="1"/>
      <c r="K3" s="1"/>
      <c r="L3" s="1"/>
    </row>
    <row r="4" spans="1:12">
      <c r="A4" s="148" t="s">
        <v>26</v>
      </c>
      <c r="B4" s="246" t="s">
        <v>175</v>
      </c>
      <c r="C4" s="247"/>
      <c r="D4" s="247"/>
      <c r="E4" s="247"/>
      <c r="F4" s="247"/>
      <c r="G4" s="174"/>
      <c r="H4" s="1"/>
      <c r="I4" s="1"/>
      <c r="J4" s="1"/>
      <c r="K4" s="1"/>
      <c r="L4" s="1"/>
    </row>
    <row r="5" spans="1:12">
      <c r="A5" s="148" t="s">
        <v>10</v>
      </c>
      <c r="B5" s="246" t="s">
        <v>176</v>
      </c>
      <c r="C5" s="247"/>
      <c r="D5" s="247"/>
      <c r="E5" s="247"/>
      <c r="F5" s="247"/>
      <c r="G5" s="174"/>
      <c r="H5" s="1"/>
      <c r="I5" s="1"/>
      <c r="J5" s="1"/>
      <c r="K5" s="1"/>
      <c r="L5" s="1"/>
    </row>
    <row r="6" spans="1:12">
      <c r="A6" s="148" t="s">
        <v>177</v>
      </c>
      <c r="B6" s="246" t="s">
        <v>178</v>
      </c>
      <c r="C6" s="247"/>
      <c r="D6" s="247"/>
      <c r="E6" s="247"/>
      <c r="F6" s="247"/>
      <c r="G6" s="174"/>
      <c r="H6" s="1"/>
      <c r="I6" s="1"/>
      <c r="J6" s="1"/>
      <c r="K6" s="1"/>
      <c r="L6" s="1"/>
    </row>
    <row r="7" spans="1:12">
      <c r="A7" s="148" t="s">
        <v>179</v>
      </c>
      <c r="B7" s="246" t="s">
        <v>180</v>
      </c>
      <c r="C7" s="247"/>
      <c r="D7" s="247"/>
      <c r="E7" s="247"/>
      <c r="F7" s="247"/>
      <c r="G7" s="174"/>
      <c r="H7" s="1"/>
      <c r="I7" s="1"/>
      <c r="J7" s="1"/>
      <c r="K7" s="1"/>
      <c r="L7" s="1"/>
    </row>
    <row r="8" spans="1:12">
      <c r="A8" s="148" t="s">
        <v>29</v>
      </c>
      <c r="B8" s="246" t="s">
        <v>181</v>
      </c>
      <c r="C8" s="247"/>
      <c r="D8" s="247"/>
      <c r="E8" s="247"/>
      <c r="F8" s="247"/>
      <c r="G8" s="174"/>
      <c r="H8" s="1"/>
      <c r="I8" s="1"/>
      <c r="J8" s="1"/>
      <c r="K8" s="1"/>
      <c r="L8" s="1"/>
    </row>
    <row r="9" spans="1:12">
      <c r="A9" s="148" t="s">
        <v>32</v>
      </c>
      <c r="B9" s="246" t="s">
        <v>182</v>
      </c>
      <c r="C9" s="247"/>
      <c r="D9" s="247"/>
      <c r="E9" s="247"/>
      <c r="F9" s="247"/>
      <c r="G9" s="174"/>
      <c r="H9" s="1"/>
      <c r="I9" s="1"/>
      <c r="J9" s="1"/>
      <c r="K9" s="1"/>
      <c r="L9" s="1"/>
    </row>
    <row r="10" spans="1:12">
      <c r="A10" s="148" t="s">
        <v>183</v>
      </c>
      <c r="B10" s="248" t="s">
        <v>184</v>
      </c>
      <c r="C10" s="247"/>
      <c r="D10" s="247"/>
      <c r="E10" s="247"/>
      <c r="F10" s="247"/>
      <c r="G10" s="174"/>
      <c r="H10" s="1"/>
      <c r="I10" s="1"/>
      <c r="J10" s="1"/>
      <c r="K10" s="1"/>
      <c r="L10" s="1"/>
    </row>
    <row r="11" spans="1:12">
      <c r="A11" s="148" t="s">
        <v>59</v>
      </c>
      <c r="B11" s="246" t="s">
        <v>185</v>
      </c>
      <c r="C11" s="247"/>
      <c r="D11" s="247"/>
      <c r="E11" s="247"/>
      <c r="F11" s="247"/>
      <c r="G11" s="174"/>
      <c r="H11" s="1"/>
      <c r="I11" s="1"/>
      <c r="J11" s="1"/>
      <c r="K11" s="1"/>
      <c r="L11" s="1"/>
    </row>
    <row r="12" spans="1:12">
      <c r="A12" s="148" t="s">
        <v>67</v>
      </c>
      <c r="B12" s="246" t="s">
        <v>186</v>
      </c>
      <c r="C12" s="247"/>
      <c r="D12" s="247"/>
      <c r="E12" s="247"/>
      <c r="F12" s="247"/>
      <c r="G12" s="174"/>
      <c r="H12" s="1"/>
      <c r="I12" s="1"/>
      <c r="J12" s="1"/>
      <c r="K12" s="1"/>
      <c r="L12" s="1"/>
    </row>
    <row r="13" spans="1:12">
      <c r="A13" s="148" t="s">
        <v>69</v>
      </c>
      <c r="B13" s="248" t="s">
        <v>187</v>
      </c>
      <c r="C13" s="247"/>
      <c r="D13" s="247"/>
      <c r="E13" s="247"/>
      <c r="F13" s="247"/>
      <c r="G13" s="174"/>
      <c r="H13" s="1"/>
      <c r="I13" s="1"/>
      <c r="J13" s="1"/>
      <c r="K13" s="1"/>
      <c r="L13" s="1"/>
    </row>
    <row r="14" spans="1:12">
      <c r="A14" s="148" t="s">
        <v>188</v>
      </c>
      <c r="B14" s="248" t="s">
        <v>189</v>
      </c>
      <c r="C14" s="247"/>
      <c r="D14" s="247"/>
      <c r="E14" s="247"/>
      <c r="F14" s="247"/>
      <c r="G14" s="174"/>
      <c r="H14" s="1"/>
      <c r="I14" s="1"/>
      <c r="J14" s="1"/>
      <c r="K14" s="1"/>
      <c r="L14" s="1"/>
    </row>
    <row r="15" spans="1:12">
      <c r="A15" s="148" t="s">
        <v>190</v>
      </c>
      <c r="B15" s="249" t="s">
        <v>191</v>
      </c>
      <c r="C15" s="250"/>
      <c r="D15" s="250"/>
      <c r="E15" s="250"/>
      <c r="F15" s="250"/>
      <c r="G15" s="195"/>
      <c r="H15" s="1"/>
      <c r="I15" s="1"/>
      <c r="J15" s="1"/>
      <c r="K15" s="1"/>
      <c r="L15" s="1"/>
    </row>
    <row r="16" spans="1:12" ht="14.25">
      <c r="A16" s="1"/>
      <c r="B16" s="1"/>
      <c r="C16" s="1"/>
      <c r="D16" s="1"/>
      <c r="E16" s="1"/>
      <c r="F16" s="1"/>
      <c r="G16" s="1"/>
      <c r="H16" s="1"/>
      <c r="I16" s="1"/>
      <c r="J16" s="1"/>
      <c r="K16" s="1"/>
      <c r="L16" s="1"/>
    </row>
    <row r="17" spans="1:12" ht="14.25">
      <c r="A17" s="1"/>
      <c r="B17" s="1"/>
      <c r="C17" s="1"/>
      <c r="D17" s="1"/>
      <c r="E17" s="1"/>
      <c r="F17" s="1"/>
      <c r="G17" s="1"/>
      <c r="H17" s="1"/>
      <c r="I17" s="1"/>
      <c r="J17" s="1"/>
      <c r="K17" s="1"/>
      <c r="L17" s="1"/>
    </row>
    <row r="18" spans="1:12" ht="14.25">
      <c r="A18" s="1"/>
      <c r="B18" s="1"/>
      <c r="C18" s="1"/>
      <c r="D18" s="1"/>
      <c r="E18" s="1"/>
      <c r="F18" s="1"/>
      <c r="G18" s="1"/>
      <c r="H18" s="1"/>
      <c r="I18" s="1"/>
      <c r="J18" s="1"/>
      <c r="K18" s="1"/>
      <c r="L18" s="1"/>
    </row>
    <row r="19" spans="1:12" ht="14.25">
      <c r="A19" s="1"/>
      <c r="B19" s="1"/>
      <c r="C19" s="1"/>
      <c r="D19" s="1"/>
      <c r="E19" s="1"/>
      <c r="F19" s="1"/>
      <c r="G19" s="1"/>
      <c r="H19" s="1"/>
      <c r="I19" s="1"/>
      <c r="J19" s="1"/>
      <c r="K19" s="1"/>
      <c r="L19" s="1"/>
    </row>
    <row r="21" spans="1:12" ht="15.75" customHeight="1"/>
    <row r="22" spans="1:12" ht="15.75" customHeight="1"/>
    <row r="23" spans="1:12" ht="15.75" customHeight="1"/>
    <row r="24" spans="1:12" ht="15.75" customHeight="1"/>
    <row r="25" spans="1:12" ht="15.75" customHeight="1"/>
    <row r="26" spans="1:12" ht="15.75" customHeight="1"/>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8:G8"/>
    <mergeCell ref="B9:G9"/>
    <mergeCell ref="B15:G15"/>
    <mergeCell ref="B13:G13"/>
    <mergeCell ref="B14:G14"/>
    <mergeCell ref="B12:G12"/>
    <mergeCell ref="B10:G10"/>
    <mergeCell ref="B11:G11"/>
    <mergeCell ref="A3:G3"/>
    <mergeCell ref="A1:I1"/>
    <mergeCell ref="B4:G4"/>
    <mergeCell ref="B6:G6"/>
    <mergeCell ref="B7:G7"/>
    <mergeCell ref="B5:G5"/>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Formula</vt:lpstr>
      <vt:lpstr>Tablas Calculadas </vt:lpstr>
      <vt:lpstr>Constantes</vt:lpstr>
      <vt:lpstr>Observaciones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2019-08-20T12:38:20Z</dcterms:created>
  <dcterms:modified xsi:type="dcterms:W3CDTF">2019-10-29T15:13:53Z</dcterms:modified>
</cp:coreProperties>
</file>