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Daniel\Desktop\ProyectoFinal2019-\Actividades\Femp03011\"/>
    </mc:Choice>
  </mc:AlternateContent>
  <xr:revisionPtr revIDLastSave="0" documentId="13_ncr:1_{783402F4-5C31-4739-A048-384CB5789F12}" xr6:coauthVersionLast="43" xr6:coauthVersionMax="43" xr10:uidLastSave="{00000000-0000-0000-0000-000000000000}"/>
  <bookViews>
    <workbookView xWindow="-120" yWindow="-120" windowWidth="29040" windowHeight="15840" xr2:uid="{00000000-000D-0000-FFFF-FFFF00000000}"/>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0" i="1" l="1"/>
  <c r="B27" i="1"/>
  <c r="I77" i="1"/>
  <c r="I78" i="1"/>
  <c r="I79" i="1"/>
  <c r="I80" i="1"/>
  <c r="I76" i="1"/>
  <c r="H22" i="1"/>
  <c r="G22" i="1"/>
  <c r="F22" i="1"/>
  <c r="C38" i="1"/>
  <c r="C37" i="1"/>
  <c r="C39" i="1"/>
  <c r="C40" i="1"/>
  <c r="C41" i="1"/>
  <c r="C32" i="1"/>
  <c r="C36" i="1"/>
  <c r="C33" i="1"/>
  <c r="C34" i="1"/>
  <c r="C35" i="1"/>
  <c r="C27" i="1"/>
  <c r="C28" i="1"/>
  <c r="C29" i="1"/>
  <c r="C30" i="1"/>
  <c r="C31" i="1"/>
  <c r="I62" i="1"/>
  <c r="I66" i="1" l="1"/>
  <c r="C64" i="1" s="1"/>
  <c r="I65" i="1"/>
  <c r="C63" i="1" s="1"/>
  <c r="I64" i="1"/>
  <c r="C62" i="1" s="1"/>
  <c r="I63" i="1"/>
  <c r="C61" i="1" s="1"/>
  <c r="D61" i="1" s="1"/>
  <c r="C55" i="1" l="1"/>
  <c r="C56" i="1"/>
  <c r="C54" i="1"/>
  <c r="C52" i="1"/>
  <c r="C53" i="1"/>
  <c r="C51" i="1"/>
  <c r="C49" i="1"/>
  <c r="C50" i="1"/>
  <c r="C48" i="1"/>
  <c r="C46" i="1"/>
  <c r="C47" i="1"/>
  <c r="C45" i="1"/>
  <c r="C42" i="1"/>
  <c r="C44" i="1"/>
  <c r="C43" i="1"/>
  <c r="B61" i="1"/>
  <c r="B60" i="1"/>
  <c r="B26" i="1"/>
  <c r="B38" i="1" l="1"/>
  <c r="B33" i="1"/>
  <c r="E33" i="1" s="1"/>
  <c r="B28" i="1"/>
  <c r="E28" i="1" s="1"/>
  <c r="B37" i="1"/>
  <c r="B32" i="1"/>
  <c r="E32" i="1" s="1"/>
  <c r="E27" i="1"/>
  <c r="D60" i="1"/>
  <c r="B43" i="1"/>
  <c r="E43" i="1" s="1"/>
  <c r="B47" i="1"/>
  <c r="E47" i="1" s="1"/>
  <c r="B44" i="1"/>
  <c r="E44" i="1" s="1"/>
  <c r="B45" i="1"/>
  <c r="E45" i="1" s="1"/>
  <c r="B42" i="1"/>
  <c r="E42" i="1" s="1"/>
  <c r="B46" i="1"/>
  <c r="E46" i="1" s="1"/>
  <c r="C26" i="1" l="1"/>
  <c r="B64" i="1"/>
  <c r="B63" i="1"/>
  <c r="B62" i="1"/>
  <c r="B36" i="1" l="1"/>
  <c r="E36" i="1" s="1"/>
  <c r="B31" i="1"/>
  <c r="E31" i="1" s="1"/>
  <c r="B41" i="1"/>
  <c r="B30" i="1"/>
  <c r="E30" i="1" s="1"/>
  <c r="B40" i="1"/>
  <c r="B35" i="1"/>
  <c r="E35" i="1" s="1"/>
  <c r="B53" i="1"/>
  <c r="E53" i="1" s="1"/>
  <c r="B29" i="1"/>
  <c r="E29" i="1" s="1"/>
  <c r="B39" i="1"/>
  <c r="B34" i="1"/>
  <c r="E34" i="1" s="1"/>
  <c r="B54" i="1"/>
  <c r="B55" i="1"/>
  <c r="B56" i="1"/>
  <c r="B50" i="1"/>
  <c r="E50" i="1" s="1"/>
  <c r="B49" i="1"/>
  <c r="E49" i="1" s="1"/>
  <c r="B48" i="1"/>
  <c r="E48" i="1" s="1"/>
  <c r="B52" i="1"/>
  <c r="E52" i="1" s="1"/>
  <c r="B51" i="1"/>
  <c r="E51" i="1" s="1"/>
  <c r="B14" i="1"/>
  <c r="E74" i="1"/>
  <c r="E71" i="1"/>
  <c r="E72" i="1"/>
  <c r="E73" i="1"/>
  <c r="E75" i="1"/>
  <c r="E76" i="1"/>
  <c r="E77" i="1"/>
  <c r="E78" i="1"/>
  <c r="E79" i="1"/>
  <c r="E80" i="1"/>
  <c r="E81" i="1"/>
  <c r="E82" i="1"/>
  <c r="E83" i="1"/>
  <c r="E84" i="1"/>
  <c r="E85" i="1"/>
  <c r="E86" i="1"/>
  <c r="E87" i="1"/>
  <c r="E88" i="1"/>
  <c r="E89" i="1"/>
  <c r="E90" i="1"/>
  <c r="E91" i="1"/>
  <c r="E92" i="1"/>
  <c r="E93" i="1"/>
  <c r="E94" i="1"/>
  <c r="E95" i="1"/>
  <c r="E96" i="1"/>
  <c r="E97" i="1"/>
  <c r="E98" i="1"/>
  <c r="E70" i="1"/>
  <c r="E26" i="1"/>
  <c r="C22" i="1" l="1"/>
  <c r="D22" i="1"/>
  <c r="E40" i="1"/>
  <c r="I20" i="1" s="1"/>
  <c r="E39" i="1"/>
  <c r="I19" i="1" s="1"/>
  <c r="B22" i="1"/>
  <c r="E38" i="1"/>
  <c r="I18" i="1" s="1"/>
  <c r="E37" i="1"/>
  <c r="J44" i="1"/>
  <c r="I17" i="1" l="1"/>
  <c r="E56" i="1"/>
  <c r="E55" i="1"/>
  <c r="E54" i="1"/>
  <c r="D62" i="1"/>
  <c r="D63" i="1"/>
  <c r="B11" i="1"/>
  <c r="B66" i="1"/>
  <c r="E41" i="1" l="1"/>
  <c r="C66" i="1"/>
  <c r="D64" i="1"/>
  <c r="I21" i="1" l="1"/>
  <c r="I22" i="1" s="1"/>
  <c r="B9" i="1" s="1"/>
  <c r="E22" i="1"/>
  <c r="B10" i="1"/>
  <c r="D66" i="1"/>
  <c r="B5" i="1" l="1"/>
</calcChain>
</file>

<file path=xl/sharedStrings.xml><?xml version="1.0" encoding="utf-8"?>
<sst xmlns="http://schemas.openxmlformats.org/spreadsheetml/2006/main" count="169" uniqueCount="153">
  <si>
    <t xml:space="preserve">Formula: </t>
  </si>
  <si>
    <r>
      <t>∆V</t>
    </r>
    <r>
      <rPr>
        <vertAlign val="subscript"/>
        <sz val="14"/>
        <color theme="1"/>
        <rFont val="Times New Roman"/>
        <family val="1"/>
      </rPr>
      <t xml:space="preserve">j </t>
    </r>
    <r>
      <rPr>
        <sz val="12"/>
        <color theme="1"/>
        <rFont val="Times New Roman"/>
        <family val="1"/>
      </rPr>
      <t xml:space="preserve"> (ventas)</t>
    </r>
  </si>
  <si>
    <r>
      <t>∆Co</t>
    </r>
    <r>
      <rPr>
        <vertAlign val="subscript"/>
        <sz val="14"/>
        <color theme="1"/>
        <rFont val="Times New Roman"/>
        <family val="1"/>
      </rPr>
      <t>j (Costos operativos)</t>
    </r>
  </si>
  <si>
    <r>
      <t xml:space="preserve">t </t>
    </r>
    <r>
      <rPr>
        <vertAlign val="subscript"/>
        <sz val="14"/>
        <color theme="1"/>
        <rFont val="Times New Roman"/>
        <family val="1"/>
      </rPr>
      <t>(Irae)</t>
    </r>
  </si>
  <si>
    <r>
      <t>II</t>
    </r>
    <r>
      <rPr>
        <vertAlign val="superscript"/>
        <sz val="14"/>
        <color theme="1"/>
        <rFont val="Times New Roman"/>
        <family val="1"/>
      </rPr>
      <t>+</t>
    </r>
    <r>
      <rPr>
        <vertAlign val="subscript"/>
        <sz val="14"/>
        <color theme="1"/>
        <rFont val="Times New Roman"/>
        <family val="1"/>
      </rPr>
      <t>j (Invercion inicial)</t>
    </r>
  </si>
  <si>
    <t xml:space="preserve">Ventas: </t>
  </si>
  <si>
    <t>Año 0</t>
  </si>
  <si>
    <t>Año 1</t>
  </si>
  <si>
    <t>Año 2</t>
  </si>
  <si>
    <t>Año 3</t>
  </si>
  <si>
    <t>Año 4</t>
  </si>
  <si>
    <t xml:space="preserve">Venta del Software </t>
  </si>
  <si>
    <t xml:space="preserve">Totales: </t>
  </si>
  <si>
    <t xml:space="preserve">Precio de cada tipo de venta </t>
  </si>
  <si>
    <t xml:space="preserve">Precio = (Costos fijos + Costos variables) + Utilidad </t>
  </si>
  <si>
    <t xml:space="preserve">Cotos variables </t>
  </si>
  <si>
    <t xml:space="preserve">Total </t>
  </si>
  <si>
    <t xml:space="preserve">Costos operativos </t>
  </si>
  <si>
    <t>Costos fijos</t>
  </si>
  <si>
    <t xml:space="preserve">Dep=(costo de adquisicion - valor residual) / vida util </t>
  </si>
  <si>
    <t>Nombre del B/U</t>
  </si>
  <si>
    <t xml:space="preserve">Costo adquisicion </t>
  </si>
  <si>
    <t xml:space="preserve">Vida util </t>
  </si>
  <si>
    <t>Resultados</t>
  </si>
  <si>
    <t>Nombre</t>
  </si>
  <si>
    <t>Terminal</t>
  </si>
  <si>
    <t>Monitor</t>
  </si>
  <si>
    <t>Disco duro</t>
  </si>
  <si>
    <t xml:space="preserve">Router </t>
  </si>
  <si>
    <t>Ups</t>
  </si>
  <si>
    <t>Utilidad (%)</t>
  </si>
  <si>
    <t>Costos Fijos (mensuales)</t>
  </si>
  <si>
    <t>Arquiler</t>
  </si>
  <si>
    <t xml:space="preserve">Seguridad </t>
  </si>
  <si>
    <t>MPLS</t>
  </si>
  <si>
    <t>Total</t>
  </si>
  <si>
    <t xml:space="preserve">Aumeno anual(%) </t>
  </si>
  <si>
    <t>Valor (US$)</t>
  </si>
  <si>
    <t xml:space="preserve">Cotisacion del dólar </t>
  </si>
  <si>
    <t>Año</t>
  </si>
  <si>
    <r>
      <t>∆Am</t>
    </r>
    <r>
      <rPr>
        <vertAlign val="subscript"/>
        <sz val="14"/>
        <color theme="1"/>
        <rFont val="Times New Roman"/>
        <family val="1"/>
      </rPr>
      <t>j (depresiacion B/U)</t>
    </r>
  </si>
  <si>
    <t xml:space="preserve">Amortizacion de los bienes de uso </t>
  </si>
  <si>
    <t xml:space="preserve">Salario esperado para los socios por hora </t>
  </si>
  <si>
    <t>Numero de horas trabajados por dia</t>
  </si>
  <si>
    <t>Numeros de dias trabajados por mes</t>
  </si>
  <si>
    <t>Costos variables (Constantes)</t>
  </si>
  <si>
    <t xml:space="preserve">Numero de socios </t>
  </si>
  <si>
    <t xml:space="preserve">Costo salarial total por mes durante año 0 </t>
  </si>
  <si>
    <t>Costo salarial total por mes durante año 1</t>
  </si>
  <si>
    <t>Costo salarial total por mes durante año 2</t>
  </si>
  <si>
    <t>Costo salarial total por mes durante año 3</t>
  </si>
  <si>
    <t>Costo salarial total por mes durante año 4</t>
  </si>
  <si>
    <t>Pesos</t>
  </si>
  <si>
    <t xml:space="preserve">Dolares </t>
  </si>
  <si>
    <t xml:space="preserve">Totales Por año </t>
  </si>
  <si>
    <t xml:space="preserve">Total anual </t>
  </si>
  <si>
    <t>valor (UYU)</t>
  </si>
  <si>
    <t xml:space="preserve">Variables principales: </t>
  </si>
  <si>
    <t xml:space="preserve">Con proyecto </t>
  </si>
  <si>
    <t xml:space="preserve">Sin proyecto </t>
  </si>
  <si>
    <t>Electricidad</t>
  </si>
  <si>
    <t>Flujo de fondos</t>
  </si>
  <si>
    <t>Instalacion del hardware  (plan economico)</t>
  </si>
  <si>
    <t>Instalacion del hardware  (plan recomendado )</t>
  </si>
  <si>
    <t>Instalacion del hardware  (plan premiun)</t>
  </si>
  <si>
    <t>Venta del Software (7 meses)</t>
  </si>
  <si>
    <t>Instalacion del hardware Recomendado (2 meses)    AÑO 0</t>
  </si>
  <si>
    <t>Instalacion del hardware Recomendado (2 meses)    AÑO 1</t>
  </si>
  <si>
    <t>Instalacion del hardware Recomendado (2 meses)    AÑO 2</t>
  </si>
  <si>
    <t>Instalacion del hardware Economico (2 meses)         AÑO 3</t>
  </si>
  <si>
    <t>Instalacion del hardware Economico (2 meses)         AÑO 4</t>
  </si>
  <si>
    <t xml:space="preserve">Planes para el equipamiento </t>
  </si>
  <si>
    <t xml:space="preserve">Economico </t>
  </si>
  <si>
    <t xml:space="preserve">Recomendando </t>
  </si>
  <si>
    <t xml:space="preserve">Premiun </t>
  </si>
  <si>
    <r>
      <t>(∆V</t>
    </r>
    <r>
      <rPr>
        <vertAlign val="subscript"/>
        <sz val="16"/>
        <color theme="1"/>
        <rFont val="Times New Roman"/>
        <family val="1"/>
      </rPr>
      <t xml:space="preserve">j </t>
    </r>
    <r>
      <rPr>
        <sz val="16"/>
        <color theme="1"/>
        <rFont val="Times New Roman"/>
        <family val="1"/>
      </rPr>
      <t>- ∆Co</t>
    </r>
    <r>
      <rPr>
        <vertAlign val="subscript"/>
        <sz val="16"/>
        <color theme="1"/>
        <rFont val="Times New Roman"/>
        <family val="1"/>
      </rPr>
      <t xml:space="preserve">j </t>
    </r>
    <r>
      <rPr>
        <sz val="16"/>
        <color theme="1"/>
        <rFont val="Times New Roman"/>
        <family val="1"/>
      </rPr>
      <t>- ∆Am</t>
    </r>
    <r>
      <rPr>
        <vertAlign val="subscript"/>
        <sz val="16"/>
        <color theme="1"/>
        <rFont val="Times New Roman"/>
        <family val="1"/>
      </rPr>
      <t xml:space="preserve">j </t>
    </r>
    <r>
      <rPr>
        <sz val="16"/>
        <color theme="1"/>
        <rFont val="Times New Roman"/>
        <family val="1"/>
      </rPr>
      <t>) * (1-t) + ∆Am</t>
    </r>
    <r>
      <rPr>
        <vertAlign val="subscript"/>
        <sz val="16"/>
        <color theme="1"/>
        <rFont val="Times New Roman"/>
        <family val="1"/>
      </rPr>
      <t>j</t>
    </r>
    <r>
      <rPr>
        <sz val="16"/>
        <color theme="1"/>
        <rFont val="Times New Roman"/>
        <family val="1"/>
      </rPr>
      <t xml:space="preserve"> - II</t>
    </r>
    <r>
      <rPr>
        <vertAlign val="superscript"/>
        <sz val="16"/>
        <color theme="1"/>
        <rFont val="Times New Roman"/>
        <family val="1"/>
      </rPr>
      <t>+</t>
    </r>
    <r>
      <rPr>
        <vertAlign val="subscript"/>
        <sz val="16"/>
        <color theme="1"/>
        <rFont val="Times New Roman"/>
        <family val="1"/>
      </rPr>
      <t xml:space="preserve">j </t>
    </r>
  </si>
  <si>
    <t>OSE</t>
  </si>
  <si>
    <t xml:space="preserve">Seguro </t>
  </si>
  <si>
    <t>BSE</t>
  </si>
  <si>
    <t xml:space="preserve">BPS patronal </t>
  </si>
  <si>
    <t xml:space="preserve">Fonasa </t>
  </si>
  <si>
    <t>SemiCompleto</t>
  </si>
  <si>
    <t xml:space="preserve">Completo </t>
  </si>
  <si>
    <t xml:space="preserve">Planes de soporte (Durante un mes) </t>
  </si>
  <si>
    <t>Instalacion del hardware Premiun (2 meses)               AÑO 0</t>
  </si>
  <si>
    <t>Instalacion del hardware Economico (2 meses)          AÑO 1</t>
  </si>
  <si>
    <t>Instalacion del hardware Economico (2 meses)          AÑO 0</t>
  </si>
  <si>
    <t>Instalacion del hardware Premiun (2 meses)               AÑO 1</t>
  </si>
  <si>
    <t>Instalacion del hardware Economico (2 meses)          AÑO 2</t>
  </si>
  <si>
    <t>Instalacion del hardware Premiun (2 meses)               AÑO 2</t>
  </si>
  <si>
    <t>Instalacion del hardware Recomendado (2 meses)   AÑO 3</t>
  </si>
  <si>
    <t>Instalacion del hardware Premiun (2 meses)              AÑO 3</t>
  </si>
  <si>
    <t>Instalacion del hardware Recomendado (2 meses)   AÑO 4</t>
  </si>
  <si>
    <t>Instalacion del hardware Premiun (2 meses)              AÑO 4</t>
  </si>
  <si>
    <t>Basico</t>
  </si>
  <si>
    <t>Aumento del la hora de trabajo por dia no laborable</t>
  </si>
  <si>
    <t>Nº de dias no laborables trabajados</t>
  </si>
  <si>
    <t>Dias laborables trabajados</t>
  </si>
  <si>
    <t>Horas de trabajo entre todos los empleados por dia</t>
  </si>
  <si>
    <t xml:space="preserve">Costo de venta de la hora de trabajo </t>
  </si>
  <si>
    <t>Soporte Basico</t>
  </si>
  <si>
    <t>Soporte SemiCompleto</t>
  </si>
  <si>
    <t xml:space="preserve">Soporte Completo </t>
  </si>
  <si>
    <t xml:space="preserve">Año 1 </t>
  </si>
  <si>
    <t xml:space="preserve">Año 3 </t>
  </si>
  <si>
    <t xml:space="preserve">Año 2 </t>
  </si>
  <si>
    <t xml:space="preserve">Salario Extra calculado por dia no laboral </t>
  </si>
  <si>
    <r>
      <t xml:space="preserve">Flujo de fondos </t>
    </r>
    <r>
      <rPr>
        <sz val="28"/>
        <color theme="1"/>
        <rFont val="Times New Roman"/>
        <family val="1"/>
      </rPr>
      <t xml:space="preserve">(segunda entrega) </t>
    </r>
  </si>
  <si>
    <t>Observaciones</t>
  </si>
  <si>
    <t>Obj 1 (Observacion 1)</t>
  </si>
  <si>
    <t>Obj1</t>
  </si>
  <si>
    <t>Ya que no tiene sentido que nuestra compañía no desarrolle el proyecto, se considera como 0</t>
  </si>
  <si>
    <t>Obj2</t>
  </si>
  <si>
    <t xml:space="preserve">En esta tabla se marcan las cantidades de cada producto venido a lo largo de cada año </t>
  </si>
  <si>
    <t>Cotos fijos ( ver alaracio 1)
Obj3</t>
  </si>
  <si>
    <t>Obj3</t>
  </si>
  <si>
    <t>Soporte Basico Año 0</t>
  </si>
  <si>
    <t>Soporte Basico Año 1</t>
  </si>
  <si>
    <t>Soporte Basico Año 2</t>
  </si>
  <si>
    <t>Soporte Basico Año 3</t>
  </si>
  <si>
    <t>Soporte Basico Año 4</t>
  </si>
  <si>
    <t>Soporte SemiCompleto Año 0</t>
  </si>
  <si>
    <t>Soporte SemiCompleto Año 1</t>
  </si>
  <si>
    <t>Soporte SemiCompleto Año 2</t>
  </si>
  <si>
    <t>Soporte SemiCompleto Año 3</t>
  </si>
  <si>
    <t>Soporte SemiCompleto Año 4</t>
  </si>
  <si>
    <t>Soporte Completo  Año 0</t>
  </si>
  <si>
    <t>Soporte Completo  Año 1</t>
  </si>
  <si>
    <t>Soporte Completo  Año 2</t>
  </si>
  <si>
    <t>Soporte Completo  Año 3</t>
  </si>
  <si>
    <t>Soporte Completo  Año 4</t>
  </si>
  <si>
    <t>Con la intención de cubrir los costos fijos, de los costos operativos, cada precio de venta tiene incluido los correspondientes costos fijos a la duración del desarrollo del servicio o producto a desarrollar</t>
  </si>
  <si>
    <t>Valor residual 
Obj4</t>
  </si>
  <si>
    <t>Obj4</t>
  </si>
  <si>
    <t xml:space="preserve">Se calculan estimando entre multiples precios de la plaza, no es exacto </t>
  </si>
  <si>
    <t>Obj5</t>
  </si>
  <si>
    <t xml:space="preserve">Aumento del salario de los socios, en días no laborables </t>
  </si>
  <si>
    <t>Obj6</t>
  </si>
  <si>
    <t xml:space="preserve">Presupuesto del equipamiento de hardware necesario por lo clientes para el funcionamiento del sistema  </t>
  </si>
  <si>
    <t>Obj7</t>
  </si>
  <si>
    <t>Obj 7</t>
  </si>
  <si>
    <t>Numero de dias no laborables, como sabado, domingo y feriados no laborables, los cuales los socios trabajaran. Se considera 9 dias ya que en algunos meses hay un feriado no laborable, en los que no se cobra igual para ayudar en algo a 
pagar los gastos operativos</t>
  </si>
  <si>
    <t>Obj8</t>
  </si>
  <si>
    <t xml:space="preserve">Cotización estimada por el docente durante el resto del año y 4 mas   </t>
  </si>
  <si>
    <t>Obj9</t>
  </si>
  <si>
    <t xml:space="preserve">A diferencia del salario por hora de los empleados, este valor será el cobrado a los clientes por ahora de trabajo de empleado </t>
  </si>
  <si>
    <t>Obj10</t>
  </si>
  <si>
    <t xml:space="preserve">Para no pagar horas extras de forma rutinaria, los socios primeramente solo trabajaran 8 horas y de lunes a viernes. Siendo un estimado de 4 semanas, ya que un mes no son puramente 4 semanas (7*4=28, cuando generalmente son 30/31),
 se toman 2 días laborales mas  </t>
  </si>
  <si>
    <t>Obj11</t>
  </si>
  <si>
    <t xml:space="preserve">Los socios no suelen trabajar días no laborables, pero en el caso que estén realizando un Soporte que se trabajen días no laborables, los costos operativos variables cambiaran, ya que tenemos que añadirle a ello a los salarios de los socios 
dichas horas trabajadas, con el aumento correspondiente por trabajo en días no laborables    </t>
  </si>
  <si>
    <t>Obj12</t>
  </si>
  <si>
    <t>Cotos Variables  Obj12</t>
  </si>
  <si>
    <t xml:space="preserve">Los costos variables se calculan con todos la sección tributaria, salarial y compra de equipamiento para la realización de la instalación del hardware, variando su valor en el tipo de instalación que se haga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</si>
</sst>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UYU]_-;\-* #,##0.00\ [$UYU]_-;_-* &quot;-&quot;??\ [$UYU]_-;_-@_-"/>
    <numFmt numFmtId="165" formatCode="_-* #,##0.00\ [$USD]_-;\-* #,##0.00\ [$USD]_-;_-* &quot;-&quot;??\ [$USD]_-;_-@_-"/>
    <numFmt numFmtId="166" formatCode="_-[$$-340A]\ * #,##0.00_-;\-[$$-340A]\ * #,##0.00_-;_-[$$-340A]\ * &quot;-&quot;??_-;_-@_-"/>
    <numFmt numFmtId="167" formatCode="_ [$$-2C0A]\ * #,##0.00_ ;_ [$$-2C0A]\ * \-#,##0.00_ ;_ [$$-2C0A]\ * &quot;-&quot;??_ ;_ @_ "/>
    <numFmt numFmtId="168" formatCode="_-[$$-2C0A]\ * #,##0.00_-;\-[$$-2C0A]\ * #,##0.00_-;_-[$$-2C0A]\ * &quot;-&quot;??_-;_-@_-"/>
    <numFmt numFmtId="169" formatCode="_ [$$-340A]* #,##0.00_ ;_ [$$-340A]* \-#,##0.00_ ;_ [$$-340A]* &quot;-&quot;??_ ;_ @_ "/>
  </numFmts>
  <fonts count="19" x14ac:knownFonts="1">
    <font>
      <sz val="11"/>
      <color theme="1"/>
      <name val="Calibri"/>
      <family val="2"/>
      <scheme val="minor"/>
    </font>
    <font>
      <sz val="11"/>
      <color theme="1"/>
      <name val="Times New Roman"/>
      <family val="1"/>
    </font>
    <font>
      <sz val="16"/>
      <color theme="1"/>
      <name val="Times New Roman"/>
      <family val="1"/>
    </font>
    <font>
      <vertAlign val="subscript"/>
      <sz val="16"/>
      <color theme="1"/>
      <name val="Times New Roman"/>
      <family val="1"/>
    </font>
    <font>
      <vertAlign val="superscript"/>
      <sz val="16"/>
      <color theme="1"/>
      <name val="Times New Roman"/>
      <family val="1"/>
    </font>
    <font>
      <sz val="12"/>
      <color theme="1"/>
      <name val="Times New Roman"/>
      <family val="1"/>
    </font>
    <font>
      <sz val="14"/>
      <color theme="1"/>
      <name val="Times New Roman"/>
      <family val="1"/>
    </font>
    <font>
      <b/>
      <sz val="16"/>
      <color theme="1"/>
      <name val="Times New Roman"/>
      <family val="1"/>
    </font>
    <font>
      <b/>
      <sz val="14"/>
      <color theme="1"/>
      <name val="Times New Roman"/>
      <family val="1"/>
    </font>
    <font>
      <vertAlign val="subscript"/>
      <sz val="14"/>
      <color theme="1"/>
      <name val="Times New Roman"/>
      <family val="1"/>
    </font>
    <font>
      <vertAlign val="superscript"/>
      <sz val="14"/>
      <color theme="1"/>
      <name val="Times New Roman"/>
      <family val="1"/>
    </font>
    <font>
      <sz val="8"/>
      <name val="Calibri"/>
      <family val="2"/>
      <scheme val="minor"/>
    </font>
    <font>
      <b/>
      <sz val="11"/>
      <color theme="1"/>
      <name val="Times New Roman"/>
      <family val="1"/>
    </font>
    <font>
      <sz val="20"/>
      <color theme="0"/>
      <name val="Times New Roman"/>
      <family val="1"/>
    </font>
    <font>
      <b/>
      <sz val="12"/>
      <color theme="1"/>
      <name val="Times New Roman"/>
      <family val="1"/>
    </font>
    <font>
      <b/>
      <sz val="11"/>
      <color theme="1"/>
      <name val="Calibri"/>
      <family val="2"/>
      <scheme val="minor"/>
    </font>
    <font>
      <sz val="72"/>
      <color theme="1"/>
      <name val="Times New Roman"/>
      <family val="1"/>
    </font>
    <font>
      <sz val="28"/>
      <color theme="1"/>
      <name val="Times New Roman"/>
      <family val="1"/>
    </font>
    <font>
      <b/>
      <sz val="20"/>
      <color theme="1"/>
      <name val="Times New Roman"/>
      <family val="1"/>
    </font>
  </fonts>
  <fills count="3">
    <fill>
      <patternFill patternType="none"/>
    </fill>
    <fill>
      <patternFill patternType="gray125"/>
    </fill>
    <fill>
      <patternFill patternType="solid">
        <fgColor rgb="FF3399FF"/>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top/>
      <bottom/>
      <diagonal/>
    </border>
    <border>
      <left style="thin">
        <color theme="0"/>
      </left>
      <right/>
      <top style="thin">
        <color theme="0"/>
      </top>
      <bottom style="thin">
        <color indexed="64"/>
      </bottom>
      <diagonal/>
    </border>
    <border>
      <left/>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ck">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ck">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medium">
        <color indexed="64"/>
      </right>
      <top/>
      <bottom style="thin">
        <color indexed="64"/>
      </bottom>
      <diagonal/>
    </border>
    <border>
      <left/>
      <right/>
      <top/>
      <bottom style="medium">
        <color indexed="64"/>
      </bottom>
      <diagonal/>
    </border>
    <border>
      <left/>
      <right style="thick">
        <color indexed="64"/>
      </right>
      <top/>
      <bottom/>
      <diagonal/>
    </border>
    <border>
      <left/>
      <right/>
      <top style="thin">
        <color indexed="64"/>
      </top>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indexed="64"/>
      </left>
      <right style="medium">
        <color indexed="64"/>
      </right>
      <top style="thin">
        <color indexed="64"/>
      </top>
      <bottom style="double">
        <color indexed="64"/>
      </bottom>
      <diagonal/>
    </border>
    <border>
      <left/>
      <right/>
      <top style="thin">
        <color indexed="64"/>
      </top>
      <bottom style="thick">
        <color indexed="64"/>
      </bottom>
      <diagonal/>
    </border>
    <border>
      <left/>
      <right/>
      <top/>
      <bottom style="thick">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double">
        <color indexed="64"/>
      </left>
      <right/>
      <top style="thin">
        <color indexed="64"/>
      </top>
      <bottom style="thin">
        <color indexed="64"/>
      </bottom>
      <diagonal/>
    </border>
    <border>
      <left style="double">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77">
    <xf numFmtId="0" fontId="0" fillId="0" borderId="0" xfId="0"/>
    <xf numFmtId="0" fontId="1" fillId="0" borderId="1" xfId="0" applyFont="1" applyBorder="1"/>
    <xf numFmtId="0" fontId="8" fillId="0" borderId="1" xfId="0" applyFont="1" applyBorder="1" applyAlignment="1">
      <alignment horizontal="center"/>
    </xf>
    <xf numFmtId="0" fontId="8" fillId="0" borderId="4" xfId="0" applyFont="1" applyBorder="1" applyAlignment="1">
      <alignment horizontal="center"/>
    </xf>
    <xf numFmtId="0" fontId="1" fillId="0" borderId="5" xfId="0" applyFont="1" applyBorder="1"/>
    <xf numFmtId="0" fontId="1" fillId="0" borderId="2" xfId="0" applyFont="1" applyBorder="1"/>
    <xf numFmtId="0" fontId="12" fillId="0" borderId="1" xfId="0" applyFont="1" applyBorder="1"/>
    <xf numFmtId="0" fontId="1" fillId="0" borderId="6" xfId="0" applyFont="1" applyBorder="1"/>
    <xf numFmtId="0" fontId="1" fillId="0" borderId="0" xfId="0" applyFont="1" applyBorder="1"/>
    <xf numFmtId="0" fontId="1" fillId="0" borderId="7" xfId="0" applyFont="1" applyBorder="1"/>
    <xf numFmtId="0" fontId="7" fillId="0" borderId="6" xfId="0" applyFont="1" applyBorder="1"/>
    <xf numFmtId="0" fontId="2" fillId="0" borderId="6" xfId="0" applyFont="1" applyBorder="1"/>
    <xf numFmtId="0" fontId="2" fillId="0" borderId="0" xfId="0" applyFont="1" applyBorder="1" applyAlignment="1">
      <alignment horizontal="left" vertical="center"/>
    </xf>
    <xf numFmtId="0" fontId="1" fillId="0" borderId="8" xfId="0" applyFont="1" applyBorder="1" applyAlignment="1">
      <alignment horizontal="right"/>
    </xf>
    <xf numFmtId="0" fontId="1" fillId="0" borderId="9" xfId="0" applyFont="1" applyBorder="1" applyAlignment="1">
      <alignment horizontal="right"/>
    </xf>
    <xf numFmtId="0" fontId="1" fillId="0" borderId="8" xfId="0" applyFont="1" applyBorder="1"/>
    <xf numFmtId="0" fontId="0" fillId="0" borderId="0" xfId="0" applyBorder="1"/>
    <xf numFmtId="0" fontId="0" fillId="0" borderId="6" xfId="0" applyBorder="1"/>
    <xf numFmtId="0" fontId="13" fillId="2" borderId="6" xfId="0" applyFont="1" applyFill="1" applyBorder="1"/>
    <xf numFmtId="0" fontId="8" fillId="0" borderId="1" xfId="0" applyFont="1" applyBorder="1" applyAlignment="1"/>
    <xf numFmtId="0" fontId="12" fillId="0" borderId="8" xfId="0" applyFont="1" applyFill="1" applyBorder="1" applyAlignment="1">
      <alignment horizontal="left"/>
    </xf>
    <xf numFmtId="0" fontId="14" fillId="0" borderId="1" xfId="0" applyFont="1" applyBorder="1"/>
    <xf numFmtId="0" fontId="8" fillId="0" borderId="1" xfId="0" applyFont="1" applyBorder="1"/>
    <xf numFmtId="0" fontId="1" fillId="0" borderId="14" xfId="0" applyFont="1" applyBorder="1"/>
    <xf numFmtId="0" fontId="1" fillId="0" borderId="16" xfId="0" applyFont="1" applyBorder="1"/>
    <xf numFmtId="0" fontId="1" fillId="0" borderId="15" xfId="0" applyFont="1" applyBorder="1"/>
    <xf numFmtId="0" fontId="12" fillId="0" borderId="13" xfId="0" applyFont="1" applyBorder="1" applyAlignment="1"/>
    <xf numFmtId="0" fontId="0" fillId="0" borderId="17" xfId="0" applyBorder="1"/>
    <xf numFmtId="0" fontId="1" fillId="0" borderId="0" xfId="0" applyFont="1"/>
    <xf numFmtId="165" fontId="1" fillId="0" borderId="1" xfId="0" applyNumberFormat="1" applyFont="1" applyBorder="1"/>
    <xf numFmtId="0" fontId="7" fillId="0" borderId="18" xfId="0" applyFont="1" applyBorder="1"/>
    <xf numFmtId="0" fontId="12" fillId="0" borderId="19" xfId="0" applyFont="1" applyBorder="1"/>
    <xf numFmtId="0" fontId="12" fillId="0" borderId="20" xfId="0" applyFont="1" applyBorder="1"/>
    <xf numFmtId="0" fontId="12" fillId="0" borderId="23" xfId="0" applyFont="1" applyBorder="1" applyAlignment="1">
      <alignment horizontal="right"/>
    </xf>
    <xf numFmtId="0" fontId="8" fillId="0" borderId="18" xfId="0" applyFont="1" applyBorder="1"/>
    <xf numFmtId="0" fontId="1" fillId="0" borderId="23" xfId="0" applyFont="1" applyBorder="1" applyAlignment="1">
      <alignment horizontal="right"/>
    </xf>
    <xf numFmtId="0" fontId="1" fillId="0" borderId="27" xfId="0" applyFont="1" applyBorder="1"/>
    <xf numFmtId="0" fontId="1" fillId="0" borderId="29" xfId="0" applyFont="1" applyBorder="1"/>
    <xf numFmtId="0" fontId="12" fillId="0" borderId="21" xfId="0" applyFont="1" applyBorder="1"/>
    <xf numFmtId="0" fontId="1" fillId="0" borderId="21" xfId="0" applyFont="1" applyBorder="1"/>
    <xf numFmtId="165" fontId="1" fillId="0" borderId="28" xfId="0" applyNumberFormat="1" applyFont="1" applyBorder="1"/>
    <xf numFmtId="0" fontId="1" fillId="0" borderId="28" xfId="0" applyFont="1" applyBorder="1"/>
    <xf numFmtId="0" fontId="1" fillId="0" borderId="31" xfId="0" applyFont="1" applyBorder="1"/>
    <xf numFmtId="0" fontId="6" fillId="0" borderId="1" xfId="0" applyFont="1" applyBorder="1" applyAlignment="1">
      <alignment horizontal="left" vertical="center"/>
    </xf>
    <xf numFmtId="0" fontId="6" fillId="0" borderId="1" xfId="0" applyFont="1" applyBorder="1"/>
    <xf numFmtId="0" fontId="1" fillId="0" borderId="1" xfId="0" applyNumberFormat="1" applyFont="1" applyBorder="1"/>
    <xf numFmtId="0" fontId="1" fillId="0" borderId="32" xfId="0" applyFont="1" applyBorder="1"/>
    <xf numFmtId="0" fontId="8" fillId="0" borderId="0" xfId="0" applyFont="1" applyBorder="1" applyAlignment="1">
      <alignment horizontal="center"/>
    </xf>
    <xf numFmtId="0" fontId="12" fillId="0" borderId="0" xfId="0" applyFont="1" applyBorder="1" applyAlignment="1">
      <alignment horizontal="center"/>
    </xf>
    <xf numFmtId="9" fontId="1" fillId="0" borderId="0" xfId="0" applyNumberFormat="1" applyFont="1" applyBorder="1" applyAlignment="1">
      <alignment horizontal="center"/>
    </xf>
    <xf numFmtId="0" fontId="1" fillId="0" borderId="0" xfId="0" applyFont="1" applyBorder="1" applyAlignment="1">
      <alignment horizontal="center"/>
    </xf>
    <xf numFmtId="165" fontId="1" fillId="0" borderId="0" xfId="0" applyNumberFormat="1" applyFont="1" applyBorder="1" applyAlignment="1">
      <alignment horizontal="center"/>
    </xf>
    <xf numFmtId="0" fontId="12" fillId="0" borderId="0" xfId="0" applyFont="1" applyBorder="1"/>
    <xf numFmtId="164" fontId="1" fillId="0" borderId="0" xfId="0" applyNumberFormat="1" applyFont="1" applyBorder="1"/>
    <xf numFmtId="166" fontId="1" fillId="0" borderId="26" xfId="0" applyNumberFormat="1" applyFont="1" applyBorder="1"/>
    <xf numFmtId="166" fontId="1" fillId="0" borderId="33" xfId="0" applyNumberFormat="1" applyFont="1" applyBorder="1"/>
    <xf numFmtId="166" fontId="1" fillId="0" borderId="30" xfId="0" applyNumberFormat="1" applyFont="1" applyBorder="1"/>
    <xf numFmtId="167" fontId="1" fillId="0" borderId="1" xfId="0" applyNumberFormat="1" applyFont="1" applyBorder="1"/>
    <xf numFmtId="167" fontId="1" fillId="0" borderId="5" xfId="0" applyNumberFormat="1" applyFont="1" applyBorder="1"/>
    <xf numFmtId="167" fontId="1" fillId="0" borderId="28" xfId="0" applyNumberFormat="1" applyFont="1" applyBorder="1"/>
    <xf numFmtId="0" fontId="1" fillId="0" borderId="34" xfId="0" applyFont="1" applyBorder="1"/>
    <xf numFmtId="167" fontId="1" fillId="0" borderId="34" xfId="0" applyNumberFormat="1" applyFont="1" applyBorder="1"/>
    <xf numFmtId="0" fontId="1" fillId="0" borderId="35" xfId="0" applyFont="1" applyBorder="1"/>
    <xf numFmtId="166" fontId="1" fillId="0" borderId="36" xfId="0" applyNumberFormat="1" applyFont="1" applyBorder="1"/>
    <xf numFmtId="0" fontId="1" fillId="0" borderId="37" xfId="0" applyFont="1" applyBorder="1"/>
    <xf numFmtId="0" fontId="1" fillId="0" borderId="38" xfId="0" applyFont="1" applyBorder="1"/>
    <xf numFmtId="166" fontId="1" fillId="0" borderId="39" xfId="0" applyNumberFormat="1" applyFont="1" applyBorder="1"/>
    <xf numFmtId="10" fontId="1" fillId="0" borderId="1" xfId="0" applyNumberFormat="1" applyFont="1" applyBorder="1"/>
    <xf numFmtId="0" fontId="1" fillId="0" borderId="1" xfId="0" applyFont="1" applyFill="1" applyBorder="1"/>
    <xf numFmtId="0" fontId="0" fillId="0" borderId="40" xfId="0" applyBorder="1"/>
    <xf numFmtId="0" fontId="1" fillId="0" borderId="41" xfId="0" applyFont="1" applyBorder="1"/>
    <xf numFmtId="0" fontId="0" fillId="0" borderId="41" xfId="0" applyFont="1" applyBorder="1"/>
    <xf numFmtId="167" fontId="12" fillId="0" borderId="24" xfId="0" applyNumberFormat="1" applyFont="1" applyBorder="1"/>
    <xf numFmtId="167" fontId="1" fillId="0" borderId="21" xfId="0" applyNumberFormat="1" applyFont="1" applyBorder="1" applyAlignment="1">
      <alignment horizontal="left"/>
    </xf>
    <xf numFmtId="167" fontId="1" fillId="0" borderId="22" xfId="0" applyNumberFormat="1" applyFont="1" applyBorder="1" applyAlignment="1">
      <alignment horizontal="left"/>
    </xf>
    <xf numFmtId="167" fontId="1" fillId="0" borderId="25" xfId="0" applyNumberFormat="1" applyFont="1" applyBorder="1"/>
    <xf numFmtId="167" fontId="1" fillId="0" borderId="21" xfId="0" applyNumberFormat="1" applyFont="1" applyBorder="1"/>
    <xf numFmtId="167" fontId="1" fillId="0" borderId="22" xfId="0" applyNumberFormat="1" applyFont="1" applyBorder="1"/>
    <xf numFmtId="167" fontId="1" fillId="0" borderId="24" xfId="0" applyNumberFormat="1" applyFont="1" applyBorder="1"/>
    <xf numFmtId="0" fontId="8" fillId="0" borderId="1" xfId="0"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0" xfId="0" applyFont="1" applyBorder="1" applyAlignment="1"/>
    <xf numFmtId="10" fontId="1" fillId="0" borderId="0" xfId="0" applyNumberFormat="1" applyFont="1" applyBorder="1"/>
    <xf numFmtId="0" fontId="2" fillId="0" borderId="0" xfId="0" applyFont="1" applyBorder="1" applyAlignment="1">
      <alignment horizontal="left" vertical="center"/>
    </xf>
    <xf numFmtId="0" fontId="2" fillId="0" borderId="7" xfId="0" applyFont="1" applyBorder="1" applyAlignment="1">
      <alignment horizontal="left" vertical="center"/>
    </xf>
    <xf numFmtId="167" fontId="1" fillId="0" borderId="1" xfId="0" applyNumberFormat="1" applyFont="1" applyBorder="1" applyAlignment="1">
      <alignment horizontal="center"/>
    </xf>
    <xf numFmtId="0" fontId="6" fillId="0" borderId="1" xfId="0" applyFont="1" applyBorder="1" applyAlignment="1">
      <alignment horizontal="left" vertical="center"/>
    </xf>
    <xf numFmtId="0" fontId="12" fillId="0" borderId="1" xfId="0" applyFont="1" applyBorder="1" applyAlignment="1">
      <alignment horizontal="center"/>
    </xf>
    <xf numFmtId="0" fontId="8" fillId="0" borderId="1" xfId="0" applyFont="1" applyBorder="1" applyAlignment="1">
      <alignment horizontal="center"/>
    </xf>
    <xf numFmtId="0" fontId="1" fillId="0" borderId="1" xfId="0" applyFont="1" applyBorder="1" applyAlignment="1">
      <alignment horizontal="right" vertical="center"/>
    </xf>
    <xf numFmtId="0" fontId="1" fillId="0" borderId="1" xfId="0" applyFont="1" applyBorder="1" applyAlignment="1">
      <alignment horizontal="right"/>
    </xf>
    <xf numFmtId="0" fontId="1" fillId="0" borderId="2" xfId="0" applyFont="1" applyBorder="1" applyAlignment="1">
      <alignment horizontal="center"/>
    </xf>
    <xf numFmtId="0" fontId="1" fillId="0" borderId="4" xfId="0" applyFont="1" applyBorder="1" applyAlignment="1">
      <alignment horizontal="center"/>
    </xf>
    <xf numFmtId="165" fontId="1" fillId="0" borderId="2" xfId="0" applyNumberFormat="1" applyFont="1" applyBorder="1" applyAlignment="1">
      <alignment horizontal="center"/>
    </xf>
    <xf numFmtId="165" fontId="1" fillId="0" borderId="4" xfId="0" applyNumberFormat="1" applyFont="1" applyBorder="1" applyAlignment="1">
      <alignment horizontal="center"/>
    </xf>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9" fontId="1" fillId="0" borderId="4" xfId="0" applyNumberFormat="1" applyFont="1" applyBorder="1" applyAlignment="1">
      <alignment horizontal="center"/>
    </xf>
    <xf numFmtId="167" fontId="1" fillId="0" borderId="2" xfId="0" applyNumberFormat="1" applyFont="1" applyBorder="1" applyAlignment="1">
      <alignment horizontal="center"/>
    </xf>
    <xf numFmtId="167" fontId="1" fillId="0" borderId="4" xfId="0" applyNumberFormat="1"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7" fillId="0" borderId="18" xfId="0" applyFont="1" applyFill="1" applyBorder="1" applyAlignment="1">
      <alignment horizontal="center"/>
    </xf>
    <xf numFmtId="0" fontId="7" fillId="0" borderId="19" xfId="0" applyFont="1" applyFill="1" applyBorder="1" applyAlignment="1">
      <alignment horizontal="center"/>
    </xf>
    <xf numFmtId="0" fontId="1" fillId="0" borderId="1" xfId="0" applyFont="1" applyBorder="1" applyAlignment="1">
      <alignment horizontal="center"/>
    </xf>
    <xf numFmtId="0" fontId="8" fillId="0" borderId="0" xfId="0" applyFont="1" applyBorder="1"/>
    <xf numFmtId="10" fontId="5" fillId="0" borderId="0" xfId="0" applyNumberFormat="1" applyFont="1" applyBorder="1"/>
    <xf numFmtId="0" fontId="1" fillId="0" borderId="0" xfId="0" applyFont="1" applyBorder="1" applyAlignment="1">
      <alignment horizontal="center"/>
    </xf>
    <xf numFmtId="0" fontId="6" fillId="0" borderId="0" xfId="0" applyFont="1" applyBorder="1" applyAlignment="1">
      <alignment horizontal="left"/>
    </xf>
    <xf numFmtId="0" fontId="6" fillId="0" borderId="1" xfId="0" applyFont="1" applyBorder="1" applyAlignment="1">
      <alignment horizontal="left"/>
    </xf>
    <xf numFmtId="10" fontId="1" fillId="0" borderId="1" xfId="0" applyNumberFormat="1" applyFont="1" applyBorder="1" applyAlignment="1"/>
    <xf numFmtId="165" fontId="1" fillId="0" borderId="2" xfId="0" applyNumberFormat="1" applyFont="1" applyBorder="1"/>
    <xf numFmtId="0" fontId="1" fillId="0" borderId="35" xfId="0" applyFont="1" applyBorder="1" applyAlignment="1">
      <alignment horizontal="center"/>
    </xf>
    <xf numFmtId="0" fontId="1" fillId="0" borderId="7" xfId="0" applyFont="1" applyBorder="1" applyAlignment="1">
      <alignment horizontal="center"/>
    </xf>
    <xf numFmtId="0" fontId="12" fillId="0" borderId="9" xfId="0" applyFont="1" applyBorder="1"/>
    <xf numFmtId="0" fontId="12" fillId="0" borderId="5" xfId="0" applyFont="1" applyBorder="1"/>
    <xf numFmtId="0" fontId="12" fillId="0" borderId="32" xfId="0" applyFont="1" applyBorder="1"/>
    <xf numFmtId="0" fontId="12" fillId="0" borderId="33" xfId="0" applyFont="1" applyBorder="1"/>
    <xf numFmtId="0" fontId="1" fillId="0" borderId="43" xfId="0" applyFont="1" applyBorder="1"/>
    <xf numFmtId="167" fontId="1" fillId="0" borderId="44" xfId="0" applyNumberFormat="1" applyFont="1" applyBorder="1"/>
    <xf numFmtId="0" fontId="1" fillId="0" borderId="45" xfId="0" applyFont="1" applyBorder="1"/>
    <xf numFmtId="166" fontId="1" fillId="0" borderId="46" xfId="0" applyNumberFormat="1" applyFont="1" applyBorder="1"/>
    <xf numFmtId="0" fontId="0" fillId="0" borderId="1" xfId="0" applyBorder="1"/>
    <xf numFmtId="0" fontId="1" fillId="0" borderId="47" xfId="0" applyFont="1" applyBorder="1"/>
    <xf numFmtId="0" fontId="1" fillId="0" borderId="48" xfId="0" applyFont="1" applyBorder="1"/>
    <xf numFmtId="0" fontId="0" fillId="0" borderId="5" xfId="0" applyBorder="1"/>
    <xf numFmtId="0" fontId="0" fillId="0" borderId="34" xfId="0" applyBorder="1"/>
    <xf numFmtId="0" fontId="0" fillId="0" borderId="50" xfId="0" applyBorder="1"/>
    <xf numFmtId="0" fontId="1" fillId="0" borderId="42" xfId="0" applyFont="1" applyBorder="1"/>
    <xf numFmtId="167" fontId="1" fillId="0" borderId="49" xfId="0" applyNumberFormat="1" applyFont="1" applyBorder="1" applyAlignment="1">
      <alignment horizontal="left"/>
    </xf>
    <xf numFmtId="167" fontId="1" fillId="0" borderId="31" xfId="0" applyNumberFormat="1" applyFont="1" applyBorder="1" applyAlignment="1">
      <alignment horizontal="left"/>
    </xf>
    <xf numFmtId="0" fontId="12" fillId="0" borderId="24" xfId="0" applyFont="1" applyBorder="1"/>
    <xf numFmtId="0" fontId="12" fillId="0" borderId="51" xfId="0" applyFont="1" applyBorder="1"/>
    <xf numFmtId="0" fontId="12" fillId="0" borderId="25" xfId="0" applyFont="1" applyBorder="1"/>
    <xf numFmtId="169" fontId="12" fillId="0" borderId="24" xfId="0" applyNumberFormat="1" applyFont="1" applyBorder="1"/>
    <xf numFmtId="168" fontId="1" fillId="0" borderId="1" xfId="0" applyNumberFormat="1" applyFont="1" applyBorder="1"/>
    <xf numFmtId="0" fontId="16" fillId="0" borderId="10" xfId="0" applyFont="1" applyBorder="1" applyAlignment="1">
      <alignment horizontal="left" vertical="center"/>
    </xf>
    <xf numFmtId="0" fontId="16" fillId="0" borderId="11" xfId="0" applyFont="1" applyBorder="1" applyAlignment="1">
      <alignment horizontal="left" vertical="center"/>
    </xf>
    <xf numFmtId="0" fontId="16" fillId="0" borderId="12" xfId="0" applyFont="1" applyBorder="1" applyAlignment="1">
      <alignment horizontal="left" vertical="center"/>
    </xf>
    <xf numFmtId="164" fontId="13" fillId="2" borderId="0" xfId="0" applyNumberFormat="1" applyFont="1" applyFill="1" applyBorder="1" applyAlignment="1">
      <alignment vertical="center"/>
    </xf>
    <xf numFmtId="164" fontId="13" fillId="0" borderId="0" xfId="0" applyNumberFormat="1" applyFont="1" applyFill="1" applyBorder="1" applyAlignment="1">
      <alignment vertical="center"/>
    </xf>
    <xf numFmtId="167" fontId="1" fillId="0" borderId="1" xfId="0" applyNumberFormat="1" applyFont="1" applyBorder="1" applyAlignment="1" applyProtection="1">
      <alignment horizontal="center" vertical="center"/>
      <protection locked="0"/>
    </xf>
    <xf numFmtId="0" fontId="12" fillId="0" borderId="35" xfId="0" applyFont="1" applyBorder="1" applyAlignment="1">
      <alignment horizontal="left" vertical="center"/>
    </xf>
    <xf numFmtId="0" fontId="12" fillId="0" borderId="6" xfId="0" applyFont="1" applyBorder="1" applyAlignment="1">
      <alignment horizontal="left" vertical="center"/>
    </xf>
    <xf numFmtId="0" fontId="0" fillId="0" borderId="0" xfId="0" applyAlignment="1"/>
    <xf numFmtId="0" fontId="0" fillId="0" borderId="19" xfId="0" applyBorder="1"/>
    <xf numFmtId="0" fontId="0" fillId="0" borderId="20" xfId="0" applyBorder="1"/>
    <xf numFmtId="0" fontId="0" fillId="0" borderId="53" xfId="0" applyBorder="1"/>
    <xf numFmtId="0" fontId="0" fillId="0" borderId="57" xfId="0" applyBorder="1" applyAlignment="1">
      <alignment horizontal="left"/>
    </xf>
    <xf numFmtId="0" fontId="0" fillId="0" borderId="3" xfId="0" applyBorder="1" applyAlignment="1">
      <alignment horizontal="left"/>
    </xf>
    <xf numFmtId="0" fontId="0" fillId="0" borderId="52" xfId="0" applyBorder="1" applyAlignment="1">
      <alignment horizontal="left"/>
    </xf>
    <xf numFmtId="0" fontId="0" fillId="0" borderId="4" xfId="0" applyBorder="1" applyAlignment="1">
      <alignment horizontal="left"/>
    </xf>
    <xf numFmtId="0" fontId="0" fillId="0" borderId="1" xfId="0" applyBorder="1" applyAlignment="1">
      <alignment horizontal="left"/>
    </xf>
    <xf numFmtId="0" fontId="0" fillId="0" borderId="21" xfId="0" applyBorder="1" applyAlignment="1">
      <alignment horizontal="left"/>
    </xf>
    <xf numFmtId="0" fontId="12" fillId="0" borderId="5" xfId="0" applyFont="1" applyBorder="1" applyAlignment="1">
      <alignment wrapText="1"/>
    </xf>
    <xf numFmtId="0" fontId="18" fillId="0" borderId="54" xfId="0" applyFont="1" applyBorder="1"/>
    <xf numFmtId="0" fontId="15" fillId="0" borderId="55" xfId="0" applyFont="1" applyBorder="1"/>
    <xf numFmtId="0" fontId="15" fillId="0" borderId="56" xfId="0" applyFont="1" applyBorder="1"/>
    <xf numFmtId="0" fontId="12" fillId="0" borderId="1" xfId="0" applyFont="1" applyBorder="1" applyAlignment="1">
      <alignment wrapText="1"/>
    </xf>
    <xf numFmtId="0" fontId="12" fillId="0" borderId="7" xfId="0" applyFont="1" applyBorder="1"/>
    <xf numFmtId="0" fontId="12" fillId="0" borderId="0" xfId="0" applyFont="1" applyBorder="1" applyAlignment="1">
      <alignment horizontal="left" vertical="center"/>
    </xf>
    <xf numFmtId="0" fontId="12" fillId="0" borderId="35" xfId="0" applyFont="1" applyBorder="1" applyAlignment="1">
      <alignment horizontal="left"/>
    </xf>
    <xf numFmtId="0" fontId="12" fillId="0" borderId="7" xfId="0" applyFont="1" applyBorder="1" applyAlignment="1">
      <alignment horizontal="left"/>
    </xf>
    <xf numFmtId="0" fontId="0" fillId="0" borderId="3" xfId="0" applyBorder="1" applyAlignment="1">
      <alignment horizontal="left" wrapText="1"/>
    </xf>
    <xf numFmtId="0" fontId="15" fillId="0" borderId="55" xfId="0" applyFont="1" applyBorder="1" applyAlignment="1">
      <alignment vertical="center"/>
    </xf>
    <xf numFmtId="0" fontId="1" fillId="0" borderId="35" xfId="0" applyFont="1" applyBorder="1" applyAlignment="1">
      <alignment horizontal="left" vertical="center"/>
    </xf>
    <xf numFmtId="0" fontId="0" fillId="0" borderId="57" xfId="0" applyBorder="1" applyAlignment="1">
      <alignment horizontal="left" wrapText="1"/>
    </xf>
    <xf numFmtId="0" fontId="15" fillId="0" borderId="0" xfId="0" applyFont="1" applyBorder="1"/>
    <xf numFmtId="0" fontId="0" fillId="0" borderId="0" xfId="0" applyBorder="1" applyAlignment="1"/>
    <xf numFmtId="0" fontId="0" fillId="0" borderId="0" xfId="0" applyBorder="1" applyAlignment="1">
      <alignment horizontal="center"/>
    </xf>
    <xf numFmtId="0" fontId="15" fillId="0" borderId="6" xfId="0" applyFont="1" applyBorder="1"/>
    <xf numFmtId="0" fontId="0" fillId="0" borderId="58" xfId="0" applyBorder="1" applyAlignment="1">
      <alignment horizontal="center"/>
    </xf>
    <xf numFmtId="0" fontId="0" fillId="0" borderId="59" xfId="0" applyBorder="1" applyAlignment="1">
      <alignment horizontal="center"/>
    </xf>
    <xf numFmtId="0" fontId="0" fillId="0" borderId="60" xfId="0" applyBorder="1" applyAlignment="1">
      <alignment horizontal="center"/>
    </xf>
  </cellXfs>
  <cellStyles count="1">
    <cellStyle name="Normal" xfId="0" builtinId="0"/>
  </cellStyles>
  <dxfs count="0"/>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1257301</xdr:colOff>
      <xdr:row>0</xdr:row>
      <xdr:rowOff>28575</xdr:rowOff>
    </xdr:from>
    <xdr:to>
      <xdr:col>12</xdr:col>
      <xdr:colOff>600074</xdr:colOff>
      <xdr:row>0</xdr:row>
      <xdr:rowOff>2209799</xdr:rowOff>
    </xdr:to>
    <xdr:pic>
      <xdr:nvPicPr>
        <xdr:cNvPr id="3" name="Imagen 2">
          <a:extLst>
            <a:ext uri="{FF2B5EF4-FFF2-40B4-BE49-F238E27FC236}">
              <a16:creationId xmlns:a16="http://schemas.microsoft.com/office/drawing/2014/main" id="{8E0A728E-BC35-4AA8-84D0-D45961123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708351" y="28575"/>
          <a:ext cx="2181224" cy="218122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8"/>
  <sheetViews>
    <sheetView tabSelected="1" topLeftCell="A4" zoomScale="70" zoomScaleNormal="70" workbookViewId="0">
      <selection activeCell="B10" sqref="B10:C10"/>
    </sheetView>
  </sheetViews>
  <sheetFormatPr baseColWidth="10" defaultRowHeight="15" x14ac:dyDescent="0.25"/>
  <cols>
    <col min="1" max="1" width="52.7109375" customWidth="1"/>
    <col min="2" max="2" width="44.28515625" customWidth="1"/>
    <col min="3" max="3" width="26.42578125" bestFit="1" customWidth="1"/>
    <col min="4" max="4" width="41.42578125" bestFit="1" customWidth="1"/>
    <col min="5" max="5" width="44.7109375" bestFit="1" customWidth="1"/>
    <col min="6" max="6" width="39.140625" bestFit="1" customWidth="1"/>
    <col min="7" max="7" width="45.28515625" bestFit="1" customWidth="1"/>
    <col min="8" max="8" width="59" bestFit="1" customWidth="1"/>
    <col min="9" max="9" width="45.85546875" bestFit="1" customWidth="1"/>
    <col min="10" max="10" width="25.85546875" customWidth="1"/>
    <col min="11" max="11" width="31.140625" customWidth="1"/>
  </cols>
  <sheetData>
    <row r="1" spans="1:13" ht="182.25" customHeight="1" thickBot="1" x14ac:dyDescent="0.3">
      <c r="A1" s="139" t="s">
        <v>107</v>
      </c>
      <c r="B1" s="140"/>
      <c r="C1" s="140"/>
      <c r="D1" s="140"/>
      <c r="E1" s="140"/>
      <c r="F1" s="140"/>
      <c r="G1" s="140"/>
      <c r="H1" s="140"/>
      <c r="I1" s="140"/>
      <c r="J1" s="140"/>
      <c r="K1" s="140"/>
      <c r="L1" s="140"/>
      <c r="M1" s="141"/>
    </row>
    <row r="2" spans="1:13" x14ac:dyDescent="0.25">
      <c r="A2" s="7"/>
      <c r="B2" s="8"/>
      <c r="C2" s="8"/>
      <c r="D2" s="8"/>
      <c r="E2" s="8"/>
      <c r="F2" s="8"/>
      <c r="G2" s="8"/>
      <c r="H2" s="8"/>
      <c r="I2" s="8"/>
      <c r="J2" s="8"/>
      <c r="K2" s="8"/>
      <c r="L2" s="8"/>
      <c r="M2" s="9"/>
    </row>
    <row r="3" spans="1:13" ht="24" x14ac:dyDescent="0.3">
      <c r="A3" s="10" t="s">
        <v>0</v>
      </c>
      <c r="B3" s="84" t="s">
        <v>75</v>
      </c>
      <c r="C3" s="84"/>
      <c r="D3" s="84"/>
      <c r="E3" s="84"/>
      <c r="F3" s="84"/>
      <c r="G3" s="84"/>
      <c r="H3" s="84"/>
      <c r="I3" s="84"/>
      <c r="J3" s="84"/>
      <c r="K3" s="84"/>
      <c r="L3" s="84"/>
      <c r="M3" s="85"/>
    </row>
    <row r="4" spans="1:13" ht="20.25" x14ac:dyDescent="0.3">
      <c r="A4" s="11"/>
      <c r="B4" s="8"/>
      <c r="C4" s="8"/>
      <c r="D4" s="8"/>
      <c r="E4" s="8"/>
      <c r="F4" s="8"/>
      <c r="G4" s="8"/>
      <c r="H4" s="8"/>
      <c r="I4" s="8"/>
      <c r="J4" s="8"/>
      <c r="K4" s="8"/>
      <c r="L4" s="8"/>
      <c r="M4" s="9"/>
    </row>
    <row r="5" spans="1:13" ht="26.25" x14ac:dyDescent="0.4">
      <c r="A5" s="18" t="s">
        <v>61</v>
      </c>
      <c r="B5" s="142">
        <f>(B9-B10-B11)*(1-B12)+B11-B14</f>
        <v>-5919481.0449000001</v>
      </c>
      <c r="C5" s="143"/>
      <c r="D5" s="143"/>
      <c r="E5" s="8"/>
      <c r="F5" s="8"/>
      <c r="G5" s="8"/>
      <c r="H5" s="8"/>
      <c r="I5" s="8"/>
      <c r="J5" s="8"/>
      <c r="K5" s="8"/>
      <c r="L5" s="8"/>
      <c r="M5" s="9"/>
    </row>
    <row r="6" spans="1:13" x14ac:dyDescent="0.25">
      <c r="A6" s="7"/>
      <c r="B6" s="8"/>
      <c r="C6" s="8"/>
      <c r="D6" s="8"/>
      <c r="E6" s="8"/>
      <c r="F6" s="8"/>
      <c r="G6" s="8"/>
      <c r="H6" s="8"/>
      <c r="I6" s="8"/>
      <c r="J6" s="8"/>
      <c r="K6" s="8"/>
      <c r="L6" s="8"/>
      <c r="M6" s="9"/>
    </row>
    <row r="7" spans="1:13" ht="18.75" x14ac:dyDescent="0.3">
      <c r="A7" s="89" t="s">
        <v>57</v>
      </c>
      <c r="B7" s="89"/>
      <c r="C7" s="89"/>
      <c r="D7" s="89"/>
      <c r="E7" s="89"/>
      <c r="F7" s="47"/>
      <c r="G7" s="8"/>
      <c r="H7" s="8"/>
      <c r="I7" s="8"/>
      <c r="J7" s="8"/>
      <c r="K7" s="8"/>
      <c r="L7" s="8"/>
      <c r="M7" s="9"/>
    </row>
    <row r="8" spans="1:13" ht="18.75" x14ac:dyDescent="0.3">
      <c r="A8" s="2"/>
      <c r="B8" s="88" t="s">
        <v>58</v>
      </c>
      <c r="C8" s="88"/>
      <c r="D8" s="88" t="s">
        <v>59</v>
      </c>
      <c r="E8" s="88"/>
      <c r="F8" s="48"/>
      <c r="G8" s="8"/>
      <c r="H8" s="8"/>
      <c r="I8" s="8"/>
      <c r="J8" s="8"/>
      <c r="K8" s="8"/>
      <c r="L8" s="8"/>
      <c r="M8" s="9"/>
    </row>
    <row r="9" spans="1:13" ht="20.25" x14ac:dyDescent="0.25">
      <c r="A9" s="43" t="s">
        <v>1</v>
      </c>
      <c r="B9" s="144">
        <f>I22</f>
        <v>24831184.520133331</v>
      </c>
      <c r="C9" s="144"/>
      <c r="D9" s="90">
        <v>0</v>
      </c>
      <c r="E9" s="90"/>
      <c r="F9" s="145" t="s">
        <v>109</v>
      </c>
      <c r="G9" s="12"/>
      <c r="H9" s="12"/>
      <c r="I9" s="12"/>
      <c r="J9" s="12"/>
      <c r="K9" s="12"/>
      <c r="L9" s="12"/>
      <c r="M9" s="9"/>
    </row>
    <row r="10" spans="1:13" ht="20.25" x14ac:dyDescent="0.35">
      <c r="A10" s="44" t="s">
        <v>2</v>
      </c>
      <c r="B10" s="86">
        <f>SUM(B66:C66)</f>
        <v>32013986.079999998</v>
      </c>
      <c r="C10" s="86"/>
      <c r="D10" s="91">
        <v>0</v>
      </c>
      <c r="E10" s="91"/>
      <c r="F10" s="145"/>
      <c r="G10" s="8"/>
      <c r="H10" s="8"/>
      <c r="I10" s="8"/>
      <c r="J10" s="8"/>
      <c r="K10" s="8"/>
      <c r="L10" s="8"/>
      <c r="M10" s="9"/>
    </row>
    <row r="11" spans="1:13" ht="20.25" x14ac:dyDescent="0.35">
      <c r="A11" s="44" t="s">
        <v>40</v>
      </c>
      <c r="B11" s="86">
        <f>SUM(E70:E98)</f>
        <v>2800.5</v>
      </c>
      <c r="C11" s="86"/>
      <c r="D11" s="91">
        <v>0</v>
      </c>
      <c r="E11" s="91"/>
      <c r="F11" s="145"/>
      <c r="G11" s="8"/>
      <c r="H11" s="8"/>
      <c r="I11" s="8"/>
      <c r="J11" s="8"/>
      <c r="K11" s="8"/>
      <c r="L11" s="8"/>
      <c r="M11" s="9"/>
    </row>
    <row r="12" spans="1:13" ht="20.25" x14ac:dyDescent="0.35">
      <c r="A12" s="44" t="s">
        <v>3</v>
      </c>
      <c r="B12" s="96">
        <v>0.25</v>
      </c>
      <c r="C12" s="97"/>
      <c r="D12" s="97"/>
      <c r="E12" s="98"/>
      <c r="F12" s="49"/>
      <c r="G12" s="8"/>
      <c r="H12" s="8"/>
      <c r="I12" s="8"/>
      <c r="J12" s="8"/>
      <c r="K12" s="8"/>
      <c r="L12" s="8"/>
      <c r="M12" s="9"/>
    </row>
    <row r="13" spans="1:13" x14ac:dyDescent="0.25">
      <c r="A13" s="87" t="s">
        <v>4</v>
      </c>
      <c r="B13" s="92" t="s">
        <v>52</v>
      </c>
      <c r="C13" s="93"/>
      <c r="D13" s="92" t="s">
        <v>53</v>
      </c>
      <c r="E13" s="93"/>
      <c r="F13" s="50"/>
      <c r="G13" s="8"/>
      <c r="H13" s="8"/>
      <c r="I13" s="8"/>
      <c r="J13" s="8"/>
      <c r="K13" s="8"/>
      <c r="L13" s="8"/>
      <c r="M13" s="9"/>
    </row>
    <row r="14" spans="1:13" x14ac:dyDescent="0.25">
      <c r="A14" s="87"/>
      <c r="B14" s="99">
        <f>D14*I48</f>
        <v>533080</v>
      </c>
      <c r="C14" s="100"/>
      <c r="D14" s="94">
        <v>13327</v>
      </c>
      <c r="E14" s="95"/>
      <c r="F14" s="51"/>
      <c r="G14" s="8"/>
      <c r="H14" s="8"/>
      <c r="I14" s="8"/>
      <c r="J14" s="8"/>
      <c r="K14" s="8"/>
      <c r="L14" s="8"/>
      <c r="M14" s="9"/>
    </row>
    <row r="15" spans="1:13" ht="23.25" customHeight="1" thickBot="1" x14ac:dyDescent="0.3">
      <c r="A15" s="7"/>
      <c r="B15" s="8"/>
      <c r="C15" s="126"/>
      <c r="D15" s="8"/>
      <c r="E15" s="131"/>
      <c r="F15" s="127"/>
      <c r="G15" s="127"/>
      <c r="H15" s="8"/>
      <c r="I15" s="8"/>
      <c r="J15" s="8"/>
      <c r="K15" s="8"/>
      <c r="L15" s="8"/>
      <c r="M15" s="9"/>
    </row>
    <row r="16" spans="1:13" ht="21.75" thickTop="1" thickBot="1" x14ac:dyDescent="0.35">
      <c r="A16" s="30" t="s">
        <v>5</v>
      </c>
      <c r="B16" s="134" t="s">
        <v>11</v>
      </c>
      <c r="C16" s="135" t="s">
        <v>100</v>
      </c>
      <c r="D16" s="134" t="s">
        <v>101</v>
      </c>
      <c r="E16" s="134" t="s">
        <v>102</v>
      </c>
      <c r="F16" s="135" t="s">
        <v>62</v>
      </c>
      <c r="G16" s="135" t="s">
        <v>63</v>
      </c>
      <c r="H16" s="134" t="s">
        <v>64</v>
      </c>
      <c r="I16" s="136" t="s">
        <v>55</v>
      </c>
      <c r="J16" s="146" t="s">
        <v>112</v>
      </c>
      <c r="K16" s="8"/>
      <c r="L16" s="8"/>
      <c r="M16" s="9"/>
    </row>
    <row r="17" spans="1:13" x14ac:dyDescent="0.25">
      <c r="A17" s="13" t="s">
        <v>6</v>
      </c>
      <c r="B17" s="60"/>
      <c r="C17" s="60"/>
      <c r="D17" s="129"/>
      <c r="E17" s="129"/>
      <c r="F17" s="60"/>
      <c r="G17" s="60"/>
      <c r="H17" s="65"/>
      <c r="I17" s="132">
        <f>B17*E26+C17*E27+F17*E42+G17*E43+E44*H17+D17*E32+E17*E37</f>
        <v>0</v>
      </c>
      <c r="J17" s="146"/>
      <c r="K17" s="8"/>
      <c r="L17" s="8"/>
      <c r="M17" s="9"/>
    </row>
    <row r="18" spans="1:13" x14ac:dyDescent="0.25">
      <c r="A18" s="13" t="s">
        <v>7</v>
      </c>
      <c r="B18" s="1">
        <v>1</v>
      </c>
      <c r="C18" s="1">
        <v>4</v>
      </c>
      <c r="D18" s="125">
        <v>3</v>
      </c>
      <c r="E18" s="125"/>
      <c r="F18" s="1"/>
      <c r="G18" s="1">
        <v>1</v>
      </c>
      <c r="H18" s="5"/>
      <c r="I18" s="73">
        <f>B18*E26+C18*E28+F18*E45+G18*E46+E47*H18+D18*E33+E18*E38</f>
        <v>10793581.323733332</v>
      </c>
      <c r="J18" s="146"/>
      <c r="K18" s="8"/>
      <c r="L18" s="8"/>
      <c r="M18" s="9"/>
    </row>
    <row r="19" spans="1:13" ht="15.75" thickBot="1" x14ac:dyDescent="0.3">
      <c r="A19" s="13" t="s">
        <v>8</v>
      </c>
      <c r="B19" s="1"/>
      <c r="C19" s="1">
        <v>5</v>
      </c>
      <c r="D19" s="125">
        <v>1</v>
      </c>
      <c r="E19" s="125">
        <v>1</v>
      </c>
      <c r="F19" s="1"/>
      <c r="G19" s="1"/>
      <c r="H19" s="5"/>
      <c r="I19" s="133">
        <f>B19*E26+C19*E29+F19*E48+G19*E49+H19*E50+D19*E34+E19*E39</f>
        <v>2520097.3745333333</v>
      </c>
      <c r="J19" s="146"/>
      <c r="K19" s="8"/>
      <c r="L19" s="8"/>
      <c r="M19" s="9"/>
    </row>
    <row r="20" spans="1:13" x14ac:dyDescent="0.25">
      <c r="A20" s="13" t="s">
        <v>9</v>
      </c>
      <c r="B20" s="1"/>
      <c r="C20" s="1">
        <v>4</v>
      </c>
      <c r="D20" s="125">
        <v>2</v>
      </c>
      <c r="E20" s="125">
        <v>1</v>
      </c>
      <c r="F20" s="1"/>
      <c r="G20" s="1"/>
      <c r="H20" s="5"/>
      <c r="I20" s="132">
        <f>B20*E26+C20*E30+F20*E51+E52*G20+H20*E53+D20*E35+E20*E40</f>
        <v>3098812.4458666667</v>
      </c>
      <c r="J20" s="146"/>
      <c r="K20" s="8"/>
      <c r="L20" s="8"/>
      <c r="M20" s="9"/>
    </row>
    <row r="21" spans="1:13" ht="15.75" thickBot="1" x14ac:dyDescent="0.3">
      <c r="A21" s="13" t="s">
        <v>10</v>
      </c>
      <c r="B21" s="4"/>
      <c r="C21" s="1">
        <v>6</v>
      </c>
      <c r="D21" s="130">
        <v>4</v>
      </c>
      <c r="E21" s="128">
        <v>3</v>
      </c>
      <c r="F21" s="4"/>
      <c r="G21" s="1"/>
      <c r="H21" s="46"/>
      <c r="I21" s="74">
        <f>B21*E26+C21*E31+F21*E54+E55*G21+H21*E56+D21*E36+E21*E41</f>
        <v>8418693.3760000002</v>
      </c>
      <c r="J21" s="146"/>
      <c r="K21" s="8"/>
      <c r="L21" s="8"/>
      <c r="M21" s="9"/>
    </row>
    <row r="22" spans="1:13" ht="16.5" thickTop="1" thickBot="1" x14ac:dyDescent="0.3">
      <c r="A22" s="33" t="s">
        <v>12</v>
      </c>
      <c r="B22" s="72">
        <f>SUM(B17:B21)*E26</f>
        <v>3321612</v>
      </c>
      <c r="C22" s="72">
        <f>C17*E27+C18*E28+C19*E29+C20*E30+C21*E31</f>
        <v>2496087.8833333333</v>
      </c>
      <c r="D22" s="72">
        <f>D17*E32+D18*E33+D19*E34+D20*E35+D21*E36</f>
        <v>5672962.7552000005</v>
      </c>
      <c r="E22" s="137">
        <f>E17*E37+E18*E38+E19*E39+E20*E40+E21*E41</f>
        <v>7703546.4576000003</v>
      </c>
      <c r="F22" s="137">
        <f>F17*E42+F18*E45+F19*E48+F20*E51+F21*E54</f>
        <v>0</v>
      </c>
      <c r="G22" s="137">
        <f>G17*E43+G18*E46+G19*E49+G20*E52+G21*E55</f>
        <v>5636975.4239999996</v>
      </c>
      <c r="H22" s="137">
        <f>H17*E44+H18*E47+H19*E50+H20*E53+H21*E56</f>
        <v>0</v>
      </c>
      <c r="I22" s="75">
        <f>SUM(I17:I21)</f>
        <v>24831184.520133331</v>
      </c>
      <c r="J22" s="146"/>
      <c r="L22" s="8"/>
      <c r="M22" s="9"/>
    </row>
    <row r="23" spans="1:13" ht="15.75" thickBot="1" x14ac:dyDescent="0.3">
      <c r="A23" s="7"/>
      <c r="B23" s="8"/>
      <c r="C23" s="8"/>
      <c r="D23" s="8"/>
      <c r="E23" s="8"/>
      <c r="F23" s="8"/>
      <c r="G23" s="8"/>
      <c r="H23" s="8"/>
      <c r="L23" s="82"/>
      <c r="M23" s="9"/>
    </row>
    <row r="24" spans="1:13" ht="18.75" x14ac:dyDescent="0.3">
      <c r="A24" s="101" t="s">
        <v>13</v>
      </c>
      <c r="B24" s="102"/>
      <c r="C24" s="103" t="s">
        <v>14</v>
      </c>
      <c r="D24" s="103"/>
      <c r="E24" s="104"/>
      <c r="F24" s="50"/>
      <c r="G24" s="8"/>
      <c r="H24" s="82"/>
      <c r="L24" s="8"/>
      <c r="M24" s="9"/>
    </row>
    <row r="25" spans="1:13" ht="30" x14ac:dyDescent="0.3">
      <c r="A25" s="117" t="s">
        <v>24</v>
      </c>
      <c r="B25" s="157" t="s">
        <v>114</v>
      </c>
      <c r="C25" s="118" t="s">
        <v>15</v>
      </c>
      <c r="D25" s="119" t="s">
        <v>30</v>
      </c>
      <c r="E25" s="120" t="s">
        <v>16</v>
      </c>
      <c r="F25" s="52"/>
      <c r="G25" s="8"/>
      <c r="H25" s="110"/>
      <c r="I25" s="110"/>
      <c r="J25" s="112" t="s">
        <v>95</v>
      </c>
      <c r="K25" s="112"/>
      <c r="L25" s="113">
        <v>1</v>
      </c>
      <c r="M25" s="162" t="s">
        <v>135</v>
      </c>
    </row>
    <row r="26" spans="1:13" ht="19.5" thickBot="1" x14ac:dyDescent="0.35">
      <c r="A26" s="121" t="s">
        <v>65</v>
      </c>
      <c r="B26" s="122">
        <f>(J41*(1+((K41/100)*0))+ J42*(1+((K42/100)*0)) + J43*(1+((K43/100)*0)))*I48*7</f>
        <v>281960</v>
      </c>
      <c r="C26" s="122">
        <f>((C61-C46)/12)*7</f>
        <v>2375329.6</v>
      </c>
      <c r="D26" s="123">
        <v>25</v>
      </c>
      <c r="E26" s="124">
        <f>SUM(B26:C26)*(1+(D26/100))</f>
        <v>3321612</v>
      </c>
      <c r="F26" s="53"/>
      <c r="G26" s="8"/>
      <c r="H26" s="22" t="s">
        <v>71</v>
      </c>
      <c r="I26" s="8"/>
      <c r="J26" s="111"/>
      <c r="K26" s="111"/>
      <c r="L26" s="82"/>
      <c r="M26" s="9"/>
    </row>
    <row r="27" spans="1:13" ht="15.75" thickTop="1" x14ac:dyDescent="0.25">
      <c r="A27" s="64" t="s">
        <v>116</v>
      </c>
      <c r="B27" s="61">
        <f>(B60/(12*30))*($J$32+2)</f>
        <v>13426.666666666668</v>
      </c>
      <c r="C27" s="61">
        <f>($I$32*$I$58*I48*$J$32)+($I$32*($I$57*(1+$L$25))*I48*$K$32)</f>
        <v>61440</v>
      </c>
      <c r="D27" s="65">
        <v>25</v>
      </c>
      <c r="E27" s="66">
        <f t="shared" ref="E27:E36" si="0">SUM(B27:C27)*(1+(D27/100))</f>
        <v>93583.333333333343</v>
      </c>
      <c r="F27" s="53"/>
      <c r="G27" s="8"/>
      <c r="H27" s="1" t="s">
        <v>72</v>
      </c>
      <c r="I27" s="114">
        <v>50000</v>
      </c>
      <c r="J27" s="163" t="s">
        <v>137</v>
      </c>
      <c r="K27" s="83"/>
      <c r="L27" s="8"/>
      <c r="M27" s="9"/>
    </row>
    <row r="28" spans="1:13" x14ac:dyDescent="0.25">
      <c r="A28" s="64" t="s">
        <v>117</v>
      </c>
      <c r="B28" s="61">
        <f t="shared" ref="B28:B31" si="1">(B61/(12*30))*($J$32+2)</f>
        <v>16246.586666666662</v>
      </c>
      <c r="C28" s="61">
        <f t="shared" ref="C28:C31" si="2">($I$32*$I$58*I49*$J$32)+($I$32*($I$57*(1+$L$25))*I49*$K$32)</f>
        <v>70656</v>
      </c>
      <c r="D28" s="65">
        <v>25</v>
      </c>
      <c r="E28" s="54">
        <f t="shared" si="0"/>
        <v>108628.23333333334</v>
      </c>
      <c r="F28" s="53"/>
      <c r="G28" s="8"/>
      <c r="H28" s="1" t="s">
        <v>73</v>
      </c>
      <c r="I28" s="29">
        <v>100000</v>
      </c>
      <c r="J28" s="163"/>
      <c r="K28" s="8"/>
      <c r="L28" s="8"/>
      <c r="M28" s="9"/>
    </row>
    <row r="29" spans="1:13" x14ac:dyDescent="0.25">
      <c r="A29" s="64" t="s">
        <v>118</v>
      </c>
      <c r="B29" s="61">
        <f t="shared" si="1"/>
        <v>18718.893333333333</v>
      </c>
      <c r="C29" s="61">
        <f t="shared" si="2"/>
        <v>81408</v>
      </c>
      <c r="D29" s="65">
        <v>25</v>
      </c>
      <c r="E29" s="54">
        <f t="shared" si="0"/>
        <v>125158.61666666667</v>
      </c>
      <c r="F29" s="53"/>
      <c r="G29" s="8"/>
      <c r="H29" s="1" t="s">
        <v>74</v>
      </c>
      <c r="I29" s="29">
        <v>150000</v>
      </c>
      <c r="J29" s="163"/>
      <c r="K29" s="8"/>
      <c r="L29" s="8"/>
      <c r="M29" s="9"/>
    </row>
    <row r="30" spans="1:13" x14ac:dyDescent="0.25">
      <c r="A30" s="64" t="s">
        <v>119</v>
      </c>
      <c r="B30" s="61">
        <f t="shared" si="1"/>
        <v>19778.453333333335</v>
      </c>
      <c r="C30" s="61">
        <f t="shared" si="2"/>
        <v>86016</v>
      </c>
      <c r="D30" s="65">
        <v>25</v>
      </c>
      <c r="E30" s="54">
        <f t="shared" si="0"/>
        <v>132243.06666666668</v>
      </c>
      <c r="F30" s="53"/>
      <c r="G30" s="8"/>
      <c r="H30" s="28"/>
      <c r="I30" s="28"/>
      <c r="J30" s="28"/>
      <c r="K30" s="8"/>
      <c r="L30" s="8"/>
      <c r="M30" s="9"/>
    </row>
    <row r="31" spans="1:13" ht="19.5" thickBot="1" x14ac:dyDescent="0.35">
      <c r="A31" s="64" t="s">
        <v>120</v>
      </c>
      <c r="B31" s="59">
        <f t="shared" si="1"/>
        <v>22603.946666666667</v>
      </c>
      <c r="C31" s="59">
        <f t="shared" si="2"/>
        <v>98304</v>
      </c>
      <c r="D31" s="37">
        <v>25</v>
      </c>
      <c r="E31" s="56">
        <f t="shared" si="0"/>
        <v>151134.93333333335</v>
      </c>
      <c r="F31" s="53"/>
      <c r="G31" s="8"/>
      <c r="H31" s="79" t="s">
        <v>83</v>
      </c>
      <c r="I31" s="1" t="s">
        <v>98</v>
      </c>
      <c r="J31" s="1" t="s">
        <v>97</v>
      </c>
      <c r="K31" s="1" t="s">
        <v>96</v>
      </c>
      <c r="L31" s="8"/>
      <c r="M31" s="9"/>
    </row>
    <row r="32" spans="1:13" x14ac:dyDescent="0.25">
      <c r="A32" s="15" t="s">
        <v>121</v>
      </c>
      <c r="B32" s="61">
        <f>(B60/(12*30))*($J$33+2)</f>
        <v>29538.666666666668</v>
      </c>
      <c r="C32" s="61">
        <f>($I$33*$I$58*I48*$J$33)+($I$33*($I$58*(1+$L$25))*I48*$K$33)</f>
        <v>307200</v>
      </c>
      <c r="D32" s="65">
        <v>20</v>
      </c>
      <c r="E32" s="66">
        <f t="shared" si="0"/>
        <v>404086.4</v>
      </c>
      <c r="F32" s="53"/>
      <c r="G32" s="8"/>
      <c r="H32" s="80" t="s">
        <v>94</v>
      </c>
      <c r="I32" s="1">
        <v>12</v>
      </c>
      <c r="J32" s="1">
        <v>8</v>
      </c>
      <c r="K32" s="1">
        <v>0</v>
      </c>
      <c r="L32" s="8"/>
      <c r="M32" s="9"/>
    </row>
    <row r="33" spans="1:13" x14ac:dyDescent="0.25">
      <c r="A33" s="15" t="s">
        <v>122</v>
      </c>
      <c r="B33" s="61">
        <f>(B61/(12*30))*($J$33+2)</f>
        <v>35742.490666666657</v>
      </c>
      <c r="C33" s="61">
        <f t="shared" ref="C33:C35" si="3">($I$33*$I$58*I49*$J$33)+($I$33*($I$58*(1+$L$25))*I49*$K$33)</f>
        <v>353280</v>
      </c>
      <c r="D33" s="65">
        <v>20</v>
      </c>
      <c r="E33" s="54">
        <f t="shared" si="0"/>
        <v>466826.98879999999</v>
      </c>
      <c r="F33" s="53"/>
      <c r="G33" s="8"/>
      <c r="H33" s="80" t="s">
        <v>81</v>
      </c>
      <c r="I33" s="1">
        <v>24</v>
      </c>
      <c r="J33" s="1">
        <v>20</v>
      </c>
      <c r="K33" s="1">
        <v>0</v>
      </c>
      <c r="L33" s="115"/>
      <c r="M33" s="116"/>
    </row>
    <row r="34" spans="1:13" x14ac:dyDescent="0.25">
      <c r="A34" s="15" t="s">
        <v>123</v>
      </c>
      <c r="B34" s="61">
        <f>(B62/(12*30))*($J$33+2)</f>
        <v>41181.565333333339</v>
      </c>
      <c r="C34" s="61">
        <f t="shared" si="3"/>
        <v>407040</v>
      </c>
      <c r="D34" s="65">
        <v>20</v>
      </c>
      <c r="E34" s="54">
        <f t="shared" si="0"/>
        <v>537865.87839999993</v>
      </c>
      <c r="F34" s="53"/>
      <c r="G34" s="8"/>
      <c r="H34" s="81" t="s">
        <v>82</v>
      </c>
      <c r="I34" s="1">
        <v>32</v>
      </c>
      <c r="J34" s="1">
        <v>22</v>
      </c>
      <c r="K34" s="1">
        <v>9</v>
      </c>
      <c r="L34" s="164" t="s">
        <v>140</v>
      </c>
      <c r="M34" s="165"/>
    </row>
    <row r="35" spans="1:13" x14ac:dyDescent="0.25">
      <c r="A35" s="15" t="s">
        <v>124</v>
      </c>
      <c r="B35" s="61">
        <f>(B63/(12*30))*($J$33+2)</f>
        <v>43512.597333333339</v>
      </c>
      <c r="C35" s="61">
        <f t="shared" si="3"/>
        <v>430080</v>
      </c>
      <c r="D35" s="65">
        <v>20</v>
      </c>
      <c r="E35" s="54">
        <f t="shared" si="0"/>
        <v>568311.11679999996</v>
      </c>
      <c r="F35" s="53"/>
      <c r="G35" s="8"/>
      <c r="H35" s="28"/>
      <c r="I35" s="28"/>
      <c r="J35" s="28"/>
      <c r="K35" s="8"/>
      <c r="L35" s="8"/>
      <c r="M35" s="9"/>
    </row>
    <row r="36" spans="1:13" ht="19.5" thickBot="1" x14ac:dyDescent="0.35">
      <c r="A36" s="15" t="s">
        <v>125</v>
      </c>
      <c r="B36" s="59">
        <f>(B64/(12*30))*($J$33+2)</f>
        <v>49728.682666666668</v>
      </c>
      <c r="C36" s="59">
        <f>($I$33*$I$58*I52*$J$33)+($I$33*($I$58*(1+$L$25))*I52*$K$33)</f>
        <v>491520</v>
      </c>
      <c r="D36" s="37">
        <v>20</v>
      </c>
      <c r="E36" s="56">
        <f t="shared" si="0"/>
        <v>649498.4192</v>
      </c>
      <c r="F36" s="8"/>
      <c r="G36" s="8"/>
      <c r="I36" s="108"/>
      <c r="J36" s="109"/>
      <c r="K36" s="8"/>
      <c r="L36" s="8"/>
      <c r="M36" s="9"/>
    </row>
    <row r="37" spans="1:13" x14ac:dyDescent="0.25">
      <c r="A37" s="15" t="s">
        <v>126</v>
      </c>
      <c r="B37" s="61">
        <f>(B60/(12*30))*($J$34+2)</f>
        <v>32224</v>
      </c>
      <c r="C37" s="61">
        <f>($I$34*$I$58*I48*$J$34)+($I$34*($I$58*(1+$L$25))*I48*$K$34)</f>
        <v>819200</v>
      </c>
      <c r="D37" s="65">
        <v>20</v>
      </c>
      <c r="E37" s="66">
        <f>SUM(B37:C37)*(1+(D37/100))</f>
        <v>1021708.7999999999</v>
      </c>
      <c r="F37" s="8"/>
      <c r="G37" s="8"/>
      <c r="H37" s="8"/>
      <c r="I37" s="8"/>
      <c r="J37" s="8"/>
      <c r="K37" s="8"/>
      <c r="L37" s="8"/>
      <c r="M37" s="9"/>
    </row>
    <row r="38" spans="1:13" x14ac:dyDescent="0.25">
      <c r="A38" s="15" t="s">
        <v>127</v>
      </c>
      <c r="B38" s="61">
        <f t="shared" ref="B38:B41" si="4">(B61/(12*30))*($J$34+2)</f>
        <v>38991.80799999999</v>
      </c>
      <c r="C38" s="57">
        <f>($I$34*$I$58*I49*$J$34)+($I$34*($I$58*(1+$L$25))*I49*$K$34)</f>
        <v>942080</v>
      </c>
      <c r="D38" s="5">
        <v>20</v>
      </c>
      <c r="E38" s="54">
        <f t="shared" ref="E38:E55" si="5">SUM(B38:C38)*(1+(D38/100))</f>
        <v>1177286.1695999999</v>
      </c>
      <c r="F38" s="8"/>
      <c r="G38" s="8"/>
      <c r="H38" s="8"/>
      <c r="I38" s="8"/>
      <c r="J38" s="8"/>
      <c r="K38" s="8"/>
      <c r="L38" s="8"/>
      <c r="M38" s="9"/>
    </row>
    <row r="39" spans="1:13" ht="18.75" x14ac:dyDescent="0.3">
      <c r="A39" s="15" t="s">
        <v>128</v>
      </c>
      <c r="B39" s="61">
        <f t="shared" si="4"/>
        <v>44925.344000000005</v>
      </c>
      <c r="C39" s="57">
        <f t="shared" ref="C39:C41" si="6">($I$34*$I$58*I50*$J$34)+($I$34*($I$58*(1+$L$25))*I50*$K$34)</f>
        <v>1085440</v>
      </c>
      <c r="D39" s="5">
        <v>20</v>
      </c>
      <c r="E39" s="54">
        <f t="shared" si="5"/>
        <v>1356438.4128</v>
      </c>
      <c r="F39" s="8"/>
      <c r="G39" s="8"/>
      <c r="H39" s="19" t="s">
        <v>31</v>
      </c>
      <c r="I39" s="26"/>
      <c r="J39" s="23"/>
      <c r="K39" s="24"/>
      <c r="L39" s="25"/>
      <c r="M39" s="9"/>
    </row>
    <row r="40" spans="1:13" x14ac:dyDescent="0.25">
      <c r="A40" s="15" t="s">
        <v>129</v>
      </c>
      <c r="B40" s="61">
        <f t="shared" si="4"/>
        <v>47468.288</v>
      </c>
      <c r="C40" s="57">
        <f t="shared" si="6"/>
        <v>1146880</v>
      </c>
      <c r="D40" s="5">
        <v>20</v>
      </c>
      <c r="E40" s="54">
        <f t="shared" si="5"/>
        <v>1433217.9456</v>
      </c>
      <c r="F40" s="8"/>
      <c r="G40" s="8"/>
      <c r="H40" s="107" t="s">
        <v>24</v>
      </c>
      <c r="I40" s="107"/>
      <c r="J40" s="1" t="s">
        <v>37</v>
      </c>
      <c r="K40" s="1" t="s">
        <v>36</v>
      </c>
      <c r="L40" s="8"/>
      <c r="M40" s="9"/>
    </row>
    <row r="41" spans="1:13" ht="15.75" thickBot="1" x14ac:dyDescent="0.3">
      <c r="A41" s="15" t="s">
        <v>130</v>
      </c>
      <c r="B41" s="122">
        <f t="shared" si="4"/>
        <v>54249.471999999994</v>
      </c>
      <c r="C41" s="122">
        <f t="shared" si="6"/>
        <v>1310720</v>
      </c>
      <c r="D41" s="123">
        <v>20</v>
      </c>
      <c r="E41" s="124">
        <f t="shared" si="5"/>
        <v>1637963.3663999999</v>
      </c>
      <c r="F41" s="8"/>
      <c r="G41" s="8"/>
      <c r="H41" s="107" t="s">
        <v>32</v>
      </c>
      <c r="I41" s="107"/>
      <c r="J41" s="29">
        <v>657</v>
      </c>
      <c r="K41" s="1">
        <v>8</v>
      </c>
      <c r="L41" s="8"/>
      <c r="M41" s="9"/>
    </row>
    <row r="42" spans="1:13" ht="15.75" thickTop="1" x14ac:dyDescent="0.25">
      <c r="A42" s="60" t="s">
        <v>86</v>
      </c>
      <c r="B42" s="61">
        <f>B60/12*2</f>
        <v>80560</v>
      </c>
      <c r="C42" s="61">
        <f>I27*I48</f>
        <v>2000000</v>
      </c>
      <c r="D42" s="62">
        <v>20</v>
      </c>
      <c r="E42" s="63">
        <f>SUM(B42:C42)*(1+(D42/100))</f>
        <v>2496672</v>
      </c>
      <c r="F42" s="8"/>
      <c r="G42" s="8"/>
      <c r="H42" s="107" t="s">
        <v>33</v>
      </c>
      <c r="I42" s="107"/>
      <c r="J42" s="29">
        <v>200</v>
      </c>
      <c r="K42" s="1">
        <v>0</v>
      </c>
      <c r="L42" s="8"/>
      <c r="M42" s="9"/>
    </row>
    <row r="43" spans="1:13" x14ac:dyDescent="0.25">
      <c r="A43" s="1" t="s">
        <v>66</v>
      </c>
      <c r="B43" s="57">
        <f>B60/12*2</f>
        <v>80560</v>
      </c>
      <c r="C43" s="57">
        <f>I28*I48</f>
        <v>4000000</v>
      </c>
      <c r="D43" s="46">
        <v>20</v>
      </c>
      <c r="E43" s="55">
        <f t="shared" ref="E43" si="7">SUM(B43:C43)*(1+(D43/100))</f>
        <v>4896672</v>
      </c>
      <c r="F43" s="8"/>
      <c r="G43" s="8"/>
      <c r="H43" s="107" t="s">
        <v>34</v>
      </c>
      <c r="I43" s="107"/>
      <c r="J43" s="29">
        <v>150</v>
      </c>
      <c r="K43" s="1">
        <v>0</v>
      </c>
      <c r="L43" s="8"/>
      <c r="M43" s="9"/>
    </row>
    <row r="44" spans="1:13" ht="15.75" thickBot="1" x14ac:dyDescent="0.3">
      <c r="A44" s="41" t="s">
        <v>84</v>
      </c>
      <c r="B44" s="59">
        <f>B60/12*2</f>
        <v>80560</v>
      </c>
      <c r="C44" s="59">
        <f>I29*I48</f>
        <v>6000000</v>
      </c>
      <c r="D44" s="37">
        <v>20</v>
      </c>
      <c r="E44" s="56">
        <f>SUM(B44:C44)*(1+(D44/100))</f>
        <v>7296672</v>
      </c>
      <c r="F44" s="8"/>
      <c r="G44" s="8"/>
      <c r="H44" s="107" t="s">
        <v>35</v>
      </c>
      <c r="I44" s="107"/>
      <c r="J44" s="29">
        <f>SUM(J41:J43)</f>
        <v>1007</v>
      </c>
      <c r="K44" s="1"/>
      <c r="L44" s="8"/>
      <c r="M44" s="9"/>
    </row>
    <row r="45" spans="1:13" x14ac:dyDescent="0.25">
      <c r="A45" s="60" t="s">
        <v>85</v>
      </c>
      <c r="B45" s="61">
        <f>B61/12*2</f>
        <v>97479.519999999975</v>
      </c>
      <c r="C45" s="61">
        <f>I27*$I$49</f>
        <v>2300000</v>
      </c>
      <c r="D45" s="46">
        <v>20</v>
      </c>
      <c r="E45" s="55">
        <f t="shared" ref="E45" si="8">SUM(B45:C45)*(1+(D45/100))</f>
        <v>2876975.4240000001</v>
      </c>
      <c r="F45" s="8"/>
      <c r="G45" s="8"/>
      <c r="H45" s="8"/>
      <c r="I45" s="8"/>
      <c r="J45" s="8"/>
      <c r="K45" s="8"/>
      <c r="L45" s="8"/>
      <c r="M45" s="9"/>
    </row>
    <row r="46" spans="1:13" ht="18.75" x14ac:dyDescent="0.3">
      <c r="A46" s="1" t="s">
        <v>67</v>
      </c>
      <c r="B46" s="57">
        <f>B61/12*2</f>
        <v>97479.519999999975</v>
      </c>
      <c r="C46" s="57">
        <f t="shared" ref="C46:C47" si="9">I28*$I$49</f>
        <v>4600000</v>
      </c>
      <c r="D46" s="46">
        <v>20</v>
      </c>
      <c r="E46" s="55">
        <f>SUM(B46:C46)*(1+(D46/100))</f>
        <v>5636975.4239999996</v>
      </c>
      <c r="F46" s="50"/>
      <c r="G46" s="8"/>
      <c r="H46" s="2" t="s">
        <v>38</v>
      </c>
      <c r="I46" s="3"/>
      <c r="J46" s="8"/>
      <c r="K46" s="8"/>
      <c r="L46" s="8"/>
      <c r="M46" s="9"/>
    </row>
    <row r="47" spans="1:13" ht="15.75" thickBot="1" x14ac:dyDescent="0.3">
      <c r="A47" s="41" t="s">
        <v>87</v>
      </c>
      <c r="B47" s="59">
        <f>B61/12*2</f>
        <v>97479.519999999975</v>
      </c>
      <c r="C47" s="59">
        <f t="shared" si="9"/>
        <v>6900000</v>
      </c>
      <c r="D47" s="37">
        <v>20</v>
      </c>
      <c r="E47" s="56">
        <f>SUM(B47:C47)*(1+(D47/100))</f>
        <v>8396975.4239999987</v>
      </c>
      <c r="F47" s="52"/>
      <c r="G47" s="8"/>
      <c r="H47" s="1" t="s">
        <v>39</v>
      </c>
      <c r="I47" s="1" t="s">
        <v>56</v>
      </c>
      <c r="J47" s="8"/>
      <c r="K47" s="8"/>
      <c r="L47" s="8"/>
      <c r="M47" s="9"/>
    </row>
    <row r="48" spans="1:13" ht="21" customHeight="1" x14ac:dyDescent="0.25">
      <c r="A48" s="60" t="s">
        <v>88</v>
      </c>
      <c r="B48" s="61">
        <f>$B$62/12*2</f>
        <v>112313.36</v>
      </c>
      <c r="C48" s="61">
        <f>I27*$I$50</f>
        <v>2650000</v>
      </c>
      <c r="D48" s="46">
        <v>20</v>
      </c>
      <c r="E48" s="55">
        <f t="shared" ref="E48:E49" si="10">SUM(B48:C48)*(1+(D48/100))</f>
        <v>3314776.0319999997</v>
      </c>
      <c r="F48" s="8"/>
      <c r="G48" s="8"/>
      <c r="H48" s="1">
        <v>0</v>
      </c>
      <c r="I48" s="57">
        <v>40</v>
      </c>
      <c r="J48" s="145" t="s">
        <v>142</v>
      </c>
      <c r="K48" s="8"/>
      <c r="L48" s="8"/>
      <c r="M48" s="9"/>
    </row>
    <row r="49" spans="1:13" x14ac:dyDescent="0.25">
      <c r="A49" s="1" t="s">
        <v>68</v>
      </c>
      <c r="B49" s="57">
        <f>$B$62/12*2</f>
        <v>112313.36</v>
      </c>
      <c r="C49" s="57">
        <f t="shared" ref="C49:C50" si="11">I28*$I$50</f>
        <v>5300000</v>
      </c>
      <c r="D49" s="46">
        <v>20</v>
      </c>
      <c r="E49" s="55">
        <f t="shared" si="10"/>
        <v>6494776.0320000006</v>
      </c>
      <c r="F49" s="8"/>
      <c r="G49" s="8"/>
      <c r="H49" s="1">
        <v>1</v>
      </c>
      <c r="I49" s="57">
        <v>46</v>
      </c>
      <c r="J49" s="168"/>
      <c r="K49" s="8"/>
      <c r="L49" s="8"/>
      <c r="M49" s="9"/>
    </row>
    <row r="50" spans="1:13" ht="15.75" thickBot="1" x14ac:dyDescent="0.3">
      <c r="A50" s="41" t="s">
        <v>89</v>
      </c>
      <c r="B50" s="59">
        <f>$B$62/12*2</f>
        <v>112313.36</v>
      </c>
      <c r="C50" s="59">
        <f t="shared" si="11"/>
        <v>7950000</v>
      </c>
      <c r="D50" s="37">
        <v>20</v>
      </c>
      <c r="E50" s="56">
        <f>SUM(B50:C50)*(1+(D50/100))</f>
        <v>9674776.0319999997</v>
      </c>
      <c r="F50" s="8"/>
      <c r="G50" s="8"/>
      <c r="H50" s="1">
        <v>2</v>
      </c>
      <c r="I50" s="57">
        <v>53</v>
      </c>
      <c r="J50" s="168"/>
      <c r="K50" s="8"/>
      <c r="L50" s="8"/>
      <c r="M50" s="9"/>
    </row>
    <row r="51" spans="1:13" x14ac:dyDescent="0.25">
      <c r="A51" s="60" t="s">
        <v>69</v>
      </c>
      <c r="B51" s="61">
        <f>$B$63/12*2</f>
        <v>118670.72000000002</v>
      </c>
      <c r="C51" s="61">
        <f>I27*$I$51</f>
        <v>2800000</v>
      </c>
      <c r="D51" s="46">
        <v>20</v>
      </c>
      <c r="E51" s="55">
        <f t="shared" ref="E51:E52" si="12">SUM(B51:C51)*(1+(D51/100))</f>
        <v>3502404.8640000001</v>
      </c>
      <c r="F51" s="8"/>
      <c r="G51" s="8"/>
      <c r="H51" s="1">
        <v>3</v>
      </c>
      <c r="I51" s="57">
        <v>56</v>
      </c>
      <c r="J51" s="168"/>
      <c r="K51" s="8"/>
      <c r="L51" s="8"/>
      <c r="M51" s="9"/>
    </row>
    <row r="52" spans="1:13" x14ac:dyDescent="0.25">
      <c r="A52" s="1" t="s">
        <v>90</v>
      </c>
      <c r="B52" s="57">
        <f>$B$63/12*2</f>
        <v>118670.72000000002</v>
      </c>
      <c r="C52" s="57">
        <f t="shared" ref="C52:C53" si="13">I28*$I$51</f>
        <v>5600000</v>
      </c>
      <c r="D52" s="46">
        <v>20</v>
      </c>
      <c r="E52" s="55">
        <f t="shared" si="12"/>
        <v>6862404.8639999991</v>
      </c>
      <c r="F52" s="8"/>
      <c r="G52" s="8"/>
      <c r="H52" s="1">
        <v>4</v>
      </c>
      <c r="I52" s="57">
        <v>64</v>
      </c>
      <c r="J52" s="168"/>
      <c r="K52" s="8"/>
      <c r="L52" s="8"/>
      <c r="M52" s="9"/>
    </row>
    <row r="53" spans="1:13" ht="15.75" thickBot="1" x14ac:dyDescent="0.3">
      <c r="A53" s="41" t="s">
        <v>91</v>
      </c>
      <c r="B53" s="59">
        <f>$B$63/12*2</f>
        <v>118670.72000000002</v>
      </c>
      <c r="C53" s="59">
        <f t="shared" si="13"/>
        <v>8400000</v>
      </c>
      <c r="D53" s="37">
        <v>20</v>
      </c>
      <c r="E53" s="56">
        <f>SUM(B53:C53)*(1+(D53/100))</f>
        <v>10222404.864</v>
      </c>
      <c r="F53" s="8"/>
      <c r="G53" s="8"/>
      <c r="H53" s="8"/>
      <c r="I53" s="8"/>
      <c r="J53" s="8"/>
      <c r="K53" s="8"/>
      <c r="L53" s="8"/>
      <c r="M53" s="9"/>
    </row>
    <row r="54" spans="1:13" x14ac:dyDescent="0.25">
      <c r="A54" s="60" t="s">
        <v>70</v>
      </c>
      <c r="B54" s="61">
        <f>$B$64/12*2</f>
        <v>135623.67999999999</v>
      </c>
      <c r="C54" s="61">
        <f>I27*$I$52</f>
        <v>3200000</v>
      </c>
      <c r="D54" s="46">
        <v>20</v>
      </c>
      <c r="E54" s="55">
        <f t="shared" si="5"/>
        <v>4002748.4160000002</v>
      </c>
      <c r="F54" s="8"/>
      <c r="G54" s="8"/>
      <c r="H54" s="8"/>
      <c r="I54" s="8"/>
      <c r="J54" s="8"/>
      <c r="K54" s="8"/>
      <c r="L54" s="8"/>
      <c r="M54" s="9"/>
    </row>
    <row r="55" spans="1:13" x14ac:dyDescent="0.25">
      <c r="A55" s="1" t="s">
        <v>92</v>
      </c>
      <c r="B55" s="57">
        <f>$B$64/12*2</f>
        <v>135623.67999999999</v>
      </c>
      <c r="C55" s="57">
        <f t="shared" ref="C55:C56" si="14">I28*$I$52</f>
        <v>6400000</v>
      </c>
      <c r="D55" s="46">
        <v>20</v>
      </c>
      <c r="E55" s="55">
        <f t="shared" si="5"/>
        <v>7842748.4159999993</v>
      </c>
      <c r="F55" s="8"/>
      <c r="G55" s="8"/>
      <c r="H55" s="8"/>
      <c r="I55" s="8"/>
      <c r="J55" s="8"/>
      <c r="K55" s="8"/>
      <c r="L55" s="8"/>
      <c r="M55" s="9"/>
    </row>
    <row r="56" spans="1:13" ht="19.5" thickBot="1" x14ac:dyDescent="0.35">
      <c r="A56" s="41" t="s">
        <v>93</v>
      </c>
      <c r="B56" s="59">
        <f>$B$64/12*2</f>
        <v>135623.67999999999</v>
      </c>
      <c r="C56" s="59">
        <f t="shared" si="14"/>
        <v>9600000</v>
      </c>
      <c r="D56" s="37">
        <v>20</v>
      </c>
      <c r="E56" s="56">
        <f>SUM(B56:C56)*(1+(D56/100))</f>
        <v>11682748.415999999</v>
      </c>
      <c r="F56" s="8"/>
      <c r="G56" s="8"/>
      <c r="H56" s="22" t="s">
        <v>45</v>
      </c>
      <c r="I56" s="8"/>
      <c r="J56" s="8"/>
      <c r="K56" s="8"/>
      <c r="L56" s="8"/>
      <c r="M56" s="9"/>
    </row>
    <row r="57" spans="1:13" ht="15.75" x14ac:dyDescent="0.25">
      <c r="A57" s="7"/>
      <c r="B57" s="8"/>
      <c r="C57" s="8"/>
      <c r="D57" s="8"/>
      <c r="E57" s="8"/>
      <c r="F57" s="8"/>
      <c r="G57" s="8"/>
      <c r="H57" s="21" t="s">
        <v>42</v>
      </c>
      <c r="I57" s="29">
        <v>8</v>
      </c>
      <c r="J57" s="8"/>
      <c r="K57" s="8"/>
      <c r="L57" s="8"/>
      <c r="M57" s="9"/>
    </row>
    <row r="58" spans="1:13" ht="16.5" thickBot="1" x14ac:dyDescent="0.3">
      <c r="A58" s="7"/>
      <c r="B58" s="8"/>
      <c r="C58" s="8"/>
      <c r="D58" s="8"/>
      <c r="E58" s="8"/>
      <c r="F58" s="8"/>
      <c r="G58" s="8"/>
      <c r="H58" s="21" t="s">
        <v>99</v>
      </c>
      <c r="I58" s="29">
        <v>16</v>
      </c>
      <c r="J58" s="52" t="s">
        <v>144</v>
      </c>
      <c r="K58" s="8"/>
      <c r="L58" s="8"/>
      <c r="M58" s="9"/>
    </row>
    <row r="59" spans="1:13" ht="18.75" x14ac:dyDescent="0.3">
      <c r="A59" s="34" t="s">
        <v>17</v>
      </c>
      <c r="B59" s="31" t="s">
        <v>18</v>
      </c>
      <c r="C59" s="31" t="s">
        <v>151</v>
      </c>
      <c r="D59" s="32" t="s">
        <v>54</v>
      </c>
      <c r="E59" s="8"/>
      <c r="F59" s="8"/>
      <c r="G59" s="8"/>
      <c r="H59" s="1" t="s">
        <v>43</v>
      </c>
      <c r="I59" s="45">
        <v>8</v>
      </c>
      <c r="J59" s="145" t="s">
        <v>146</v>
      </c>
      <c r="K59" s="8"/>
      <c r="L59" s="8"/>
      <c r="M59" s="9"/>
    </row>
    <row r="60" spans="1:13" x14ac:dyDescent="0.25">
      <c r="A60" s="13" t="s">
        <v>6</v>
      </c>
      <c r="B60" s="57">
        <f>(J41*(1+((K41/100)*0))+ J42*(1+((K42/100)*0)) + J43*(1+((K43/100)*0)))*I48*12</f>
        <v>483360</v>
      </c>
      <c r="C60" s="57">
        <f>I62*12+(I67*I48+I68*I48+I69*I48)*12 +F17*C42+G17*C43+H17*C44 + I76</f>
        <v>3540863.9999999995</v>
      </c>
      <c r="D60" s="76">
        <f>SUM(B60:C60)</f>
        <v>4024223.9999999995</v>
      </c>
      <c r="E60" s="8"/>
      <c r="F60" s="8"/>
      <c r="G60" s="8"/>
      <c r="H60" s="1" t="s">
        <v>44</v>
      </c>
      <c r="I60" s="45">
        <v>22</v>
      </c>
      <c r="J60" s="145"/>
      <c r="K60" s="8"/>
      <c r="L60" s="8"/>
      <c r="M60" s="9"/>
    </row>
    <row r="61" spans="1:13" x14ac:dyDescent="0.25">
      <c r="A61" s="13" t="s">
        <v>7</v>
      </c>
      <c r="B61" s="57">
        <f>((($J$41*(1+(($K$41/100)*1)))+ ($J$42*(1+(($K$42/100)*1))) + ($J$43*(1+(($K$43/100)*1))))*I49*12)*((1+$J$36)^1)</f>
        <v>584877.11999999988</v>
      </c>
      <c r="C61" s="57">
        <f>(I63*12+($I$67*I49+$I$68*I49+I69*I49)*12) +F18*C45+G18*C46+H18*C47 +I77</f>
        <v>8671993.5999999996</v>
      </c>
      <c r="D61" s="76">
        <f>SUM(B61:C61)</f>
        <v>9256870.7199999988</v>
      </c>
      <c r="E61" s="8"/>
      <c r="F61" s="8"/>
      <c r="G61" s="8"/>
      <c r="H61" s="1" t="s">
        <v>46</v>
      </c>
      <c r="I61" s="45">
        <v>4</v>
      </c>
      <c r="J61" s="8"/>
      <c r="K61" s="8"/>
      <c r="L61" s="8"/>
      <c r="M61" s="9"/>
    </row>
    <row r="62" spans="1:13" x14ac:dyDescent="0.25">
      <c r="A62" s="13" t="s">
        <v>8</v>
      </c>
      <c r="B62" s="57">
        <f>((($J$41*(1+(($K$41/100)*1)))+ ($J$42*(1+(($K$42/100)*1))) + ($J$43*(1+(($K$43/100)*1))))*I50*12)*((1+$J$36)^2)</f>
        <v>673880.16</v>
      </c>
      <c r="C62" s="57">
        <f>(I64*12+($I$67*I50+$I$68*I50+I69*I50)*12) +(F19*C48+G19*C49+H19*C50) +I78</f>
        <v>4935868.8</v>
      </c>
      <c r="D62" s="76">
        <f t="shared" ref="D62:D66" si="15">SUM(B62:C62)</f>
        <v>5609748.96</v>
      </c>
      <c r="E62" s="8"/>
      <c r="F62" s="8"/>
      <c r="G62" s="8"/>
      <c r="H62" s="1" t="s">
        <v>47</v>
      </c>
      <c r="I62" s="57">
        <f>(I57*I48*I59*I60*I61)*(1+(I70+I71+I72))</f>
        <v>259071.99999999997</v>
      </c>
      <c r="J62" s="8"/>
      <c r="K62" s="8"/>
      <c r="L62" s="8"/>
      <c r="M62" s="9"/>
    </row>
    <row r="63" spans="1:13" x14ac:dyDescent="0.25">
      <c r="A63" s="13" t="s">
        <v>9</v>
      </c>
      <c r="B63" s="57">
        <f>((($J$41*(1+(($K$41/100)*1)))+ ($J$42*(1+(($K$42/100)*1))) + ($J$43*(1+(($K$43/100)*1))))*I51*12)*((1+$J$36)^3)</f>
        <v>712024.32000000007</v>
      </c>
      <c r="C63" s="57">
        <f>(I65*12+($I$67*I51+$I$68*I51)*12)+(F20*C51+G20*C52+H20*C53) +I79</f>
        <v>5047257.5999999996</v>
      </c>
      <c r="D63" s="76">
        <f t="shared" si="15"/>
        <v>5759281.9199999999</v>
      </c>
      <c r="E63" s="8"/>
      <c r="F63" s="8"/>
      <c r="G63" s="8"/>
      <c r="H63" s="1" t="s">
        <v>48</v>
      </c>
      <c r="I63" s="57">
        <f>(I57*I49*I59*I60*I61)*(1+(I70+I71+I72))</f>
        <v>297932.79999999999</v>
      </c>
      <c r="J63" s="8"/>
      <c r="K63" s="8"/>
      <c r="L63" s="8"/>
      <c r="M63" s="9"/>
    </row>
    <row r="64" spans="1:13" x14ac:dyDescent="0.25">
      <c r="A64" s="13" t="s">
        <v>10</v>
      </c>
      <c r="B64" s="57">
        <f>((($J$41*(1+(($K$41/100)*1)))+ ($J$42*(1+(($K$42/100)*1))) + ($J$43*(1+(($K$43/100)*1))))*I52*12)*((1+$J$36)^4)</f>
        <v>813742.07999999996</v>
      </c>
      <c r="C64" s="57">
        <f>(I66*12+($I$67*I52+$I$68*I52+I69*I52)*12)+(F21*C54+G21*C55+H21*C56) +I80</f>
        <v>6550118.3999999994</v>
      </c>
      <c r="D64" s="76">
        <f t="shared" si="15"/>
        <v>7363860.4799999995</v>
      </c>
      <c r="E64" s="8"/>
      <c r="F64" s="8"/>
      <c r="G64" s="8"/>
      <c r="H64" s="1" t="s">
        <v>49</v>
      </c>
      <c r="I64" s="57">
        <f>(I57*I50*I59*I60*I61)*(1+(I70+I71+I72))</f>
        <v>343270.39999999997</v>
      </c>
      <c r="J64" s="8"/>
      <c r="K64" s="8"/>
      <c r="L64" s="8"/>
      <c r="M64" s="9"/>
    </row>
    <row r="65" spans="1:13" ht="15.75" thickBot="1" x14ac:dyDescent="0.3">
      <c r="A65" s="14"/>
      <c r="B65" s="58"/>
      <c r="C65" s="58"/>
      <c r="D65" s="77"/>
      <c r="E65" s="8"/>
      <c r="F65" s="8"/>
      <c r="G65" s="8"/>
      <c r="H65" s="1" t="s">
        <v>50</v>
      </c>
      <c r="I65" s="57">
        <f>(I57*I51*I59*I60*I61)*(1+(I70+I71+I72))</f>
        <v>362700.79999999999</v>
      </c>
      <c r="J65" s="8"/>
      <c r="K65" s="8"/>
      <c r="L65" s="8"/>
      <c r="M65" s="9"/>
    </row>
    <row r="66" spans="1:13" ht="16.5" thickTop="1" thickBot="1" x14ac:dyDescent="0.3">
      <c r="A66" s="35" t="s">
        <v>12</v>
      </c>
      <c r="B66" s="78">
        <f>SUM(B60:B64)</f>
        <v>3267883.6799999997</v>
      </c>
      <c r="C66" s="78">
        <f>SUM(C60:C65)</f>
        <v>28746102.399999999</v>
      </c>
      <c r="D66" s="75">
        <f t="shared" si="15"/>
        <v>32013986.079999998</v>
      </c>
      <c r="E66" s="8"/>
      <c r="F66" s="8"/>
      <c r="G66" s="8"/>
      <c r="H66" s="1" t="s">
        <v>51</v>
      </c>
      <c r="I66" s="57">
        <f>(I57*I52*I59*I60*I61)*(1+(I70+I71+I72))</f>
        <v>414515.19999999995</v>
      </c>
      <c r="J66" s="62"/>
      <c r="K66" s="8"/>
      <c r="L66" s="8"/>
      <c r="M66" s="9"/>
    </row>
    <row r="67" spans="1:13" ht="15.75" thickBot="1" x14ac:dyDescent="0.3">
      <c r="A67" s="7"/>
      <c r="B67" s="8"/>
      <c r="C67" s="8"/>
      <c r="D67" s="8"/>
      <c r="E67" s="8"/>
      <c r="F67" s="8"/>
      <c r="G67" s="8"/>
      <c r="H67" s="1" t="s">
        <v>76</v>
      </c>
      <c r="I67" s="29">
        <v>150</v>
      </c>
      <c r="J67" s="8"/>
      <c r="K67" s="8"/>
      <c r="L67" s="8"/>
      <c r="M67" s="9"/>
    </row>
    <row r="68" spans="1:13" ht="20.25" x14ac:dyDescent="0.3">
      <c r="A68" s="105" t="s">
        <v>41</v>
      </c>
      <c r="B68" s="106"/>
      <c r="C68" s="103" t="s">
        <v>19</v>
      </c>
      <c r="D68" s="103"/>
      <c r="E68" s="104"/>
      <c r="F68" s="8"/>
      <c r="G68" s="8"/>
      <c r="H68" s="1" t="s">
        <v>77</v>
      </c>
      <c r="I68" s="29">
        <v>500</v>
      </c>
      <c r="J68" s="8"/>
      <c r="K68" s="8"/>
      <c r="L68" s="8"/>
      <c r="M68" s="9"/>
    </row>
    <row r="69" spans="1:13" ht="29.25" x14ac:dyDescent="0.25">
      <c r="A69" s="20" t="s">
        <v>20</v>
      </c>
      <c r="B69" s="6" t="s">
        <v>21</v>
      </c>
      <c r="C69" s="161" t="s">
        <v>132</v>
      </c>
      <c r="D69" s="6" t="s">
        <v>22</v>
      </c>
      <c r="E69" s="38" t="s">
        <v>23</v>
      </c>
      <c r="F69" s="8"/>
      <c r="G69" s="8"/>
      <c r="H69" s="1" t="s">
        <v>60</v>
      </c>
      <c r="I69" s="29">
        <v>250</v>
      </c>
      <c r="J69" s="8"/>
      <c r="K69" s="8"/>
      <c r="L69" s="8"/>
      <c r="M69" s="9"/>
    </row>
    <row r="70" spans="1:13" x14ac:dyDescent="0.25">
      <c r="A70" s="15" t="s">
        <v>25</v>
      </c>
      <c r="B70" s="29">
        <v>425</v>
      </c>
      <c r="C70" s="29">
        <v>180</v>
      </c>
      <c r="D70" s="1">
        <v>5</v>
      </c>
      <c r="E70" s="39">
        <f>IF(ISERROR((B70-C70)/D70),0,(B70*$I$48-C70*$I$52)/D70)</f>
        <v>1096</v>
      </c>
      <c r="F70" s="8"/>
      <c r="G70" s="8"/>
      <c r="H70" s="1" t="s">
        <v>78</v>
      </c>
      <c r="I70" s="67">
        <v>0.03</v>
      </c>
      <c r="J70" s="8"/>
      <c r="K70" s="8"/>
      <c r="L70" s="8"/>
      <c r="M70" s="9"/>
    </row>
    <row r="71" spans="1:13" x14ac:dyDescent="0.25">
      <c r="A71" s="15" t="s">
        <v>26</v>
      </c>
      <c r="B71" s="29">
        <v>125</v>
      </c>
      <c r="C71" s="29">
        <v>40</v>
      </c>
      <c r="D71" s="1">
        <v>10</v>
      </c>
      <c r="E71" s="39">
        <f>IF(ISERROR((B71-C71)/D71),0,(B71*$I$48-C71*$I$52)/D71)</f>
        <v>244</v>
      </c>
      <c r="F71" s="8"/>
      <c r="G71" s="8"/>
      <c r="H71" s="1" t="s">
        <v>79</v>
      </c>
      <c r="I71" s="67">
        <v>7.4999999999999997E-2</v>
      </c>
      <c r="J71" s="8"/>
      <c r="K71" s="8"/>
      <c r="L71" s="8"/>
      <c r="M71" s="9"/>
    </row>
    <row r="72" spans="1:13" x14ac:dyDescent="0.25">
      <c r="A72" s="15" t="s">
        <v>27</v>
      </c>
      <c r="B72" s="29">
        <v>66</v>
      </c>
      <c r="C72" s="29">
        <v>15</v>
      </c>
      <c r="D72" s="1">
        <v>5</v>
      </c>
      <c r="E72" s="39">
        <f>IF(ISERROR((B72-C72)/D72),0,(B72*$I$48-C72*$I$52)/D72)</f>
        <v>336</v>
      </c>
      <c r="F72" s="8"/>
      <c r="G72" s="8"/>
      <c r="H72" s="68" t="s">
        <v>80</v>
      </c>
      <c r="I72" s="67">
        <v>4.4999999999999998E-2</v>
      </c>
      <c r="J72" s="8"/>
      <c r="K72" s="8"/>
      <c r="L72" s="8"/>
      <c r="M72" s="9"/>
    </row>
    <row r="73" spans="1:13" x14ac:dyDescent="0.25">
      <c r="A73" s="15" t="s">
        <v>28</v>
      </c>
      <c r="B73" s="29">
        <v>279</v>
      </c>
      <c r="C73" s="29">
        <v>110</v>
      </c>
      <c r="D73" s="1">
        <v>5</v>
      </c>
      <c r="E73" s="39">
        <f>IF(ISERROR((B73-C73)/D73),0,(B73*$I$48-C73*$I$52)/D73)</f>
        <v>824</v>
      </c>
      <c r="F73" s="8"/>
      <c r="G73" s="8"/>
      <c r="H73" s="8"/>
      <c r="I73" s="8"/>
      <c r="J73" s="8"/>
      <c r="K73" s="8"/>
      <c r="L73" s="8"/>
      <c r="M73" s="9"/>
    </row>
    <row r="74" spans="1:13" x14ac:dyDescent="0.25">
      <c r="A74" s="15" t="s">
        <v>29</v>
      </c>
      <c r="B74" s="29">
        <v>95</v>
      </c>
      <c r="C74" s="29">
        <v>15</v>
      </c>
      <c r="D74" s="1">
        <v>10</v>
      </c>
      <c r="E74" s="39">
        <f>IF(ISERROR((B74-C74)/D74),0,(B74*$I$48-C74*I50)/D74)</f>
        <v>300.5</v>
      </c>
      <c r="F74" s="8"/>
      <c r="G74" s="8"/>
      <c r="H74" s="8"/>
      <c r="I74" s="8"/>
      <c r="J74" s="8"/>
      <c r="K74" s="8"/>
      <c r="L74" s="8"/>
      <c r="M74" s="9"/>
    </row>
    <row r="75" spans="1:13" ht="18.75" x14ac:dyDescent="0.3">
      <c r="A75" s="15"/>
      <c r="B75" s="29"/>
      <c r="C75" s="29"/>
      <c r="D75" s="1"/>
      <c r="E75" s="39">
        <f t="shared" ref="E75:E98" si="16">IF(ISERROR((B75-C75)/D75),0,(B75*$I$48-C75*$I$52)/D75)</f>
        <v>0</v>
      </c>
      <c r="F75" s="8"/>
      <c r="G75" s="8"/>
      <c r="H75" s="22" t="s">
        <v>106</v>
      </c>
      <c r="I75" s="1"/>
      <c r="J75" s="52" t="s">
        <v>148</v>
      </c>
      <c r="K75" s="8"/>
      <c r="L75" s="8"/>
      <c r="M75" s="9"/>
    </row>
    <row r="76" spans="1:13" x14ac:dyDescent="0.25">
      <c r="A76" s="15"/>
      <c r="B76" s="29"/>
      <c r="C76" s="29"/>
      <c r="D76" s="1"/>
      <c r="E76" s="39">
        <f t="shared" si="16"/>
        <v>0</v>
      </c>
      <c r="F76" s="8"/>
      <c r="G76" s="8"/>
      <c r="H76" s="1" t="s">
        <v>6</v>
      </c>
      <c r="I76" s="138">
        <f>(C17*$K$32*$I$32+$D$17*K33*$I$33+E17*$K$34*$I$34)*($I$57*(1+$L$25)*I48)</f>
        <v>0</v>
      </c>
      <c r="J76" s="8"/>
      <c r="K76" s="8"/>
      <c r="L76" s="8"/>
      <c r="M76" s="9"/>
    </row>
    <row r="77" spans="1:13" x14ac:dyDescent="0.25">
      <c r="A77" s="15"/>
      <c r="B77" s="29"/>
      <c r="C77" s="29"/>
      <c r="D77" s="1"/>
      <c r="E77" s="39">
        <f t="shared" si="16"/>
        <v>0</v>
      </c>
      <c r="F77" s="8"/>
      <c r="G77" s="8"/>
      <c r="H77" s="1" t="s">
        <v>103</v>
      </c>
      <c r="I77" s="138">
        <f t="shared" ref="I77:I80" si="17">(C18*$K$32*$I$32+$D$17*K34*$I$33+E18*$K$34*$I$34)*($I$57*(1+$L$25)*I49)</f>
        <v>0</v>
      </c>
      <c r="J77" s="8"/>
      <c r="K77" s="8"/>
      <c r="L77" s="8"/>
      <c r="M77" s="9"/>
    </row>
    <row r="78" spans="1:13" x14ac:dyDescent="0.25">
      <c r="A78" s="15"/>
      <c r="B78" s="29"/>
      <c r="C78" s="29"/>
      <c r="D78" s="1"/>
      <c r="E78" s="39">
        <f t="shared" si="16"/>
        <v>0</v>
      </c>
      <c r="F78" s="8"/>
      <c r="G78" s="8"/>
      <c r="H78" s="1" t="s">
        <v>105</v>
      </c>
      <c r="I78" s="138">
        <f t="shared" si="17"/>
        <v>244224</v>
      </c>
      <c r="J78" s="8"/>
      <c r="K78" s="8"/>
      <c r="L78" s="8"/>
      <c r="M78" s="9"/>
    </row>
    <row r="79" spans="1:13" x14ac:dyDescent="0.25">
      <c r="A79" s="15"/>
      <c r="B79" s="29"/>
      <c r="C79" s="29"/>
      <c r="D79" s="1"/>
      <c r="E79" s="39">
        <f t="shared" si="16"/>
        <v>0</v>
      </c>
      <c r="F79" s="8"/>
      <c r="G79" s="8"/>
      <c r="H79" s="1" t="s">
        <v>104</v>
      </c>
      <c r="I79" s="138">
        <f t="shared" si="17"/>
        <v>258048</v>
      </c>
      <c r="J79" s="8"/>
      <c r="K79" s="8"/>
      <c r="L79" s="8"/>
      <c r="M79" s="9"/>
    </row>
    <row r="80" spans="1:13" x14ac:dyDescent="0.25">
      <c r="A80" s="15"/>
      <c r="B80" s="29"/>
      <c r="C80" s="29"/>
      <c r="D80" s="1"/>
      <c r="E80" s="39">
        <f t="shared" si="16"/>
        <v>0</v>
      </c>
      <c r="F80" s="8"/>
      <c r="G80" s="8"/>
      <c r="H80" s="1" t="s">
        <v>10</v>
      </c>
      <c r="I80" s="138">
        <f t="shared" si="17"/>
        <v>884736</v>
      </c>
      <c r="J80" s="8"/>
      <c r="K80" s="8"/>
      <c r="L80" s="8"/>
      <c r="M80" s="9"/>
    </row>
    <row r="81" spans="1:13" x14ac:dyDescent="0.25">
      <c r="A81" s="15"/>
      <c r="B81" s="29"/>
      <c r="C81" s="29"/>
      <c r="D81" s="1"/>
      <c r="E81" s="39">
        <f t="shared" si="16"/>
        <v>0</v>
      </c>
      <c r="F81" s="8"/>
      <c r="G81" s="8"/>
      <c r="H81" s="8"/>
      <c r="I81" s="8"/>
      <c r="J81" s="8"/>
      <c r="K81" s="8"/>
      <c r="L81" s="8"/>
      <c r="M81" s="9"/>
    </row>
    <row r="82" spans="1:13" x14ac:dyDescent="0.25">
      <c r="A82" s="15"/>
      <c r="B82" s="29"/>
      <c r="C82" s="29"/>
      <c r="D82" s="1"/>
      <c r="E82" s="39">
        <f t="shared" si="16"/>
        <v>0</v>
      </c>
      <c r="F82" s="8"/>
      <c r="G82" s="8"/>
      <c r="H82" s="8"/>
      <c r="I82" s="8"/>
      <c r="J82" s="8"/>
      <c r="K82" s="8"/>
      <c r="L82" s="8"/>
      <c r="M82" s="9"/>
    </row>
    <row r="83" spans="1:13" x14ac:dyDescent="0.25">
      <c r="A83" s="15"/>
      <c r="B83" s="29"/>
      <c r="C83" s="29"/>
      <c r="D83" s="1"/>
      <c r="E83" s="39">
        <f t="shared" si="16"/>
        <v>0</v>
      </c>
      <c r="F83" s="8"/>
      <c r="G83" s="8"/>
      <c r="H83" s="8"/>
      <c r="I83" s="8"/>
      <c r="J83" s="8"/>
      <c r="K83" s="8"/>
      <c r="L83" s="8"/>
      <c r="M83" s="9"/>
    </row>
    <row r="84" spans="1:13" x14ac:dyDescent="0.25">
      <c r="A84" s="15"/>
      <c r="B84" s="29"/>
      <c r="C84" s="29"/>
      <c r="D84" s="1"/>
      <c r="E84" s="39">
        <f t="shared" si="16"/>
        <v>0</v>
      </c>
      <c r="F84" s="8"/>
      <c r="G84" s="8"/>
      <c r="H84" s="8"/>
      <c r="I84" s="8"/>
      <c r="J84" s="8"/>
      <c r="K84" s="8"/>
      <c r="L84" s="8"/>
      <c r="M84" s="9"/>
    </row>
    <row r="85" spans="1:13" x14ac:dyDescent="0.25">
      <c r="A85" s="15"/>
      <c r="B85" s="29"/>
      <c r="C85" s="29"/>
      <c r="D85" s="1"/>
      <c r="E85" s="39">
        <f t="shared" si="16"/>
        <v>0</v>
      </c>
      <c r="F85" s="8"/>
      <c r="G85" s="8"/>
      <c r="H85" s="8"/>
      <c r="I85" s="8"/>
      <c r="J85" s="8"/>
      <c r="K85" s="8"/>
      <c r="L85" s="8"/>
      <c r="M85" s="9"/>
    </row>
    <row r="86" spans="1:13" x14ac:dyDescent="0.25">
      <c r="A86" s="15"/>
      <c r="B86" s="29"/>
      <c r="C86" s="29"/>
      <c r="D86" s="1"/>
      <c r="E86" s="39">
        <f t="shared" si="16"/>
        <v>0</v>
      </c>
      <c r="F86" s="8"/>
      <c r="G86" s="8"/>
      <c r="H86" s="8"/>
      <c r="I86" s="8"/>
      <c r="J86" s="8"/>
      <c r="K86" s="8"/>
      <c r="L86" s="8"/>
      <c r="M86" s="9"/>
    </row>
    <row r="87" spans="1:13" x14ac:dyDescent="0.25">
      <c r="A87" s="15"/>
      <c r="B87" s="29"/>
      <c r="C87" s="29"/>
      <c r="D87" s="1"/>
      <c r="E87" s="39">
        <f t="shared" si="16"/>
        <v>0</v>
      </c>
      <c r="F87" s="8"/>
      <c r="G87" s="8"/>
      <c r="H87" s="8"/>
      <c r="I87" s="8"/>
      <c r="J87" s="8"/>
      <c r="K87" s="8"/>
      <c r="L87" s="8"/>
      <c r="M87" s="9"/>
    </row>
    <row r="88" spans="1:13" x14ac:dyDescent="0.25">
      <c r="A88" s="15"/>
      <c r="B88" s="29"/>
      <c r="C88" s="29"/>
      <c r="D88" s="1"/>
      <c r="E88" s="39">
        <f t="shared" si="16"/>
        <v>0</v>
      </c>
      <c r="F88" s="8"/>
      <c r="G88" s="8"/>
      <c r="H88" s="8"/>
      <c r="I88" s="8"/>
      <c r="J88" s="8"/>
      <c r="K88" s="8"/>
      <c r="L88" s="8"/>
      <c r="M88" s="9"/>
    </row>
    <row r="89" spans="1:13" x14ac:dyDescent="0.25">
      <c r="A89" s="15"/>
      <c r="B89" s="29"/>
      <c r="C89" s="29"/>
      <c r="D89" s="1"/>
      <c r="E89" s="39">
        <f t="shared" si="16"/>
        <v>0</v>
      </c>
      <c r="F89" s="8"/>
      <c r="G89" s="16"/>
      <c r="H89" s="8"/>
      <c r="I89" s="8"/>
      <c r="J89" s="8"/>
      <c r="K89" s="8"/>
      <c r="L89" s="8"/>
      <c r="M89" s="70"/>
    </row>
    <row r="90" spans="1:13" x14ac:dyDescent="0.25">
      <c r="A90" s="15"/>
      <c r="B90" s="29"/>
      <c r="C90" s="29"/>
      <c r="D90" s="1"/>
      <c r="E90" s="39">
        <f t="shared" si="16"/>
        <v>0</v>
      </c>
      <c r="F90" s="8"/>
      <c r="G90" s="16"/>
      <c r="H90" s="8"/>
      <c r="I90" s="8"/>
      <c r="J90" s="8"/>
      <c r="K90" s="8"/>
      <c r="L90" s="8"/>
      <c r="M90" s="70"/>
    </row>
    <row r="91" spans="1:13" x14ac:dyDescent="0.25">
      <c r="A91" s="15"/>
      <c r="B91" s="29"/>
      <c r="C91" s="29"/>
      <c r="D91" s="1"/>
      <c r="E91" s="39">
        <f t="shared" si="16"/>
        <v>0</v>
      </c>
      <c r="F91" s="16"/>
      <c r="G91" s="16"/>
      <c r="H91" s="8"/>
      <c r="I91" s="8"/>
      <c r="J91" s="8"/>
      <c r="K91" s="8"/>
      <c r="L91" s="8"/>
      <c r="M91" s="70"/>
    </row>
    <row r="92" spans="1:13" x14ac:dyDescent="0.25">
      <c r="A92" s="15"/>
      <c r="B92" s="29"/>
      <c r="C92" s="29"/>
      <c r="D92" s="1"/>
      <c r="E92" s="39">
        <f t="shared" si="16"/>
        <v>0</v>
      </c>
      <c r="F92" s="16"/>
      <c r="G92" s="16"/>
      <c r="H92" s="16"/>
      <c r="I92" s="16"/>
      <c r="J92" s="16"/>
      <c r="K92" s="16"/>
      <c r="L92" s="16"/>
      <c r="M92" s="71"/>
    </row>
    <row r="93" spans="1:13" x14ac:dyDescent="0.25">
      <c r="A93" s="15"/>
      <c r="B93" s="29"/>
      <c r="C93" s="29"/>
      <c r="D93" s="1"/>
      <c r="E93" s="39">
        <f t="shared" si="16"/>
        <v>0</v>
      </c>
      <c r="G93" s="16"/>
      <c r="H93" s="16"/>
      <c r="I93" s="16"/>
      <c r="J93" s="16"/>
      <c r="K93" s="16"/>
      <c r="L93" s="16"/>
      <c r="M93" s="71"/>
    </row>
    <row r="94" spans="1:13" x14ac:dyDescent="0.25">
      <c r="A94" s="15"/>
      <c r="B94" s="29"/>
      <c r="C94" s="29"/>
      <c r="D94" s="1"/>
      <c r="E94" s="39">
        <f t="shared" si="16"/>
        <v>0</v>
      </c>
      <c r="G94" s="16"/>
      <c r="H94" s="16"/>
      <c r="I94" s="16"/>
      <c r="J94" s="16"/>
      <c r="K94" s="16"/>
      <c r="L94" s="16"/>
      <c r="M94" s="71"/>
    </row>
    <row r="95" spans="1:13" x14ac:dyDescent="0.25">
      <c r="A95" s="15"/>
      <c r="B95" s="29"/>
      <c r="C95" s="29"/>
      <c r="D95" s="1"/>
      <c r="E95" s="39">
        <f t="shared" si="16"/>
        <v>0</v>
      </c>
      <c r="G95" s="16"/>
      <c r="H95" s="16"/>
      <c r="I95" s="16"/>
      <c r="J95" s="16"/>
      <c r="K95" s="16"/>
      <c r="L95" s="16"/>
      <c r="M95" s="71"/>
    </row>
    <row r="96" spans="1:13" x14ac:dyDescent="0.25">
      <c r="A96" s="15"/>
      <c r="B96" s="29"/>
      <c r="C96" s="29"/>
      <c r="D96" s="1"/>
      <c r="E96" s="39">
        <f t="shared" si="16"/>
        <v>0</v>
      </c>
      <c r="M96" s="71"/>
    </row>
    <row r="97" spans="1:13" x14ac:dyDescent="0.25">
      <c r="A97" s="15"/>
      <c r="B97" s="29"/>
      <c r="C97" s="29"/>
      <c r="D97" s="1"/>
      <c r="E97" s="39">
        <f t="shared" si="16"/>
        <v>0</v>
      </c>
      <c r="M97" s="71"/>
    </row>
    <row r="98" spans="1:13" ht="15.75" thickBot="1" x14ac:dyDescent="0.3">
      <c r="A98" s="36"/>
      <c r="B98" s="40"/>
      <c r="C98" s="40"/>
      <c r="D98" s="41"/>
      <c r="E98" s="42">
        <f t="shared" si="16"/>
        <v>0</v>
      </c>
      <c r="M98" s="71"/>
    </row>
    <row r="99" spans="1:13" x14ac:dyDescent="0.25">
      <c r="A99" s="7"/>
      <c r="B99" s="8"/>
      <c r="C99" s="8"/>
      <c r="D99" s="8"/>
      <c r="E99" s="8"/>
      <c r="M99" s="71"/>
    </row>
    <row r="100" spans="1:13" x14ac:dyDescent="0.25">
      <c r="A100" s="7"/>
      <c r="B100" s="8"/>
      <c r="C100" s="8"/>
      <c r="D100" s="8"/>
      <c r="E100" s="8"/>
      <c r="M100" s="71"/>
    </row>
    <row r="101" spans="1:13" ht="15.75" thickBot="1" x14ac:dyDescent="0.3">
      <c r="A101" s="17"/>
      <c r="B101" s="16"/>
      <c r="C101" s="16"/>
      <c r="D101" s="16"/>
      <c r="E101" s="16"/>
      <c r="F101" s="69"/>
      <c r="G101" s="69"/>
      <c r="H101" s="69"/>
      <c r="I101" s="69"/>
      <c r="J101" s="69"/>
      <c r="K101" s="69"/>
      <c r="L101" s="69"/>
      <c r="M101" s="71"/>
    </row>
    <row r="102" spans="1:13" ht="15.75" thickTop="1" x14ac:dyDescent="0.25">
      <c r="A102" s="27"/>
      <c r="B102" s="27"/>
      <c r="C102" s="27"/>
      <c r="D102" s="27"/>
      <c r="E102" s="27"/>
      <c r="M102" s="27"/>
    </row>
    <row r="103" spans="1:13" ht="15.75" thickBot="1" x14ac:dyDescent="0.3"/>
    <row r="104" spans="1:13" ht="25.5" x14ac:dyDescent="0.35">
      <c r="A104" s="158" t="s">
        <v>108</v>
      </c>
      <c r="B104" s="150"/>
      <c r="C104" s="148"/>
      <c r="D104" s="148"/>
      <c r="E104" s="148"/>
      <c r="F104" s="148"/>
      <c r="G104" s="149"/>
    </row>
    <row r="105" spans="1:13" x14ac:dyDescent="0.25">
      <c r="A105" s="159" t="s">
        <v>110</v>
      </c>
      <c r="B105" s="154" t="s">
        <v>111</v>
      </c>
      <c r="C105" s="155"/>
      <c r="D105" s="155"/>
      <c r="E105" s="155"/>
      <c r="F105" s="155"/>
      <c r="G105" s="156"/>
    </row>
    <row r="106" spans="1:13" x14ac:dyDescent="0.25">
      <c r="A106" s="159" t="s">
        <v>112</v>
      </c>
      <c r="B106" s="151" t="s">
        <v>113</v>
      </c>
      <c r="C106" s="152"/>
      <c r="D106" s="152"/>
      <c r="E106" s="152"/>
      <c r="F106" s="152"/>
      <c r="G106" s="153"/>
    </row>
    <row r="107" spans="1:13" x14ac:dyDescent="0.25">
      <c r="A107" s="159" t="s">
        <v>115</v>
      </c>
      <c r="B107" s="152" t="s">
        <v>131</v>
      </c>
      <c r="C107" s="152"/>
      <c r="D107" s="152"/>
      <c r="E107" s="152"/>
      <c r="F107" s="152"/>
      <c r="G107" s="153"/>
    </row>
    <row r="108" spans="1:13" x14ac:dyDescent="0.25">
      <c r="A108" s="159" t="s">
        <v>133</v>
      </c>
      <c r="B108" s="152" t="s">
        <v>134</v>
      </c>
      <c r="C108" s="152"/>
      <c r="D108" s="152"/>
      <c r="E108" s="152"/>
      <c r="F108" s="152"/>
      <c r="G108" s="153"/>
    </row>
    <row r="109" spans="1:13" x14ac:dyDescent="0.25">
      <c r="A109" s="159" t="s">
        <v>135</v>
      </c>
      <c r="B109" s="152" t="s">
        <v>136</v>
      </c>
      <c r="C109" s="152"/>
      <c r="D109" s="152"/>
      <c r="E109" s="152"/>
      <c r="F109" s="152"/>
      <c r="G109" s="153"/>
    </row>
    <row r="110" spans="1:13" x14ac:dyDescent="0.25">
      <c r="A110" s="159" t="s">
        <v>137</v>
      </c>
      <c r="B110" s="152" t="s">
        <v>138</v>
      </c>
      <c r="C110" s="152"/>
      <c r="D110" s="152"/>
      <c r="E110" s="152"/>
      <c r="F110" s="152"/>
      <c r="G110" s="153"/>
    </row>
    <row r="111" spans="1:13" ht="30" customHeight="1" x14ac:dyDescent="0.25">
      <c r="A111" s="167" t="s">
        <v>139</v>
      </c>
      <c r="B111" s="166" t="s">
        <v>141</v>
      </c>
      <c r="C111" s="152"/>
      <c r="D111" s="152"/>
      <c r="E111" s="152"/>
      <c r="F111" s="152"/>
      <c r="G111" s="153"/>
    </row>
    <row r="112" spans="1:13" x14ac:dyDescent="0.25">
      <c r="A112" s="159" t="s">
        <v>142</v>
      </c>
      <c r="B112" s="152" t="s">
        <v>143</v>
      </c>
      <c r="C112" s="152"/>
      <c r="D112" s="152"/>
      <c r="E112" s="152"/>
      <c r="F112" s="152"/>
      <c r="G112" s="153"/>
    </row>
    <row r="113" spans="1:7" x14ac:dyDescent="0.25">
      <c r="A113" s="159" t="s">
        <v>144</v>
      </c>
      <c r="B113" s="152" t="s">
        <v>145</v>
      </c>
      <c r="C113" s="152"/>
      <c r="D113" s="152"/>
      <c r="E113" s="152"/>
      <c r="F113" s="152"/>
      <c r="G113" s="153"/>
    </row>
    <row r="114" spans="1:7" ht="30.75" customHeight="1" x14ac:dyDescent="0.25">
      <c r="A114" s="159" t="s">
        <v>146</v>
      </c>
      <c r="B114" s="169" t="s">
        <v>147</v>
      </c>
      <c r="C114" s="152"/>
      <c r="D114" s="152"/>
      <c r="E114" s="152"/>
      <c r="F114" s="152"/>
      <c r="G114" s="153"/>
    </row>
    <row r="115" spans="1:7" ht="30.75" customHeight="1" x14ac:dyDescent="0.25">
      <c r="A115" s="159" t="s">
        <v>148</v>
      </c>
      <c r="B115" s="166" t="s">
        <v>149</v>
      </c>
      <c r="C115" s="152"/>
      <c r="D115" s="152"/>
      <c r="E115" s="152"/>
      <c r="F115" s="152"/>
      <c r="G115" s="153"/>
    </row>
    <row r="116" spans="1:7" ht="15.75" thickBot="1" x14ac:dyDescent="0.3">
      <c r="A116" s="160" t="s">
        <v>150</v>
      </c>
      <c r="B116" s="174" t="s">
        <v>152</v>
      </c>
      <c r="C116" s="175"/>
      <c r="D116" s="175"/>
      <c r="E116" s="175"/>
      <c r="F116" s="175"/>
      <c r="G116" s="176"/>
    </row>
    <row r="117" spans="1:7" x14ac:dyDescent="0.25">
      <c r="A117" s="173"/>
      <c r="B117" s="172"/>
      <c r="C117" s="172"/>
      <c r="D117" s="172"/>
      <c r="E117" s="172"/>
      <c r="F117" s="172"/>
      <c r="G117" s="172"/>
    </row>
    <row r="118" spans="1:7" x14ac:dyDescent="0.25">
      <c r="A118" s="170"/>
      <c r="B118" s="171"/>
      <c r="C118" s="171"/>
      <c r="D118" s="171"/>
      <c r="E118" s="171"/>
      <c r="F118" s="171"/>
      <c r="G118" s="171"/>
    </row>
    <row r="119" spans="1:7" x14ac:dyDescent="0.25">
      <c r="A119" s="170"/>
      <c r="B119" s="171"/>
      <c r="C119" s="171"/>
      <c r="D119" s="171"/>
      <c r="E119" s="171"/>
      <c r="F119" s="171"/>
      <c r="G119" s="171"/>
    </row>
    <row r="120" spans="1:7" x14ac:dyDescent="0.25">
      <c r="A120" s="170"/>
      <c r="B120" s="171"/>
      <c r="C120" s="171"/>
      <c r="D120" s="171"/>
      <c r="E120" s="171"/>
      <c r="F120" s="171"/>
      <c r="G120" s="171"/>
    </row>
    <row r="121" spans="1:7" x14ac:dyDescent="0.25">
      <c r="A121" s="170"/>
      <c r="B121" s="171"/>
      <c r="C121" s="171"/>
      <c r="D121" s="171"/>
      <c r="E121" s="171"/>
      <c r="F121" s="171"/>
      <c r="G121" s="171"/>
    </row>
    <row r="122" spans="1:7" x14ac:dyDescent="0.25">
      <c r="A122" s="170"/>
      <c r="B122" s="171"/>
      <c r="C122" s="171"/>
      <c r="D122" s="171"/>
      <c r="E122" s="171"/>
      <c r="F122" s="171"/>
      <c r="G122" s="171"/>
    </row>
    <row r="123" spans="1:7" x14ac:dyDescent="0.25">
      <c r="A123" s="170"/>
      <c r="B123" s="171"/>
      <c r="C123" s="171"/>
      <c r="D123" s="171"/>
      <c r="E123" s="171"/>
      <c r="F123" s="171"/>
      <c r="G123" s="171"/>
    </row>
    <row r="124" spans="1:7" x14ac:dyDescent="0.25">
      <c r="A124" s="170"/>
      <c r="B124" s="171"/>
      <c r="C124" s="171"/>
      <c r="D124" s="171"/>
      <c r="E124" s="171"/>
      <c r="F124" s="171"/>
      <c r="G124" s="171"/>
    </row>
    <row r="125" spans="1:7" x14ac:dyDescent="0.25">
      <c r="B125" s="147"/>
      <c r="C125" s="147"/>
      <c r="D125" s="147"/>
      <c r="E125" s="147"/>
      <c r="F125" s="147"/>
      <c r="G125" s="147"/>
    </row>
    <row r="126" spans="1:7" x14ac:dyDescent="0.25">
      <c r="B126" s="147"/>
      <c r="C126" s="147"/>
      <c r="D126" s="147"/>
      <c r="E126" s="147"/>
      <c r="F126" s="147"/>
      <c r="G126" s="147"/>
    </row>
    <row r="127" spans="1:7" x14ac:dyDescent="0.25">
      <c r="B127" s="147"/>
      <c r="C127" s="147"/>
      <c r="D127" s="147"/>
      <c r="E127" s="147"/>
      <c r="F127" s="147"/>
      <c r="G127" s="147"/>
    </row>
    <row r="128" spans="1:7" x14ac:dyDescent="0.25">
      <c r="B128" s="147"/>
      <c r="C128" s="147"/>
      <c r="D128" s="147"/>
      <c r="E128" s="147"/>
      <c r="F128" s="147"/>
      <c r="G128" s="147"/>
    </row>
  </sheetData>
  <mergeCells count="49">
    <mergeCell ref="B116:G116"/>
    <mergeCell ref="B117:G117"/>
    <mergeCell ref="J59:J60"/>
    <mergeCell ref="B114:G114"/>
    <mergeCell ref="B113:G113"/>
    <mergeCell ref="B115:G115"/>
    <mergeCell ref="B106:G106"/>
    <mergeCell ref="J27:J29"/>
    <mergeCell ref="J48:J52"/>
    <mergeCell ref="B108:G108"/>
    <mergeCell ref="B109:G109"/>
    <mergeCell ref="B110:G110"/>
    <mergeCell ref="B111:G111"/>
    <mergeCell ref="B112:G112"/>
    <mergeCell ref="F9:F11"/>
    <mergeCell ref="B105:G105"/>
    <mergeCell ref="J16:J22"/>
    <mergeCell ref="B107:G107"/>
    <mergeCell ref="H25:I25"/>
    <mergeCell ref="J25:K25"/>
    <mergeCell ref="J26:K26"/>
    <mergeCell ref="L33:M33"/>
    <mergeCell ref="L34:M34"/>
    <mergeCell ref="A68:B68"/>
    <mergeCell ref="C68:E68"/>
    <mergeCell ref="H40:I40"/>
    <mergeCell ref="H41:I41"/>
    <mergeCell ref="H42:I42"/>
    <mergeCell ref="H43:I43"/>
    <mergeCell ref="H44:I44"/>
    <mergeCell ref="B12:E12"/>
    <mergeCell ref="D13:E13"/>
    <mergeCell ref="B14:C14"/>
    <mergeCell ref="A24:B24"/>
    <mergeCell ref="C24:E24"/>
    <mergeCell ref="A1:M1"/>
    <mergeCell ref="B3:M3"/>
    <mergeCell ref="B9:C9"/>
    <mergeCell ref="B10:C10"/>
    <mergeCell ref="A13:A14"/>
    <mergeCell ref="B8:C8"/>
    <mergeCell ref="D8:E8"/>
    <mergeCell ref="A7:E7"/>
    <mergeCell ref="D9:E9"/>
    <mergeCell ref="D10:E10"/>
    <mergeCell ref="D11:E11"/>
    <mergeCell ref="B11:C11"/>
    <mergeCell ref="B13:C13"/>
    <mergeCell ref="D14:E14"/>
  </mergeCells>
  <phoneticPr fontId="11" type="noConversion"/>
  <pageMargins left="0.7" right="0.7" top="0.75" bottom="0.75" header="0.3" footer="0.3"/>
  <pageSetup paperSize="9" scale="4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cp:lastPrinted>2019-08-20T16:05:19Z</cp:lastPrinted>
  <dcterms:created xsi:type="dcterms:W3CDTF">2019-08-20T12:38:20Z</dcterms:created>
  <dcterms:modified xsi:type="dcterms:W3CDTF">2019-08-29T02:30:56Z</dcterms:modified>
</cp:coreProperties>
</file>