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 CrossRef API\"/>
    </mc:Choice>
  </mc:AlternateContent>
  <xr:revisionPtr revIDLastSave="0" documentId="13_ncr:1_{AB6F3190-6F5F-464D-A310-69CB29D6A5E5}" xr6:coauthVersionLast="45" xr6:coauthVersionMax="45" xr10:uidLastSave="{00000000-0000-0000-0000-000000000000}"/>
  <bookViews>
    <workbookView xWindow="-120" yWindow="-120" windowWidth="29040" windowHeight="15840" activeTab="1" xr2:uid="{70ACBBBB-F947-4858-AA01-2F083EE62F62}"/>
  </bookViews>
  <sheets>
    <sheet name="Stats" sheetId="11" r:id="rId1"/>
    <sheet name="Graphs" sheetId="3" r:id="rId2"/>
    <sheet name="Google Scholar" sheetId="2" r:id="rId3"/>
    <sheet name="WebOfKnowledge" sheetId="4" r:id="rId4"/>
    <sheet name="Base Search" sheetId="5" r:id="rId5"/>
    <sheet name="Mendeley" sheetId="7" r:id="rId6"/>
    <sheet name="Microsoft Academic" sheetId="8" r:id="rId7"/>
    <sheet name="Science Open" sheetId="9" r:id="rId8"/>
    <sheet name="Semantic Scholar" sheetId="10" r:id="rId9"/>
  </sheets>
  <definedNames>
    <definedName name="_xlchart.v1.0" hidden="1">Graphs!$K$2</definedName>
    <definedName name="_xlchart.v1.1" hidden="1">Graphs!$K$3:$K$13</definedName>
    <definedName name="_xlchart.v1.10" hidden="1">Graphs!$P$2</definedName>
    <definedName name="_xlchart.v1.11" hidden="1">Graphs!$P$3:$P$13</definedName>
    <definedName name="_xlchart.v1.12" hidden="1">Graphs!$Q$2</definedName>
    <definedName name="_xlchart.v1.13" hidden="1">Graphs!$Q$3:$Q$13</definedName>
    <definedName name="_xlchart.v1.2" hidden="1">Graphs!$L$2</definedName>
    <definedName name="_xlchart.v1.3" hidden="1">Graphs!$L$3:$L$13</definedName>
    <definedName name="_xlchart.v1.4" hidden="1">Graphs!$M$2</definedName>
    <definedName name="_xlchart.v1.5" hidden="1">Graphs!$M$3:$M$13</definedName>
    <definedName name="_xlchart.v1.6" hidden="1">Graphs!$N$2</definedName>
    <definedName name="_xlchart.v1.7" hidden="1">Graphs!$N$3:$N$13</definedName>
    <definedName name="_xlchart.v1.8" hidden="1">Graphs!$O$2</definedName>
    <definedName name="_xlchart.v1.9" hidden="1">Graphs!$O$3:$O$13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24" i="11"/>
  <c r="D24" i="11"/>
  <c r="D23" i="11"/>
  <c r="C23" i="11"/>
  <c r="D21" i="11" l="1"/>
  <c r="D22" i="11"/>
  <c r="C22" i="11"/>
  <c r="C21" i="11"/>
  <c r="D15" i="10"/>
  <c r="D16" i="10"/>
  <c r="D17" i="10"/>
  <c r="D18" i="10"/>
  <c r="D19" i="10"/>
  <c r="D20" i="10"/>
  <c r="D21" i="10"/>
  <c r="D22" i="10"/>
  <c r="D23" i="10"/>
  <c r="D14" i="10"/>
  <c r="C15" i="10"/>
  <c r="C16" i="10"/>
  <c r="C17" i="10"/>
  <c r="C18" i="10"/>
  <c r="C19" i="10"/>
  <c r="C20" i="10"/>
  <c r="C21" i="10"/>
  <c r="C22" i="10"/>
  <c r="C23" i="10"/>
  <c r="C24" i="10" s="1"/>
  <c r="C14" i="10"/>
  <c r="D15" i="9"/>
  <c r="D16" i="9"/>
  <c r="D17" i="9"/>
  <c r="D18" i="9"/>
  <c r="D19" i="9"/>
  <c r="D20" i="9"/>
  <c r="D21" i="9"/>
  <c r="D22" i="9"/>
  <c r="D23" i="9"/>
  <c r="D14" i="9"/>
  <c r="C15" i="9"/>
  <c r="C16" i="9"/>
  <c r="C17" i="9"/>
  <c r="C18" i="9"/>
  <c r="C19" i="9"/>
  <c r="C20" i="9"/>
  <c r="C21" i="9"/>
  <c r="C22" i="9"/>
  <c r="C23" i="9"/>
  <c r="C14" i="9"/>
  <c r="D23" i="8"/>
  <c r="D24" i="8" s="1"/>
  <c r="D15" i="8"/>
  <c r="D16" i="8"/>
  <c r="D17" i="8"/>
  <c r="D18" i="8"/>
  <c r="D19" i="8"/>
  <c r="D20" i="8"/>
  <c r="D21" i="8"/>
  <c r="D22" i="8"/>
  <c r="D14" i="8"/>
  <c r="C14" i="8"/>
  <c r="C15" i="8"/>
  <c r="C16" i="8"/>
  <c r="C17" i="8"/>
  <c r="C18" i="8"/>
  <c r="C19" i="8"/>
  <c r="C20" i="8"/>
  <c r="C21" i="8"/>
  <c r="C22" i="8"/>
  <c r="C23" i="8"/>
  <c r="C24" i="8" s="1"/>
  <c r="D24" i="10"/>
  <c r="D24" i="9"/>
  <c r="C24" i="9"/>
  <c r="D15" i="7"/>
  <c r="D16" i="7"/>
  <c r="D17" i="7"/>
  <c r="D18" i="7"/>
  <c r="D19" i="7"/>
  <c r="D20" i="7"/>
  <c r="D21" i="7"/>
  <c r="D22" i="7"/>
  <c r="D14" i="7"/>
  <c r="C15" i="7"/>
  <c r="C16" i="7"/>
  <c r="C17" i="7"/>
  <c r="C18" i="7"/>
  <c r="C19" i="7"/>
  <c r="C20" i="7"/>
  <c r="C21" i="7"/>
  <c r="C22" i="7"/>
  <c r="C23" i="7"/>
  <c r="C14" i="7"/>
  <c r="D23" i="7"/>
  <c r="D24" i="7"/>
  <c r="C24" i="7"/>
  <c r="D15" i="5"/>
  <c r="D16" i="5"/>
  <c r="D17" i="5"/>
  <c r="D18" i="5"/>
  <c r="D19" i="5"/>
  <c r="D20" i="5"/>
  <c r="D21" i="5"/>
  <c r="D22" i="5"/>
  <c r="D23" i="5"/>
  <c r="D14" i="5"/>
  <c r="C15" i="5"/>
  <c r="C16" i="5"/>
  <c r="C17" i="5"/>
  <c r="C18" i="5"/>
  <c r="C19" i="5"/>
  <c r="C20" i="5"/>
  <c r="C21" i="5"/>
  <c r="C22" i="5"/>
  <c r="C23" i="5"/>
  <c r="C14" i="5"/>
  <c r="D24" i="5"/>
  <c r="C24" i="5"/>
  <c r="C25" i="5" s="1"/>
  <c r="D15" i="4"/>
  <c r="D16" i="4"/>
  <c r="D17" i="4"/>
  <c r="D18" i="4"/>
  <c r="D19" i="4"/>
  <c r="D20" i="4"/>
  <c r="D21" i="4"/>
  <c r="D22" i="4"/>
  <c r="D23" i="4"/>
  <c r="D14" i="4"/>
  <c r="C14" i="4"/>
  <c r="C15" i="4"/>
  <c r="C16" i="4"/>
  <c r="C17" i="4"/>
  <c r="C18" i="4"/>
  <c r="C19" i="4"/>
  <c r="C20" i="4"/>
  <c r="C21" i="4"/>
  <c r="C22" i="4"/>
  <c r="C23" i="4"/>
  <c r="D24" i="4"/>
  <c r="C25" i="4" s="1"/>
  <c r="C24" i="4"/>
  <c r="B26" i="2"/>
  <c r="B25" i="2"/>
  <c r="N24" i="2"/>
  <c r="M24" i="2"/>
  <c r="D24" i="2"/>
  <c r="E24" i="2"/>
  <c r="F24" i="2"/>
  <c r="G24" i="2"/>
  <c r="H24" i="2"/>
  <c r="I24" i="2"/>
  <c r="J24" i="2"/>
  <c r="K24" i="2"/>
  <c r="C24" i="2"/>
  <c r="C26" i="10" l="1"/>
  <c r="C26" i="8"/>
  <c r="C25" i="10"/>
  <c r="C26" i="9"/>
  <c r="C25" i="9"/>
  <c r="C25" i="8"/>
  <c r="C26" i="7"/>
  <c r="C25" i="7"/>
  <c r="C26" i="5"/>
  <c r="C26" i="4"/>
  <c r="K15" i="2"/>
  <c r="K16" i="2"/>
  <c r="K17" i="2"/>
  <c r="K18" i="2"/>
  <c r="K19" i="2"/>
  <c r="K20" i="2"/>
  <c r="K21" i="2"/>
  <c r="K22" i="2"/>
  <c r="K23" i="2"/>
  <c r="K1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" i="2"/>
  <c r="H15" i="2" l="1"/>
  <c r="H16" i="2"/>
  <c r="H17" i="2"/>
  <c r="H18" i="2"/>
  <c r="H19" i="2"/>
  <c r="H20" i="2"/>
  <c r="H21" i="2"/>
  <c r="H22" i="2"/>
  <c r="H23" i="2"/>
  <c r="H14" i="2"/>
  <c r="G15" i="2"/>
  <c r="G16" i="2"/>
  <c r="G17" i="2"/>
  <c r="G18" i="2"/>
  <c r="G19" i="2"/>
  <c r="G20" i="2"/>
  <c r="G21" i="2"/>
  <c r="G22" i="2"/>
  <c r="G23" i="2"/>
  <c r="G14" i="2"/>
  <c r="F15" i="2"/>
  <c r="F16" i="2"/>
  <c r="F17" i="2"/>
  <c r="F18" i="2"/>
  <c r="F19" i="2"/>
  <c r="F20" i="2"/>
  <c r="F21" i="2"/>
  <c r="F22" i="2"/>
  <c r="F23" i="2"/>
  <c r="F14" i="2"/>
  <c r="J15" i="2"/>
  <c r="J16" i="2"/>
  <c r="J17" i="2"/>
  <c r="J18" i="2"/>
  <c r="J19" i="2"/>
  <c r="J20" i="2"/>
  <c r="J21" i="2"/>
  <c r="J22" i="2"/>
  <c r="J23" i="2"/>
  <c r="J14" i="2"/>
  <c r="I15" i="2"/>
  <c r="I16" i="2"/>
  <c r="I17" i="2"/>
  <c r="I18" i="2"/>
  <c r="I19" i="2"/>
  <c r="I20" i="2"/>
  <c r="I21" i="2"/>
  <c r="I22" i="2"/>
  <c r="I23" i="2"/>
  <c r="I14" i="2"/>
  <c r="E14" i="2"/>
  <c r="E15" i="2"/>
  <c r="E16" i="2"/>
  <c r="E17" i="2"/>
  <c r="E18" i="2"/>
  <c r="E19" i="2"/>
  <c r="E20" i="2"/>
  <c r="E21" i="2"/>
  <c r="E22" i="2"/>
  <c r="E23" i="2"/>
  <c r="D15" i="2"/>
  <c r="D16" i="2"/>
  <c r="D17" i="2"/>
  <c r="D18" i="2"/>
  <c r="D19" i="2"/>
  <c r="D20" i="2"/>
  <c r="D21" i="2"/>
  <c r="D22" i="2"/>
  <c r="D23" i="2"/>
  <c r="D14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<sst xmlns="http://schemas.openxmlformats.org/spreadsheetml/2006/main" count="92" uniqueCount="34">
  <si>
    <t>Year</t>
  </si>
  <si>
    <t>micro delivery systems AND "in vitro digestion"</t>
  </si>
  <si>
    <t>nanoparticles AND "in vitro digestion"</t>
  </si>
  <si>
    <t>microparticles AND "in vitro digestion"</t>
  </si>
  <si>
    <t>bioactive compounds bioaccessibility</t>
  </si>
  <si>
    <t>nutraceutical bioaccessibility</t>
  </si>
  <si>
    <t>nano delivery systems AND "in vitro digestion"</t>
  </si>
  <si>
    <t>"in vitro gastrointestinal digestion"</t>
  </si>
  <si>
    <t>"in vitro digestion"</t>
  </si>
  <si>
    <t>micro AND "in vitro digestion"</t>
  </si>
  <si>
    <t>nano AND "in vitro digestion"</t>
  </si>
  <si>
    <t xml:space="preserve"> </t>
  </si>
  <si>
    <t>"in vitro digestion" AND "challenges"</t>
  </si>
  <si>
    <t>X times</t>
  </si>
  <si>
    <t>"in vitro gastrointestinal"</t>
  </si>
  <si>
    <t>Search URL</t>
  </si>
  <si>
    <t>https://www.base-search.net/Search/Results?type=all&amp;lookfor=%22in+vitro+gastrointestinal%22+year%3A2020&amp;ling=1&amp;oaboost=1&amp;name=&amp;thes=&amp;refid=dcresen&amp;newsearch=1</t>
  </si>
  <si>
    <t>https://www.mendeley.com/search/?page=1&amp;query=%22in%20vitro%20digestion%22&amp;sortBy=relevance</t>
  </si>
  <si>
    <t>https://academic.microsoft.com/search?q=%22in%20vitro%20digestion%22&amp;f=&amp;eyl=Y%3C%3D2010&amp;syl=Y%3E%3D2010&amp;orderBy=0</t>
  </si>
  <si>
    <t>https://www.scienceopen.com/search#('v'~3_'id'~''_'isExactMatch'~true_'context'~null_'kind'~77_'order'~0_'orderLowestFirst'~false_'query'~'in%20vitro%20digestion'_'filters'~!('kind'~37_'dateFrom'~1262304000000_'dateTo'~1293839999999)*_'hideOthers'~false)</t>
  </si>
  <si>
    <t>https://www.semanticscholar.org/search?year%5B0%5D=2010&amp;year%5B1%5D=2010&amp;q=%22in%20vitro%20digestion%22&amp;sort=relevance</t>
  </si>
  <si>
    <t>AVG</t>
  </si>
  <si>
    <t>SD</t>
  </si>
  <si>
    <t>Google Scholar</t>
  </si>
  <si>
    <t>Web of Knowledge</t>
  </si>
  <si>
    <t>Base Search</t>
  </si>
  <si>
    <t>Mendeley</t>
  </si>
  <si>
    <t>Microsoft Academic</t>
  </si>
  <si>
    <t>Science Open</t>
  </si>
  <si>
    <t>Semantic Scholar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</si>
  <si>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</si>
  <si>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X times increase at 2030</t>
  </si>
  <si>
    <t>Percentage</t>
  </si>
  <si>
    <t>Percentage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</si>
</sst>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0" fontId="4" fillId="0" borderId="0" xfId="2"/>
    <xf numFmtId="2" fontId="0" fillId="0" borderId="0" xfId="0" applyNumberForma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2" fillId="4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80053663093157E-2"/>
          <c:y val="2.8842999316811134E-2"/>
          <c:w val="0.80325005884868372"/>
          <c:h val="0.754669747594355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Graphs!$L$2</c:f>
              <c:strCache>
                <c:ptCount val="1"/>
                <c:pt idx="0">
                  <c:v>Web of Knowledge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Graphs!$L$3:$L$13</c:f>
              <c:numCache>
                <c:formatCode>0</c:formatCode>
                <c:ptCount val="11"/>
                <c:pt idx="0">
                  <c:v>131</c:v>
                </c:pt>
                <c:pt idx="1">
                  <c:v>140</c:v>
                </c:pt>
                <c:pt idx="2">
                  <c:v>192</c:v>
                </c:pt>
                <c:pt idx="3">
                  <c:v>218</c:v>
                </c:pt>
                <c:pt idx="4">
                  <c:v>233</c:v>
                </c:pt>
                <c:pt idx="5">
                  <c:v>278</c:v>
                </c:pt>
                <c:pt idx="6">
                  <c:v>330</c:v>
                </c:pt>
                <c:pt idx="7">
                  <c:v>403</c:v>
                </c:pt>
                <c:pt idx="8">
                  <c:v>473</c:v>
                </c:pt>
                <c:pt idx="9">
                  <c:v>614</c:v>
                </c:pt>
                <c:pt idx="10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1-4C37-921B-6886229DEC51}"/>
            </c:ext>
          </c:extLst>
        </c:ser>
        <c:ser>
          <c:idx val="2"/>
          <c:order val="2"/>
          <c:tx>
            <c:strRef>
              <c:f>Graphs!$M$2</c:f>
              <c:strCache>
                <c:ptCount val="1"/>
                <c:pt idx="0">
                  <c:v>Base Search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Graphs!$M$3:$M$13</c:f>
              <c:numCache>
                <c:formatCode>0</c:formatCode>
                <c:ptCount val="11"/>
                <c:pt idx="0">
                  <c:v>289</c:v>
                </c:pt>
                <c:pt idx="1">
                  <c:v>256</c:v>
                </c:pt>
                <c:pt idx="2">
                  <c:v>419</c:v>
                </c:pt>
                <c:pt idx="3">
                  <c:v>415</c:v>
                </c:pt>
                <c:pt idx="4">
                  <c:v>495</c:v>
                </c:pt>
                <c:pt idx="5">
                  <c:v>600</c:v>
                </c:pt>
                <c:pt idx="6">
                  <c:v>657</c:v>
                </c:pt>
                <c:pt idx="7">
                  <c:v>672</c:v>
                </c:pt>
                <c:pt idx="8">
                  <c:v>777</c:v>
                </c:pt>
                <c:pt idx="9">
                  <c:v>900</c:v>
                </c:pt>
                <c:pt idx="10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1-4C37-921B-6886229DEC51}"/>
            </c:ext>
          </c:extLst>
        </c:ser>
        <c:ser>
          <c:idx val="3"/>
          <c:order val="3"/>
          <c:tx>
            <c:strRef>
              <c:f>Graphs!$N$2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Graphs!$N$3:$N$13</c:f>
              <c:numCache>
                <c:formatCode>0</c:formatCode>
                <c:ptCount val="11"/>
                <c:pt idx="0">
                  <c:v>134.79752051878671</c:v>
                </c:pt>
                <c:pt idx="1">
                  <c:v>159.4569220462233</c:v>
                </c:pt>
                <c:pt idx="2">
                  <c:v>181</c:v>
                </c:pt>
                <c:pt idx="3">
                  <c:v>186</c:v>
                </c:pt>
                <c:pt idx="4">
                  <c:v>210</c:v>
                </c:pt>
                <c:pt idx="5">
                  <c:v>244</c:v>
                </c:pt>
                <c:pt idx="6">
                  <c:v>297</c:v>
                </c:pt>
                <c:pt idx="7">
                  <c:v>330</c:v>
                </c:pt>
                <c:pt idx="8">
                  <c:v>402</c:v>
                </c:pt>
                <c:pt idx="9">
                  <c:v>527</c:v>
                </c:pt>
                <c:pt idx="1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1-4C37-921B-6886229DEC51}"/>
            </c:ext>
          </c:extLst>
        </c:ser>
        <c:ser>
          <c:idx val="4"/>
          <c:order val="4"/>
          <c:tx>
            <c:strRef>
              <c:f>Graphs!$O$2</c:f>
              <c:strCache>
                <c:ptCount val="1"/>
                <c:pt idx="0">
                  <c:v>Microsoft Academic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Graphs!$O$3:$O$13</c:f>
              <c:numCache>
                <c:formatCode>0</c:formatCode>
                <c:ptCount val="11"/>
                <c:pt idx="0">
                  <c:v>72</c:v>
                </c:pt>
                <c:pt idx="1">
                  <c:v>80</c:v>
                </c:pt>
                <c:pt idx="2">
                  <c:v>133</c:v>
                </c:pt>
                <c:pt idx="3">
                  <c:v>127</c:v>
                </c:pt>
                <c:pt idx="4">
                  <c:v>136</c:v>
                </c:pt>
                <c:pt idx="5">
                  <c:v>147</c:v>
                </c:pt>
                <c:pt idx="6">
                  <c:v>178</c:v>
                </c:pt>
                <c:pt idx="7">
                  <c:v>167</c:v>
                </c:pt>
                <c:pt idx="8">
                  <c:v>197</c:v>
                </c:pt>
                <c:pt idx="9">
                  <c:v>258</c:v>
                </c:pt>
                <c:pt idx="1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1-4C37-921B-6886229DEC51}"/>
            </c:ext>
          </c:extLst>
        </c:ser>
        <c:ser>
          <c:idx val="5"/>
          <c:order val="5"/>
          <c:tx>
            <c:strRef>
              <c:f>Graphs!$P$2</c:f>
              <c:strCache>
                <c:ptCount val="1"/>
                <c:pt idx="0">
                  <c:v>Science Open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Graphs!$P$3:$P$13</c:f>
              <c:numCache>
                <c:formatCode>0</c:formatCode>
                <c:ptCount val="11"/>
                <c:pt idx="0">
                  <c:v>133</c:v>
                </c:pt>
                <c:pt idx="1">
                  <c:v>135</c:v>
                </c:pt>
                <c:pt idx="2">
                  <c:v>168</c:v>
                </c:pt>
                <c:pt idx="3">
                  <c:v>160</c:v>
                </c:pt>
                <c:pt idx="4">
                  <c:v>171</c:v>
                </c:pt>
                <c:pt idx="5">
                  <c:v>191</c:v>
                </c:pt>
                <c:pt idx="6">
                  <c:v>220</c:v>
                </c:pt>
                <c:pt idx="7">
                  <c:v>249</c:v>
                </c:pt>
                <c:pt idx="8">
                  <c:v>234</c:v>
                </c:pt>
                <c:pt idx="9">
                  <c:v>301</c:v>
                </c:pt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1-4C37-921B-6886229DEC51}"/>
            </c:ext>
          </c:extLst>
        </c:ser>
        <c:ser>
          <c:idx val="6"/>
          <c:order val="6"/>
          <c:tx>
            <c:strRef>
              <c:f>Graphs!$Q$2</c:f>
              <c:strCache>
                <c:ptCount val="1"/>
                <c:pt idx="0">
                  <c:v>Semantic Scholar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Graphs!$J$3:$J$13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Graphs!$Q$3:$Q$13</c:f>
              <c:numCache>
                <c:formatCode>0</c:formatCode>
                <c:ptCount val="11"/>
                <c:pt idx="0">
                  <c:v>189</c:v>
                </c:pt>
                <c:pt idx="1">
                  <c:v>195</c:v>
                </c:pt>
                <c:pt idx="2">
                  <c:v>277</c:v>
                </c:pt>
                <c:pt idx="3">
                  <c:v>316</c:v>
                </c:pt>
                <c:pt idx="4">
                  <c:v>343</c:v>
                </c:pt>
                <c:pt idx="5">
                  <c:v>403</c:v>
                </c:pt>
                <c:pt idx="6">
                  <c:v>466</c:v>
                </c:pt>
                <c:pt idx="7">
                  <c:v>473</c:v>
                </c:pt>
                <c:pt idx="8">
                  <c:v>542</c:v>
                </c:pt>
                <c:pt idx="9">
                  <c:v>686</c:v>
                </c:pt>
                <c:pt idx="10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1-4C37-921B-6886229D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2387135"/>
        <c:axId val="1452712895"/>
      </c:barChart>
      <c:scatterChart>
        <c:scatterStyle val="lineMarker"/>
        <c:varyColors val="0"/>
        <c:ser>
          <c:idx val="0"/>
          <c:order val="0"/>
          <c:tx>
            <c:strRef>
              <c:f>Graphs!$K$2</c:f>
              <c:strCache>
                <c:ptCount val="1"/>
                <c:pt idx="0">
                  <c:v>Google Scholar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yVal>
            <c:numRef>
              <c:f>Graphs!$K$3:$K$13</c:f>
              <c:numCache>
                <c:formatCode>0</c:formatCode>
                <c:ptCount val="11"/>
                <c:pt idx="0">
                  <c:v>1290</c:v>
                </c:pt>
                <c:pt idx="1">
                  <c:v>1520</c:v>
                </c:pt>
                <c:pt idx="2">
                  <c:v>1970</c:v>
                </c:pt>
                <c:pt idx="3">
                  <c:v>1990</c:v>
                </c:pt>
                <c:pt idx="4">
                  <c:v>2380</c:v>
                </c:pt>
                <c:pt idx="5">
                  <c:v>2790</c:v>
                </c:pt>
                <c:pt idx="6">
                  <c:v>3000</c:v>
                </c:pt>
                <c:pt idx="7">
                  <c:v>3570</c:v>
                </c:pt>
                <c:pt idx="8">
                  <c:v>3840</c:v>
                </c:pt>
                <c:pt idx="9">
                  <c:v>4650</c:v>
                </c:pt>
                <c:pt idx="10">
                  <c:v>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1-4C37-921B-6886229D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58495"/>
        <c:axId val="1656191679"/>
      </c:scatterChart>
      <c:catAx>
        <c:axId val="16423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Publication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2712895"/>
        <c:crosses val="autoZero"/>
        <c:auto val="1"/>
        <c:lblAlgn val="ctr"/>
        <c:lblOffset val="100"/>
        <c:noMultiLvlLbl val="0"/>
      </c:catAx>
      <c:valAx>
        <c:axId val="145271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Number of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Publications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2387135"/>
        <c:crosses val="autoZero"/>
        <c:crossBetween val="between"/>
      </c:valAx>
      <c:valAx>
        <c:axId val="1656191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Publications (Google</a:t>
                </a:r>
                <a:r>
                  <a:rPr lang="en-GB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Scholar)</a:t>
                </a:r>
                <a:endParaRPr lang="en-GB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485470274364371"/>
              <c:y val="0.18210447062457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58495"/>
        <c:crosses val="max"/>
        <c:crossBetween val="midCat"/>
      </c:valAx>
      <c:valAx>
        <c:axId val="1570658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656191679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5567983331348"/>
          <c:y val="5.0925925925925923E-2"/>
          <c:w val="0.79459243172641847"/>
          <c:h val="0.549058763487897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'Google Scholar'!$D$2</c:f>
              <c:strCache>
                <c:ptCount val="1"/>
                <c:pt idx="0">
                  <c:v>nano delivery systems AND "in vitro digestion"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Scholar'!$D$3:$D$13</c:f>
              <c:numCache>
                <c:formatCode>General</c:formatCode>
                <c:ptCount val="11"/>
                <c:pt idx="0">
                  <c:v>74</c:v>
                </c:pt>
                <c:pt idx="1">
                  <c:v>81</c:v>
                </c:pt>
                <c:pt idx="2">
                  <c:v>123</c:v>
                </c:pt>
                <c:pt idx="3">
                  <c:v>177</c:v>
                </c:pt>
                <c:pt idx="4">
                  <c:v>245</c:v>
                </c:pt>
                <c:pt idx="5">
                  <c:v>323</c:v>
                </c:pt>
                <c:pt idx="6">
                  <c:v>398</c:v>
                </c:pt>
                <c:pt idx="7">
                  <c:v>524</c:v>
                </c:pt>
                <c:pt idx="8">
                  <c:v>624</c:v>
                </c:pt>
                <c:pt idx="9">
                  <c:v>822</c:v>
                </c:pt>
                <c:pt idx="10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8E-4A00-B925-0E5D00CEA554}"/>
            </c:ext>
          </c:extLst>
        </c:ser>
        <c:ser>
          <c:idx val="0"/>
          <c:order val="1"/>
          <c:tx>
            <c:strRef>
              <c:f>'Google Scholar'!$E$2</c:f>
              <c:strCache>
                <c:ptCount val="1"/>
                <c:pt idx="0">
                  <c:v>micro delivery systems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Scholar'!$E$3:$E$13</c:f>
              <c:numCache>
                <c:formatCode>General</c:formatCode>
                <c:ptCount val="11"/>
                <c:pt idx="0">
                  <c:v>112</c:v>
                </c:pt>
                <c:pt idx="1">
                  <c:v>133</c:v>
                </c:pt>
                <c:pt idx="2">
                  <c:v>177</c:v>
                </c:pt>
                <c:pt idx="3">
                  <c:v>219</c:v>
                </c:pt>
                <c:pt idx="4">
                  <c:v>267</c:v>
                </c:pt>
                <c:pt idx="5">
                  <c:v>345</c:v>
                </c:pt>
                <c:pt idx="6">
                  <c:v>453</c:v>
                </c:pt>
                <c:pt idx="7">
                  <c:v>524</c:v>
                </c:pt>
                <c:pt idx="8">
                  <c:v>609</c:v>
                </c:pt>
                <c:pt idx="9">
                  <c:v>734</c:v>
                </c:pt>
                <c:pt idx="10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8E-4A00-B925-0E5D00CE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Publications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1080456314755595E-2"/>
          <c:y val="0.78163969087197438"/>
          <c:w val="0.90995672162415708"/>
          <c:h val="0.154313210848643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5567983331348"/>
          <c:y val="5.0925925925925923E-2"/>
          <c:w val="0.79459243172641847"/>
          <c:h val="0.549058763487897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'Google Scholar'!$F$2</c:f>
              <c:strCache>
                <c:ptCount val="1"/>
                <c:pt idx="0">
                  <c:v>nanoparticles AND "in vitro digestion"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Scholar'!$F$3:$F$13</c:f>
              <c:numCache>
                <c:formatCode>General</c:formatCode>
                <c:ptCount val="11"/>
                <c:pt idx="0">
                  <c:v>77</c:v>
                </c:pt>
                <c:pt idx="1">
                  <c:v>82</c:v>
                </c:pt>
                <c:pt idx="2">
                  <c:v>136</c:v>
                </c:pt>
                <c:pt idx="3">
                  <c:v>194</c:v>
                </c:pt>
                <c:pt idx="4">
                  <c:v>281</c:v>
                </c:pt>
                <c:pt idx="5">
                  <c:v>352</c:v>
                </c:pt>
                <c:pt idx="6">
                  <c:v>466</c:v>
                </c:pt>
                <c:pt idx="7">
                  <c:v>594</c:v>
                </c:pt>
                <c:pt idx="8">
                  <c:v>734</c:v>
                </c:pt>
                <c:pt idx="9">
                  <c:v>1030</c:v>
                </c:pt>
                <c:pt idx="10">
                  <c:v>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D-43BF-9EDB-5ED18653FC28}"/>
            </c:ext>
          </c:extLst>
        </c:ser>
        <c:ser>
          <c:idx val="0"/>
          <c:order val="1"/>
          <c:tx>
            <c:strRef>
              <c:f>'Google Scholar'!$G$2</c:f>
              <c:strCache>
                <c:ptCount val="1"/>
                <c:pt idx="0">
                  <c:v>microparticles AND "in vitro digestion"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Scholar'!$G$3:$G$13</c:f>
              <c:numCache>
                <c:formatCode>General</c:formatCode>
                <c:ptCount val="11"/>
                <c:pt idx="0">
                  <c:v>38</c:v>
                </c:pt>
                <c:pt idx="1">
                  <c:v>47</c:v>
                </c:pt>
                <c:pt idx="2">
                  <c:v>84</c:v>
                </c:pt>
                <c:pt idx="3">
                  <c:v>108</c:v>
                </c:pt>
                <c:pt idx="4">
                  <c:v>142</c:v>
                </c:pt>
                <c:pt idx="5">
                  <c:v>183</c:v>
                </c:pt>
                <c:pt idx="6">
                  <c:v>254</c:v>
                </c:pt>
                <c:pt idx="7">
                  <c:v>329</c:v>
                </c:pt>
                <c:pt idx="8">
                  <c:v>379</c:v>
                </c:pt>
                <c:pt idx="9">
                  <c:v>554</c:v>
                </c:pt>
                <c:pt idx="10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D-43BF-9EDB-5ED18653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Publications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56887954480372E-2"/>
              <c:y val="0.110734061468122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1080456314755595E-2"/>
          <c:y val="0.78163969087197438"/>
          <c:w val="0.90995672162415708"/>
          <c:h val="0.154313210848643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'Google Scholar'!$M$2</c:f>
              <c:strCache>
                <c:ptCount val="1"/>
                <c:pt idx="0">
                  <c:v>micro AND "in vitro digestion"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'Google Scholar'!$M$3:$M$13</c:f>
              <c:numCache>
                <c:formatCode>0</c:formatCode>
                <c:ptCount val="11"/>
                <c:pt idx="0">
                  <c:v>150</c:v>
                </c:pt>
                <c:pt idx="1">
                  <c:v>180</c:v>
                </c:pt>
                <c:pt idx="2">
                  <c:v>261</c:v>
                </c:pt>
                <c:pt idx="3">
                  <c:v>327</c:v>
                </c:pt>
                <c:pt idx="4">
                  <c:v>409</c:v>
                </c:pt>
                <c:pt idx="5">
                  <c:v>528</c:v>
                </c:pt>
                <c:pt idx="6">
                  <c:v>707</c:v>
                </c:pt>
                <c:pt idx="7">
                  <c:v>853</c:v>
                </c:pt>
                <c:pt idx="8">
                  <c:v>988</c:v>
                </c:pt>
                <c:pt idx="9">
                  <c:v>1288</c:v>
                </c:pt>
                <c:pt idx="10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F-4FFE-A4D8-FC5A795B3056}"/>
            </c:ext>
          </c:extLst>
        </c:ser>
        <c:ser>
          <c:idx val="1"/>
          <c:order val="1"/>
          <c:tx>
            <c:strRef>
              <c:f>'Google Scholar'!$N$2</c:f>
              <c:strCache>
                <c:ptCount val="1"/>
                <c:pt idx="0">
                  <c:v>nano AND "in vitro digestion"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'Google Scholar'!$N$3:$N$13</c:f>
              <c:numCache>
                <c:formatCode>0</c:formatCode>
                <c:ptCount val="11"/>
                <c:pt idx="0">
                  <c:v>151</c:v>
                </c:pt>
                <c:pt idx="1">
                  <c:v>163</c:v>
                </c:pt>
                <c:pt idx="2">
                  <c:v>259</c:v>
                </c:pt>
                <c:pt idx="3">
                  <c:v>371</c:v>
                </c:pt>
                <c:pt idx="4">
                  <c:v>526</c:v>
                </c:pt>
                <c:pt idx="5">
                  <c:v>675</c:v>
                </c:pt>
                <c:pt idx="6">
                  <c:v>864</c:v>
                </c:pt>
                <c:pt idx="7">
                  <c:v>1118</c:v>
                </c:pt>
                <c:pt idx="8">
                  <c:v>1358</c:v>
                </c:pt>
                <c:pt idx="9">
                  <c:v>1852</c:v>
                </c:pt>
                <c:pt idx="10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F-4FFE-A4D8-FC5A795B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590928"/>
        <c:axId val="635352512"/>
      </c:barChart>
      <c:catAx>
        <c:axId val="8535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52512"/>
        <c:crosses val="autoZero"/>
        <c:auto val="1"/>
        <c:lblAlgn val="ctr"/>
        <c:lblOffset val="100"/>
        <c:noMultiLvlLbl val="0"/>
      </c:catAx>
      <c:valAx>
        <c:axId val="6353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9092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Scholar'!$K$2</c:f>
              <c:strCache>
                <c:ptCount val="1"/>
                <c:pt idx="0">
                  <c:v>"in vitro digestion" AND "challenges"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Scholar'!$K$3:$K$13</c:f>
              <c:numCache>
                <c:formatCode>General</c:formatCode>
                <c:ptCount val="11"/>
                <c:pt idx="0">
                  <c:v>169</c:v>
                </c:pt>
                <c:pt idx="1">
                  <c:v>198</c:v>
                </c:pt>
                <c:pt idx="2">
                  <c:v>288</c:v>
                </c:pt>
                <c:pt idx="3">
                  <c:v>333</c:v>
                </c:pt>
                <c:pt idx="4">
                  <c:v>411</c:v>
                </c:pt>
                <c:pt idx="5">
                  <c:v>507</c:v>
                </c:pt>
                <c:pt idx="6">
                  <c:v>609</c:v>
                </c:pt>
                <c:pt idx="7">
                  <c:v>792</c:v>
                </c:pt>
                <c:pt idx="8">
                  <c:v>893</c:v>
                </c:pt>
                <c:pt idx="9">
                  <c:v>1130</c:v>
                </c:pt>
                <c:pt idx="10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A-4803-86FB-152EA4B1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"in vitro digestion"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725940507436572E-2"/>
                  <c:y val="-8.332130358705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WebOfKnowledge!$B$3:$B$13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WebOfKnowledge!$C$3:$C$13</c:f>
              <c:numCache>
                <c:formatCode>General</c:formatCode>
                <c:ptCount val="11"/>
                <c:pt idx="0">
                  <c:v>131</c:v>
                </c:pt>
                <c:pt idx="1">
                  <c:v>140</c:v>
                </c:pt>
                <c:pt idx="2">
                  <c:v>192</c:v>
                </c:pt>
                <c:pt idx="3">
                  <c:v>218</c:v>
                </c:pt>
                <c:pt idx="4">
                  <c:v>233</c:v>
                </c:pt>
                <c:pt idx="5">
                  <c:v>278</c:v>
                </c:pt>
                <c:pt idx="6">
                  <c:v>330</c:v>
                </c:pt>
                <c:pt idx="7">
                  <c:v>403</c:v>
                </c:pt>
                <c:pt idx="8">
                  <c:v>473</c:v>
                </c:pt>
                <c:pt idx="9">
                  <c:v>614</c:v>
                </c:pt>
                <c:pt idx="10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9-4D73-BBE3-FE8081AC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54431"/>
        <c:axId val="1543828623"/>
      </c:scatterChart>
      <c:valAx>
        <c:axId val="17358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28623"/>
        <c:crosses val="autoZero"/>
        <c:crossBetween val="midCat"/>
      </c:valAx>
      <c:valAx>
        <c:axId val="1543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"in vitro gastrointestinal"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6266043269699209"/>
                  <c:y val="-5.107538641003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WebOfKnowledge!$B$3:$B$13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WebOfKnowledge!$D$3:$D$13</c:f>
              <c:numCache>
                <c:formatCode>General</c:formatCode>
                <c:ptCount val="11"/>
                <c:pt idx="0">
                  <c:v>31</c:v>
                </c:pt>
                <c:pt idx="1">
                  <c:v>29</c:v>
                </c:pt>
                <c:pt idx="2">
                  <c:v>33</c:v>
                </c:pt>
                <c:pt idx="3">
                  <c:v>57</c:v>
                </c:pt>
                <c:pt idx="4">
                  <c:v>62</c:v>
                </c:pt>
                <c:pt idx="5">
                  <c:v>83</c:v>
                </c:pt>
                <c:pt idx="6">
                  <c:v>97</c:v>
                </c:pt>
                <c:pt idx="7">
                  <c:v>114</c:v>
                </c:pt>
                <c:pt idx="8">
                  <c:v>128</c:v>
                </c:pt>
                <c:pt idx="9">
                  <c:v>191</c:v>
                </c:pt>
                <c:pt idx="1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AD0-86FD-48D48759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54431"/>
        <c:axId val="1543828623"/>
      </c:scatterChart>
      <c:valAx>
        <c:axId val="17358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28623"/>
        <c:crosses val="autoZero"/>
        <c:crossBetween val="midCat"/>
      </c:valAx>
      <c:valAx>
        <c:axId val="1543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Search'!$C$2</c:f>
              <c:strCache>
                <c:ptCount val="1"/>
                <c:pt idx="0">
                  <c:v>"in vitro digestion"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79798775153106"/>
                  <c:y val="-3.1784047827354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'Base Search'!$B$3:$B$13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'Base Search'!$C$3:$C$13</c:f>
              <c:numCache>
                <c:formatCode>General</c:formatCode>
                <c:ptCount val="11"/>
                <c:pt idx="0">
                  <c:v>289</c:v>
                </c:pt>
                <c:pt idx="1">
                  <c:v>256</c:v>
                </c:pt>
                <c:pt idx="2">
                  <c:v>419</c:v>
                </c:pt>
                <c:pt idx="3">
                  <c:v>415</c:v>
                </c:pt>
                <c:pt idx="4">
                  <c:v>495</c:v>
                </c:pt>
                <c:pt idx="5">
                  <c:v>600</c:v>
                </c:pt>
                <c:pt idx="6">
                  <c:v>657</c:v>
                </c:pt>
                <c:pt idx="7">
                  <c:v>672</c:v>
                </c:pt>
                <c:pt idx="8">
                  <c:v>777</c:v>
                </c:pt>
                <c:pt idx="9">
                  <c:v>900</c:v>
                </c:pt>
                <c:pt idx="10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0-4209-B326-2F95A303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1631"/>
        <c:axId val="1532925327"/>
      </c:scatterChart>
      <c:valAx>
        <c:axId val="1735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5327"/>
        <c:crosses val="autoZero"/>
        <c:crossBetween val="midCat"/>
      </c:valAx>
      <c:valAx>
        <c:axId val="1532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Search'!$D$2</c:f>
              <c:strCache>
                <c:ptCount val="1"/>
                <c:pt idx="0">
                  <c:v>"in vitro gastrointestinal"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79798775153106"/>
                  <c:y val="-3.1784047827354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'Base Search'!$B$3:$B$13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'Base Search'!$D$3:$D$13</c:f>
              <c:numCache>
                <c:formatCode>General</c:formatCode>
                <c:ptCount val="11"/>
                <c:pt idx="0">
                  <c:v>44</c:v>
                </c:pt>
                <c:pt idx="1">
                  <c:v>40</c:v>
                </c:pt>
                <c:pt idx="2">
                  <c:v>54</c:v>
                </c:pt>
                <c:pt idx="3">
                  <c:v>60</c:v>
                </c:pt>
                <c:pt idx="4">
                  <c:v>85</c:v>
                </c:pt>
                <c:pt idx="5">
                  <c:v>86</c:v>
                </c:pt>
                <c:pt idx="6">
                  <c:v>137</c:v>
                </c:pt>
                <c:pt idx="7">
                  <c:v>141</c:v>
                </c:pt>
                <c:pt idx="8">
                  <c:v>147</c:v>
                </c:pt>
                <c:pt idx="9">
                  <c:v>241</c:v>
                </c:pt>
                <c:pt idx="1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4-4EA1-BE0B-40F918A3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1631"/>
        <c:axId val="1532925327"/>
      </c:scatterChart>
      <c:valAx>
        <c:axId val="1735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5327"/>
        <c:crosses val="autoZero"/>
        <c:crossBetween val="midCat"/>
      </c:valAx>
      <c:valAx>
        <c:axId val="1532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Mendeley!$B$5:$B$13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Mendeley!$D$5:$D$13</c:f>
              <c:numCache>
                <c:formatCode>General</c:formatCode>
                <c:ptCount val="9"/>
                <c:pt idx="0">
                  <c:v>35</c:v>
                </c:pt>
                <c:pt idx="1">
                  <c:v>60</c:v>
                </c:pt>
                <c:pt idx="2">
                  <c:v>64</c:v>
                </c:pt>
                <c:pt idx="3">
                  <c:v>81</c:v>
                </c:pt>
                <c:pt idx="4">
                  <c:v>106</c:v>
                </c:pt>
                <c:pt idx="5">
                  <c:v>119</c:v>
                </c:pt>
                <c:pt idx="6">
                  <c:v>138</c:v>
                </c:pt>
                <c:pt idx="7">
                  <c:v>198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EE2-9B35-CED8694A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2911"/>
        <c:axId val="1684597471"/>
      </c:scatterChart>
      <c:valAx>
        <c:axId val="18284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97471"/>
        <c:crosses val="autoZero"/>
        <c:crossBetween val="midCat"/>
      </c:valAx>
      <c:valAx>
        <c:axId val="16845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Mendeley!$B$5:$B$13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Mendeley!$C$5:$C$13</c:f>
              <c:numCache>
                <c:formatCode>General</c:formatCode>
                <c:ptCount val="9"/>
                <c:pt idx="0">
                  <c:v>181</c:v>
                </c:pt>
                <c:pt idx="1">
                  <c:v>186</c:v>
                </c:pt>
                <c:pt idx="2">
                  <c:v>210</c:v>
                </c:pt>
                <c:pt idx="3">
                  <c:v>244</c:v>
                </c:pt>
                <c:pt idx="4">
                  <c:v>297</c:v>
                </c:pt>
                <c:pt idx="5">
                  <c:v>330</c:v>
                </c:pt>
                <c:pt idx="6">
                  <c:v>402</c:v>
                </c:pt>
                <c:pt idx="7">
                  <c:v>527</c:v>
                </c:pt>
                <c:pt idx="8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C-41AB-96B4-5E8AD8DD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2911"/>
        <c:axId val="1684597471"/>
      </c:scatterChart>
      <c:valAx>
        <c:axId val="18284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97471"/>
        <c:crosses val="autoZero"/>
        <c:crossBetween val="midCat"/>
      </c:valAx>
      <c:valAx>
        <c:axId val="16845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80811207410464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Scholar'!$C$2</c:f>
              <c:strCache>
                <c:ptCount val="1"/>
                <c:pt idx="0">
                  <c:v>bioactive compounds bioaccessibility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993153980752405"/>
                  <c:y val="2.3460192475940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Scholar'!$C$3:$C$13</c:f>
              <c:numCache>
                <c:formatCode>General</c:formatCode>
                <c:ptCount val="11"/>
                <c:pt idx="0">
                  <c:v>196</c:v>
                </c:pt>
                <c:pt idx="1">
                  <c:v>257</c:v>
                </c:pt>
                <c:pt idx="2">
                  <c:v>427</c:v>
                </c:pt>
                <c:pt idx="3">
                  <c:v>530</c:v>
                </c:pt>
                <c:pt idx="4">
                  <c:v>697</c:v>
                </c:pt>
                <c:pt idx="5">
                  <c:v>1020</c:v>
                </c:pt>
                <c:pt idx="6">
                  <c:v>1240</c:v>
                </c:pt>
                <c:pt idx="7">
                  <c:v>1600</c:v>
                </c:pt>
                <c:pt idx="8">
                  <c:v>2120</c:v>
                </c:pt>
                <c:pt idx="9">
                  <c:v>3020</c:v>
                </c:pt>
                <c:pt idx="10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9-4DB7-8B70-4EDC7A26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'Microsoft Academic'!$B$3:$B$13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'Microsoft Academic'!$C$3:$C$13</c:f>
              <c:numCache>
                <c:formatCode>General</c:formatCode>
                <c:ptCount val="11"/>
                <c:pt idx="0">
                  <c:v>72</c:v>
                </c:pt>
                <c:pt idx="1">
                  <c:v>80</c:v>
                </c:pt>
                <c:pt idx="2">
                  <c:v>133</c:v>
                </c:pt>
                <c:pt idx="3">
                  <c:v>127</c:v>
                </c:pt>
                <c:pt idx="4">
                  <c:v>136</c:v>
                </c:pt>
                <c:pt idx="5">
                  <c:v>147</c:v>
                </c:pt>
                <c:pt idx="6">
                  <c:v>178</c:v>
                </c:pt>
                <c:pt idx="7">
                  <c:v>167</c:v>
                </c:pt>
                <c:pt idx="8">
                  <c:v>197</c:v>
                </c:pt>
                <c:pt idx="9">
                  <c:v>258</c:v>
                </c:pt>
                <c:pt idx="10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E-41FE-AADF-619FDC0D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4495"/>
        <c:axId val="1543831119"/>
      </c:scatterChart>
      <c:valAx>
        <c:axId val="17238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1119"/>
        <c:crosses val="autoZero"/>
        <c:crossBetween val="midCat"/>
      </c:valAx>
      <c:valAx>
        <c:axId val="15438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6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'Microsoft Academic'!$B$3:$B$13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'Microsoft Academic'!$D$3:$D$13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28</c:v>
                </c:pt>
                <c:pt idx="3">
                  <c:v>44</c:v>
                </c:pt>
                <c:pt idx="4">
                  <c:v>37</c:v>
                </c:pt>
                <c:pt idx="5">
                  <c:v>43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87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C-40BE-93A9-273D77E7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4495"/>
        <c:axId val="1543831119"/>
      </c:scatterChart>
      <c:valAx>
        <c:axId val="17238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1119"/>
        <c:crosses val="autoZero"/>
        <c:crossBetween val="midCat"/>
      </c:valAx>
      <c:valAx>
        <c:axId val="15438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6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'Science Open'!$B$3:$B$13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'Science Open'!$C$3:$C$13</c:f>
              <c:numCache>
                <c:formatCode>General</c:formatCode>
                <c:ptCount val="11"/>
                <c:pt idx="0">
                  <c:v>133</c:v>
                </c:pt>
                <c:pt idx="1">
                  <c:v>135</c:v>
                </c:pt>
                <c:pt idx="2">
                  <c:v>168</c:v>
                </c:pt>
                <c:pt idx="3">
                  <c:v>160</c:v>
                </c:pt>
                <c:pt idx="4">
                  <c:v>171</c:v>
                </c:pt>
                <c:pt idx="5">
                  <c:v>191</c:v>
                </c:pt>
                <c:pt idx="6">
                  <c:v>220</c:v>
                </c:pt>
                <c:pt idx="7">
                  <c:v>249</c:v>
                </c:pt>
                <c:pt idx="8">
                  <c:v>234</c:v>
                </c:pt>
                <c:pt idx="9">
                  <c:v>301</c:v>
                </c:pt>
                <c:pt idx="10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0-4F62-A6BE-3B0FF168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43231"/>
        <c:axId val="1536553151"/>
      </c:scatterChart>
      <c:valAx>
        <c:axId val="17358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53151"/>
        <c:crosses val="autoZero"/>
        <c:crossBetween val="midCat"/>
      </c:valAx>
      <c:valAx>
        <c:axId val="15365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4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316622922134734"/>
                  <c:y val="-3.634441528142315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'Science Open'!$B$3:$B$13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'Science Open'!$D$3:$D$13</c:f>
              <c:numCache>
                <c:formatCode>General</c:formatCode>
                <c:ptCount val="11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43</c:v>
                </c:pt>
                <c:pt idx="4">
                  <c:v>33</c:v>
                </c:pt>
                <c:pt idx="5">
                  <c:v>42</c:v>
                </c:pt>
                <c:pt idx="6">
                  <c:v>49</c:v>
                </c:pt>
                <c:pt idx="7">
                  <c:v>54</c:v>
                </c:pt>
                <c:pt idx="8">
                  <c:v>53</c:v>
                </c:pt>
                <c:pt idx="9">
                  <c:v>83</c:v>
                </c:pt>
                <c:pt idx="10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F-4077-AC65-7FB16DD4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43231"/>
        <c:axId val="1536553151"/>
      </c:scatterChart>
      <c:valAx>
        <c:axId val="17358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53151"/>
        <c:crosses val="autoZero"/>
        <c:crossBetween val="midCat"/>
      </c:valAx>
      <c:valAx>
        <c:axId val="15365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4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117891513560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664260717410323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'Semantic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'Semantic Scholar'!$D$3:$D$13</c:f>
              <c:numCache>
                <c:formatCode>General</c:formatCode>
                <c:ptCount val="11"/>
                <c:pt idx="0">
                  <c:v>49</c:v>
                </c:pt>
                <c:pt idx="1">
                  <c:v>44</c:v>
                </c:pt>
                <c:pt idx="2">
                  <c:v>61</c:v>
                </c:pt>
                <c:pt idx="3">
                  <c:v>90</c:v>
                </c:pt>
                <c:pt idx="4">
                  <c:v>91</c:v>
                </c:pt>
                <c:pt idx="5">
                  <c:v>114</c:v>
                </c:pt>
                <c:pt idx="6">
                  <c:v>156</c:v>
                </c:pt>
                <c:pt idx="7">
                  <c:v>167</c:v>
                </c:pt>
                <c:pt idx="8">
                  <c:v>168</c:v>
                </c:pt>
                <c:pt idx="9">
                  <c:v>247</c:v>
                </c:pt>
                <c:pt idx="1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6-4438-9D4C-C3BE09AD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4143"/>
        <c:axId val="1543278719"/>
      </c:scatterChart>
      <c:valAx>
        <c:axId val="18258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8719"/>
        <c:crosses val="autoZero"/>
        <c:crossBetween val="midCat"/>
      </c:valAx>
      <c:valAx>
        <c:axId val="15432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117891513560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619816272965879"/>
                  <c:y val="1.7370953630796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'Semantic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'Semantic Scholar'!$C$3:$C$13</c:f>
              <c:numCache>
                <c:formatCode>General</c:formatCode>
                <c:ptCount val="11"/>
                <c:pt idx="0">
                  <c:v>189</c:v>
                </c:pt>
                <c:pt idx="1">
                  <c:v>195</c:v>
                </c:pt>
                <c:pt idx="2">
                  <c:v>277</c:v>
                </c:pt>
                <c:pt idx="3">
                  <c:v>316</c:v>
                </c:pt>
                <c:pt idx="4">
                  <c:v>343</c:v>
                </c:pt>
                <c:pt idx="5">
                  <c:v>403</c:v>
                </c:pt>
                <c:pt idx="6">
                  <c:v>466</c:v>
                </c:pt>
                <c:pt idx="7">
                  <c:v>473</c:v>
                </c:pt>
                <c:pt idx="8">
                  <c:v>542</c:v>
                </c:pt>
                <c:pt idx="9">
                  <c:v>686</c:v>
                </c:pt>
                <c:pt idx="10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9-4D16-A167-95E77A9B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4143"/>
        <c:axId val="1543278719"/>
      </c:scatterChart>
      <c:valAx>
        <c:axId val="18258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8719"/>
        <c:crosses val="autoZero"/>
        <c:crossBetween val="midCat"/>
      </c:valAx>
      <c:valAx>
        <c:axId val="15432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Scholar'!$D$2</c:f>
              <c:strCache>
                <c:ptCount val="1"/>
                <c:pt idx="0">
                  <c:v>nano delivery systems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4475065616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Scholar'!$D$3:$D$13</c:f>
              <c:numCache>
                <c:formatCode>General</c:formatCode>
                <c:ptCount val="11"/>
                <c:pt idx="0">
                  <c:v>74</c:v>
                </c:pt>
                <c:pt idx="1">
                  <c:v>81</c:v>
                </c:pt>
                <c:pt idx="2">
                  <c:v>123</c:v>
                </c:pt>
                <c:pt idx="3">
                  <c:v>177</c:v>
                </c:pt>
                <c:pt idx="4">
                  <c:v>245</c:v>
                </c:pt>
                <c:pt idx="5">
                  <c:v>323</c:v>
                </c:pt>
                <c:pt idx="6">
                  <c:v>398</c:v>
                </c:pt>
                <c:pt idx="7">
                  <c:v>524</c:v>
                </c:pt>
                <c:pt idx="8">
                  <c:v>624</c:v>
                </c:pt>
                <c:pt idx="9">
                  <c:v>822</c:v>
                </c:pt>
                <c:pt idx="10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1DD-AD1B-B20FCF74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Scholar'!$E$2</c:f>
              <c:strCache>
                <c:ptCount val="1"/>
                <c:pt idx="0">
                  <c:v>micro delivery systems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Scholar'!$E$3:$E$13</c:f>
              <c:numCache>
                <c:formatCode>General</c:formatCode>
                <c:ptCount val="11"/>
                <c:pt idx="0">
                  <c:v>112</c:v>
                </c:pt>
                <c:pt idx="1">
                  <c:v>133</c:v>
                </c:pt>
                <c:pt idx="2">
                  <c:v>177</c:v>
                </c:pt>
                <c:pt idx="3">
                  <c:v>219</c:v>
                </c:pt>
                <c:pt idx="4">
                  <c:v>267</c:v>
                </c:pt>
                <c:pt idx="5">
                  <c:v>345</c:v>
                </c:pt>
                <c:pt idx="6">
                  <c:v>453</c:v>
                </c:pt>
                <c:pt idx="7">
                  <c:v>524</c:v>
                </c:pt>
                <c:pt idx="8">
                  <c:v>609</c:v>
                </c:pt>
                <c:pt idx="9">
                  <c:v>734</c:v>
                </c:pt>
                <c:pt idx="10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9-4C7D-B1D3-CCD32A04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Scholar'!$F$2</c:f>
              <c:strCache>
                <c:ptCount val="1"/>
                <c:pt idx="0">
                  <c:v>nanoparticles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Scholar'!$F$3:$F$13</c:f>
              <c:numCache>
                <c:formatCode>General</c:formatCode>
                <c:ptCount val="11"/>
                <c:pt idx="0">
                  <c:v>77</c:v>
                </c:pt>
                <c:pt idx="1">
                  <c:v>82</c:v>
                </c:pt>
                <c:pt idx="2">
                  <c:v>136</c:v>
                </c:pt>
                <c:pt idx="3">
                  <c:v>194</c:v>
                </c:pt>
                <c:pt idx="4">
                  <c:v>281</c:v>
                </c:pt>
                <c:pt idx="5">
                  <c:v>352</c:v>
                </c:pt>
                <c:pt idx="6">
                  <c:v>466</c:v>
                </c:pt>
                <c:pt idx="7">
                  <c:v>594</c:v>
                </c:pt>
                <c:pt idx="8">
                  <c:v>734</c:v>
                </c:pt>
                <c:pt idx="9">
                  <c:v>1030</c:v>
                </c:pt>
                <c:pt idx="10">
                  <c:v>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1-447D-B160-F3F2FF03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Scholar'!$G$2</c:f>
              <c:strCache>
                <c:ptCount val="1"/>
                <c:pt idx="0">
                  <c:v>microparticles AND 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Scholar'!$G$3:$G$13</c:f>
              <c:numCache>
                <c:formatCode>General</c:formatCode>
                <c:ptCount val="11"/>
                <c:pt idx="0">
                  <c:v>38</c:v>
                </c:pt>
                <c:pt idx="1">
                  <c:v>47</c:v>
                </c:pt>
                <c:pt idx="2">
                  <c:v>84</c:v>
                </c:pt>
                <c:pt idx="3">
                  <c:v>108</c:v>
                </c:pt>
                <c:pt idx="4">
                  <c:v>142</c:v>
                </c:pt>
                <c:pt idx="5">
                  <c:v>183</c:v>
                </c:pt>
                <c:pt idx="6">
                  <c:v>254</c:v>
                </c:pt>
                <c:pt idx="7">
                  <c:v>329</c:v>
                </c:pt>
                <c:pt idx="8">
                  <c:v>379</c:v>
                </c:pt>
                <c:pt idx="9">
                  <c:v>554</c:v>
                </c:pt>
                <c:pt idx="10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8-4616-B104-0DB099A1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Scholar'!$H$2</c:f>
              <c:strCache>
                <c:ptCount val="1"/>
                <c:pt idx="0">
                  <c:v>nutraceutical bioaccessibility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Scholar'!$H$3:$H$13</c:f>
              <c:numCache>
                <c:formatCode>General</c:formatCode>
                <c:ptCount val="11"/>
                <c:pt idx="0">
                  <c:v>65</c:v>
                </c:pt>
                <c:pt idx="1">
                  <c:v>94</c:v>
                </c:pt>
                <c:pt idx="2">
                  <c:v>151</c:v>
                </c:pt>
                <c:pt idx="3">
                  <c:v>211</c:v>
                </c:pt>
                <c:pt idx="4">
                  <c:v>306</c:v>
                </c:pt>
                <c:pt idx="5">
                  <c:v>454</c:v>
                </c:pt>
                <c:pt idx="6">
                  <c:v>631</c:v>
                </c:pt>
                <c:pt idx="7">
                  <c:v>818</c:v>
                </c:pt>
                <c:pt idx="8">
                  <c:v>1020</c:v>
                </c:pt>
                <c:pt idx="9">
                  <c:v>1490</c:v>
                </c:pt>
                <c:pt idx="10">
                  <c:v>2240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B-43CC-B6A8-E94F69CE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Scholar'!$I$2</c:f>
              <c:strCache>
                <c:ptCount val="1"/>
                <c:pt idx="0">
                  <c:v>"in vitro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Scholar'!$I$3:$I$13</c:f>
              <c:numCache>
                <c:formatCode>General</c:formatCode>
                <c:ptCount val="11"/>
                <c:pt idx="0">
                  <c:v>1290</c:v>
                </c:pt>
                <c:pt idx="1">
                  <c:v>1520</c:v>
                </c:pt>
                <c:pt idx="2">
                  <c:v>1970</c:v>
                </c:pt>
                <c:pt idx="3">
                  <c:v>1990</c:v>
                </c:pt>
                <c:pt idx="4">
                  <c:v>2380</c:v>
                </c:pt>
                <c:pt idx="5">
                  <c:v>2790</c:v>
                </c:pt>
                <c:pt idx="6">
                  <c:v>3000</c:v>
                </c:pt>
                <c:pt idx="7">
                  <c:v>3570</c:v>
                </c:pt>
                <c:pt idx="8">
                  <c:v>3840</c:v>
                </c:pt>
                <c:pt idx="9">
                  <c:v>4650</c:v>
                </c:pt>
                <c:pt idx="10">
                  <c:v>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5-4CDB-A68F-3758D711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Scholar'!$J$2</c:f>
              <c:strCache>
                <c:ptCount val="1"/>
                <c:pt idx="0">
                  <c:v>"in vitro gastrointestinal digestion"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3873149305684"/>
                  <c:y val="-9.3609652960046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'Google Scholar'!$B$3:$B$13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'Google Scholar'!$J$3:$J$13</c:f>
              <c:numCache>
                <c:formatCode>General</c:formatCode>
                <c:ptCount val="11"/>
                <c:pt idx="0">
                  <c:v>106</c:v>
                </c:pt>
                <c:pt idx="1">
                  <c:v>105</c:v>
                </c:pt>
                <c:pt idx="2">
                  <c:v>161</c:v>
                </c:pt>
                <c:pt idx="3">
                  <c:v>251</c:v>
                </c:pt>
                <c:pt idx="4">
                  <c:v>270</c:v>
                </c:pt>
                <c:pt idx="5">
                  <c:v>342</c:v>
                </c:pt>
                <c:pt idx="6">
                  <c:v>464</c:v>
                </c:pt>
                <c:pt idx="7">
                  <c:v>595</c:v>
                </c:pt>
                <c:pt idx="8">
                  <c:v>744</c:v>
                </c:pt>
                <c:pt idx="9">
                  <c:v>1090</c:v>
                </c:pt>
                <c:pt idx="10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7-402F-9F6B-77C05A58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11519"/>
        <c:axId val="142220447"/>
      </c:scatterChart>
      <c:valAx>
        <c:axId val="2302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0447"/>
        <c:crosses val="autoZero"/>
        <c:crossBetween val="midCat"/>
      </c:valAx>
      <c:valAx>
        <c:axId val="14222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189765</xdr:colOff>
      <xdr:row>5</xdr:row>
      <xdr:rowOff>4028</xdr:rowOff>
    </xdr:from>
    <xdr:to>
      <xdr:col>16</xdr:col>
      <xdr:colOff>1000125</xdr:colOff>
      <xdr:row>33</xdr:row>
      <xdr:rowOff>57150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6D79230-A7BB-434E-B18B-45C5EFF1D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86005</xdr:colOff>
      <xdr:row>30</xdr:row>
      <xdr:rowOff>21692</xdr:rowOff>
    </xdr:from>
    <xdr:to>
      <xdr:col>3</xdr:col>
      <xdr:colOff>1725664</xdr:colOff>
      <xdr:row>44</xdr:row>
      <xdr:rowOff>97892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580C30-018D-43A2-B7BD-0F6FA65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1918684</xdr:colOff>
      <xdr:row>31</xdr:row>
      <xdr:rowOff>34014</xdr:rowOff>
    </xdr:from>
    <xdr:to>
      <xdr:col>5</xdr:col>
      <xdr:colOff>505303</xdr:colOff>
      <xdr:row>45</xdr:row>
      <xdr:rowOff>110214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8FFC5F-AC4D-41A5-875B-7B60BA4D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629763</xdr:colOff>
      <xdr:row>31</xdr:row>
      <xdr:rowOff>27834</xdr:rowOff>
    </xdr:from>
    <xdr:to>
      <xdr:col>7</xdr:col>
      <xdr:colOff>601188</xdr:colOff>
      <xdr:row>45</xdr:row>
      <xdr:rowOff>104034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8139AD-B235-482F-B586-327DEBDBC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68037</xdr:colOff>
      <xdr:row>46</xdr:row>
      <xdr:rowOff>137308</xdr:rowOff>
    </xdr:from>
    <xdr:to>
      <xdr:col>3</xdr:col>
      <xdr:colOff>1741714</xdr:colOff>
      <xdr:row>61</xdr:row>
      <xdr:rowOff>23008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CB6EE2-215E-4782-AB12-0F843D3E5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1822121</xdr:colOff>
      <xdr:row>46</xdr:row>
      <xdr:rowOff>133597</xdr:rowOff>
    </xdr:from>
    <xdr:to>
      <xdr:col>5</xdr:col>
      <xdr:colOff>461406</xdr:colOff>
      <xdr:row>61</xdr:row>
      <xdr:rowOff>19297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91B4DDC-5788-428F-8533-2B8C0F43D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707572</xdr:colOff>
      <xdr:row>47</xdr:row>
      <xdr:rowOff>1238</xdr:rowOff>
    </xdr:from>
    <xdr:to>
      <xdr:col>7</xdr:col>
      <xdr:colOff>802821</xdr:colOff>
      <xdr:row>61</xdr:row>
      <xdr:rowOff>77438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AA4E41-F856-47A1-A085-43C73DB9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1187823</xdr:colOff>
      <xdr:row>30</xdr:row>
      <xdr:rowOff>69273</xdr:rowOff>
    </xdr:from>
    <xdr:to>
      <xdr:col>9</xdr:col>
      <xdr:colOff>1080806</xdr:colOff>
      <xdr:row>44</xdr:row>
      <xdr:rowOff>145473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638C35C-4EF8-4182-A999-81F4D650E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1190625</xdr:colOff>
      <xdr:row>46</xdr:row>
      <xdr:rowOff>140711</xdr:rowOff>
    </xdr:from>
    <xdr:to>
      <xdr:col>9</xdr:col>
      <xdr:colOff>1083608</xdr:colOff>
      <xdr:row>61</xdr:row>
      <xdr:rowOff>26411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427436-CBE5-40E7-B909-9D47A0668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809436</xdr:colOff>
      <xdr:row>63</xdr:row>
      <xdr:rowOff>88323</xdr:rowOff>
    </xdr:from>
    <xdr:to>
      <xdr:col>6</xdr:col>
      <xdr:colOff>1428750</xdr:colOff>
      <xdr:row>80</xdr:row>
      <xdr:rowOff>97848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C8EA674-17A6-4D69-B80F-3B434E57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104776</xdr:colOff>
      <xdr:row>63</xdr:row>
      <xdr:rowOff>107373</xdr:rowOff>
    </xdr:from>
    <xdr:to>
      <xdr:col>4</xdr:col>
      <xdr:colOff>390715</xdr:colOff>
      <xdr:row>80</xdr:row>
      <xdr:rowOff>116898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304100-CC95-498E-8E68-404587527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1874692</xdr:colOff>
      <xdr:row>63</xdr:row>
      <xdr:rowOff>38966</xdr:rowOff>
    </xdr:from>
    <xdr:to>
      <xdr:col>9</xdr:col>
      <xdr:colOff>36800</xdr:colOff>
      <xdr:row>81</xdr:row>
      <xdr:rowOff>59748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0FF71A-CDA5-4D1E-9A53-18A8C150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1523999</xdr:colOff>
      <xdr:row>32</xdr:row>
      <xdr:rowOff>1</xdr:rowOff>
    </xdr:from>
    <xdr:to>
      <xdr:col>12</xdr:col>
      <xdr:colOff>776210</xdr:colOff>
      <xdr:row>46</xdr:row>
      <xdr:rowOff>76201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9184F44-8B4F-491F-AC6A-53EDCF52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496957</xdr:colOff>
      <xdr:row>2</xdr:row>
      <xdr:rowOff>11596</xdr:rowOff>
    </xdr:from>
    <xdr:to>
      <xdr:col>12</xdr:col>
      <xdr:colOff>455543</xdr:colOff>
      <xdr:row>16</xdr:row>
      <xdr:rowOff>87796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3B8068-684F-4649-B99E-B53AAA766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588066</xdr:colOff>
      <xdr:row>1</xdr:row>
      <xdr:rowOff>107674</xdr:rowOff>
    </xdr:from>
    <xdr:to>
      <xdr:col>19</xdr:col>
      <xdr:colOff>546653</xdr:colOff>
      <xdr:row>15</xdr:row>
      <xdr:rowOff>183874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5E5074-3AEB-4BE1-AAA6-8E87BFFC3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23812</xdr:rowOff>
    </xdr:from>
    <xdr:to>
      <xdr:col>12</xdr:col>
      <xdr:colOff>200025</xdr:colOff>
      <xdr:row>15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BD250D-4EF5-4173-9272-78648BFD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0</xdr:row>
      <xdr:rowOff>85725</xdr:rowOff>
    </xdr:from>
    <xdr:to>
      <xdr:col>20</xdr:col>
      <xdr:colOff>85725</xdr:colOff>
      <xdr:row>14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1F1AA0-C423-4A72-9B63-BD3A60D9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157162</xdr:rowOff>
    </xdr:from>
    <xdr:to>
      <xdr:col>12</xdr:col>
      <xdr:colOff>66675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EC22B-7346-45E5-AE5E-7D0448F7C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0</xdr:row>
      <xdr:rowOff>161925</xdr:rowOff>
    </xdr:from>
    <xdr:to>
      <xdr:col>19</xdr:col>
      <xdr:colOff>466725</xdr:colOff>
      <xdr:row>15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438615-270D-4EB5-A623-5752020E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166687</xdr:rowOff>
    </xdr:from>
    <xdr:to>
      <xdr:col>12</xdr:col>
      <xdr:colOff>504825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052CF2-8FB4-474A-B800-586BEBE8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180975</xdr:rowOff>
    </xdr:from>
    <xdr:to>
      <xdr:col>20</xdr:col>
      <xdr:colOff>523875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741976-0619-454E-82EA-EBD86F86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176212</xdr:rowOff>
    </xdr:from>
    <xdr:to>
      <xdr:col>12</xdr:col>
      <xdr:colOff>114300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94C08-D6DB-41B0-9286-D29CC216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</xdr:row>
      <xdr:rowOff>19050</xdr:rowOff>
    </xdr:from>
    <xdr:to>
      <xdr:col>19</xdr:col>
      <xdr:colOff>342900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9A05D0-7980-4966-8F2D-14ABC421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128587</xdr:rowOff>
    </xdr:from>
    <xdr:to>
      <xdr:col>21</xdr:col>
      <xdr:colOff>0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F2DCD0-2135-454F-8A5F-0C5895E6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0</xdr:row>
      <xdr:rowOff>161925</xdr:rowOff>
    </xdr:from>
    <xdr:to>
      <xdr:col>12</xdr:col>
      <xdr:colOff>514350</xdr:colOff>
      <xdr:row>15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87447-6213-4E08-A2CE-F231D9BF1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base-search.net/Search/Results?type=all&amp;lookfor=%22in+vitro+gastrointestinal%22+year%3A2020&amp;ling=1&amp;oaboost=1&amp;name=&amp;thes=&amp;refid=dcresen&amp;newsearch=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mendeley.com/search/?page=1&amp;query=%22in%20vitro%20digestion%22&amp;sortBy=relevan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academic.microsoft.com/search?q=%22in%20vitro%20digestion%22&amp;f=&amp;eyl=Y%3C%3D2010&amp;syl=Y%3E%3D2010&amp;orderBy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scienceopen.com/search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emanticscholar.org/search?year%5B0%5D=2010&amp;year%5B1%5D=2010&amp;q=%22in%20vitro%20digestion%22&amp;sort=relev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83EB-D98D-4113-9093-680E80844689}">
  <dimension ref="B2:D24"/>
  <sheetViews>
    <sheetView workbookViewId="0">
      <selection activeCell="B4" sqref="B4:B10"/>
    </sheetView>
  </sheetViews>
  <sheetFormatPr defaultRowHeight="15" x14ac:dyDescent="0.25"/>
  <cols>
    <col min="2" max="2" width="18.7109375" bestFit="1" customWidth="1"/>
    <col min="3" max="3" width="22.140625" customWidth="1"/>
    <col min="4" max="4" width="28.42578125" customWidth="1"/>
  </cols>
  <sheetData>
    <row r="2" spans="2:4" ht="17.25" x14ac:dyDescent="0.25">
      <c r="C2" s="11" t="s">
        <v>30</v>
      </c>
      <c r="D2" s="11"/>
    </row>
    <row r="3" spans="2:4" x14ac:dyDescent="0.25">
      <c r="B3" s="1"/>
      <c r="C3" s="1" t="s">
        <v>8</v>
      </c>
      <c r="D3" s="1" t="s">
        <v>14</v>
      </c>
    </row>
    <row r="4" spans="2:4" x14ac:dyDescent="0.25">
      <c r="B4" t="s">
        <v>23</v>
      </c>
      <c r="C4">
        <v>0.98650000000000004</v>
      </c>
      <c r="D4">
        <v>0.98729999999999996</v>
      </c>
    </row>
    <row r="5" spans="2:4" x14ac:dyDescent="0.25">
      <c r="B5" t="s">
        <v>24</v>
      </c>
      <c r="C5">
        <v>0.98719999999999997</v>
      </c>
      <c r="D5">
        <v>0.97399999999999998</v>
      </c>
    </row>
    <row r="6" spans="2:4" x14ac:dyDescent="0.25">
      <c r="B6" t="s">
        <v>25</v>
      </c>
      <c r="C6">
        <v>0.95540000000000003</v>
      </c>
      <c r="D6">
        <v>0.96679999999999999</v>
      </c>
    </row>
    <row r="7" spans="2:4" x14ac:dyDescent="0.25">
      <c r="B7" t="s">
        <v>26</v>
      </c>
      <c r="C7">
        <v>0.97450000000000003</v>
      </c>
      <c r="D7">
        <v>0.96499999999999997</v>
      </c>
    </row>
    <row r="8" spans="2:4" x14ac:dyDescent="0.25">
      <c r="B8" t="s">
        <v>27</v>
      </c>
      <c r="C8">
        <v>0.92479999999999996</v>
      </c>
      <c r="D8">
        <v>0.91479999999999995</v>
      </c>
    </row>
    <row r="9" spans="2:4" x14ac:dyDescent="0.25">
      <c r="B9" t="s">
        <v>28</v>
      </c>
      <c r="C9">
        <v>0.95320000000000005</v>
      </c>
      <c r="D9">
        <v>0.86029999999999995</v>
      </c>
    </row>
    <row r="10" spans="2:4" x14ac:dyDescent="0.25">
      <c r="B10" t="s">
        <v>29</v>
      </c>
      <c r="C10">
        <v>0.97829999999999995</v>
      </c>
      <c r="D10">
        <v>0.96530000000000005</v>
      </c>
    </row>
    <row r="12" spans="2:4" ht="17.25" x14ac:dyDescent="0.25">
      <c r="C12" s="11" t="s">
        <v>31</v>
      </c>
      <c r="D12" s="11"/>
    </row>
    <row r="13" spans="2:4" x14ac:dyDescent="0.25">
      <c r="B13" s="1"/>
      <c r="C13" s="1" t="s">
        <v>8</v>
      </c>
      <c r="D13" s="1" t="s">
        <v>14</v>
      </c>
    </row>
    <row r="14" spans="2:4" x14ac:dyDescent="0.25">
      <c r="B14" t="s">
        <v>23</v>
      </c>
      <c r="C14" s="8">
        <v>3.7333952761121729</v>
      </c>
      <c r="D14" s="8"/>
    </row>
    <row r="15" spans="2:4" x14ac:dyDescent="0.25">
      <c r="B15" t="s">
        <v>24</v>
      </c>
      <c r="C15" s="8">
        <v>5.2795311355527303</v>
      </c>
      <c r="D15" s="8">
        <v>9.5161624494009036</v>
      </c>
    </row>
    <row r="16" spans="2:4" x14ac:dyDescent="0.25">
      <c r="B16" t="s">
        <v>25</v>
      </c>
      <c r="C16" s="8">
        <v>4.5582759185845561</v>
      </c>
      <c r="D16" s="8">
        <v>6.6108660879647889</v>
      </c>
    </row>
    <row r="17" spans="2:4" x14ac:dyDescent="0.25">
      <c r="B17" t="s">
        <v>26</v>
      </c>
      <c r="C17" s="8"/>
      <c r="D17" s="8">
        <v>7.5298654096101183</v>
      </c>
    </row>
    <row r="18" spans="2:4" x14ac:dyDescent="0.25">
      <c r="B18" t="s">
        <v>27</v>
      </c>
      <c r="C18" s="8"/>
      <c r="D18" s="8">
        <v>4.839537964964495</v>
      </c>
    </row>
    <row r="19" spans="2:4" x14ac:dyDescent="0.25">
      <c r="B19" t="s">
        <v>28</v>
      </c>
      <c r="C19" s="8"/>
      <c r="D19" s="8"/>
    </row>
    <row r="20" spans="2:4" x14ac:dyDescent="0.25">
      <c r="B20" t="s">
        <v>29</v>
      </c>
      <c r="C20" s="8">
        <v>3.5885308619537923</v>
      </c>
      <c r="D20" s="8">
        <v>8.0931986436885452</v>
      </c>
    </row>
    <row r="21" spans="2:4" x14ac:dyDescent="0.25">
      <c r="B21" s="10" t="s">
        <v>21</v>
      </c>
      <c r="C21" s="9">
        <f>AVERAGE(C14:C20)</f>
        <v>4.2899332980508129</v>
      </c>
      <c r="D21" s="9">
        <f>AVERAGE(D14:D20)</f>
        <v>7.3179261111257699</v>
      </c>
    </row>
    <row r="22" spans="2:4" x14ac:dyDescent="0.25">
      <c r="B22" s="10" t="s">
        <v>22</v>
      </c>
      <c r="C22" s="9">
        <f>_xlfn.STDEV.P(C14:C20)</f>
        <v>0.68062684145014185</v>
      </c>
      <c r="D22" s="9">
        <f>_xlfn.STDEV.P(D14:D20)</f>
        <v>1.556955390773076</v>
      </c>
    </row>
    <row r="23" spans="2:4" x14ac:dyDescent="0.25">
      <c r="B23" s="10" t="s">
        <v>32</v>
      </c>
      <c r="C23" s="13">
        <f>C21*100</f>
        <v>428.99332980508132</v>
      </c>
      <c r="D23" s="13">
        <f>D21*100</f>
        <v>731.79261111257699</v>
      </c>
    </row>
    <row r="24" spans="2:4" x14ac:dyDescent="0.25">
      <c r="B24" s="10" t="s">
        <v>33</v>
      </c>
      <c r="C24" s="13">
        <f>C22*100</f>
        <v>68.062684145014188</v>
      </c>
      <c r="D24" s="13">
        <f>D22*100</f>
        <v>155.69553907730759</v>
      </c>
    </row>
  </sheetData>
  <mergeCells count="2">
    <mergeCell ref="C2:D2"/>
    <mergeCell ref="C12:D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CADE-AEE4-49C1-850C-F4F5C5CE2ECA}">
  <dimension ref="J2:Q23"/>
  <sheetViews>
    <sheetView tabSelected="1" topLeftCell="D4" zoomScaleNormal="100" workbookViewId="0">
      <selection activeCell="U19" sqref="U19"/>
    </sheetView>
  </sheetViews>
  <sheetFormatPr defaultRowHeight="15" x14ac:dyDescent="0.25"/>
  <cols>
    <col min="1" max="9" width="9.140625" style="6"/>
    <col min="10" max="10" width="5" style="6" bestFit="1" customWidth="1"/>
    <col min="11" max="11" width="14.28515625" style="6" bestFit="1" customWidth="1"/>
    <col min="12" max="12" width="18.140625" style="6" bestFit="1" customWidth="1"/>
    <col min="13" max="13" width="11.42578125" style="6" bestFit="1" customWidth="1"/>
    <col min="14" max="14" width="10" style="6" bestFit="1" customWidth="1"/>
    <col min="15" max="15" width="18.7109375" style="6" bestFit="1" customWidth="1"/>
    <col min="16" max="16" width="13.140625" style="6" bestFit="1" customWidth="1"/>
    <col min="17" max="17" width="16.140625" style="6" bestFit="1" customWidth="1"/>
    <col min="18" max="16384" width="9.140625" style="6"/>
  </cols>
  <sheetData>
    <row r="2" spans="10:17" x14ac:dyDescent="0.25">
      <c r="J2" s="15" t="s">
        <v>0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</row>
    <row r="3" spans="10:17" x14ac:dyDescent="0.25">
      <c r="J3" s="15">
        <v>2010</v>
      </c>
      <c r="K3" s="14">
        <v>1290</v>
      </c>
      <c r="L3" s="14">
        <v>131</v>
      </c>
      <c r="M3" s="14">
        <v>289</v>
      </c>
      <c r="N3" s="14">
        <v>134.79752051878671</v>
      </c>
      <c r="O3" s="14">
        <v>72</v>
      </c>
      <c r="P3" s="14">
        <v>133</v>
      </c>
      <c r="Q3" s="14">
        <v>189</v>
      </c>
    </row>
    <row r="4" spans="10:17" x14ac:dyDescent="0.25">
      <c r="J4" s="15">
        <v>2011</v>
      </c>
      <c r="K4" s="14">
        <v>1520</v>
      </c>
      <c r="L4" s="14">
        <v>140</v>
      </c>
      <c r="M4" s="14">
        <v>256</v>
      </c>
      <c r="N4" s="14">
        <v>159.4569220462233</v>
      </c>
      <c r="O4" s="14">
        <v>80</v>
      </c>
      <c r="P4" s="14">
        <v>135</v>
      </c>
      <c r="Q4" s="14">
        <v>195</v>
      </c>
    </row>
    <row r="5" spans="10:17" x14ac:dyDescent="0.25">
      <c r="J5" s="15">
        <v>2012</v>
      </c>
      <c r="K5" s="14">
        <v>1970</v>
      </c>
      <c r="L5" s="14">
        <v>192</v>
      </c>
      <c r="M5" s="14">
        <v>419</v>
      </c>
      <c r="N5" s="14">
        <v>181</v>
      </c>
      <c r="O5" s="14">
        <v>133</v>
      </c>
      <c r="P5" s="14">
        <v>168</v>
      </c>
      <c r="Q5" s="14">
        <v>277</v>
      </c>
    </row>
    <row r="6" spans="10:17" x14ac:dyDescent="0.25">
      <c r="J6" s="15">
        <v>2013</v>
      </c>
      <c r="K6" s="14">
        <v>1990</v>
      </c>
      <c r="L6" s="14">
        <v>218</v>
      </c>
      <c r="M6" s="14">
        <v>415</v>
      </c>
      <c r="N6" s="14">
        <v>186</v>
      </c>
      <c r="O6" s="14">
        <v>127</v>
      </c>
      <c r="P6" s="14">
        <v>160</v>
      </c>
      <c r="Q6" s="14">
        <v>316</v>
      </c>
    </row>
    <row r="7" spans="10:17" x14ac:dyDescent="0.25">
      <c r="J7" s="15">
        <v>2014</v>
      </c>
      <c r="K7" s="14">
        <v>2380</v>
      </c>
      <c r="L7" s="14">
        <v>233</v>
      </c>
      <c r="M7" s="14">
        <v>495</v>
      </c>
      <c r="N7" s="14">
        <v>210</v>
      </c>
      <c r="O7" s="14">
        <v>136</v>
      </c>
      <c r="P7" s="14">
        <v>171</v>
      </c>
      <c r="Q7" s="14">
        <v>343</v>
      </c>
    </row>
    <row r="8" spans="10:17" x14ac:dyDescent="0.25">
      <c r="J8" s="15">
        <v>2015</v>
      </c>
      <c r="K8" s="14">
        <v>2790</v>
      </c>
      <c r="L8" s="14">
        <v>278</v>
      </c>
      <c r="M8" s="14">
        <v>600</v>
      </c>
      <c r="N8" s="14">
        <v>244</v>
      </c>
      <c r="O8" s="14">
        <v>147</v>
      </c>
      <c r="P8" s="14">
        <v>191</v>
      </c>
      <c r="Q8" s="14">
        <v>403</v>
      </c>
    </row>
    <row r="9" spans="10:17" x14ac:dyDescent="0.25">
      <c r="J9" s="15">
        <v>2016</v>
      </c>
      <c r="K9" s="14">
        <v>3000</v>
      </c>
      <c r="L9" s="14">
        <v>330</v>
      </c>
      <c r="M9" s="14">
        <v>657</v>
      </c>
      <c r="N9" s="14">
        <v>297</v>
      </c>
      <c r="O9" s="14">
        <v>178</v>
      </c>
      <c r="P9" s="14">
        <v>220</v>
      </c>
      <c r="Q9" s="14">
        <v>466</v>
      </c>
    </row>
    <row r="10" spans="10:17" x14ac:dyDescent="0.25">
      <c r="J10" s="15">
        <v>2017</v>
      </c>
      <c r="K10" s="14">
        <v>3570</v>
      </c>
      <c r="L10" s="14">
        <v>403</v>
      </c>
      <c r="M10" s="14">
        <v>672</v>
      </c>
      <c r="N10" s="14">
        <v>330</v>
      </c>
      <c r="O10" s="14">
        <v>167</v>
      </c>
      <c r="P10" s="14">
        <v>249</v>
      </c>
      <c r="Q10" s="14">
        <v>473</v>
      </c>
    </row>
    <row r="11" spans="10:17" x14ac:dyDescent="0.25">
      <c r="J11" s="15">
        <v>2018</v>
      </c>
      <c r="K11" s="14">
        <v>3840</v>
      </c>
      <c r="L11" s="14">
        <v>473</v>
      </c>
      <c r="M11" s="14">
        <v>777</v>
      </c>
      <c r="N11" s="14">
        <v>402</v>
      </c>
      <c r="O11" s="14">
        <v>197</v>
      </c>
      <c r="P11" s="14">
        <v>234</v>
      </c>
      <c r="Q11" s="14">
        <v>542</v>
      </c>
    </row>
    <row r="12" spans="10:17" x14ac:dyDescent="0.25">
      <c r="J12" s="15">
        <v>2019</v>
      </c>
      <c r="K12" s="14">
        <v>4650</v>
      </c>
      <c r="L12" s="14">
        <v>614</v>
      </c>
      <c r="M12" s="14">
        <v>900</v>
      </c>
      <c r="N12" s="14">
        <v>527</v>
      </c>
      <c r="O12" s="14">
        <v>258</v>
      </c>
      <c r="P12" s="14">
        <v>301</v>
      </c>
      <c r="Q12" s="14">
        <v>686</v>
      </c>
    </row>
    <row r="13" spans="10:17" x14ac:dyDescent="0.25">
      <c r="J13" s="15">
        <v>2020</v>
      </c>
      <c r="K13" s="14">
        <v>6010</v>
      </c>
      <c r="L13" s="14">
        <v>779</v>
      </c>
      <c r="M13" s="14">
        <v>1037</v>
      </c>
      <c r="N13" s="14">
        <v>690</v>
      </c>
      <c r="O13" s="14">
        <v>286</v>
      </c>
      <c r="P13" s="14">
        <v>288</v>
      </c>
      <c r="Q13" s="14">
        <v>770</v>
      </c>
    </row>
    <row r="14" spans="10:17" x14ac:dyDescent="0.25">
      <c r="J14" s="15">
        <v>2021</v>
      </c>
      <c r="K14" s="14">
        <v>6279.2015448576421</v>
      </c>
      <c r="L14" s="14">
        <v>861.39084073185415</v>
      </c>
      <c r="M14" s="14">
        <v>1440.912211526346</v>
      </c>
      <c r="N14" s="14">
        <v>855.57504022185049</v>
      </c>
      <c r="O14" s="14">
        <v>203.8491261715115</v>
      </c>
      <c r="P14" s="14">
        <v>237.9494836147033</v>
      </c>
      <c r="Q14" s="14">
        <v>798.01979502400548</v>
      </c>
    </row>
    <row r="15" spans="10:17" x14ac:dyDescent="0.25">
      <c r="J15" s="15">
        <v>2022</v>
      </c>
      <c r="K15" s="14">
        <v>7233.6433460313074</v>
      </c>
      <c r="L15" s="14">
        <v>1024.7954795953342</v>
      </c>
      <c r="M15" s="14">
        <v>1644.2369119064715</v>
      </c>
      <c r="N15" s="14">
        <v>1012.0910382349067</v>
      </c>
      <c r="O15" s="14">
        <v>230.62203137636354</v>
      </c>
      <c r="P15" s="14">
        <v>258.69723405408581</v>
      </c>
      <c r="Q15" s="14">
        <v>916.10721332234868</v>
      </c>
    </row>
    <row r="16" spans="10:17" x14ac:dyDescent="0.25">
      <c r="J16" s="15">
        <v>2023</v>
      </c>
      <c r="K16" s="14">
        <v>8333.1607822705009</v>
      </c>
      <c r="L16" s="14">
        <v>1219.1977501256172</v>
      </c>
      <c r="M16" s="14">
        <v>1876.2524190227521</v>
      </c>
      <c r="N16" s="14">
        <v>1197.2395424366321</v>
      </c>
      <c r="O16" s="14">
        <v>260.91120602308911</v>
      </c>
      <c r="P16" s="14">
        <v>281.25406237736922</v>
      </c>
      <c r="Q16" s="14">
        <v>1051.6686823239031</v>
      </c>
    </row>
    <row r="17" spans="10:17" x14ac:dyDescent="0.25">
      <c r="J17" s="15">
        <v>2024</v>
      </c>
      <c r="K17" s="14">
        <v>9599.8054232620834</v>
      </c>
      <c r="L17" s="14">
        <v>1450.4778597366974</v>
      </c>
      <c r="M17" s="14">
        <v>2141.0072443921476</v>
      </c>
      <c r="N17" s="14">
        <v>1416.2584864635344</v>
      </c>
      <c r="O17" s="14">
        <v>295.17846591737123</v>
      </c>
      <c r="P17" s="14">
        <v>305.77770919357749</v>
      </c>
      <c r="Q17" s="14">
        <v>1207.2899342968749</v>
      </c>
    </row>
    <row r="18" spans="10:17" x14ac:dyDescent="0.25">
      <c r="J18" s="15">
        <v>2025</v>
      </c>
      <c r="K18" s="14">
        <v>11058.980688403652</v>
      </c>
      <c r="L18" s="14">
        <v>1725.6314829727837</v>
      </c>
      <c r="M18" s="14">
        <v>2443.1211781873099</v>
      </c>
      <c r="N18" s="14">
        <v>1675.3440137783825</v>
      </c>
      <c r="O18" s="14">
        <v>333.94628030511717</v>
      </c>
      <c r="P18" s="14">
        <v>332.43966913523974</v>
      </c>
      <c r="Q18" s="14">
        <v>1385.9393266649788</v>
      </c>
    </row>
    <row r="19" spans="10:17" x14ac:dyDescent="0.25">
      <c r="J19" s="15">
        <v>2026</v>
      </c>
      <c r="K19" s="14">
        <v>12739.951329651649</v>
      </c>
      <c r="L19" s="14">
        <v>2052.9813640639809</v>
      </c>
      <c r="M19" s="14">
        <v>2787.8659014075224</v>
      </c>
      <c r="N19" s="14">
        <v>1981.8257693279993</v>
      </c>
      <c r="O19" s="14">
        <v>377.80573790515439</v>
      </c>
      <c r="P19" s="14">
        <v>361.42639012571215</v>
      </c>
      <c r="Q19" s="14">
        <v>1591.0244611748167</v>
      </c>
    </row>
    <row r="20" spans="10:17" x14ac:dyDescent="0.25">
      <c r="J20" s="15">
        <v>2027</v>
      </c>
      <c r="K20" s="14">
        <v>14676.43035601697</v>
      </c>
      <c r="L20" s="14">
        <v>2442.4290601914558</v>
      </c>
      <c r="M20" s="14">
        <v>3181.2569730975893</v>
      </c>
      <c r="N20" s="14">
        <v>2344.3742584633683</v>
      </c>
      <c r="O20" s="14">
        <v>427.4255591756953</v>
      </c>
      <c r="P20" s="14">
        <v>392.94057721542862</v>
      </c>
      <c r="Q20" s="14">
        <v>1826.4571813167963</v>
      </c>
    </row>
    <row r="21" spans="10:17" x14ac:dyDescent="0.25">
      <c r="J21" s="15">
        <v>2028</v>
      </c>
      <c r="K21" s="14">
        <v>16907.255170880318</v>
      </c>
      <c r="L21" s="14">
        <v>2905.7544400981737</v>
      </c>
      <c r="M21" s="14">
        <v>3630.1587977285799</v>
      </c>
      <c r="N21" s="14">
        <v>2773.2461393966496</v>
      </c>
      <c r="O21" s="14">
        <v>483.56229222362833</v>
      </c>
      <c r="P21" s="14">
        <v>427.20261010460604</v>
      </c>
      <c r="Q21" s="14">
        <v>2096.7281877744454</v>
      </c>
    </row>
    <row r="22" spans="10:17" x14ac:dyDescent="0.25">
      <c r="J22" s="15">
        <v>2029</v>
      </c>
      <c r="K22" s="14">
        <v>19477.166482520439</v>
      </c>
      <c r="L22" s="14">
        <v>3456.9719971676036</v>
      </c>
      <c r="M22" s="14">
        <v>4142.4044043492477</v>
      </c>
      <c r="N22" s="14">
        <v>3280.5743886300202</v>
      </c>
      <c r="O22" s="14">
        <v>547.07184781255717</v>
      </c>
      <c r="P22" s="14">
        <v>464.45208426548368</v>
      </c>
      <c r="Q22" s="14">
        <v>2406.9926951356942</v>
      </c>
    </row>
    <row r="23" spans="10:17" x14ac:dyDescent="0.25">
      <c r="J23" s="15">
        <v>2030</v>
      </c>
      <c r="K23" s="14">
        <v>22437.705609434161</v>
      </c>
      <c r="L23" s="14">
        <v>4112.7547545955767</v>
      </c>
      <c r="M23" s="14">
        <v>4726.932127572185</v>
      </c>
      <c r="N23" s="14">
        <v>3880.7115482640343</v>
      </c>
      <c r="O23" s="14">
        <v>618.9225493427133</v>
      </c>
      <c r="P23" s="14">
        <v>504.94948644095905</v>
      </c>
      <c r="Q23" s="14">
        <v>2763.1687637044201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BD7D-CC67-45F9-B0B6-FA73B7F9B3FC}">
  <dimension ref="B2:O26"/>
  <sheetViews>
    <sheetView topLeftCell="A37" zoomScale="55" zoomScaleNormal="55" workbookViewId="0">
      <selection activeCell="K2" sqref="K2"/>
    </sheetView>
  </sheetViews>
  <sheetFormatPr defaultRowHeight="15" x14ac:dyDescent="0.25"/>
  <cols>
    <col min="1" max="2" width="9.140625" style="1"/>
    <col min="3" max="3" width="37.42578125" style="1" bestFit="1" customWidth="1"/>
    <col min="4" max="4" width="43.140625" style="1" bestFit="1" customWidth="1"/>
    <col min="5" max="5" width="49.7109375" style="1" customWidth="1"/>
    <col min="6" max="7" width="35.42578125" style="1" bestFit="1" customWidth="1"/>
    <col min="8" max="8" width="37.28515625" style="1" bestFit="1" customWidth="1"/>
    <col min="9" max="10" width="34.7109375" style="1" bestFit="1" customWidth="1"/>
    <col min="11" max="11" width="38" style="1" bestFit="1" customWidth="1"/>
    <col min="12" max="12" width="9.140625" style="1"/>
    <col min="13" max="13" width="31.28515625" style="1" bestFit="1" customWidth="1"/>
    <col min="14" max="14" width="30.5703125" style="1" bestFit="1" customWidth="1"/>
    <col min="15" max="16384" width="9.140625" style="1"/>
  </cols>
  <sheetData>
    <row r="2" spans="2:15" x14ac:dyDescent="0.25">
      <c r="B2" s="1" t="s">
        <v>0</v>
      </c>
      <c r="C2" s="1" t="s">
        <v>4</v>
      </c>
      <c r="D2" s="1" t="s">
        <v>6</v>
      </c>
      <c r="E2" s="1" t="s">
        <v>1</v>
      </c>
      <c r="F2" s="1" t="s">
        <v>2</v>
      </c>
      <c r="G2" s="1" t="s">
        <v>3</v>
      </c>
      <c r="H2" s="1" t="s">
        <v>5</v>
      </c>
      <c r="I2" s="1" t="s">
        <v>8</v>
      </c>
      <c r="J2" s="1" t="s">
        <v>7</v>
      </c>
      <c r="K2" s="1" t="s">
        <v>12</v>
      </c>
      <c r="M2" s="1" t="s">
        <v>9</v>
      </c>
      <c r="N2" s="1" t="s">
        <v>10</v>
      </c>
      <c r="O2" s="1" t="s">
        <v>11</v>
      </c>
    </row>
    <row r="3" spans="2:15" x14ac:dyDescent="0.25">
      <c r="B3" s="1">
        <v>2010</v>
      </c>
      <c r="C3" s="1">
        <v>196</v>
      </c>
      <c r="D3" s="1">
        <v>74</v>
      </c>
      <c r="E3" s="1">
        <v>112</v>
      </c>
      <c r="F3" s="1">
        <v>77</v>
      </c>
      <c r="G3" s="1">
        <v>38</v>
      </c>
      <c r="H3" s="1">
        <v>65</v>
      </c>
      <c r="I3" s="1">
        <v>1290</v>
      </c>
      <c r="J3" s="1">
        <v>106</v>
      </c>
      <c r="K3" s="1">
        <v>169</v>
      </c>
      <c r="M3" s="5">
        <f>E3+G3</f>
        <v>150</v>
      </c>
      <c r="N3" s="5">
        <f>D3+F3</f>
        <v>151</v>
      </c>
    </row>
    <row r="4" spans="2:15" x14ac:dyDescent="0.25">
      <c r="B4" s="1">
        <v>2011</v>
      </c>
      <c r="C4" s="1">
        <v>257</v>
      </c>
      <c r="D4" s="1">
        <v>81</v>
      </c>
      <c r="E4" s="1">
        <v>133</v>
      </c>
      <c r="F4" s="1">
        <v>82</v>
      </c>
      <c r="G4" s="1">
        <v>47</v>
      </c>
      <c r="H4" s="1">
        <v>94</v>
      </c>
      <c r="I4" s="1">
        <v>1520</v>
      </c>
      <c r="J4" s="1">
        <v>105</v>
      </c>
      <c r="K4" s="1">
        <v>198</v>
      </c>
      <c r="M4" s="5">
        <f t="shared" ref="M4:M23" si="0">E4+G4</f>
        <v>180</v>
      </c>
      <c r="N4" s="5">
        <f t="shared" ref="N4:N23" si="1">D4+F4</f>
        <v>163</v>
      </c>
    </row>
    <row r="5" spans="2:15" x14ac:dyDescent="0.25">
      <c r="B5" s="1">
        <v>2012</v>
      </c>
      <c r="C5" s="1">
        <v>427</v>
      </c>
      <c r="D5" s="1">
        <v>123</v>
      </c>
      <c r="E5" s="1">
        <v>177</v>
      </c>
      <c r="F5" s="1">
        <v>136</v>
      </c>
      <c r="G5" s="1">
        <v>84</v>
      </c>
      <c r="H5" s="1">
        <v>151</v>
      </c>
      <c r="I5" s="1">
        <v>1970</v>
      </c>
      <c r="J5" s="1">
        <v>161</v>
      </c>
      <c r="K5" s="1">
        <v>288</v>
      </c>
      <c r="M5" s="5">
        <f t="shared" si="0"/>
        <v>261</v>
      </c>
      <c r="N5" s="5">
        <f t="shared" si="1"/>
        <v>259</v>
      </c>
    </row>
    <row r="6" spans="2:15" x14ac:dyDescent="0.25">
      <c r="B6" s="1">
        <v>2013</v>
      </c>
      <c r="C6" s="1">
        <v>530</v>
      </c>
      <c r="D6" s="1">
        <v>177</v>
      </c>
      <c r="E6" s="1">
        <v>219</v>
      </c>
      <c r="F6" s="1">
        <v>194</v>
      </c>
      <c r="G6" s="1">
        <v>108</v>
      </c>
      <c r="H6" s="1">
        <v>211</v>
      </c>
      <c r="I6" s="1">
        <v>1990</v>
      </c>
      <c r="J6" s="1">
        <v>251</v>
      </c>
      <c r="K6" s="1">
        <v>333</v>
      </c>
      <c r="M6" s="5">
        <f t="shared" si="0"/>
        <v>327</v>
      </c>
      <c r="N6" s="5">
        <f t="shared" si="1"/>
        <v>371</v>
      </c>
    </row>
    <row r="7" spans="2:15" x14ac:dyDescent="0.25">
      <c r="B7" s="1">
        <v>2014</v>
      </c>
      <c r="C7" s="1">
        <v>697</v>
      </c>
      <c r="D7" s="1">
        <v>245</v>
      </c>
      <c r="E7" s="1">
        <v>267</v>
      </c>
      <c r="F7" s="1">
        <v>281</v>
      </c>
      <c r="G7" s="1">
        <v>142</v>
      </c>
      <c r="H7" s="1">
        <v>306</v>
      </c>
      <c r="I7" s="1">
        <v>2380</v>
      </c>
      <c r="J7" s="1">
        <v>270</v>
      </c>
      <c r="K7" s="1">
        <v>411</v>
      </c>
      <c r="M7" s="5">
        <f t="shared" si="0"/>
        <v>409</v>
      </c>
      <c r="N7" s="5">
        <f t="shared" si="1"/>
        <v>526</v>
      </c>
    </row>
    <row r="8" spans="2:15" x14ac:dyDescent="0.25">
      <c r="B8" s="1">
        <v>2015</v>
      </c>
      <c r="C8" s="1">
        <v>1020</v>
      </c>
      <c r="D8" s="1">
        <v>323</v>
      </c>
      <c r="E8" s="1">
        <v>345</v>
      </c>
      <c r="F8" s="1">
        <v>352</v>
      </c>
      <c r="G8" s="1">
        <v>183</v>
      </c>
      <c r="H8" s="1">
        <v>454</v>
      </c>
      <c r="I8" s="1">
        <v>2790</v>
      </c>
      <c r="J8" s="1">
        <v>342</v>
      </c>
      <c r="K8" s="1">
        <v>507</v>
      </c>
      <c r="M8" s="5">
        <f t="shared" si="0"/>
        <v>528</v>
      </c>
      <c r="N8" s="5">
        <f t="shared" si="1"/>
        <v>675</v>
      </c>
    </row>
    <row r="9" spans="2:15" x14ac:dyDescent="0.25">
      <c r="B9" s="1">
        <v>2016</v>
      </c>
      <c r="C9" s="1">
        <v>1240</v>
      </c>
      <c r="D9" s="1">
        <v>398</v>
      </c>
      <c r="E9" s="1">
        <v>453</v>
      </c>
      <c r="F9" s="1">
        <v>466</v>
      </c>
      <c r="G9" s="1">
        <v>254</v>
      </c>
      <c r="H9" s="1">
        <v>631</v>
      </c>
      <c r="I9" s="1">
        <v>3000</v>
      </c>
      <c r="J9" s="1">
        <v>464</v>
      </c>
      <c r="K9" s="1">
        <v>609</v>
      </c>
      <c r="M9" s="5">
        <f t="shared" si="0"/>
        <v>707</v>
      </c>
      <c r="N9" s="5">
        <f t="shared" si="1"/>
        <v>864</v>
      </c>
    </row>
    <row r="10" spans="2:15" x14ac:dyDescent="0.25">
      <c r="B10" s="1">
        <v>2017</v>
      </c>
      <c r="C10" s="1">
        <v>1600</v>
      </c>
      <c r="D10" s="1">
        <v>524</v>
      </c>
      <c r="E10" s="1">
        <v>524</v>
      </c>
      <c r="F10" s="1">
        <v>594</v>
      </c>
      <c r="G10" s="1">
        <v>329</v>
      </c>
      <c r="H10" s="1">
        <v>818</v>
      </c>
      <c r="I10" s="1">
        <v>3570</v>
      </c>
      <c r="J10" s="1">
        <v>595</v>
      </c>
      <c r="K10" s="1">
        <v>792</v>
      </c>
      <c r="M10" s="5">
        <f t="shared" si="0"/>
        <v>853</v>
      </c>
      <c r="N10" s="5">
        <f t="shared" si="1"/>
        <v>1118</v>
      </c>
    </row>
    <row r="11" spans="2:15" x14ac:dyDescent="0.25">
      <c r="B11" s="1">
        <v>2018</v>
      </c>
      <c r="C11" s="1">
        <v>2120</v>
      </c>
      <c r="D11" s="1">
        <v>624</v>
      </c>
      <c r="E11" s="1">
        <v>609</v>
      </c>
      <c r="F11" s="1">
        <v>734</v>
      </c>
      <c r="G11" s="1">
        <v>379</v>
      </c>
      <c r="H11" s="1">
        <v>1020</v>
      </c>
      <c r="I11" s="1">
        <v>3840</v>
      </c>
      <c r="J11" s="1">
        <v>744</v>
      </c>
      <c r="K11" s="1">
        <v>893</v>
      </c>
      <c r="M11" s="5">
        <f t="shared" si="0"/>
        <v>988</v>
      </c>
      <c r="N11" s="5">
        <f t="shared" si="1"/>
        <v>1358</v>
      </c>
    </row>
    <row r="12" spans="2:15" x14ac:dyDescent="0.25">
      <c r="B12" s="1">
        <v>2019</v>
      </c>
      <c r="C12" s="1">
        <v>3020</v>
      </c>
      <c r="D12" s="1">
        <v>822</v>
      </c>
      <c r="E12" s="1">
        <v>734</v>
      </c>
      <c r="F12" s="1">
        <v>1030</v>
      </c>
      <c r="G12" s="1">
        <v>554</v>
      </c>
      <c r="H12" s="1">
        <v>1490</v>
      </c>
      <c r="I12" s="1">
        <v>4650</v>
      </c>
      <c r="J12" s="1">
        <v>1090</v>
      </c>
      <c r="K12" s="1">
        <v>1130</v>
      </c>
      <c r="M12" s="5">
        <f t="shared" si="0"/>
        <v>1288</v>
      </c>
      <c r="N12" s="5">
        <f t="shared" si="1"/>
        <v>1852</v>
      </c>
    </row>
    <row r="13" spans="2:15" x14ac:dyDescent="0.25">
      <c r="B13" s="1">
        <v>2020</v>
      </c>
      <c r="C13" s="1">
        <v>4440</v>
      </c>
      <c r="D13" s="1">
        <v>1110</v>
      </c>
      <c r="E13" s="1">
        <v>985</v>
      </c>
      <c r="F13" s="1">
        <v>1520</v>
      </c>
      <c r="G13" s="1">
        <v>635</v>
      </c>
      <c r="H13" s="1">
        <v>2240</v>
      </c>
      <c r="I13" s="1">
        <v>6010</v>
      </c>
      <c r="J13" s="1">
        <v>1610</v>
      </c>
      <c r="K13" s="1">
        <v>1530</v>
      </c>
      <c r="M13" s="5">
        <f t="shared" si="0"/>
        <v>1620</v>
      </c>
      <c r="N13" s="5">
        <f t="shared" si="1"/>
        <v>2630</v>
      </c>
    </row>
    <row r="14" spans="2:15" x14ac:dyDescent="0.25">
      <c r="B14" s="2">
        <v>2021</v>
      </c>
      <c r="C14" s="3">
        <f t="shared" ref="C14:C22" si="2">1E-260*EXP(0.3005*B14)</f>
        <v>5644.1552605347706</v>
      </c>
      <c r="D14" s="4">
        <f>1E-239*EXP(0.2758*B14)</f>
        <v>1180.8180906757391</v>
      </c>
      <c r="E14" s="4">
        <f>1E-186*EXP(0.2153*$B14)</f>
        <v>934.93097506851245</v>
      </c>
      <c r="F14" s="4">
        <f>2E-259*EXP(0.2985*$B14)</f>
        <v>1982.4883857423958</v>
      </c>
      <c r="G14" s="4">
        <f>3E-247*EXP(0.2843*$B14)</f>
        <v>1022.8972480711171</v>
      </c>
      <c r="H14" s="4">
        <f>9E-300*EXP(0.3447*$B14)</f>
        <v>3166.545987939086</v>
      </c>
      <c r="I14" s="4">
        <f>4E-121*EXP(0.1415*$B14)</f>
        <v>6279.2015448576421</v>
      </c>
      <c r="J14" s="4">
        <f>2E-235*EXP(0.2711*$B14)</f>
        <v>1770.0274376753298</v>
      </c>
      <c r="K14" s="4">
        <f>5E-185*EXP(0.2137*$B14)</f>
        <v>1842.5314784088362</v>
      </c>
      <c r="M14" s="4">
        <f t="shared" si="0"/>
        <v>1957.8282231396297</v>
      </c>
      <c r="N14" s="4">
        <f t="shared" si="1"/>
        <v>3163.3064764181349</v>
      </c>
    </row>
    <row r="15" spans="2:15" x14ac:dyDescent="0.25">
      <c r="B15" s="2">
        <v>2022</v>
      </c>
      <c r="C15" s="3">
        <f t="shared" si="2"/>
        <v>7622.6230486149307</v>
      </c>
      <c r="D15" s="4">
        <f t="shared" ref="D15:D23" si="3">1E-239*EXP(0.2758*B15)</f>
        <v>1555.8274020028043</v>
      </c>
      <c r="E15" s="4">
        <f>1E-186*EXP(0.2153*B15)</f>
        <v>1159.5331000370304</v>
      </c>
      <c r="F15" s="4">
        <f t="shared" ref="F15:F23" si="4">2E-259*EXP(0.2985*$B15)</f>
        <v>2672.0682983834658</v>
      </c>
      <c r="G15" s="4">
        <f t="shared" ref="G15:G23" si="5">3E-247*EXP(0.2843*$B15)</f>
        <v>1359.2581053852407</v>
      </c>
      <c r="H15" s="4">
        <f t="shared" ref="H15:H23" si="6">9E-300*EXP(0.3447*$B15)</f>
        <v>4469.7898770102456</v>
      </c>
      <c r="I15" s="4">
        <f t="shared" ref="I15:I23" si="7">4E-121*EXP(0.1415*$B15)</f>
        <v>7233.6433460313074</v>
      </c>
      <c r="J15" s="4">
        <f t="shared" ref="J15:J23" si="8">2E-235*EXP(0.2711*$B15)</f>
        <v>2321.2249638111221</v>
      </c>
      <c r="K15" s="4">
        <f t="shared" ref="K15:K23" si="9">5E-185*EXP(0.2137*$B15)</f>
        <v>2281.5166736466845</v>
      </c>
      <c r="M15" s="4">
        <f t="shared" si="0"/>
        <v>2518.7912054222711</v>
      </c>
      <c r="N15" s="4">
        <f t="shared" si="1"/>
        <v>4227.8957003862706</v>
      </c>
    </row>
    <row r="16" spans="2:15" x14ac:dyDescent="0.25">
      <c r="B16" s="2">
        <v>2023</v>
      </c>
      <c r="C16" s="3">
        <f t="shared" si="2"/>
        <v>10294.610877831117</v>
      </c>
      <c r="D16" s="4">
        <f t="shared" si="3"/>
        <v>2049.9337907649897</v>
      </c>
      <c r="E16" s="4">
        <f t="shared" ref="E16:E23" si="10">1E-186*EXP(0.2153*B16)</f>
        <v>1438.0922719807829</v>
      </c>
      <c r="F16" s="4">
        <f t="shared" si="4"/>
        <v>3601.5086103781464</v>
      </c>
      <c r="G16" s="4">
        <f t="shared" si="5"/>
        <v>1806.2250148189087</v>
      </c>
      <c r="H16" s="4">
        <f t="shared" si="6"/>
        <v>6309.4051438768711</v>
      </c>
      <c r="I16" s="4">
        <f t="shared" si="7"/>
        <v>8333.1607822705009</v>
      </c>
      <c r="J16" s="4">
        <f t="shared" si="8"/>
        <v>3044.0688194617969</v>
      </c>
      <c r="K16" s="4">
        <f t="shared" si="9"/>
        <v>2825.0905849505557</v>
      </c>
      <c r="M16" s="4">
        <f t="shared" si="0"/>
        <v>3244.3172867996918</v>
      </c>
      <c r="N16" s="4">
        <f t="shared" si="1"/>
        <v>5651.4424011431365</v>
      </c>
    </row>
    <row r="17" spans="2:14" x14ac:dyDescent="0.25">
      <c r="B17" s="2">
        <v>2024</v>
      </c>
      <c r="C17" s="3">
        <f t="shared" si="2"/>
        <v>13903.221036914289</v>
      </c>
      <c r="D17" s="4">
        <f t="shared" si="3"/>
        <v>2700.960621409949</v>
      </c>
      <c r="E17" s="4">
        <f t="shared" si="10"/>
        <v>1783.5708033386923</v>
      </c>
      <c r="F17" s="4">
        <f t="shared" si="4"/>
        <v>4854.2412925878325</v>
      </c>
      <c r="G17" s="4">
        <f t="shared" si="5"/>
        <v>2400.1687326576966</v>
      </c>
      <c r="H17" s="4">
        <f t="shared" si="6"/>
        <v>8906.1442181712973</v>
      </c>
      <c r="I17" s="4">
        <f t="shared" si="7"/>
        <v>9599.8054232620834</v>
      </c>
      <c r="J17" s="4">
        <f t="shared" si="8"/>
        <v>3992.0107366097573</v>
      </c>
      <c r="K17" s="4">
        <f t="shared" si="9"/>
        <v>3498.1715914524048</v>
      </c>
      <c r="M17" s="4">
        <f t="shared" si="0"/>
        <v>4183.7395359963884</v>
      </c>
      <c r="N17" s="4">
        <f t="shared" si="1"/>
        <v>7555.201913997782</v>
      </c>
    </row>
    <row r="18" spans="2:14" x14ac:dyDescent="0.25">
      <c r="B18" s="2">
        <v>2025</v>
      </c>
      <c r="C18" s="3">
        <f t="shared" si="2"/>
        <v>18776.771409353034</v>
      </c>
      <c r="D18" s="4">
        <f t="shared" si="3"/>
        <v>3558.7433658941814</v>
      </c>
      <c r="E18" s="4">
        <f t="shared" si="10"/>
        <v>2212.0449935666966</v>
      </c>
      <c r="F18" s="4">
        <f t="shared" si="4"/>
        <v>6542.71892027788</v>
      </c>
      <c r="G18" s="4">
        <f t="shared" si="5"/>
        <v>3189.4198662761214</v>
      </c>
      <c r="H18" s="4">
        <f t="shared" si="6"/>
        <v>12571.613809242164</v>
      </c>
      <c r="I18" s="4">
        <f t="shared" si="7"/>
        <v>11058.980688403652</v>
      </c>
      <c r="J18" s="4">
        <f t="shared" si="8"/>
        <v>5235.1476482135949</v>
      </c>
      <c r="K18" s="4">
        <f t="shared" si="9"/>
        <v>4331.614904114489</v>
      </c>
      <c r="M18" s="4">
        <f t="shared" si="0"/>
        <v>5401.4648598428175</v>
      </c>
      <c r="N18" s="4">
        <f t="shared" si="1"/>
        <v>10101.462286172062</v>
      </c>
    </row>
    <row r="19" spans="2:14" x14ac:dyDescent="0.25">
      <c r="B19" s="2">
        <v>2026</v>
      </c>
      <c r="C19" s="3">
        <f t="shared" si="2"/>
        <v>25358.666428667169</v>
      </c>
      <c r="D19" s="4">
        <f t="shared" si="3"/>
        <v>4688.9444606877223</v>
      </c>
      <c r="E19" s="4">
        <f t="shared" si="10"/>
        <v>2743.4532144191967</v>
      </c>
      <c r="F19" s="4">
        <f t="shared" si="4"/>
        <v>8818.5090706402298</v>
      </c>
      <c r="G19" s="4">
        <f t="shared" si="5"/>
        <v>4238.2016501535454</v>
      </c>
      <c r="H19" s="4">
        <f t="shared" si="6"/>
        <v>17745.667473727466</v>
      </c>
      <c r="I19" s="4">
        <f t="shared" si="7"/>
        <v>12739.951329651649</v>
      </c>
      <c r="J19" s="4">
        <f t="shared" si="8"/>
        <v>6865.4051070701389</v>
      </c>
      <c r="K19" s="4">
        <f t="shared" si="9"/>
        <v>5363.6270225831367</v>
      </c>
      <c r="M19" s="4">
        <f t="shared" si="0"/>
        <v>6981.6548645727416</v>
      </c>
      <c r="N19" s="4">
        <f t="shared" si="1"/>
        <v>13507.453531327952</v>
      </c>
    </row>
    <row r="20" spans="2:14" x14ac:dyDescent="0.25">
      <c r="B20" s="2">
        <v>2027</v>
      </c>
      <c r="C20" s="3">
        <f t="shared" si="2"/>
        <v>34247.738816270517</v>
      </c>
      <c r="D20" s="4">
        <f t="shared" si="3"/>
        <v>6178.0797025496513</v>
      </c>
      <c r="E20" s="4">
        <f t="shared" si="10"/>
        <v>3402.5237106824188</v>
      </c>
      <c r="F20" s="4">
        <f t="shared" si="4"/>
        <v>11885.89991050099</v>
      </c>
      <c r="G20" s="4">
        <f t="shared" si="5"/>
        <v>5631.8559426095808</v>
      </c>
      <c r="H20" s="4">
        <f t="shared" si="6"/>
        <v>25049.187707038869</v>
      </c>
      <c r="I20" s="4">
        <f t="shared" si="7"/>
        <v>14676.43035601697</v>
      </c>
      <c r="J20" s="4">
        <f t="shared" si="8"/>
        <v>9003.3348534627003</v>
      </c>
      <c r="K20" s="4">
        <f t="shared" si="9"/>
        <v>6641.5171879790041</v>
      </c>
      <c r="M20" s="4">
        <f t="shared" si="0"/>
        <v>9034.3796532919987</v>
      </c>
      <c r="N20" s="4">
        <f t="shared" si="1"/>
        <v>18063.97961305064</v>
      </c>
    </row>
    <row r="21" spans="2:14" x14ac:dyDescent="0.25">
      <c r="B21" s="2">
        <v>2028</v>
      </c>
      <c r="C21" s="3">
        <f t="shared" si="2"/>
        <v>46252.732466312991</v>
      </c>
      <c r="D21" s="4">
        <f t="shared" si="3"/>
        <v>8140.1409487920955</v>
      </c>
      <c r="E21" s="4">
        <f t="shared" si="10"/>
        <v>4219.9252901081463</v>
      </c>
      <c r="F21" s="4">
        <f t="shared" si="4"/>
        <v>16020.238290937181</v>
      </c>
      <c r="G21" s="4">
        <f t="shared" si="5"/>
        <v>7483.787694989489</v>
      </c>
      <c r="H21" s="4">
        <f t="shared" si="6"/>
        <v>35358.591369494949</v>
      </c>
      <c r="I21" s="4">
        <f t="shared" si="7"/>
        <v>16907.255170880318</v>
      </c>
      <c r="J21" s="4">
        <f t="shared" si="8"/>
        <v>11807.029187555103</v>
      </c>
      <c r="K21" s="4">
        <f t="shared" si="9"/>
        <v>8223.8661212836669</v>
      </c>
      <c r="M21" s="4">
        <f t="shared" si="0"/>
        <v>11703.712985097634</v>
      </c>
      <c r="N21" s="4">
        <f t="shared" si="1"/>
        <v>24160.379239729278</v>
      </c>
    </row>
    <row r="22" spans="2:14" x14ac:dyDescent="0.25">
      <c r="B22" s="2">
        <v>2029</v>
      </c>
      <c r="C22" s="3">
        <f t="shared" si="2"/>
        <v>62465.883428885798</v>
      </c>
      <c r="D22" s="4">
        <f t="shared" si="3"/>
        <v>10725.322083309486</v>
      </c>
      <c r="E22" s="4">
        <f t="shared" si="10"/>
        <v>5233.6944480900447</v>
      </c>
      <c r="F22" s="4">
        <f t="shared" si="4"/>
        <v>21592.646482885633</v>
      </c>
      <c r="G22" s="4">
        <f t="shared" si="5"/>
        <v>9944.6929812148192</v>
      </c>
      <c r="H22" s="4">
        <f t="shared" si="6"/>
        <v>49910.999041442192</v>
      </c>
      <c r="I22" s="4">
        <f t="shared" si="7"/>
        <v>19477.166482520439</v>
      </c>
      <c r="J22" s="4">
        <f t="shared" si="8"/>
        <v>15483.811332661717</v>
      </c>
      <c r="K22" s="4">
        <f t="shared" si="9"/>
        <v>10183.211466080314</v>
      </c>
      <c r="M22" s="4">
        <f t="shared" si="0"/>
        <v>15178.387429304865</v>
      </c>
      <c r="N22" s="4">
        <f t="shared" si="1"/>
        <v>32317.968566195119</v>
      </c>
    </row>
    <row r="23" spans="2:14" x14ac:dyDescent="0.25">
      <c r="B23" s="2">
        <v>2030</v>
      </c>
      <c r="C23" s="3">
        <f>1E-260*EXP(0.3005*B23)</f>
        <v>84362.293522734151</v>
      </c>
      <c r="D23" s="4">
        <f t="shared" si="3"/>
        <v>14131.516212602639</v>
      </c>
      <c r="E23" s="4">
        <f t="shared" si="10"/>
        <v>6491.0053360845486</v>
      </c>
      <c r="F23" s="4">
        <f t="shared" si="4"/>
        <v>29103.336271760174</v>
      </c>
      <c r="G23" s="4">
        <f t="shared" si="5"/>
        <v>13214.821494313137</v>
      </c>
      <c r="H23" s="4">
        <f t="shared" si="6"/>
        <v>70452.688549804807</v>
      </c>
      <c r="I23" s="4">
        <f t="shared" si="7"/>
        <v>22437.705609434161</v>
      </c>
      <c r="J23" s="4">
        <f t="shared" si="8"/>
        <v>20305.566250156884</v>
      </c>
      <c r="K23" s="4">
        <f t="shared" si="9"/>
        <v>12609.373041048173</v>
      </c>
      <c r="M23" s="4">
        <f t="shared" si="0"/>
        <v>19705.826830397687</v>
      </c>
      <c r="N23" s="4">
        <f t="shared" si="1"/>
        <v>43234.852484362811</v>
      </c>
    </row>
    <row r="24" spans="2:14" x14ac:dyDescent="0.25">
      <c r="B24" s="1" t="s">
        <v>13</v>
      </c>
      <c r="C24" s="1">
        <f>C23/C13</f>
        <v>19.000516559174358</v>
      </c>
      <c r="D24" s="1">
        <f t="shared" ref="D24:N24" si="11">D23/D13</f>
        <v>12.731095687029404</v>
      </c>
      <c r="E24" s="1">
        <f t="shared" si="11"/>
        <v>6.5898531330807604</v>
      </c>
      <c r="F24" s="1">
        <f t="shared" si="11"/>
        <v>19.146931757736958</v>
      </c>
      <c r="G24" s="1">
        <f t="shared" si="11"/>
        <v>20.810742510729348</v>
      </c>
      <c r="H24" s="1">
        <f t="shared" si="11"/>
        <v>31.45209310259143</v>
      </c>
      <c r="I24" s="1">
        <f t="shared" si="11"/>
        <v>3.7333952761121729</v>
      </c>
      <c r="J24" s="1">
        <f t="shared" si="11"/>
        <v>12.612152950408003</v>
      </c>
      <c r="K24" s="1">
        <f t="shared" si="11"/>
        <v>8.2414202882667791</v>
      </c>
      <c r="M24" s="1">
        <f t="shared" si="11"/>
        <v>12.164090636047955</v>
      </c>
      <c r="N24" s="1">
        <f t="shared" si="11"/>
        <v>16.43910740850297</v>
      </c>
    </row>
    <row r="25" spans="2:14" x14ac:dyDescent="0.25">
      <c r="B25" s="1">
        <f>AVERAGE(C24:K24)</f>
        <v>14.924244585014357</v>
      </c>
    </row>
    <row r="26" spans="2:14" x14ac:dyDescent="0.25">
      <c r="B26" s="1">
        <f>_xlfn.STDEV.P(C24:K24)</f>
        <v>8.1088478023890627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1FDC-F6EC-4E26-B268-66A042E86FF4}">
  <dimension ref="B2:N26"/>
  <sheetViews>
    <sheetView zoomScale="115" zoomScaleNormal="115" workbookViewId="0">
      <selection activeCell="M3" sqref="M3"/>
    </sheetView>
  </sheetViews>
  <sheetFormatPr defaultRowHeight="15" x14ac:dyDescent="0.25"/>
  <cols>
    <col min="2" max="2" width="7.5703125" bestFit="1" customWidth="1"/>
    <col min="3" max="3" width="18" bestFit="1" customWidth="1"/>
    <col min="4" max="4" width="32.7109375" bestFit="1" customWidth="1"/>
  </cols>
  <sheetData>
    <row r="2" spans="2:5" x14ac:dyDescent="0.25">
      <c r="B2" s="1" t="s">
        <v>0</v>
      </c>
      <c r="C2" s="1" t="s">
        <v>8</v>
      </c>
      <c r="D2" s="1" t="s">
        <v>14</v>
      </c>
      <c r="E2" s="1"/>
    </row>
    <row r="3" spans="2:5" x14ac:dyDescent="0.25">
      <c r="B3" s="1">
        <v>2010</v>
      </c>
      <c r="C3" s="1">
        <v>131</v>
      </c>
      <c r="D3" s="1">
        <v>31</v>
      </c>
      <c r="E3" s="1"/>
    </row>
    <row r="4" spans="2:5" x14ac:dyDescent="0.25">
      <c r="B4" s="1">
        <v>2011</v>
      </c>
      <c r="C4" s="1">
        <v>140</v>
      </c>
      <c r="D4" s="1">
        <v>29</v>
      </c>
      <c r="E4" s="1"/>
    </row>
    <row r="5" spans="2:5" x14ac:dyDescent="0.25">
      <c r="B5" s="1">
        <v>2012</v>
      </c>
      <c r="C5" s="1">
        <v>192</v>
      </c>
      <c r="D5" s="1">
        <v>33</v>
      </c>
      <c r="E5" s="1"/>
    </row>
    <row r="6" spans="2:5" x14ac:dyDescent="0.25">
      <c r="B6" s="1">
        <v>2013</v>
      </c>
      <c r="C6" s="1">
        <v>218</v>
      </c>
      <c r="D6" s="1">
        <v>57</v>
      </c>
      <c r="E6" s="1"/>
    </row>
    <row r="7" spans="2:5" x14ac:dyDescent="0.25">
      <c r="B7" s="1">
        <v>2014</v>
      </c>
      <c r="C7" s="1">
        <v>233</v>
      </c>
      <c r="D7" s="1">
        <v>62</v>
      </c>
      <c r="E7" s="1"/>
    </row>
    <row r="8" spans="2:5" x14ac:dyDescent="0.25">
      <c r="B8" s="1">
        <v>2015</v>
      </c>
      <c r="C8" s="1">
        <v>278</v>
      </c>
      <c r="D8" s="1">
        <v>83</v>
      </c>
      <c r="E8" s="1"/>
    </row>
    <row r="9" spans="2:5" x14ac:dyDescent="0.25">
      <c r="B9" s="1">
        <v>2016</v>
      </c>
      <c r="C9" s="1">
        <v>330</v>
      </c>
      <c r="D9" s="1">
        <v>97</v>
      </c>
      <c r="E9" s="1"/>
    </row>
    <row r="10" spans="2:5" x14ac:dyDescent="0.25">
      <c r="B10" s="1">
        <v>2017</v>
      </c>
      <c r="C10" s="1">
        <v>403</v>
      </c>
      <c r="D10" s="1">
        <v>114</v>
      </c>
      <c r="E10" s="1"/>
    </row>
    <row r="11" spans="2:5" x14ac:dyDescent="0.25">
      <c r="B11" s="1">
        <v>2018</v>
      </c>
      <c r="C11" s="1">
        <v>473</v>
      </c>
      <c r="D11" s="1">
        <v>128</v>
      </c>
      <c r="E11" s="1"/>
    </row>
    <row r="12" spans="2:5" x14ac:dyDescent="0.25">
      <c r="B12" s="1">
        <v>2019</v>
      </c>
      <c r="C12" s="1">
        <v>614</v>
      </c>
      <c r="D12" s="1">
        <v>191</v>
      </c>
      <c r="E12" s="1"/>
    </row>
    <row r="13" spans="2:5" x14ac:dyDescent="0.25">
      <c r="B13" s="1">
        <v>2020</v>
      </c>
      <c r="C13" s="1">
        <v>779</v>
      </c>
      <c r="D13" s="1">
        <v>207</v>
      </c>
      <c r="E13" s="1"/>
    </row>
    <row r="14" spans="2:5" x14ac:dyDescent="0.25">
      <c r="B14" s="2">
        <v>2021</v>
      </c>
      <c r="C14" s="4">
        <f>3E-150*EXP(0.1737*$B14)</f>
        <v>861.39084073185415</v>
      </c>
      <c r="D14" s="4">
        <f>3E-181*EXP(0.2085*$B14)</f>
        <v>301.63282208241054</v>
      </c>
      <c r="E14" s="1"/>
    </row>
    <row r="15" spans="2:5" x14ac:dyDescent="0.25">
      <c r="B15" s="2">
        <v>2022</v>
      </c>
      <c r="C15" s="4">
        <f t="shared" ref="C15:C23" si="0">3E-150*EXP(0.1737*B15)</f>
        <v>1024.7954795953342</v>
      </c>
      <c r="D15" s="4">
        <f t="shared" ref="D15:D23" si="1">3E-181*EXP(0.2085*$B15)</f>
        <v>371.56003649704377</v>
      </c>
      <c r="E15" s="1"/>
    </row>
    <row r="16" spans="2:5" x14ac:dyDescent="0.25">
      <c r="B16" s="2">
        <v>2023</v>
      </c>
      <c r="C16" s="4">
        <f t="shared" si="0"/>
        <v>1219.1977501256172</v>
      </c>
      <c r="D16" s="4">
        <f t="shared" si="1"/>
        <v>457.69840221156483</v>
      </c>
      <c r="E16" s="1"/>
    </row>
    <row r="17" spans="2:14" x14ac:dyDescent="0.25">
      <c r="B17" s="2">
        <v>2024</v>
      </c>
      <c r="C17" s="4">
        <f t="shared" si="0"/>
        <v>1450.4778597366974</v>
      </c>
      <c r="D17" s="4">
        <f t="shared" si="1"/>
        <v>563.80613308685088</v>
      </c>
      <c r="E17" s="1"/>
    </row>
    <row r="18" spans="2:14" x14ac:dyDescent="0.25">
      <c r="B18" s="2">
        <v>2025</v>
      </c>
      <c r="C18" s="4">
        <f t="shared" si="0"/>
        <v>1725.6314829727837</v>
      </c>
      <c r="D18" s="4">
        <f t="shared" si="1"/>
        <v>694.51270568218297</v>
      </c>
      <c r="E18" s="1"/>
    </row>
    <row r="19" spans="2:14" x14ac:dyDescent="0.25">
      <c r="B19" s="2">
        <v>2026</v>
      </c>
      <c r="C19" s="4">
        <f t="shared" si="0"/>
        <v>2052.9813640639809</v>
      </c>
      <c r="D19" s="4">
        <f t="shared" si="1"/>
        <v>855.52084315422599</v>
      </c>
      <c r="E19" s="1"/>
    </row>
    <row r="20" spans="2:14" x14ac:dyDescent="0.25">
      <c r="B20" s="2">
        <v>2027</v>
      </c>
      <c r="C20" s="4">
        <f t="shared" si="0"/>
        <v>2442.4290601914558</v>
      </c>
      <c r="D20" s="4">
        <f t="shared" si="1"/>
        <v>1053.8553248675209</v>
      </c>
      <c r="E20" s="1"/>
    </row>
    <row r="21" spans="2:14" x14ac:dyDescent="0.25">
      <c r="B21" s="2">
        <v>2028</v>
      </c>
      <c r="C21" s="4">
        <f t="shared" si="0"/>
        <v>2905.7544400981737</v>
      </c>
      <c r="D21" s="4">
        <f t="shared" si="1"/>
        <v>1298.1694772705305</v>
      </c>
      <c r="E21" s="1"/>
    </row>
    <row r="22" spans="2:14" x14ac:dyDescent="0.25">
      <c r="B22" s="2">
        <v>2029</v>
      </c>
      <c r="C22" s="4">
        <f t="shared" si="0"/>
        <v>3456.9719971676036</v>
      </c>
      <c r="D22" s="4">
        <f t="shared" si="1"/>
        <v>1599.1227182239536</v>
      </c>
      <c r="E22" s="1"/>
    </row>
    <row r="23" spans="2:14" x14ac:dyDescent="0.25">
      <c r="B23" s="2">
        <v>2030</v>
      </c>
      <c r="C23" s="4">
        <f t="shared" si="0"/>
        <v>4112.7547545955767</v>
      </c>
      <c r="D23" s="4">
        <f t="shared" si="1"/>
        <v>1969.8456270259871</v>
      </c>
      <c r="E23" s="1"/>
    </row>
    <row r="24" spans="2:14" x14ac:dyDescent="0.25">
      <c r="B24" s="1" t="s">
        <v>13</v>
      </c>
      <c r="C24" s="1">
        <f>C23/C13</f>
        <v>5.2795311355527303</v>
      </c>
      <c r="D24" s="1">
        <f t="shared" ref="D24" si="2">D23/D13</f>
        <v>9.5161624494009036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t="s">
        <v>21</v>
      </c>
      <c r="C25" s="12">
        <f>AVERAGE(C24:D24)</f>
        <v>7.397846792476817</v>
      </c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t="s">
        <v>22</v>
      </c>
      <c r="C26" s="12">
        <f>_xlfn.STDEV.P(C24:D24)</f>
        <v>2.1183156569240884</v>
      </c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mergeCells count="2">
    <mergeCell ref="C25:D25"/>
    <mergeCell ref="C26:D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1EDD-569E-4D6E-907E-9FBF5E702080}">
  <dimension ref="B2:E28"/>
  <sheetViews>
    <sheetView workbookViewId="0">
      <selection activeCell="J21" sqref="J21"/>
    </sheetView>
  </sheetViews>
  <sheetFormatPr defaultRowHeight="15" x14ac:dyDescent="0.25"/>
  <cols>
    <col min="2" max="2" width="7.5703125" bestFit="1" customWidth="1"/>
    <col min="3" max="3" width="18" bestFit="1" customWidth="1"/>
    <col min="4" max="4" width="32.7109375" bestFit="1" customWidth="1"/>
  </cols>
  <sheetData>
    <row r="2" spans="2:5" x14ac:dyDescent="0.25">
      <c r="B2" s="1" t="s">
        <v>0</v>
      </c>
      <c r="C2" s="1" t="s">
        <v>8</v>
      </c>
      <c r="D2" s="1" t="s">
        <v>14</v>
      </c>
      <c r="E2" s="1"/>
    </row>
    <row r="3" spans="2:5" x14ac:dyDescent="0.25">
      <c r="B3" s="1">
        <v>2010</v>
      </c>
      <c r="C3" s="1">
        <v>289</v>
      </c>
      <c r="D3" s="1">
        <v>44</v>
      </c>
      <c r="E3" s="1"/>
    </row>
    <row r="4" spans="2:5" x14ac:dyDescent="0.25">
      <c r="B4" s="1">
        <v>2011</v>
      </c>
      <c r="C4" s="1">
        <v>256</v>
      </c>
      <c r="D4" s="1">
        <v>40</v>
      </c>
      <c r="E4" s="1"/>
    </row>
    <row r="5" spans="2:5" x14ac:dyDescent="0.25">
      <c r="B5" s="1">
        <v>2012</v>
      </c>
      <c r="C5" s="1">
        <v>419</v>
      </c>
      <c r="D5" s="1">
        <v>54</v>
      </c>
      <c r="E5" s="1"/>
    </row>
    <row r="6" spans="2:5" x14ac:dyDescent="0.25">
      <c r="B6" s="1">
        <v>2013</v>
      </c>
      <c r="C6" s="1">
        <v>415</v>
      </c>
      <c r="D6" s="1">
        <v>60</v>
      </c>
      <c r="E6" s="1"/>
    </row>
    <row r="7" spans="2:5" x14ac:dyDescent="0.25">
      <c r="B7" s="1">
        <v>2014</v>
      </c>
      <c r="C7" s="1">
        <v>495</v>
      </c>
      <c r="D7" s="1">
        <v>85</v>
      </c>
      <c r="E7" s="1"/>
    </row>
    <row r="8" spans="2:5" x14ac:dyDescent="0.25">
      <c r="B8" s="1">
        <v>2015</v>
      </c>
      <c r="C8" s="1">
        <v>600</v>
      </c>
      <c r="D8" s="1">
        <v>86</v>
      </c>
      <c r="E8" s="1"/>
    </row>
    <row r="9" spans="2:5" x14ac:dyDescent="0.25">
      <c r="B9" s="1">
        <v>2016</v>
      </c>
      <c r="C9" s="1">
        <v>657</v>
      </c>
      <c r="D9" s="1">
        <v>137</v>
      </c>
      <c r="E9" s="1"/>
    </row>
    <row r="10" spans="2:5" x14ac:dyDescent="0.25">
      <c r="B10" s="1">
        <v>2017</v>
      </c>
      <c r="C10" s="1">
        <v>672</v>
      </c>
      <c r="D10" s="1">
        <v>141</v>
      </c>
      <c r="E10" s="1"/>
    </row>
    <row r="11" spans="2:5" x14ac:dyDescent="0.25">
      <c r="B11" s="1">
        <v>2018</v>
      </c>
      <c r="C11" s="1">
        <v>777</v>
      </c>
      <c r="D11" s="1">
        <v>147</v>
      </c>
      <c r="E11" s="1"/>
    </row>
    <row r="12" spans="2:5" x14ac:dyDescent="0.25">
      <c r="B12" s="1">
        <v>2019</v>
      </c>
      <c r="C12" s="1">
        <v>900</v>
      </c>
      <c r="D12" s="1">
        <v>241</v>
      </c>
      <c r="E12" s="1"/>
    </row>
    <row r="13" spans="2:5" x14ac:dyDescent="0.25">
      <c r="B13" s="1">
        <v>2020</v>
      </c>
      <c r="C13" s="1">
        <v>1037</v>
      </c>
      <c r="D13" s="1">
        <v>254</v>
      </c>
      <c r="E13" s="1"/>
    </row>
    <row r="14" spans="2:5" x14ac:dyDescent="0.25">
      <c r="B14" s="2">
        <v>2021</v>
      </c>
      <c r="C14" s="4">
        <f>2E-113*EXP(0.132*$B14)</f>
        <v>1440.912211526346</v>
      </c>
      <c r="D14" s="4">
        <f>6E-167*EXP(0.1922*$B14)</f>
        <v>297.74843115552972</v>
      </c>
      <c r="E14" s="1"/>
    </row>
    <row r="15" spans="2:5" x14ac:dyDescent="0.25">
      <c r="B15" s="2">
        <v>2022</v>
      </c>
      <c r="C15" s="4">
        <f t="shared" ref="C15:C23" si="0">2E-113*EXP(0.132*$B15)</f>
        <v>1644.2369119064715</v>
      </c>
      <c r="D15" s="4">
        <f t="shared" ref="D15:D23" si="1">6E-167*EXP(0.1922*$B15)</f>
        <v>360.84515731873506</v>
      </c>
      <c r="E15" s="1"/>
    </row>
    <row r="16" spans="2:5" x14ac:dyDescent="0.25">
      <c r="B16" s="2">
        <v>2023</v>
      </c>
      <c r="C16" s="4">
        <f t="shared" si="0"/>
        <v>1876.2524190227521</v>
      </c>
      <c r="D16" s="4">
        <f t="shared" si="1"/>
        <v>437.31289214543301</v>
      </c>
      <c r="E16" s="1"/>
    </row>
    <row r="17" spans="2:5" x14ac:dyDescent="0.25">
      <c r="B17" s="2">
        <v>2024</v>
      </c>
      <c r="C17" s="4">
        <f t="shared" si="0"/>
        <v>2141.0072443921476</v>
      </c>
      <c r="D17" s="4">
        <f t="shared" si="1"/>
        <v>529.98512452718956</v>
      </c>
      <c r="E17" s="1"/>
    </row>
    <row r="18" spans="2:5" x14ac:dyDescent="0.25">
      <c r="B18" s="2">
        <v>2025</v>
      </c>
      <c r="C18" s="4">
        <f t="shared" si="0"/>
        <v>2443.1211781873099</v>
      </c>
      <c r="D18" s="4">
        <f t="shared" si="1"/>
        <v>642.29579613374301</v>
      </c>
      <c r="E18" s="1"/>
    </row>
    <row r="19" spans="2:5" x14ac:dyDescent="0.25">
      <c r="B19" s="2">
        <v>2026</v>
      </c>
      <c r="C19" s="4">
        <f t="shared" si="0"/>
        <v>2787.8659014075224</v>
      </c>
      <c r="D19" s="4">
        <f t="shared" si="1"/>
        <v>778.40654508764578</v>
      </c>
      <c r="E19" s="1"/>
    </row>
    <row r="20" spans="2:5" x14ac:dyDescent="0.25">
      <c r="B20" s="2">
        <v>2027</v>
      </c>
      <c r="C20" s="4">
        <f t="shared" si="0"/>
        <v>3181.2569730975893</v>
      </c>
      <c r="D20" s="4">
        <f t="shared" si="1"/>
        <v>943.36091421210506</v>
      </c>
      <c r="E20" s="1"/>
    </row>
    <row r="21" spans="2:5" x14ac:dyDescent="0.25">
      <c r="B21" s="2">
        <v>2028</v>
      </c>
      <c r="C21" s="4">
        <f t="shared" si="0"/>
        <v>3630.1587977285799</v>
      </c>
      <c r="D21" s="4">
        <f t="shared" si="1"/>
        <v>1143.2712379915763</v>
      </c>
      <c r="E21" s="1"/>
    </row>
    <row r="22" spans="2:5" x14ac:dyDescent="0.25">
      <c r="B22" s="2">
        <v>2029</v>
      </c>
      <c r="C22" s="4">
        <f t="shared" si="0"/>
        <v>4142.4044043492477</v>
      </c>
      <c r="D22" s="4">
        <f t="shared" si="1"/>
        <v>1385.5451332859761</v>
      </c>
      <c r="E22" s="1"/>
    </row>
    <row r="23" spans="2:5" x14ac:dyDescent="0.25">
      <c r="B23" s="2">
        <v>2030</v>
      </c>
      <c r="C23" s="4">
        <f t="shared" si="0"/>
        <v>4726.932127572185</v>
      </c>
      <c r="D23" s="4">
        <f t="shared" si="1"/>
        <v>1679.1599863430563</v>
      </c>
      <c r="E23" s="1"/>
    </row>
    <row r="24" spans="2:5" x14ac:dyDescent="0.25">
      <c r="B24" s="1" t="s">
        <v>13</v>
      </c>
      <c r="C24" s="1">
        <f>C23/C13</f>
        <v>4.5582759185845561</v>
      </c>
      <c r="D24" s="1">
        <f t="shared" ref="D24" si="2">D23/D13</f>
        <v>6.6108660879647889</v>
      </c>
    </row>
    <row r="25" spans="2:5" x14ac:dyDescent="0.25">
      <c r="B25" t="s">
        <v>21</v>
      </c>
      <c r="C25" s="12">
        <f>AVERAGE(C24:D24)</f>
        <v>5.5845710032746725</v>
      </c>
      <c r="D25" s="12"/>
    </row>
    <row r="26" spans="2:5" x14ac:dyDescent="0.25">
      <c r="B26" t="s">
        <v>22</v>
      </c>
      <c r="C26" s="12">
        <f>_xlfn.STDEV.P(C24:D24)</f>
        <v>1.0262950846901169</v>
      </c>
      <c r="D26" s="12"/>
    </row>
    <row r="28" spans="2:5" x14ac:dyDescent="0.25">
      <c r="B28" s="11" t="s">
        <v>15</v>
      </c>
      <c r="C28" s="11"/>
      <c r="D28" s="7" t="s">
        <v>16</v>
      </c>
    </row>
  </sheetData>
  <mergeCells count="3">
    <mergeCell ref="B28:C28"/>
    <mergeCell ref="C25:D25"/>
    <mergeCell ref="C26:D26"/>
  </mergeCells>
  <hyperlinks>
    <hyperlink ref="D28" r:id="rId1" xr:uid="{0450E4B1-6245-4B11-BE72-699DAF40E16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E508-3559-4522-B089-EC36696E4DD0}">
  <dimension ref="B2:D28"/>
  <sheetViews>
    <sheetView workbookViewId="0">
      <selection activeCell="C3" sqref="C3:C13"/>
    </sheetView>
  </sheetViews>
  <sheetFormatPr defaultRowHeight="15" x14ac:dyDescent="0.25"/>
  <cols>
    <col min="2" max="2" width="7.5703125" bestFit="1" customWidth="1"/>
    <col min="3" max="3" width="18" bestFit="1" customWidth="1"/>
    <col min="4" max="4" width="32.7109375" bestFit="1" customWidth="1"/>
  </cols>
  <sheetData>
    <row r="2" spans="2:4" x14ac:dyDescent="0.25">
      <c r="B2" s="1" t="s">
        <v>0</v>
      </c>
      <c r="C2" s="1" t="s">
        <v>8</v>
      </c>
      <c r="D2" s="1" t="s">
        <v>14</v>
      </c>
    </row>
    <row r="3" spans="2:4" x14ac:dyDescent="0.25">
      <c r="B3" s="1">
        <v>2010</v>
      </c>
      <c r="C3" s="4">
        <f>3E-145*EXP(0.168*$B3)</f>
        <v>134.79752051878671</v>
      </c>
      <c r="D3" s="1"/>
    </row>
    <row r="4" spans="2:4" x14ac:dyDescent="0.25">
      <c r="B4" s="1">
        <v>2011</v>
      </c>
      <c r="C4" s="4">
        <f>3E-145*EXP(0.168*$B4)</f>
        <v>159.4569220462233</v>
      </c>
      <c r="D4" s="1"/>
    </row>
    <row r="5" spans="2:4" x14ac:dyDescent="0.25">
      <c r="B5" s="1">
        <v>2012</v>
      </c>
      <c r="C5" s="1">
        <v>181</v>
      </c>
      <c r="D5" s="1">
        <v>35</v>
      </c>
    </row>
    <row r="6" spans="2:4" x14ac:dyDescent="0.25">
      <c r="B6" s="1">
        <v>2013</v>
      </c>
      <c r="C6" s="1">
        <v>186</v>
      </c>
      <c r="D6" s="1">
        <v>60</v>
      </c>
    </row>
    <row r="7" spans="2:4" x14ac:dyDescent="0.25">
      <c r="B7" s="1">
        <v>2014</v>
      </c>
      <c r="C7" s="1">
        <v>210</v>
      </c>
      <c r="D7" s="1">
        <v>64</v>
      </c>
    </row>
    <row r="8" spans="2:4" x14ac:dyDescent="0.25">
      <c r="B8" s="1">
        <v>2015</v>
      </c>
      <c r="C8" s="1">
        <v>244</v>
      </c>
      <c r="D8" s="1">
        <v>81</v>
      </c>
    </row>
    <row r="9" spans="2:4" x14ac:dyDescent="0.25">
      <c r="B9" s="1">
        <v>2016</v>
      </c>
      <c r="C9" s="1">
        <v>297</v>
      </c>
      <c r="D9" s="1">
        <v>106</v>
      </c>
    </row>
    <row r="10" spans="2:4" x14ac:dyDescent="0.25">
      <c r="B10" s="1">
        <v>2017</v>
      </c>
      <c r="C10" s="1">
        <v>330</v>
      </c>
      <c r="D10" s="1">
        <v>119</v>
      </c>
    </row>
    <row r="11" spans="2:4" x14ac:dyDescent="0.25">
      <c r="B11" s="1">
        <v>2018</v>
      </c>
      <c r="C11" s="1">
        <v>402</v>
      </c>
      <c r="D11" s="1">
        <v>138</v>
      </c>
    </row>
    <row r="12" spans="2:4" x14ac:dyDescent="0.25">
      <c r="B12" s="1">
        <v>2019</v>
      </c>
      <c r="C12" s="1">
        <v>527</v>
      </c>
      <c r="D12" s="1">
        <v>198</v>
      </c>
    </row>
    <row r="13" spans="2:4" x14ac:dyDescent="0.25">
      <c r="B13" s="1">
        <v>2020</v>
      </c>
      <c r="C13" s="1">
        <v>690</v>
      </c>
      <c r="D13" s="1">
        <v>223</v>
      </c>
    </row>
    <row r="14" spans="2:4" x14ac:dyDescent="0.25">
      <c r="B14" s="2">
        <v>2021</v>
      </c>
      <c r="C14" s="4">
        <f>3E-145*EXP(0.168*$B14)</f>
        <v>855.57504022185049</v>
      </c>
      <c r="D14" s="4">
        <f>4E-187*EXP(0.2152*$B14)</f>
        <v>305.54038751533238</v>
      </c>
    </row>
    <row r="15" spans="2:4" x14ac:dyDescent="0.25">
      <c r="B15" s="2">
        <v>2022</v>
      </c>
      <c r="C15" s="4">
        <f t="shared" ref="C15:C23" si="0">3E-145*EXP(0.168*$B15)</f>
        <v>1012.0910382349067</v>
      </c>
      <c r="D15" s="4">
        <f t="shared" ref="D15:D22" si="1">4E-187*EXP(0.2152*$B15)</f>
        <v>378.9036576184759</v>
      </c>
    </row>
    <row r="16" spans="2:4" x14ac:dyDescent="0.25">
      <c r="B16" s="2">
        <v>2023</v>
      </c>
      <c r="C16" s="4">
        <f t="shared" si="0"/>
        <v>1197.2395424366321</v>
      </c>
      <c r="D16" s="4">
        <f t="shared" si="1"/>
        <v>469.8821747401451</v>
      </c>
    </row>
    <row r="17" spans="2:4" x14ac:dyDescent="0.25">
      <c r="B17" s="2">
        <v>2024</v>
      </c>
      <c r="C17" s="4">
        <f t="shared" si="0"/>
        <v>1416.2584864635344</v>
      </c>
      <c r="D17" s="4">
        <f t="shared" si="1"/>
        <v>582.70553397730589</v>
      </c>
    </row>
    <row r="18" spans="2:4" x14ac:dyDescent="0.25">
      <c r="B18" s="2">
        <v>2025</v>
      </c>
      <c r="C18" s="4">
        <f t="shared" si="0"/>
        <v>1675.3440137783825</v>
      </c>
      <c r="D18" s="4">
        <f t="shared" si="1"/>
        <v>722.61889805794931</v>
      </c>
    </row>
    <row r="19" spans="2:4" x14ac:dyDescent="0.25">
      <c r="B19" s="2">
        <v>2026</v>
      </c>
      <c r="C19" s="4">
        <f t="shared" si="0"/>
        <v>1981.8257693279993</v>
      </c>
      <c r="D19" s="4">
        <f t="shared" si="1"/>
        <v>896.12684517733123</v>
      </c>
    </row>
    <row r="20" spans="2:4" x14ac:dyDescent="0.25">
      <c r="B20" s="2">
        <v>2027</v>
      </c>
      <c r="C20" s="4">
        <f t="shared" si="0"/>
        <v>2344.3742584633683</v>
      </c>
      <c r="D20" s="4">
        <f t="shared" si="1"/>
        <v>1111.2957671127467</v>
      </c>
    </row>
    <row r="21" spans="2:4" x14ac:dyDescent="0.25">
      <c r="B21" s="2">
        <v>2028</v>
      </c>
      <c r="C21" s="4">
        <f t="shared" si="0"/>
        <v>2773.2461393966496</v>
      </c>
      <c r="D21" s="4">
        <f t="shared" si="1"/>
        <v>1378.1288761173014</v>
      </c>
    </row>
    <row r="22" spans="2:4" x14ac:dyDescent="0.25">
      <c r="B22" s="2">
        <v>2029</v>
      </c>
      <c r="C22" s="4">
        <f t="shared" si="0"/>
        <v>3280.5743886300202</v>
      </c>
      <c r="D22" s="4">
        <f t="shared" si="1"/>
        <v>1709.0312546790624</v>
      </c>
    </row>
    <row r="23" spans="2:4" x14ac:dyDescent="0.25">
      <c r="B23" s="2">
        <v>2030</v>
      </c>
      <c r="C23" s="4">
        <f t="shared" si="0"/>
        <v>3880.7115482640343</v>
      </c>
      <c r="D23" s="4">
        <f t="shared" ref="D23" si="2">6E-167*EXP(0.1922*$B23)</f>
        <v>1679.1599863430563</v>
      </c>
    </row>
    <row r="24" spans="2:4" x14ac:dyDescent="0.25">
      <c r="B24" s="1" t="s">
        <v>13</v>
      </c>
      <c r="C24" s="1">
        <f>C23/C13</f>
        <v>5.6242196351652671</v>
      </c>
      <c r="D24" s="1">
        <f t="shared" ref="D24" si="3">D23/D13</f>
        <v>7.5298654096101183</v>
      </c>
    </row>
    <row r="25" spans="2:4" x14ac:dyDescent="0.25">
      <c r="B25" t="s">
        <v>21</v>
      </c>
      <c r="C25" s="12">
        <f>AVERAGE(C24:D24)</f>
        <v>6.5770425223876927</v>
      </c>
      <c r="D25" s="12"/>
    </row>
    <row r="26" spans="2:4" x14ac:dyDescent="0.25">
      <c r="B26" t="s">
        <v>22</v>
      </c>
      <c r="C26" s="12">
        <f>_xlfn.STDEV.P(C24:D24)</f>
        <v>0.95282288722242647</v>
      </c>
      <c r="D26" s="12"/>
    </row>
    <row r="27" spans="2:4" x14ac:dyDescent="0.25">
      <c r="C27" s="1"/>
      <c r="D27" s="1"/>
    </row>
    <row r="28" spans="2:4" x14ac:dyDescent="0.25">
      <c r="B28" s="11" t="s">
        <v>15</v>
      </c>
      <c r="C28" s="11"/>
      <c r="D28" s="7" t="s">
        <v>17</v>
      </c>
    </row>
  </sheetData>
  <mergeCells count="3">
    <mergeCell ref="B28:C28"/>
    <mergeCell ref="C25:D25"/>
    <mergeCell ref="C26:D26"/>
  </mergeCells>
  <hyperlinks>
    <hyperlink ref="D28" r:id="rId1" xr:uid="{60EC2E79-38A4-462C-9A77-90A80BB4E60C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D20C-7DA1-4610-BC78-AD9CE117FCAF}">
  <dimension ref="B2:D31"/>
  <sheetViews>
    <sheetView workbookViewId="0">
      <selection activeCell="C3" sqref="C3:C23"/>
    </sheetView>
  </sheetViews>
  <sheetFormatPr defaultRowHeight="15" x14ac:dyDescent="0.25"/>
  <cols>
    <col min="2" max="2" width="7.5703125" bestFit="1" customWidth="1"/>
    <col min="3" max="3" width="18" bestFit="1" customWidth="1"/>
    <col min="4" max="4" width="32.7109375" bestFit="1" customWidth="1"/>
  </cols>
  <sheetData>
    <row r="2" spans="2:4" x14ac:dyDescent="0.25">
      <c r="B2" s="1" t="s">
        <v>0</v>
      </c>
      <c r="C2" s="1" t="s">
        <v>8</v>
      </c>
      <c r="D2" s="1" t="s">
        <v>14</v>
      </c>
    </row>
    <row r="3" spans="2:4" x14ac:dyDescent="0.25">
      <c r="B3" s="1">
        <v>2010</v>
      </c>
      <c r="C3" s="1">
        <v>72</v>
      </c>
      <c r="D3" s="1">
        <v>20</v>
      </c>
    </row>
    <row r="4" spans="2:4" x14ac:dyDescent="0.25">
      <c r="B4" s="1">
        <v>2011</v>
      </c>
      <c r="C4" s="1">
        <v>80</v>
      </c>
      <c r="D4" s="1">
        <v>18</v>
      </c>
    </row>
    <row r="5" spans="2:4" x14ac:dyDescent="0.25">
      <c r="B5" s="1">
        <v>2012</v>
      </c>
      <c r="C5" s="1">
        <v>133</v>
      </c>
      <c r="D5" s="1">
        <v>28</v>
      </c>
    </row>
    <row r="6" spans="2:4" x14ac:dyDescent="0.25">
      <c r="B6" s="1">
        <v>2013</v>
      </c>
      <c r="C6" s="1">
        <v>127</v>
      </c>
      <c r="D6" s="1">
        <v>44</v>
      </c>
    </row>
    <row r="7" spans="2:4" x14ac:dyDescent="0.25">
      <c r="B7" s="1">
        <v>2014</v>
      </c>
      <c r="C7" s="1">
        <v>136</v>
      </c>
      <c r="D7" s="1">
        <v>37</v>
      </c>
    </row>
    <row r="8" spans="2:4" x14ac:dyDescent="0.25">
      <c r="B8" s="1">
        <v>2015</v>
      </c>
      <c r="C8" s="1">
        <v>147</v>
      </c>
      <c r="D8" s="1">
        <v>43</v>
      </c>
    </row>
    <row r="9" spans="2:4" x14ac:dyDescent="0.25">
      <c r="B9" s="1">
        <v>2016</v>
      </c>
      <c r="C9" s="1">
        <v>178</v>
      </c>
      <c r="D9" s="1">
        <v>58</v>
      </c>
    </row>
    <row r="10" spans="2:4" x14ac:dyDescent="0.25">
      <c r="B10" s="1">
        <v>2017</v>
      </c>
      <c r="C10" s="1">
        <v>167</v>
      </c>
      <c r="D10" s="1">
        <v>57</v>
      </c>
    </row>
    <row r="11" spans="2:4" x14ac:dyDescent="0.25">
      <c r="B11" s="1">
        <v>2018</v>
      </c>
      <c r="C11" s="1">
        <v>197</v>
      </c>
      <c r="D11" s="1">
        <v>56</v>
      </c>
    </row>
    <row r="12" spans="2:4" x14ac:dyDescent="0.25">
      <c r="B12" s="1">
        <v>2019</v>
      </c>
      <c r="C12" s="1">
        <v>258</v>
      </c>
      <c r="D12" s="1">
        <v>87</v>
      </c>
    </row>
    <row r="13" spans="2:4" x14ac:dyDescent="0.25">
      <c r="B13" s="1">
        <v>2020</v>
      </c>
      <c r="C13" s="1">
        <v>286</v>
      </c>
      <c r="D13" s="1">
        <v>100</v>
      </c>
    </row>
    <row r="14" spans="2:4" x14ac:dyDescent="0.25">
      <c r="B14" s="2">
        <v>2021</v>
      </c>
      <c r="C14" s="4">
        <f>1E-106*EXP(0.1234*$B14)</f>
        <v>203.8491261715115</v>
      </c>
      <c r="D14" s="4">
        <f>2E-137*EXP(0.1581*$B14)</f>
        <v>116.63967015599442</v>
      </c>
    </row>
    <row r="15" spans="2:4" x14ac:dyDescent="0.25">
      <c r="B15" s="2">
        <v>2022</v>
      </c>
      <c r="C15" s="4">
        <f t="shared" ref="C15:C23" si="0">1E-106*EXP(0.1234*$B15)</f>
        <v>230.62203137636354</v>
      </c>
      <c r="D15" s="4">
        <f t="shared" ref="D15:D23" si="1">2E-137*EXP(0.1581*$B15)</f>
        <v>136.61809977546994</v>
      </c>
    </row>
    <row r="16" spans="2:4" x14ac:dyDescent="0.25">
      <c r="B16" s="2">
        <v>2023</v>
      </c>
      <c r="C16" s="4">
        <f t="shared" si="0"/>
        <v>260.91120602308911</v>
      </c>
      <c r="D16" s="4">
        <f t="shared" si="1"/>
        <v>160.01850109227175</v>
      </c>
    </row>
    <row r="17" spans="2:4" x14ac:dyDescent="0.25">
      <c r="B17" s="2">
        <v>2024</v>
      </c>
      <c r="C17" s="4">
        <f t="shared" si="0"/>
        <v>295.17846591737123</v>
      </c>
      <c r="D17" s="4">
        <f t="shared" si="1"/>
        <v>187.42700077003235</v>
      </c>
    </row>
    <row r="18" spans="2:4" x14ac:dyDescent="0.25">
      <c r="B18" s="2">
        <v>2025</v>
      </c>
      <c r="C18" s="4">
        <f t="shared" si="0"/>
        <v>333.94628030511717</v>
      </c>
      <c r="D18" s="4">
        <f t="shared" si="1"/>
        <v>219.53011919161327</v>
      </c>
    </row>
    <row r="19" spans="2:4" x14ac:dyDescent="0.25">
      <c r="B19" s="2">
        <v>2026</v>
      </c>
      <c r="C19" s="4">
        <f t="shared" si="0"/>
        <v>377.80573790515439</v>
      </c>
      <c r="D19" s="4">
        <f t="shared" si="1"/>
        <v>257.1319662283662</v>
      </c>
    </row>
    <row r="20" spans="2:4" x14ac:dyDescent="0.25">
      <c r="B20" s="2">
        <v>2027</v>
      </c>
      <c r="C20" s="4">
        <f t="shared" si="0"/>
        <v>427.4255591756953</v>
      </c>
      <c r="D20" s="4">
        <f t="shared" si="1"/>
        <v>301.17438235778781</v>
      </c>
    </row>
    <row r="21" spans="2:4" x14ac:dyDescent="0.25">
      <c r="B21" s="2">
        <v>2028</v>
      </c>
      <c r="C21" s="4">
        <f t="shared" si="0"/>
        <v>483.56229222362833</v>
      </c>
      <c r="D21" s="4">
        <f t="shared" si="1"/>
        <v>352.76052961863763</v>
      </c>
    </row>
    <row r="22" spans="2:4" x14ac:dyDescent="0.25">
      <c r="B22" s="2">
        <v>2029</v>
      </c>
      <c r="C22" s="4">
        <f t="shared" si="0"/>
        <v>547.07184781255717</v>
      </c>
      <c r="D22" s="4">
        <f t="shared" si="1"/>
        <v>413.18252330300453</v>
      </c>
    </row>
    <row r="23" spans="2:4" x14ac:dyDescent="0.25">
      <c r="B23" s="2">
        <v>2030</v>
      </c>
      <c r="C23" s="4">
        <f t="shared" si="0"/>
        <v>618.9225493427133</v>
      </c>
      <c r="D23" s="4">
        <f t="shared" si="1"/>
        <v>483.95379649644946</v>
      </c>
    </row>
    <row r="24" spans="2:4" x14ac:dyDescent="0.25">
      <c r="B24" s="1" t="s">
        <v>13</v>
      </c>
      <c r="C24" s="1">
        <f>C23/C13</f>
        <v>2.1640648578416548</v>
      </c>
      <c r="D24" s="1">
        <f t="shared" ref="D24" si="2">D23/D13</f>
        <v>4.839537964964495</v>
      </c>
    </row>
    <row r="25" spans="2:4" x14ac:dyDescent="0.25">
      <c r="B25" t="s">
        <v>21</v>
      </c>
      <c r="C25" s="12">
        <f>AVERAGE(C24:D24)</f>
        <v>3.5018014114030747</v>
      </c>
      <c r="D25" s="12"/>
    </row>
    <row r="26" spans="2:4" x14ac:dyDescent="0.25">
      <c r="B26" t="s">
        <v>22</v>
      </c>
      <c r="C26" s="12">
        <f>_xlfn.STDEV.P(C24:D24)</f>
        <v>1.3377365535614207</v>
      </c>
      <c r="D26" s="12"/>
    </row>
    <row r="31" spans="2:4" x14ac:dyDescent="0.25">
      <c r="B31" s="11" t="s">
        <v>15</v>
      </c>
      <c r="C31" s="11"/>
      <c r="D31" s="7" t="s">
        <v>18</v>
      </c>
    </row>
  </sheetData>
  <mergeCells count="3">
    <mergeCell ref="B31:C31"/>
    <mergeCell ref="C25:D25"/>
    <mergeCell ref="C26:D26"/>
  </mergeCells>
  <hyperlinks>
    <hyperlink ref="D31" r:id="rId1" xr:uid="{F076388A-E99A-4516-80E3-12C7DF9BD8D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D7F5-B51B-4774-9284-36D3BB2ADB6F}">
  <dimension ref="B2:D30"/>
  <sheetViews>
    <sheetView workbookViewId="0">
      <selection activeCell="C3" sqref="C3:C23"/>
    </sheetView>
  </sheetViews>
  <sheetFormatPr defaultRowHeight="15" x14ac:dyDescent="0.25"/>
  <cols>
    <col min="2" max="2" width="6.28515625" bestFit="1" customWidth="1"/>
    <col min="3" max="3" width="34" customWidth="1"/>
    <col min="4" max="4" width="32.7109375" bestFit="1" customWidth="1"/>
  </cols>
  <sheetData>
    <row r="2" spans="2:4" x14ac:dyDescent="0.25">
      <c r="B2" s="1" t="s">
        <v>0</v>
      </c>
      <c r="C2" s="1" t="s">
        <v>8</v>
      </c>
      <c r="D2" s="1" t="s">
        <v>14</v>
      </c>
    </row>
    <row r="3" spans="2:4" x14ac:dyDescent="0.25">
      <c r="B3" s="1">
        <v>2010</v>
      </c>
      <c r="C3" s="1">
        <v>133</v>
      </c>
      <c r="D3" s="1">
        <v>24</v>
      </c>
    </row>
    <row r="4" spans="2:4" x14ac:dyDescent="0.25">
      <c r="B4" s="1">
        <v>2011</v>
      </c>
      <c r="C4" s="1">
        <v>135</v>
      </c>
      <c r="D4" s="1">
        <v>22</v>
      </c>
    </row>
    <row r="5" spans="2:4" x14ac:dyDescent="0.25">
      <c r="B5" s="1">
        <v>2012</v>
      </c>
      <c r="C5" s="1">
        <v>168</v>
      </c>
      <c r="D5" s="1">
        <v>20</v>
      </c>
    </row>
    <row r="6" spans="2:4" x14ac:dyDescent="0.25">
      <c r="B6" s="1">
        <v>2013</v>
      </c>
      <c r="C6" s="1">
        <v>160</v>
      </c>
      <c r="D6" s="1">
        <v>43</v>
      </c>
    </row>
    <row r="7" spans="2:4" x14ac:dyDescent="0.25">
      <c r="B7" s="1">
        <v>2014</v>
      </c>
      <c r="C7" s="1">
        <v>171</v>
      </c>
      <c r="D7" s="1">
        <v>33</v>
      </c>
    </row>
    <row r="8" spans="2:4" x14ac:dyDescent="0.25">
      <c r="B8" s="1">
        <v>2015</v>
      </c>
      <c r="C8" s="1">
        <v>191</v>
      </c>
      <c r="D8" s="1">
        <v>42</v>
      </c>
    </row>
    <row r="9" spans="2:4" x14ac:dyDescent="0.25">
      <c r="B9" s="1">
        <v>2016</v>
      </c>
      <c r="C9" s="1">
        <v>220</v>
      </c>
      <c r="D9" s="1">
        <v>49</v>
      </c>
    </row>
    <row r="10" spans="2:4" x14ac:dyDescent="0.25">
      <c r="B10" s="1">
        <v>2017</v>
      </c>
      <c r="C10" s="1">
        <v>249</v>
      </c>
      <c r="D10" s="1">
        <v>54</v>
      </c>
    </row>
    <row r="11" spans="2:4" x14ac:dyDescent="0.25">
      <c r="B11" s="1">
        <v>2018</v>
      </c>
      <c r="C11" s="1">
        <v>234</v>
      </c>
      <c r="D11" s="1">
        <v>53</v>
      </c>
    </row>
    <row r="12" spans="2:4" x14ac:dyDescent="0.25">
      <c r="B12" s="1">
        <v>2019</v>
      </c>
      <c r="C12" s="1">
        <v>301</v>
      </c>
      <c r="D12" s="1">
        <v>83</v>
      </c>
    </row>
    <row r="13" spans="2:4" x14ac:dyDescent="0.25">
      <c r="B13" s="1">
        <v>2020</v>
      </c>
      <c r="C13" s="1">
        <v>288</v>
      </c>
      <c r="D13" s="1">
        <v>69</v>
      </c>
    </row>
    <row r="14" spans="2:4" x14ac:dyDescent="0.25">
      <c r="B14" s="2">
        <v>2021</v>
      </c>
      <c r="C14" s="4">
        <f>1E-71*EXP(0.0836*$B14)</f>
        <v>237.9494836147033</v>
      </c>
      <c r="D14" s="4">
        <f>2E-113*EXP(0.1306*$B14)</f>
        <v>85.083376203099618</v>
      </c>
    </row>
    <row r="15" spans="2:4" x14ac:dyDescent="0.25">
      <c r="B15" s="2">
        <v>2022</v>
      </c>
      <c r="C15" s="4">
        <f t="shared" ref="C15:C23" si="0">1E-71*EXP(0.0836*$B15)</f>
        <v>258.69723405408581</v>
      </c>
      <c r="D15" s="4">
        <f t="shared" ref="D15:D23" si="1">2E-113*EXP(0.1306*$B15)</f>
        <v>96.953518432093787</v>
      </c>
    </row>
    <row r="16" spans="2:4" x14ac:dyDescent="0.25">
      <c r="B16" s="2">
        <v>2023</v>
      </c>
      <c r="C16" s="4">
        <f t="shared" si="0"/>
        <v>281.25406237736922</v>
      </c>
      <c r="D16" s="4">
        <f t="shared" si="1"/>
        <v>110.47968658324002</v>
      </c>
    </row>
    <row r="17" spans="2:4" x14ac:dyDescent="0.25">
      <c r="B17" s="2">
        <v>2024</v>
      </c>
      <c r="C17" s="4">
        <f t="shared" si="0"/>
        <v>305.77770919357749</v>
      </c>
      <c r="D17" s="4">
        <f t="shared" si="1"/>
        <v>125.89291595517662</v>
      </c>
    </row>
    <row r="18" spans="2:4" x14ac:dyDescent="0.25">
      <c r="B18" s="2">
        <v>2025</v>
      </c>
      <c r="C18" s="4">
        <f t="shared" si="0"/>
        <v>332.43966913523974</v>
      </c>
      <c r="D18" s="4">
        <f t="shared" si="1"/>
        <v>143.45647401666682</v>
      </c>
    </row>
    <row r="19" spans="2:4" x14ac:dyDescent="0.25">
      <c r="B19" s="2">
        <v>2026</v>
      </c>
      <c r="C19" s="4">
        <f t="shared" si="0"/>
        <v>361.42639012571215</v>
      </c>
      <c r="D19" s="4">
        <f t="shared" si="1"/>
        <v>163.47035717737998</v>
      </c>
    </row>
    <row r="20" spans="2:4" x14ac:dyDescent="0.25">
      <c r="B20" s="2">
        <v>2027</v>
      </c>
      <c r="C20" s="4">
        <f t="shared" si="0"/>
        <v>392.94057721542862</v>
      </c>
      <c r="D20" s="4">
        <f t="shared" si="1"/>
        <v>186.27641491171431</v>
      </c>
    </row>
    <row r="21" spans="2:4" x14ac:dyDescent="0.25">
      <c r="B21" s="2">
        <v>2028</v>
      </c>
      <c r="C21" s="4">
        <f t="shared" si="0"/>
        <v>427.20261010460604</v>
      </c>
      <c r="D21" s="4">
        <f t="shared" si="1"/>
        <v>212.26418875874691</v>
      </c>
    </row>
    <row r="22" spans="2:4" x14ac:dyDescent="0.25">
      <c r="B22" s="2">
        <v>2029</v>
      </c>
      <c r="C22" s="4">
        <f t="shared" si="0"/>
        <v>464.45208426548368</v>
      </c>
      <c r="D22" s="4">
        <f t="shared" si="1"/>
        <v>241.87756593214351</v>
      </c>
    </row>
    <row r="23" spans="2:4" x14ac:dyDescent="0.25">
      <c r="B23" s="2">
        <v>2030</v>
      </c>
      <c r="C23" s="4">
        <f t="shared" si="0"/>
        <v>504.94948644095905</v>
      </c>
      <c r="D23" s="4">
        <f t="shared" si="1"/>
        <v>275.62236118761035</v>
      </c>
    </row>
    <row r="24" spans="2:4" x14ac:dyDescent="0.25">
      <c r="B24" s="1" t="s">
        <v>13</v>
      </c>
      <c r="C24" s="1">
        <f>C23/C13</f>
        <v>1.7532968279199967</v>
      </c>
      <c r="D24" s="1">
        <f t="shared" ref="D24" si="2">D23/D13</f>
        <v>3.9945269737334832</v>
      </c>
    </row>
    <row r="25" spans="2:4" x14ac:dyDescent="0.25">
      <c r="B25" t="s">
        <v>21</v>
      </c>
      <c r="C25" s="12">
        <f>AVERAGE(C24:D24)</f>
        <v>2.87391190082674</v>
      </c>
      <c r="D25" s="12"/>
    </row>
    <row r="26" spans="2:4" x14ac:dyDescent="0.25">
      <c r="B26" t="s">
        <v>22</v>
      </c>
      <c r="C26" s="12">
        <f>_xlfn.STDEV.P(C24:D24)</f>
        <v>1.1206150729067434</v>
      </c>
      <c r="D26" s="12"/>
    </row>
    <row r="27" spans="2:4" x14ac:dyDescent="0.25">
      <c r="B27" s="2"/>
      <c r="C27" s="4"/>
      <c r="D27" s="4"/>
    </row>
    <row r="30" spans="2:4" x14ac:dyDescent="0.25">
      <c r="B30" s="11" t="s">
        <v>15</v>
      </c>
      <c r="C30" s="11"/>
      <c r="D30" s="7" t="s">
        <v>19</v>
      </c>
    </row>
  </sheetData>
  <mergeCells count="3">
    <mergeCell ref="B30:C30"/>
    <mergeCell ref="C25:D25"/>
    <mergeCell ref="C26:D26"/>
  </mergeCells>
  <hyperlinks>
    <hyperlink ref="D30" r:id="rId1" location="('v'~3_'id'~''_'isExactMatch'~true_'context'~null_'kind'~77_'order'~0_'orderLowestFirst'~false_'query'~'in%20vitro%20digestion'_'filters'~!('kind'~37_'dateFrom'~1262304000000_'dateTo'~1293839999999)*_'hideOthers'~false)" xr:uid="{C17C9F34-3A30-43B7-A3A2-85A6C4D3C46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57D2-FBEA-447D-837E-1A7C07944B57}">
  <dimension ref="B2:D33"/>
  <sheetViews>
    <sheetView workbookViewId="0">
      <selection activeCell="C3" sqref="C3:C23"/>
    </sheetView>
  </sheetViews>
  <sheetFormatPr defaultRowHeight="15" x14ac:dyDescent="0.25"/>
  <cols>
    <col min="2" max="2" width="6.28515625" bestFit="1" customWidth="1"/>
    <col min="3" max="3" width="18" bestFit="1" customWidth="1"/>
    <col min="4" max="4" width="32.7109375" bestFit="1" customWidth="1"/>
  </cols>
  <sheetData>
    <row r="2" spans="2:4" x14ac:dyDescent="0.25">
      <c r="B2" s="1" t="s">
        <v>0</v>
      </c>
      <c r="C2" s="1" t="s">
        <v>8</v>
      </c>
      <c r="D2" s="1" t="s">
        <v>14</v>
      </c>
    </row>
    <row r="3" spans="2:4" x14ac:dyDescent="0.25">
      <c r="B3" s="1">
        <v>2010</v>
      </c>
      <c r="C3" s="1">
        <v>189</v>
      </c>
      <c r="D3" s="1">
        <v>49</v>
      </c>
    </row>
    <row r="4" spans="2:4" x14ac:dyDescent="0.25">
      <c r="B4" s="1">
        <v>2011</v>
      </c>
      <c r="C4" s="1">
        <v>195</v>
      </c>
      <c r="D4" s="1">
        <v>44</v>
      </c>
    </row>
    <row r="5" spans="2:4" x14ac:dyDescent="0.25">
      <c r="B5" s="1">
        <v>2012</v>
      </c>
      <c r="C5" s="1">
        <v>277</v>
      </c>
      <c r="D5" s="1">
        <v>61</v>
      </c>
    </row>
    <row r="6" spans="2:4" x14ac:dyDescent="0.25">
      <c r="B6" s="1">
        <v>2013</v>
      </c>
      <c r="C6" s="1">
        <v>316</v>
      </c>
      <c r="D6" s="1">
        <v>90</v>
      </c>
    </row>
    <row r="7" spans="2:4" x14ac:dyDescent="0.25">
      <c r="B7" s="1">
        <v>2014</v>
      </c>
      <c r="C7" s="1">
        <v>343</v>
      </c>
      <c r="D7" s="1">
        <v>91</v>
      </c>
    </row>
    <row r="8" spans="2:4" x14ac:dyDescent="0.25">
      <c r="B8" s="1">
        <v>2015</v>
      </c>
      <c r="C8" s="1">
        <v>403</v>
      </c>
      <c r="D8" s="1">
        <v>114</v>
      </c>
    </row>
    <row r="9" spans="2:4" x14ac:dyDescent="0.25">
      <c r="B9" s="1">
        <v>2016</v>
      </c>
      <c r="C9" s="1">
        <v>466</v>
      </c>
      <c r="D9" s="1">
        <v>156</v>
      </c>
    </row>
    <row r="10" spans="2:4" x14ac:dyDescent="0.25">
      <c r="B10" s="1">
        <v>2017</v>
      </c>
      <c r="C10" s="1">
        <v>473</v>
      </c>
      <c r="D10" s="1">
        <v>167</v>
      </c>
    </row>
    <row r="11" spans="2:4" x14ac:dyDescent="0.25">
      <c r="B11" s="1">
        <v>2018</v>
      </c>
      <c r="C11" s="1">
        <v>542</v>
      </c>
      <c r="D11" s="1">
        <v>168</v>
      </c>
    </row>
    <row r="12" spans="2:4" x14ac:dyDescent="0.25">
      <c r="B12" s="1">
        <v>2019</v>
      </c>
      <c r="C12" s="1">
        <v>686</v>
      </c>
      <c r="D12" s="1">
        <v>247</v>
      </c>
    </row>
    <row r="13" spans="2:4" x14ac:dyDescent="0.25">
      <c r="B13" s="1">
        <v>2020</v>
      </c>
      <c r="C13" s="1">
        <v>770</v>
      </c>
      <c r="D13" s="1">
        <v>255</v>
      </c>
    </row>
    <row r="14" spans="2:4" x14ac:dyDescent="0.25">
      <c r="B14" s="2">
        <v>2021</v>
      </c>
      <c r="C14" s="4">
        <f>6E-119*EXP(0.138*$B14)</f>
        <v>798.01979502400548</v>
      </c>
      <c r="D14" s="4">
        <f>2E-157*EXP(0.1815*$B14)</f>
        <v>402.93996494703254</v>
      </c>
    </row>
    <row r="15" spans="2:4" x14ac:dyDescent="0.25">
      <c r="B15" s="2">
        <v>2022</v>
      </c>
      <c r="C15" s="4">
        <f t="shared" ref="C15:C23" si="0">6E-119*EXP(0.138*$B15)</f>
        <v>916.10721332234868</v>
      </c>
      <c r="D15" s="4">
        <f t="shared" ref="D15:D23" si="1">2E-157*EXP(0.1815*$B15)</f>
        <v>483.13087539280821</v>
      </c>
    </row>
    <row r="16" spans="2:4" x14ac:dyDescent="0.25">
      <c r="B16" s="2">
        <v>2023</v>
      </c>
      <c r="C16" s="4">
        <f t="shared" si="0"/>
        <v>1051.6686823239031</v>
      </c>
      <c r="D16" s="4">
        <f t="shared" si="1"/>
        <v>579.28094272924977</v>
      </c>
    </row>
    <row r="17" spans="2:4" x14ac:dyDescent="0.25">
      <c r="B17" s="2">
        <v>2024</v>
      </c>
      <c r="C17" s="4">
        <f t="shared" si="0"/>
        <v>1207.2899342968749</v>
      </c>
      <c r="D17" s="4">
        <f t="shared" si="1"/>
        <v>694.56627117129722</v>
      </c>
    </row>
    <row r="18" spans="2:4" x14ac:dyDescent="0.25">
      <c r="B18" s="2">
        <v>2025</v>
      </c>
      <c r="C18" s="4">
        <f t="shared" si="0"/>
        <v>1385.9393266649788</v>
      </c>
      <c r="D18" s="4">
        <f t="shared" si="1"/>
        <v>832.79505584262256</v>
      </c>
    </row>
    <row r="19" spans="2:4" x14ac:dyDescent="0.25">
      <c r="B19" s="2">
        <v>2026</v>
      </c>
      <c r="C19" s="4">
        <f t="shared" si="0"/>
        <v>1591.0244611748167</v>
      </c>
      <c r="D19" s="4">
        <f t="shared" si="1"/>
        <v>998.53337805531044</v>
      </c>
    </row>
    <row r="20" spans="2:4" x14ac:dyDescent="0.25">
      <c r="B20" s="2">
        <v>2027</v>
      </c>
      <c r="C20" s="4">
        <f t="shared" si="0"/>
        <v>1826.4571813167963</v>
      </c>
      <c r="D20" s="4">
        <f t="shared" si="1"/>
        <v>1197.2560356781391</v>
      </c>
    </row>
    <row r="21" spans="2:4" x14ac:dyDescent="0.25">
      <c r="B21" s="2">
        <v>2028</v>
      </c>
      <c r="C21" s="4">
        <f t="shared" si="0"/>
        <v>2096.7281877744454</v>
      </c>
      <c r="D21" s="4">
        <f t="shared" si="1"/>
        <v>1435.5273909415732</v>
      </c>
    </row>
    <row r="22" spans="2:4" x14ac:dyDescent="0.25">
      <c r="B22" s="2">
        <v>2029</v>
      </c>
      <c r="C22" s="4">
        <f t="shared" si="0"/>
        <v>2406.9926951356942</v>
      </c>
      <c r="D22" s="4">
        <f t="shared" si="1"/>
        <v>1721.218209583865</v>
      </c>
    </row>
    <row r="23" spans="2:4" x14ac:dyDescent="0.25">
      <c r="B23" s="2">
        <v>2030</v>
      </c>
      <c r="C23" s="4">
        <f t="shared" si="0"/>
        <v>2763.1687637044201</v>
      </c>
      <c r="D23" s="4">
        <f t="shared" si="1"/>
        <v>2063.765654140579</v>
      </c>
    </row>
    <row r="24" spans="2:4" x14ac:dyDescent="0.25">
      <c r="B24" s="1" t="s">
        <v>13</v>
      </c>
      <c r="C24" s="1">
        <f>C23/C13</f>
        <v>3.5885308619537923</v>
      </c>
      <c r="D24" s="1">
        <f t="shared" ref="D24" si="2">D23/D13</f>
        <v>8.0931986436885452</v>
      </c>
    </row>
    <row r="25" spans="2:4" x14ac:dyDescent="0.25">
      <c r="B25" t="s">
        <v>21</v>
      </c>
      <c r="C25" s="12">
        <f>AVERAGE(C24:D24)</f>
        <v>5.8408647528211688</v>
      </c>
      <c r="D25" s="12"/>
    </row>
    <row r="26" spans="2:4" x14ac:dyDescent="0.25">
      <c r="B26" t="s">
        <v>22</v>
      </c>
      <c r="C26" s="12">
        <f>_xlfn.STDEV.P(C24:D24)</f>
        <v>2.2523338908673769</v>
      </c>
      <c r="D26" s="12"/>
    </row>
    <row r="33" spans="2:4" x14ac:dyDescent="0.25">
      <c r="B33" s="11" t="s">
        <v>15</v>
      </c>
      <c r="C33" s="11"/>
      <c r="D33" s="7" t="s">
        <v>20</v>
      </c>
    </row>
  </sheetData>
  <mergeCells count="3">
    <mergeCell ref="B33:C33"/>
    <mergeCell ref="C25:D25"/>
    <mergeCell ref="C26:D26"/>
  </mergeCells>
  <hyperlinks>
    <hyperlink ref="D33" r:id="rId1" xr:uid="{0C7ADE74-20F6-4223-B9A6-077CBB2E69F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Stats</vt:lpstr>
      <vt:lpstr>Graphs</vt:lpstr>
      <vt:lpstr>Google Scholar</vt:lpstr>
      <vt:lpstr>WebOfKnowledge</vt:lpstr>
      <vt:lpstr>Base Search</vt:lpstr>
      <vt:lpstr>Mendeley</vt:lpstr>
      <vt:lpstr>Microsoft Academic</vt:lpstr>
      <vt:lpstr>Science Open</vt:lpstr>
      <vt:lpstr>Semantic Scholar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Madalena</dc:creator>
  <cp:lastModifiedBy>Daniel Madalena</cp:lastModifiedBy>
  <dcterms:created xsi:type="dcterms:W3CDTF">2021-03-03T18:10:44Z</dcterms:created>
  <dcterms:modified xsi:type="dcterms:W3CDTF">2021-03-11T18:53:51Z</dcterms:modified>
</cp:coreProperties>
</file>