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\Desktop\カードリサーチ\"/>
    </mc:Choice>
  </mc:AlternateContent>
  <xr:revisionPtr revIDLastSave="0" documentId="13_ncr:1_{0D4D0AFF-8F0D-44E8-AA0A-5A2438418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8" i="1" l="1"/>
  <c r="AI137" i="1"/>
  <c r="AG137" i="1"/>
  <c r="V137" i="1"/>
  <c r="Z137" i="1" s="1"/>
  <c r="AA137" i="1" s="1"/>
  <c r="AF137" i="1" s="1"/>
  <c r="R137" i="1"/>
  <c r="AI136" i="1"/>
  <c r="AG136" i="1"/>
  <c r="V136" i="1"/>
  <c r="Z136" i="1" s="1"/>
  <c r="R136" i="1"/>
  <c r="AI135" i="1"/>
  <c r="AG135" i="1"/>
  <c r="Z135" i="1"/>
  <c r="V135" i="1"/>
  <c r="R135" i="1"/>
  <c r="AI134" i="1"/>
  <c r="AG134" i="1"/>
  <c r="AF134" i="1"/>
  <c r="AE134" i="1"/>
  <c r="AA134" i="1"/>
  <c r="Z134" i="1"/>
  <c r="V134" i="1"/>
  <c r="R134" i="1"/>
  <c r="AB134" i="1" s="1"/>
  <c r="AI133" i="1"/>
  <c r="AG133" i="1"/>
  <c r="V133" i="1"/>
  <c r="Z133" i="1" s="1"/>
  <c r="R133" i="1"/>
  <c r="AI132" i="1"/>
  <c r="AG132" i="1"/>
  <c r="Z132" i="1"/>
  <c r="AA132" i="1" s="1"/>
  <c r="AF132" i="1" s="1"/>
  <c r="V132" i="1"/>
  <c r="R132" i="1"/>
  <c r="AI131" i="1"/>
  <c r="AG131" i="1"/>
  <c r="V131" i="1"/>
  <c r="Z131" i="1" s="1"/>
  <c r="R131" i="1"/>
  <c r="AI130" i="1"/>
  <c r="AG130" i="1"/>
  <c r="AE130" i="1"/>
  <c r="AA130" i="1"/>
  <c r="AF130" i="1" s="1"/>
  <c r="Z130" i="1"/>
  <c r="V130" i="1"/>
  <c r="R130" i="1"/>
  <c r="AB130" i="1" s="1"/>
  <c r="AI129" i="1"/>
  <c r="AG129" i="1"/>
  <c r="Z129" i="1"/>
  <c r="AE129" i="1" s="1"/>
  <c r="V129" i="1"/>
  <c r="R129" i="1"/>
  <c r="AI128" i="1"/>
  <c r="AG128" i="1"/>
  <c r="U128" i="1"/>
  <c r="T128" i="1"/>
  <c r="R128" i="1"/>
  <c r="AI127" i="1"/>
  <c r="AG127" i="1"/>
  <c r="U127" i="1"/>
  <c r="V127" i="1" s="1"/>
  <c r="Z127" i="1" s="1"/>
  <c r="T127" i="1"/>
  <c r="R127" i="1"/>
  <c r="AI126" i="1"/>
  <c r="AG126" i="1"/>
  <c r="U126" i="1"/>
  <c r="T126" i="1"/>
  <c r="R126" i="1"/>
  <c r="AI125" i="1"/>
  <c r="AG125" i="1"/>
  <c r="U125" i="1"/>
  <c r="T125" i="1"/>
  <c r="R125" i="1"/>
  <c r="AI124" i="1"/>
  <c r="AG124" i="1"/>
  <c r="U124" i="1"/>
  <c r="T124" i="1"/>
  <c r="R124" i="1"/>
  <c r="AI123" i="1"/>
  <c r="AG123" i="1"/>
  <c r="AE123" i="1"/>
  <c r="Z123" i="1"/>
  <c r="AA123" i="1" s="1"/>
  <c r="AF123" i="1" s="1"/>
  <c r="V123" i="1"/>
  <c r="U123" i="1"/>
  <c r="T123" i="1"/>
  <c r="R123" i="1"/>
  <c r="AI122" i="1"/>
  <c r="AG122" i="1"/>
  <c r="U122" i="1"/>
  <c r="T122" i="1"/>
  <c r="R122" i="1"/>
  <c r="AI121" i="1"/>
  <c r="AG121" i="1"/>
  <c r="U121" i="1"/>
  <c r="T121" i="1"/>
  <c r="R121" i="1"/>
  <c r="AI120" i="1"/>
  <c r="AG120" i="1"/>
  <c r="U120" i="1"/>
  <c r="T120" i="1"/>
  <c r="R120" i="1"/>
  <c r="AI119" i="1"/>
  <c r="AG119" i="1"/>
  <c r="Z119" i="1"/>
  <c r="AE119" i="1" s="1"/>
  <c r="V119" i="1"/>
  <c r="U119" i="1"/>
  <c r="T119" i="1"/>
  <c r="R119" i="1"/>
  <c r="AI118" i="1"/>
  <c r="AG118" i="1"/>
  <c r="U118" i="1"/>
  <c r="T118" i="1"/>
  <c r="R118" i="1"/>
  <c r="AI117" i="1"/>
  <c r="AG117" i="1"/>
  <c r="U117" i="1"/>
  <c r="T117" i="1"/>
  <c r="V117" i="1" s="1"/>
  <c r="R117" i="1"/>
  <c r="AI116" i="1"/>
  <c r="AG116" i="1"/>
  <c r="U116" i="1"/>
  <c r="T116" i="1"/>
  <c r="V116" i="1" s="1"/>
  <c r="R116" i="1"/>
  <c r="AI115" i="1"/>
  <c r="AG115" i="1"/>
  <c r="Z115" i="1"/>
  <c r="AE115" i="1" s="1"/>
  <c r="V115" i="1"/>
  <c r="U115" i="1"/>
  <c r="T115" i="1"/>
  <c r="R115" i="1"/>
  <c r="AI114" i="1"/>
  <c r="AG114" i="1"/>
  <c r="U114" i="1"/>
  <c r="T114" i="1"/>
  <c r="R114" i="1"/>
  <c r="AI113" i="1"/>
  <c r="AG113" i="1"/>
  <c r="Z113" i="1"/>
  <c r="U113" i="1"/>
  <c r="T113" i="1"/>
  <c r="V113" i="1" s="1"/>
  <c r="R113" i="1"/>
  <c r="AI112" i="1"/>
  <c r="AG112" i="1"/>
  <c r="U112" i="1"/>
  <c r="T112" i="1"/>
  <c r="R112" i="1"/>
  <c r="AI111" i="1"/>
  <c r="AG111" i="1"/>
  <c r="V111" i="1"/>
  <c r="U111" i="1"/>
  <c r="T111" i="1"/>
  <c r="R111" i="1"/>
  <c r="AI110" i="1"/>
  <c r="AG110" i="1"/>
  <c r="U110" i="1"/>
  <c r="T110" i="1"/>
  <c r="V110" i="1" s="1"/>
  <c r="Z110" i="1" s="1"/>
  <c r="R110" i="1"/>
  <c r="AI109" i="1"/>
  <c r="AG109" i="1"/>
  <c r="U109" i="1"/>
  <c r="T109" i="1"/>
  <c r="R109" i="1"/>
  <c r="AI108" i="1"/>
  <c r="AG108" i="1"/>
  <c r="U108" i="1"/>
  <c r="T108" i="1"/>
  <c r="V108" i="1" s="1"/>
  <c r="R108" i="1"/>
  <c r="AI107" i="1"/>
  <c r="AG107" i="1"/>
  <c r="AE107" i="1"/>
  <c r="V107" i="1"/>
  <c r="Z107" i="1" s="1"/>
  <c r="U107" i="1"/>
  <c r="T107" i="1"/>
  <c r="R107" i="1"/>
  <c r="AI106" i="1"/>
  <c r="AG106" i="1"/>
  <c r="V106" i="1"/>
  <c r="Z106" i="1" s="1"/>
  <c r="AE106" i="1" s="1"/>
  <c r="U106" i="1"/>
  <c r="T106" i="1"/>
  <c r="R106" i="1"/>
  <c r="AI105" i="1"/>
  <c r="AG105" i="1"/>
  <c r="V105" i="1"/>
  <c r="Z105" i="1" s="1"/>
  <c r="U105" i="1"/>
  <c r="T105" i="1"/>
  <c r="R105" i="1"/>
  <c r="AI104" i="1"/>
  <c r="AG104" i="1"/>
  <c r="U104" i="1"/>
  <c r="T104" i="1"/>
  <c r="R104" i="1"/>
  <c r="AI103" i="1"/>
  <c r="AG103" i="1"/>
  <c r="Z103" i="1"/>
  <c r="AE103" i="1" s="1"/>
  <c r="U103" i="1"/>
  <c r="T103" i="1"/>
  <c r="V103" i="1" s="1"/>
  <c r="R103" i="1"/>
  <c r="AI102" i="1"/>
  <c r="AG102" i="1"/>
  <c r="U102" i="1"/>
  <c r="V102" i="1" s="1"/>
  <c r="T102" i="1"/>
  <c r="R102" i="1"/>
  <c r="AI101" i="1"/>
  <c r="AG101" i="1"/>
  <c r="U101" i="1"/>
  <c r="T101" i="1"/>
  <c r="V101" i="1" s="1"/>
  <c r="R101" i="1"/>
  <c r="AI100" i="1"/>
  <c r="AG100" i="1"/>
  <c r="U100" i="1"/>
  <c r="T100" i="1"/>
  <c r="V100" i="1" s="1"/>
  <c r="R100" i="1"/>
  <c r="AI99" i="1"/>
  <c r="AG99" i="1"/>
  <c r="Z99" i="1"/>
  <c r="AA99" i="1" s="1"/>
  <c r="AF99" i="1" s="1"/>
  <c r="V99" i="1"/>
  <c r="U99" i="1"/>
  <c r="T99" i="1"/>
  <c r="R99" i="1"/>
  <c r="AI98" i="1"/>
  <c r="AG98" i="1"/>
  <c r="U98" i="1"/>
  <c r="V98" i="1" s="1"/>
  <c r="T98" i="1"/>
  <c r="R98" i="1"/>
  <c r="AI97" i="1"/>
  <c r="AG97" i="1"/>
  <c r="U97" i="1"/>
  <c r="T97" i="1"/>
  <c r="R97" i="1"/>
  <c r="AI96" i="1"/>
  <c r="AG96" i="1"/>
  <c r="U96" i="1"/>
  <c r="T96" i="1"/>
  <c r="R96" i="1"/>
  <c r="AI95" i="1"/>
  <c r="AG95" i="1"/>
  <c r="V95" i="1"/>
  <c r="U95" i="1"/>
  <c r="T95" i="1"/>
  <c r="R95" i="1"/>
  <c r="AI94" i="1"/>
  <c r="AG94" i="1"/>
  <c r="U94" i="1"/>
  <c r="T94" i="1"/>
  <c r="R94" i="1"/>
  <c r="AI93" i="1"/>
  <c r="AG93" i="1"/>
  <c r="U93" i="1"/>
  <c r="T93" i="1"/>
  <c r="R93" i="1"/>
  <c r="AI92" i="1"/>
  <c r="AG92" i="1"/>
  <c r="U92" i="1"/>
  <c r="T92" i="1"/>
  <c r="V92" i="1" s="1"/>
  <c r="R92" i="1"/>
  <c r="AI91" i="1"/>
  <c r="AG91" i="1"/>
  <c r="V91" i="1"/>
  <c r="Z91" i="1" s="1"/>
  <c r="U91" i="1"/>
  <c r="T91" i="1"/>
  <c r="R91" i="1"/>
  <c r="AI90" i="1"/>
  <c r="AG90" i="1"/>
  <c r="U90" i="1"/>
  <c r="T90" i="1"/>
  <c r="V90" i="1" s="1"/>
  <c r="Z90" i="1" s="1"/>
  <c r="R90" i="1"/>
  <c r="AI89" i="1"/>
  <c r="AG89" i="1"/>
  <c r="U89" i="1"/>
  <c r="V89" i="1" s="1"/>
  <c r="T89" i="1"/>
  <c r="Z89" i="1" s="1"/>
  <c r="R89" i="1"/>
  <c r="AI88" i="1"/>
  <c r="AG88" i="1"/>
  <c r="U88" i="1"/>
  <c r="T88" i="1"/>
  <c r="R88" i="1"/>
  <c r="AI87" i="1"/>
  <c r="AG87" i="1"/>
  <c r="U87" i="1"/>
  <c r="T87" i="1"/>
  <c r="R87" i="1"/>
  <c r="AI86" i="1"/>
  <c r="AG86" i="1"/>
  <c r="U86" i="1"/>
  <c r="T86" i="1"/>
  <c r="R86" i="1"/>
  <c r="AI85" i="1"/>
  <c r="AG85" i="1"/>
  <c r="U85" i="1"/>
  <c r="T85" i="1"/>
  <c r="R85" i="1"/>
  <c r="AI84" i="1"/>
  <c r="AG84" i="1"/>
  <c r="U84" i="1"/>
  <c r="T84" i="1"/>
  <c r="V84" i="1" s="1"/>
  <c r="R84" i="1"/>
  <c r="AI83" i="1"/>
  <c r="AG83" i="1"/>
  <c r="V83" i="1"/>
  <c r="Z83" i="1" s="1"/>
  <c r="U83" i="1"/>
  <c r="T83" i="1"/>
  <c r="R83" i="1"/>
  <c r="AI82" i="1"/>
  <c r="AG82" i="1"/>
  <c r="U82" i="1"/>
  <c r="T82" i="1"/>
  <c r="R82" i="1"/>
  <c r="AI81" i="1"/>
  <c r="AG81" i="1"/>
  <c r="U81" i="1"/>
  <c r="T81" i="1"/>
  <c r="V81" i="1" s="1"/>
  <c r="Z81" i="1" s="1"/>
  <c r="R81" i="1"/>
  <c r="AI80" i="1"/>
  <c r="AG80" i="1"/>
  <c r="U80" i="1"/>
  <c r="T80" i="1"/>
  <c r="R80" i="1"/>
  <c r="AI79" i="1"/>
  <c r="AG79" i="1"/>
  <c r="U79" i="1"/>
  <c r="T79" i="1"/>
  <c r="V79" i="1" s="1"/>
  <c r="Z79" i="1" s="1"/>
  <c r="R79" i="1"/>
  <c r="AI78" i="1"/>
  <c r="AG78" i="1"/>
  <c r="U78" i="1"/>
  <c r="T78" i="1"/>
  <c r="R78" i="1"/>
  <c r="AI77" i="1"/>
  <c r="AG77" i="1"/>
  <c r="Z77" i="1"/>
  <c r="U77" i="1"/>
  <c r="T77" i="1"/>
  <c r="V77" i="1" s="1"/>
  <c r="R77" i="1"/>
  <c r="AI76" i="1"/>
  <c r="AG76" i="1"/>
  <c r="U76" i="1"/>
  <c r="T76" i="1"/>
  <c r="R76" i="1"/>
  <c r="AI75" i="1"/>
  <c r="AG75" i="1"/>
  <c r="V75" i="1"/>
  <c r="Z75" i="1" s="1"/>
  <c r="U75" i="1"/>
  <c r="T75" i="1"/>
  <c r="R75" i="1"/>
  <c r="AI74" i="1"/>
  <c r="AG74" i="1"/>
  <c r="V74" i="1"/>
  <c r="Z74" i="1" s="1"/>
  <c r="U74" i="1"/>
  <c r="T74" i="1"/>
  <c r="R74" i="1"/>
  <c r="AI73" i="1"/>
  <c r="AG73" i="1"/>
  <c r="U73" i="1"/>
  <c r="V73" i="1" s="1"/>
  <c r="T73" i="1"/>
  <c r="R73" i="1"/>
  <c r="AI72" i="1"/>
  <c r="AG72" i="1"/>
  <c r="U72" i="1"/>
  <c r="T72" i="1"/>
  <c r="V72" i="1" s="1"/>
  <c r="Z72" i="1" s="1"/>
  <c r="R72" i="1"/>
  <c r="AI71" i="1"/>
  <c r="AG71" i="1"/>
  <c r="U71" i="1"/>
  <c r="T71" i="1"/>
  <c r="R71" i="1"/>
  <c r="AI70" i="1"/>
  <c r="AG70" i="1"/>
  <c r="V70" i="1"/>
  <c r="U70" i="1"/>
  <c r="T70" i="1"/>
  <c r="R70" i="1"/>
  <c r="AI69" i="1"/>
  <c r="AG69" i="1"/>
  <c r="U69" i="1"/>
  <c r="T69" i="1"/>
  <c r="R69" i="1"/>
  <c r="AI68" i="1"/>
  <c r="AG68" i="1"/>
  <c r="U68" i="1"/>
  <c r="T68" i="1"/>
  <c r="R68" i="1"/>
  <c r="AI67" i="1"/>
  <c r="AG67" i="1"/>
  <c r="V67" i="1"/>
  <c r="Z67" i="1" s="1"/>
  <c r="U67" i="1"/>
  <c r="T67" i="1"/>
  <c r="R67" i="1"/>
  <c r="AI66" i="1"/>
  <c r="AG66" i="1"/>
  <c r="U66" i="1"/>
  <c r="V66" i="1" s="1"/>
  <c r="T66" i="1"/>
  <c r="R66" i="1"/>
  <c r="AI65" i="1"/>
  <c r="AG65" i="1"/>
  <c r="U65" i="1"/>
  <c r="T65" i="1"/>
  <c r="R65" i="1"/>
  <c r="AI64" i="1"/>
  <c r="AG64" i="1"/>
  <c r="U64" i="1"/>
  <c r="V64" i="1" s="1"/>
  <c r="T64" i="1"/>
  <c r="R64" i="1"/>
  <c r="AI63" i="1"/>
  <c r="AG63" i="1"/>
  <c r="V63" i="1"/>
  <c r="Z63" i="1" s="1"/>
  <c r="U63" i="1"/>
  <c r="T63" i="1"/>
  <c r="R63" i="1"/>
  <c r="AI62" i="1"/>
  <c r="AG62" i="1"/>
  <c r="U62" i="1"/>
  <c r="T62" i="1"/>
  <c r="R62" i="1"/>
  <c r="AI61" i="1"/>
  <c r="AG61" i="1"/>
  <c r="Z61" i="1"/>
  <c r="U61" i="1"/>
  <c r="T61" i="1"/>
  <c r="V61" i="1" s="1"/>
  <c r="R61" i="1"/>
  <c r="AI60" i="1"/>
  <c r="AG60" i="1"/>
  <c r="U60" i="1"/>
  <c r="T60" i="1"/>
  <c r="R60" i="1"/>
  <c r="AI59" i="1"/>
  <c r="AG59" i="1"/>
  <c r="V59" i="1"/>
  <c r="Z59" i="1" s="1"/>
  <c r="U59" i="1"/>
  <c r="T59" i="1"/>
  <c r="R59" i="1"/>
  <c r="AI58" i="1"/>
  <c r="AG58" i="1"/>
  <c r="U58" i="1"/>
  <c r="T58" i="1"/>
  <c r="R58" i="1"/>
  <c r="AI57" i="1"/>
  <c r="AG57" i="1"/>
  <c r="U57" i="1"/>
  <c r="T57" i="1"/>
  <c r="R57" i="1"/>
  <c r="AI56" i="1"/>
  <c r="AG56" i="1"/>
  <c r="U56" i="1"/>
  <c r="T56" i="1"/>
  <c r="V56" i="1" s="1"/>
  <c r="Z56" i="1" s="1"/>
  <c r="R56" i="1"/>
  <c r="AI55" i="1"/>
  <c r="AG55" i="1"/>
  <c r="U55" i="1"/>
  <c r="T55" i="1"/>
  <c r="R55" i="1"/>
  <c r="AI54" i="1"/>
  <c r="AG54" i="1"/>
  <c r="U54" i="1"/>
  <c r="T54" i="1"/>
  <c r="R54" i="1"/>
  <c r="AI53" i="1"/>
  <c r="AG53" i="1"/>
  <c r="U53" i="1"/>
  <c r="T53" i="1"/>
  <c r="R53" i="1"/>
  <c r="AI52" i="1"/>
  <c r="AG52" i="1"/>
  <c r="U52" i="1"/>
  <c r="T52" i="1"/>
  <c r="R52" i="1"/>
  <c r="AI51" i="1"/>
  <c r="AG51" i="1"/>
  <c r="AF51" i="1"/>
  <c r="AE51" i="1"/>
  <c r="V51" i="1"/>
  <c r="Z51" i="1" s="1"/>
  <c r="AA51" i="1" s="1"/>
  <c r="U51" i="1"/>
  <c r="T51" i="1"/>
  <c r="R51" i="1"/>
  <c r="AI50" i="1"/>
  <c r="AG50" i="1"/>
  <c r="V50" i="1"/>
  <c r="Z50" i="1" s="1"/>
  <c r="U50" i="1"/>
  <c r="T50" i="1"/>
  <c r="R50" i="1"/>
  <c r="AI49" i="1"/>
  <c r="AG49" i="1"/>
  <c r="U49" i="1"/>
  <c r="T49" i="1"/>
  <c r="R49" i="1"/>
  <c r="AI48" i="1"/>
  <c r="AG48" i="1"/>
  <c r="U48" i="1"/>
  <c r="T48" i="1"/>
  <c r="V48" i="1" s="1"/>
  <c r="Z48" i="1" s="1"/>
  <c r="R48" i="1"/>
  <c r="AI47" i="1"/>
  <c r="AG47" i="1"/>
  <c r="U47" i="1"/>
  <c r="T47" i="1"/>
  <c r="R47" i="1"/>
  <c r="AI46" i="1"/>
  <c r="AG46" i="1"/>
  <c r="U46" i="1"/>
  <c r="T46" i="1"/>
  <c r="R46" i="1"/>
  <c r="AI45" i="1"/>
  <c r="AG45" i="1"/>
  <c r="U45" i="1"/>
  <c r="T45" i="1"/>
  <c r="R45" i="1"/>
  <c r="AI44" i="1"/>
  <c r="AG44" i="1"/>
  <c r="U44" i="1"/>
  <c r="T44" i="1"/>
  <c r="R44" i="1"/>
  <c r="AI43" i="1"/>
  <c r="AG43" i="1"/>
  <c r="V43" i="1"/>
  <c r="Z43" i="1" s="1"/>
  <c r="U43" i="1"/>
  <c r="T43" i="1"/>
  <c r="R43" i="1"/>
  <c r="AI42" i="1"/>
  <c r="AG42" i="1"/>
  <c r="U42" i="1"/>
  <c r="T42" i="1"/>
  <c r="R42" i="1"/>
  <c r="AI41" i="1"/>
  <c r="AG41" i="1"/>
  <c r="V41" i="1"/>
  <c r="Z41" i="1" s="1"/>
  <c r="U41" i="1"/>
  <c r="T41" i="1"/>
  <c r="R41" i="1"/>
  <c r="AI40" i="1"/>
  <c r="AG40" i="1"/>
  <c r="V40" i="1"/>
  <c r="Z40" i="1" s="1"/>
  <c r="U40" i="1"/>
  <c r="T40" i="1"/>
  <c r="R40" i="1"/>
  <c r="AI39" i="1"/>
  <c r="AG39" i="1"/>
  <c r="U39" i="1"/>
  <c r="T39" i="1"/>
  <c r="R39" i="1"/>
  <c r="AI38" i="1"/>
  <c r="AG38" i="1"/>
  <c r="Z38" i="1"/>
  <c r="U38" i="1"/>
  <c r="T38" i="1"/>
  <c r="V38" i="1" s="1"/>
  <c r="R38" i="1"/>
  <c r="AI37" i="1"/>
  <c r="AG37" i="1"/>
  <c r="U37" i="1"/>
  <c r="T37" i="1"/>
  <c r="R37" i="1"/>
  <c r="AI36" i="1"/>
  <c r="AG36" i="1"/>
  <c r="U36" i="1"/>
  <c r="T36" i="1"/>
  <c r="R36" i="1"/>
  <c r="AI35" i="1"/>
  <c r="AG35" i="1"/>
  <c r="V35" i="1"/>
  <c r="Z35" i="1" s="1"/>
  <c r="U35" i="1"/>
  <c r="T35" i="1"/>
  <c r="R35" i="1"/>
  <c r="AI34" i="1"/>
  <c r="AG34" i="1"/>
  <c r="V34" i="1"/>
  <c r="Z34" i="1" s="1"/>
  <c r="U34" i="1"/>
  <c r="T34" i="1"/>
  <c r="R34" i="1"/>
  <c r="AI33" i="1"/>
  <c r="AG33" i="1"/>
  <c r="U33" i="1"/>
  <c r="T33" i="1"/>
  <c r="R33" i="1"/>
  <c r="AI32" i="1"/>
  <c r="AG32" i="1"/>
  <c r="V32" i="1"/>
  <c r="Z32" i="1" s="1"/>
  <c r="U32" i="1"/>
  <c r="T32" i="1"/>
  <c r="R32" i="1"/>
  <c r="AI31" i="1"/>
  <c r="AG31" i="1"/>
  <c r="U31" i="1"/>
  <c r="T31" i="1"/>
  <c r="R31" i="1"/>
  <c r="AI30" i="1"/>
  <c r="AG30" i="1"/>
  <c r="U30" i="1"/>
  <c r="T30" i="1"/>
  <c r="R30" i="1"/>
  <c r="AI29" i="1"/>
  <c r="AG29" i="1"/>
  <c r="U29" i="1"/>
  <c r="T29" i="1"/>
  <c r="R29" i="1"/>
  <c r="AI28" i="1"/>
  <c r="AG28" i="1"/>
  <c r="U28" i="1"/>
  <c r="T28" i="1"/>
  <c r="R28" i="1"/>
  <c r="AI27" i="1"/>
  <c r="AG27" i="1"/>
  <c r="V27" i="1"/>
  <c r="Z27" i="1" s="1"/>
  <c r="U27" i="1"/>
  <c r="T27" i="1"/>
  <c r="R27" i="1"/>
  <c r="AI26" i="1"/>
  <c r="AG26" i="1"/>
  <c r="U26" i="1"/>
  <c r="T26" i="1"/>
  <c r="R26" i="1"/>
  <c r="AI25" i="1"/>
  <c r="AG25" i="1"/>
  <c r="U25" i="1"/>
  <c r="T25" i="1"/>
  <c r="R25" i="1"/>
  <c r="AI24" i="1"/>
  <c r="AG24" i="1"/>
  <c r="U24" i="1"/>
  <c r="T24" i="1"/>
  <c r="R24" i="1"/>
  <c r="AI23" i="1"/>
  <c r="AG23" i="1"/>
  <c r="U23" i="1"/>
  <c r="T23" i="1"/>
  <c r="R23" i="1"/>
  <c r="AI22" i="1"/>
  <c r="AG22" i="1"/>
  <c r="U22" i="1"/>
  <c r="T22" i="1"/>
  <c r="V22" i="1" s="1"/>
  <c r="Z22" i="1" s="1"/>
  <c r="R22" i="1"/>
  <c r="AI21" i="1"/>
  <c r="AG21" i="1"/>
  <c r="U21" i="1"/>
  <c r="T21" i="1"/>
  <c r="V21" i="1" s="1"/>
  <c r="R21" i="1"/>
  <c r="AI20" i="1"/>
  <c r="AG20" i="1"/>
  <c r="U20" i="1"/>
  <c r="T20" i="1"/>
  <c r="R20" i="1"/>
  <c r="AI19" i="1"/>
  <c r="AG19" i="1"/>
  <c r="AF19" i="1"/>
  <c r="AE19" i="1"/>
  <c r="Z19" i="1"/>
  <c r="AA19" i="1" s="1"/>
  <c r="U19" i="1"/>
  <c r="T19" i="1"/>
  <c r="V19" i="1" s="1"/>
  <c r="R19" i="1"/>
  <c r="AB19" i="1" s="1"/>
  <c r="AI18" i="1"/>
  <c r="AG18" i="1"/>
  <c r="U18" i="1"/>
  <c r="T18" i="1"/>
  <c r="R18" i="1"/>
  <c r="AI17" i="1"/>
  <c r="AG17" i="1"/>
  <c r="U17" i="1"/>
  <c r="T17" i="1"/>
  <c r="R17" i="1"/>
  <c r="AM16" i="1"/>
  <c r="AI16" i="1"/>
  <c r="AG16" i="1"/>
  <c r="U16" i="1"/>
  <c r="T16" i="1"/>
  <c r="R16" i="1"/>
  <c r="AI15" i="1"/>
  <c r="AG15" i="1"/>
  <c r="V15" i="1"/>
  <c r="Z15" i="1" s="1"/>
  <c r="U15" i="1"/>
  <c r="T15" i="1"/>
  <c r="R15" i="1"/>
  <c r="AI14" i="1"/>
  <c r="AG14" i="1"/>
  <c r="V14" i="1"/>
  <c r="U14" i="1"/>
  <c r="T14" i="1"/>
  <c r="R14" i="1"/>
  <c r="AM13" i="1"/>
  <c r="AI13" i="1"/>
  <c r="AG13" i="1"/>
  <c r="U13" i="1"/>
  <c r="T13" i="1"/>
  <c r="V13" i="1" s="1"/>
  <c r="R13" i="1"/>
  <c r="AI12" i="1"/>
  <c r="AG12" i="1"/>
  <c r="U12" i="1"/>
  <c r="T12" i="1"/>
  <c r="R12" i="1"/>
  <c r="AI11" i="1"/>
  <c r="AG11" i="1"/>
  <c r="U11" i="1"/>
  <c r="T11" i="1"/>
  <c r="R11" i="1"/>
  <c r="AI10" i="1"/>
  <c r="AG10" i="1"/>
  <c r="U10" i="1"/>
  <c r="T10" i="1"/>
  <c r="R10" i="1"/>
  <c r="AI9" i="1"/>
  <c r="AG9" i="1"/>
  <c r="V9" i="1"/>
  <c r="U9" i="1"/>
  <c r="T9" i="1"/>
  <c r="R9" i="1"/>
  <c r="AI8" i="1"/>
  <c r="AG8" i="1"/>
  <c r="U8" i="1"/>
  <c r="T8" i="1"/>
  <c r="R8" i="1"/>
  <c r="AM7" i="1"/>
  <c r="AI7" i="1"/>
  <c r="AG7" i="1"/>
  <c r="Z7" i="1"/>
  <c r="U7" i="1"/>
  <c r="T7" i="1"/>
  <c r="V7" i="1" s="1"/>
  <c r="R7" i="1"/>
  <c r="AI6" i="1"/>
  <c r="AG6" i="1"/>
  <c r="U6" i="1"/>
  <c r="V6" i="1" s="1"/>
  <c r="T6" i="1"/>
  <c r="R6" i="1"/>
  <c r="AI5" i="1"/>
  <c r="AG5" i="1"/>
  <c r="U5" i="1"/>
  <c r="T5" i="1"/>
  <c r="R5" i="1"/>
  <c r="AM4" i="1"/>
  <c r="AI4" i="1"/>
  <c r="AG4" i="1"/>
  <c r="U4" i="1"/>
  <c r="T4" i="1"/>
  <c r="R4" i="1"/>
  <c r="AI3" i="1"/>
  <c r="AG3" i="1"/>
  <c r="V3" i="1"/>
  <c r="U3" i="1"/>
  <c r="T3" i="1"/>
  <c r="R3" i="1"/>
  <c r="AI2" i="1"/>
  <c r="AG2" i="1"/>
  <c r="U2" i="1"/>
  <c r="T2" i="1"/>
  <c r="R2" i="1"/>
  <c r="AM1" i="1"/>
  <c r="AE79" i="1" l="1"/>
  <c r="AA79" i="1"/>
  <c r="AF79" i="1" s="1"/>
  <c r="AE133" i="1"/>
  <c r="AA133" i="1"/>
  <c r="AF133" i="1" s="1"/>
  <c r="AE32" i="1"/>
  <c r="AA32" i="1"/>
  <c r="AF32" i="1" s="1"/>
  <c r="AE127" i="1"/>
  <c r="AB127" i="1"/>
  <c r="AA127" i="1"/>
  <c r="AF127" i="1" s="1"/>
  <c r="Z23" i="1"/>
  <c r="AE110" i="1"/>
  <c r="AA110" i="1"/>
  <c r="AF110" i="1" s="1"/>
  <c r="AE41" i="1"/>
  <c r="AA41" i="1"/>
  <c r="AF41" i="1" s="1"/>
  <c r="Z30" i="1"/>
  <c r="AE90" i="1"/>
  <c r="AA90" i="1"/>
  <c r="AF90" i="1" s="1"/>
  <c r="Z57" i="1"/>
  <c r="AE48" i="1"/>
  <c r="AB48" i="1"/>
  <c r="AA48" i="1"/>
  <c r="AF48" i="1" s="1"/>
  <c r="AE131" i="1"/>
  <c r="AA131" i="1"/>
  <c r="AF131" i="1" s="1"/>
  <c r="AE105" i="1"/>
  <c r="AA105" i="1"/>
  <c r="AF105" i="1" s="1"/>
  <c r="AE135" i="1"/>
  <c r="AA135" i="1"/>
  <c r="AF135" i="1" s="1"/>
  <c r="AB135" i="1"/>
  <c r="V112" i="1"/>
  <c r="Z112" i="1" s="1"/>
  <c r="AE27" i="1"/>
  <c r="AB27" i="1"/>
  <c r="AA27" i="1"/>
  <c r="AF27" i="1" s="1"/>
  <c r="AB103" i="1"/>
  <c r="Z3" i="1"/>
  <c r="AE22" i="1"/>
  <c r="AA22" i="1"/>
  <c r="AF22" i="1" s="1"/>
  <c r="V54" i="1"/>
  <c r="Z54" i="1" s="1"/>
  <c r="AE63" i="1"/>
  <c r="AA63" i="1"/>
  <c r="AF63" i="1" s="1"/>
  <c r="AB63" i="1"/>
  <c r="AA77" i="1"/>
  <c r="AF77" i="1" s="1"/>
  <c r="AE7" i="1"/>
  <c r="AA7" i="1"/>
  <c r="AF7" i="1" s="1"/>
  <c r="AB7" i="1"/>
  <c r="AE40" i="1"/>
  <c r="AA40" i="1"/>
  <c r="AF40" i="1" s="1"/>
  <c r="AE77" i="1"/>
  <c r="V118" i="1"/>
  <c r="Z118" i="1" s="1"/>
  <c r="Z114" i="1"/>
  <c r="V114" i="1"/>
  <c r="AA61" i="1"/>
  <c r="AF61" i="1" s="1"/>
  <c r="AE61" i="1"/>
  <c r="Z66" i="1"/>
  <c r="Z25" i="1"/>
  <c r="AE136" i="1"/>
  <c r="AB136" i="1"/>
  <c r="AA89" i="1"/>
  <c r="AF89" i="1" s="1"/>
  <c r="V18" i="1"/>
  <c r="Z18" i="1" s="1"/>
  <c r="V57" i="1"/>
  <c r="V121" i="1"/>
  <c r="Z121" i="1" s="1"/>
  <c r="V23" i="1"/>
  <c r="Z6" i="1"/>
  <c r="V25" i="1"/>
  <c r="AA50" i="1"/>
  <c r="AF50" i="1" s="1"/>
  <c r="AE50" i="1"/>
  <c r="AB50" i="1"/>
  <c r="AA136" i="1"/>
  <c r="AF136" i="1" s="1"/>
  <c r="AK134" i="1"/>
  <c r="AJ134" i="1"/>
  <c r="AH134" i="1"/>
  <c r="V82" i="1"/>
  <c r="Z82" i="1" s="1"/>
  <c r="Z109" i="1"/>
  <c r="AE89" i="1"/>
  <c r="AA103" i="1"/>
  <c r="AF103" i="1" s="1"/>
  <c r="AE35" i="1"/>
  <c r="AA35" i="1"/>
  <c r="AF35" i="1" s="1"/>
  <c r="V44" i="1"/>
  <c r="Z44" i="1" s="1"/>
  <c r="V46" i="1"/>
  <c r="Z46" i="1" s="1"/>
  <c r="Z88" i="1"/>
  <c r="AB99" i="1"/>
  <c r="AA106" i="1"/>
  <c r="AF106" i="1" s="1"/>
  <c r="Z122" i="1"/>
  <c r="V122" i="1"/>
  <c r="AE43" i="1"/>
  <c r="AA43" i="1"/>
  <c r="AF43" i="1" s="1"/>
  <c r="AB43" i="1"/>
  <c r="V30" i="1"/>
  <c r="AM10" i="1"/>
  <c r="V11" i="1"/>
  <c r="Z11" i="1" s="1"/>
  <c r="AE56" i="1"/>
  <c r="AA56" i="1"/>
  <c r="AF56" i="1" s="1"/>
  <c r="AB56" i="1"/>
  <c r="AE74" i="1"/>
  <c r="AB74" i="1"/>
  <c r="AA74" i="1"/>
  <c r="AF74" i="1" s="1"/>
  <c r="AE99" i="1"/>
  <c r="Z102" i="1"/>
  <c r="V20" i="1"/>
  <c r="Z20" i="1" s="1"/>
  <c r="AE34" i="1"/>
  <c r="AA34" i="1"/>
  <c r="AF34" i="1" s="1"/>
  <c r="AE59" i="1"/>
  <c r="AA59" i="1"/>
  <c r="AF59" i="1" s="1"/>
  <c r="AA119" i="1"/>
  <c r="AF119" i="1" s="1"/>
  <c r="AM19" i="1"/>
  <c r="AE15" i="1"/>
  <c r="AA15" i="1"/>
  <c r="AF15" i="1" s="1"/>
  <c r="AH19" i="1"/>
  <c r="AK19" i="1"/>
  <c r="AJ19" i="1"/>
  <c r="Z70" i="1"/>
  <c r="AA81" i="1"/>
  <c r="AF81" i="1" s="1"/>
  <c r="AE81" i="1"/>
  <c r="AB81" i="1"/>
  <c r="V86" i="1"/>
  <c r="Z86" i="1" s="1"/>
  <c r="V88" i="1"/>
  <c r="Z95" i="1"/>
  <c r="AE75" i="1"/>
  <c r="AA75" i="1"/>
  <c r="AF75" i="1" s="1"/>
  <c r="AB123" i="1"/>
  <c r="AA67" i="1"/>
  <c r="AF67" i="1" s="1"/>
  <c r="AE67" i="1"/>
  <c r="V39" i="1"/>
  <c r="Z39" i="1" s="1"/>
  <c r="V53" i="1"/>
  <c r="Z53" i="1" s="1"/>
  <c r="AE83" i="1"/>
  <c r="AA83" i="1"/>
  <c r="AF83" i="1" s="1"/>
  <c r="AB83" i="1"/>
  <c r="Z13" i="1"/>
  <c r="AB51" i="1"/>
  <c r="Z10" i="1"/>
  <c r="Z65" i="1"/>
  <c r="AE72" i="1"/>
  <c r="AA72" i="1"/>
  <c r="AF72" i="1" s="1"/>
  <c r="V5" i="1"/>
  <c r="Z5" i="1" s="1"/>
  <c r="V10" i="1"/>
  <c r="V52" i="1"/>
  <c r="Z52" i="1" s="1"/>
  <c r="V96" i="1"/>
  <c r="Z96" i="1" s="1"/>
  <c r="Z111" i="1"/>
  <c r="Z120" i="1"/>
  <c r="V128" i="1"/>
  <c r="Z128" i="1" s="1"/>
  <c r="V36" i="1"/>
  <c r="Z36" i="1" s="1"/>
  <c r="V76" i="1"/>
  <c r="Z76" i="1" s="1"/>
  <c r="Z92" i="1"/>
  <c r="Z98" i="1"/>
  <c r="AB107" i="1"/>
  <c r="AA107" i="1"/>
  <c r="AF107" i="1" s="1"/>
  <c r="V109" i="1"/>
  <c r="V124" i="1"/>
  <c r="AK130" i="1"/>
  <c r="AJ130" i="1"/>
  <c r="AH130" i="1"/>
  <c r="Z124" i="1"/>
  <c r="V85" i="1"/>
  <c r="Z85" i="1"/>
  <c r="AE113" i="1"/>
  <c r="AB113" i="1"/>
  <c r="AA113" i="1"/>
  <c r="AF113" i="1" s="1"/>
  <c r="V29" i="1"/>
  <c r="Z29" i="1" s="1"/>
  <c r="AE38" i="1"/>
  <c r="AA38" i="1"/>
  <c r="AF38" i="1" s="1"/>
  <c r="AB38" i="1"/>
  <c r="Z78" i="1"/>
  <c r="Z100" i="1"/>
  <c r="AA115" i="1"/>
  <c r="AF115" i="1" s="1"/>
  <c r="V26" i="1"/>
  <c r="Z26" i="1" s="1"/>
  <c r="V47" i="1"/>
  <c r="Z47" i="1" s="1"/>
  <c r="V80" i="1"/>
  <c r="Z80" i="1" s="1"/>
  <c r="Z104" i="1"/>
  <c r="AB115" i="1"/>
  <c r="AE137" i="1"/>
  <c r="AB137" i="1"/>
  <c r="V17" i="1"/>
  <c r="Z17" i="1" s="1"/>
  <c r="Z14" i="1"/>
  <c r="V33" i="1"/>
  <c r="Z33" i="1" s="1"/>
  <c r="Z71" i="1"/>
  <c r="Z4" i="1"/>
  <c r="Z9" i="1"/>
  <c r="Z49" i="1"/>
  <c r="V49" i="1"/>
  <c r="Z64" i="1"/>
  <c r="Z73" i="1"/>
  <c r="V93" i="1"/>
  <c r="Z93" i="1" s="1"/>
  <c r="V125" i="1"/>
  <c r="Z125" i="1" s="1"/>
  <c r="V69" i="1"/>
  <c r="Z69" i="1"/>
  <c r="V104" i="1"/>
  <c r="V120" i="1"/>
  <c r="AB132" i="1"/>
  <c r="V16" i="1"/>
  <c r="Z16" i="1" s="1"/>
  <c r="Z24" i="1"/>
  <c r="V28" i="1"/>
  <c r="Z28" i="1" s="1"/>
  <c r="V31" i="1"/>
  <c r="Z31" i="1" s="1"/>
  <c r="V97" i="1"/>
  <c r="Z97" i="1" s="1"/>
  <c r="Z101" i="1"/>
  <c r="Z126" i="1"/>
  <c r="V126" i="1"/>
  <c r="AE132" i="1"/>
  <c r="V4" i="1"/>
  <c r="V12" i="1"/>
  <c r="Z12" i="1" s="1"/>
  <c r="Z21" i="1"/>
  <c r="V42" i="1"/>
  <c r="Z42" i="1" s="1"/>
  <c r="V45" i="1"/>
  <c r="V55" i="1"/>
  <c r="Z55" i="1" s="1"/>
  <c r="V62" i="1"/>
  <c r="Z62" i="1" s="1"/>
  <c r="V94" i="1"/>
  <c r="Z94" i="1" s="1"/>
  <c r="AA129" i="1"/>
  <c r="AF129" i="1" s="1"/>
  <c r="V8" i="1"/>
  <c r="Z8" i="1" s="1"/>
  <c r="V24" i="1"/>
  <c r="V58" i="1"/>
  <c r="Z58" i="1" s="1"/>
  <c r="V65" i="1"/>
  <c r="V71" i="1"/>
  <c r="V78" i="1"/>
  <c r="V87" i="1"/>
  <c r="Z87" i="1" s="1"/>
  <c r="AB91" i="1"/>
  <c r="AA91" i="1"/>
  <c r="AF91" i="1" s="1"/>
  <c r="Z45" i="1"/>
  <c r="Z84" i="1"/>
  <c r="AE91" i="1"/>
  <c r="Z116" i="1"/>
  <c r="V60" i="1"/>
  <c r="Z60" i="1" s="1"/>
  <c r="V2" i="1"/>
  <c r="Z2" i="1" s="1"/>
  <c r="V37" i="1"/>
  <c r="Z37" i="1" s="1"/>
  <c r="V68" i="1"/>
  <c r="Z68" i="1" s="1"/>
  <c r="Z108" i="1"/>
  <c r="Z117" i="1"/>
  <c r="AA138" i="1"/>
  <c r="AB138" i="1" s="1"/>
  <c r="AA97" i="1" l="1"/>
  <c r="AF97" i="1" s="1"/>
  <c r="AE97" i="1"/>
  <c r="AE68" i="1"/>
  <c r="AA68" i="1"/>
  <c r="AF68" i="1" s="1"/>
  <c r="AA37" i="1"/>
  <c r="AF37" i="1" s="1"/>
  <c r="AE37" i="1"/>
  <c r="AB29" i="1"/>
  <c r="AA29" i="1"/>
  <c r="AF29" i="1" s="1"/>
  <c r="AE29" i="1"/>
  <c r="AB2" i="1"/>
  <c r="AE2" i="1"/>
  <c r="AA2" i="1"/>
  <c r="AF2" i="1" s="1"/>
  <c r="AE36" i="1"/>
  <c r="AA36" i="1"/>
  <c r="AF36" i="1" s="1"/>
  <c r="AA60" i="1"/>
  <c r="AF60" i="1" s="1"/>
  <c r="AE60" i="1"/>
  <c r="AA53" i="1"/>
  <c r="AF53" i="1" s="1"/>
  <c r="AE53" i="1"/>
  <c r="AE39" i="1"/>
  <c r="AB39" i="1"/>
  <c r="AA39" i="1"/>
  <c r="AF39" i="1" s="1"/>
  <c r="AA11" i="1"/>
  <c r="AF11" i="1" s="1"/>
  <c r="AB11" i="1"/>
  <c r="AE11" i="1"/>
  <c r="AA42" i="1"/>
  <c r="AF42" i="1" s="1"/>
  <c r="AE42" i="1"/>
  <c r="AB125" i="1"/>
  <c r="AA125" i="1"/>
  <c r="AF125" i="1" s="1"/>
  <c r="AE125" i="1"/>
  <c r="AA93" i="1"/>
  <c r="AF93" i="1" s="1"/>
  <c r="AE93" i="1"/>
  <c r="AE47" i="1"/>
  <c r="AA47" i="1"/>
  <c r="AF47" i="1" s="1"/>
  <c r="AB47" i="1"/>
  <c r="AE5" i="1"/>
  <c r="AA5" i="1"/>
  <c r="AF5" i="1" s="1"/>
  <c r="AE54" i="1"/>
  <c r="AA54" i="1"/>
  <c r="AF54" i="1" s="1"/>
  <c r="AB54" i="1"/>
  <c r="AE31" i="1"/>
  <c r="AB31" i="1"/>
  <c r="AA31" i="1"/>
  <c r="AF31" i="1" s="1"/>
  <c r="AA33" i="1"/>
  <c r="AF33" i="1" s="1"/>
  <c r="AB33" i="1"/>
  <c r="AE33" i="1"/>
  <c r="AE121" i="1"/>
  <c r="AB121" i="1"/>
  <c r="AA121" i="1"/>
  <c r="AF121" i="1" s="1"/>
  <c r="AE128" i="1"/>
  <c r="AA128" i="1"/>
  <c r="AF128" i="1" s="1"/>
  <c r="AE52" i="1"/>
  <c r="AA52" i="1"/>
  <c r="AF52" i="1" s="1"/>
  <c r="AE87" i="1"/>
  <c r="AA87" i="1"/>
  <c r="AF87" i="1" s="1"/>
  <c r="AA26" i="1"/>
  <c r="AF26" i="1" s="1"/>
  <c r="AE26" i="1"/>
  <c r="AB26" i="1"/>
  <c r="AE58" i="1"/>
  <c r="AA58" i="1"/>
  <c r="AF58" i="1" s="1"/>
  <c r="AE46" i="1"/>
  <c r="AA46" i="1"/>
  <c r="AF46" i="1" s="1"/>
  <c r="AE44" i="1"/>
  <c r="AB44" i="1"/>
  <c r="AA44" i="1"/>
  <c r="AF44" i="1" s="1"/>
  <c r="AE94" i="1"/>
  <c r="AA94" i="1"/>
  <c r="AF94" i="1" s="1"/>
  <c r="AE18" i="1"/>
  <c r="AA18" i="1"/>
  <c r="AF18" i="1" s="1"/>
  <c r="AE12" i="1"/>
  <c r="AA12" i="1"/>
  <c r="AF12" i="1" s="1"/>
  <c r="AE118" i="1"/>
  <c r="AA118" i="1"/>
  <c r="AF118" i="1" s="1"/>
  <c r="AB118" i="1"/>
  <c r="AE28" i="1"/>
  <c r="AA28" i="1"/>
  <c r="AF28" i="1" s="1"/>
  <c r="AE112" i="1"/>
  <c r="AA112" i="1"/>
  <c r="AF112" i="1" s="1"/>
  <c r="AA16" i="1"/>
  <c r="AF16" i="1" s="1"/>
  <c r="AE16" i="1"/>
  <c r="AE17" i="1"/>
  <c r="AA17" i="1"/>
  <c r="AF17" i="1" s="1"/>
  <c r="AE55" i="1"/>
  <c r="AA55" i="1"/>
  <c r="AF55" i="1" s="1"/>
  <c r="AB82" i="1"/>
  <c r="AA82" i="1"/>
  <c r="AF82" i="1" s="1"/>
  <c r="AE82" i="1"/>
  <c r="AE86" i="1"/>
  <c r="AA86" i="1"/>
  <c r="AF86" i="1" s="1"/>
  <c r="AB86" i="1"/>
  <c r="AA20" i="1"/>
  <c r="AF20" i="1" s="1"/>
  <c r="AE20" i="1"/>
  <c r="AA8" i="1"/>
  <c r="AF8" i="1" s="1"/>
  <c r="AB8" i="1"/>
  <c r="AE8" i="1"/>
  <c r="AE76" i="1"/>
  <c r="AA76" i="1"/>
  <c r="AF76" i="1" s="1"/>
  <c r="AE62" i="1"/>
  <c r="AA62" i="1"/>
  <c r="AF62" i="1" s="1"/>
  <c r="AE96" i="1"/>
  <c r="AB96" i="1"/>
  <c r="AA96" i="1"/>
  <c r="AF96" i="1" s="1"/>
  <c r="AA80" i="1"/>
  <c r="AF80" i="1" s="1"/>
  <c r="AE80" i="1"/>
  <c r="AB73" i="1"/>
  <c r="AA73" i="1"/>
  <c r="AF73" i="1" s="1"/>
  <c r="AE73" i="1"/>
  <c r="AE104" i="1"/>
  <c r="AA104" i="1"/>
  <c r="AF104" i="1" s="1"/>
  <c r="AE10" i="1"/>
  <c r="AA10" i="1"/>
  <c r="AF10" i="1" s="1"/>
  <c r="AH123" i="1"/>
  <c r="AK123" i="1"/>
  <c r="AJ123" i="1"/>
  <c r="AB40" i="1"/>
  <c r="AH103" i="1"/>
  <c r="AK103" i="1"/>
  <c r="AJ103" i="1"/>
  <c r="AE23" i="1"/>
  <c r="AA23" i="1"/>
  <c r="AF23" i="1" s="1"/>
  <c r="AB23" i="1"/>
  <c r="AA101" i="1"/>
  <c r="AF101" i="1" s="1"/>
  <c r="AE101" i="1"/>
  <c r="AB85" i="1"/>
  <c r="AA85" i="1"/>
  <c r="AF85" i="1" s="1"/>
  <c r="AE85" i="1"/>
  <c r="AK99" i="1"/>
  <c r="AJ99" i="1"/>
  <c r="AH99" i="1"/>
  <c r="AB89" i="1"/>
  <c r="AE65" i="1"/>
  <c r="AB65" i="1"/>
  <c r="AA65" i="1"/>
  <c r="AF65" i="1" s="1"/>
  <c r="AB109" i="1"/>
  <c r="AA109" i="1"/>
  <c r="AF109" i="1" s="1"/>
  <c r="AE109" i="1"/>
  <c r="AA64" i="1"/>
  <c r="AF64" i="1" s="1"/>
  <c r="AE64" i="1"/>
  <c r="AK51" i="1"/>
  <c r="AJ51" i="1"/>
  <c r="AH51" i="1"/>
  <c r="AB75" i="1"/>
  <c r="AK74" i="1"/>
  <c r="AH74" i="1"/>
  <c r="AJ74" i="1"/>
  <c r="AE88" i="1"/>
  <c r="AB88" i="1"/>
  <c r="AA88" i="1"/>
  <c r="AF88" i="1" s="1"/>
  <c r="AJ136" i="1"/>
  <c r="AK136" i="1"/>
  <c r="AH136" i="1"/>
  <c r="AJ7" i="1"/>
  <c r="AK7" i="1"/>
  <c r="AH7" i="1"/>
  <c r="AK27" i="1"/>
  <c r="AH27" i="1"/>
  <c r="AJ27" i="1"/>
  <c r="AJ48" i="1"/>
  <c r="AK48" i="1"/>
  <c r="AH48" i="1"/>
  <c r="AH127" i="1"/>
  <c r="AJ127" i="1"/>
  <c r="AK127" i="1"/>
  <c r="AK113" i="1"/>
  <c r="AH113" i="1"/>
  <c r="AJ113" i="1"/>
  <c r="AE102" i="1"/>
  <c r="AA102" i="1"/>
  <c r="AF102" i="1" s="1"/>
  <c r="AB102" i="1"/>
  <c r="AA124" i="1"/>
  <c r="AF124" i="1" s="1"/>
  <c r="AE124" i="1"/>
  <c r="AB15" i="1"/>
  <c r="AA3" i="1"/>
  <c r="AF3" i="1" s="1"/>
  <c r="AB3" i="1"/>
  <c r="AE3" i="1"/>
  <c r="AE120" i="1"/>
  <c r="AA120" i="1"/>
  <c r="AF120" i="1" s="1"/>
  <c r="AB119" i="1"/>
  <c r="AB32" i="1"/>
  <c r="AE4" i="1"/>
  <c r="AA4" i="1"/>
  <c r="AF4" i="1" s="1"/>
  <c r="AB4" i="1"/>
  <c r="AJ132" i="1"/>
  <c r="AH132" i="1"/>
  <c r="AK132" i="1"/>
  <c r="AB90" i="1"/>
  <c r="AB21" i="1"/>
  <c r="AA21" i="1"/>
  <c r="AF21" i="1" s="1"/>
  <c r="AE21" i="1"/>
  <c r="AE14" i="1"/>
  <c r="AA14" i="1"/>
  <c r="AF14" i="1" s="1"/>
  <c r="AB14" i="1"/>
  <c r="AB34" i="1"/>
  <c r="AK115" i="1"/>
  <c r="AJ115" i="1"/>
  <c r="AH115" i="1"/>
  <c r="AA24" i="1"/>
  <c r="AF24" i="1" s="1"/>
  <c r="AB24" i="1"/>
  <c r="AE24" i="1"/>
  <c r="AE25" i="1"/>
  <c r="AB25" i="1"/>
  <c r="AA25" i="1"/>
  <c r="AF25" i="1" s="1"/>
  <c r="AE100" i="1"/>
  <c r="AA100" i="1"/>
  <c r="AF100" i="1" s="1"/>
  <c r="AK83" i="1"/>
  <c r="AJ83" i="1"/>
  <c r="AH83" i="1"/>
  <c r="AB59" i="1"/>
  <c r="AK50" i="1"/>
  <c r="AH50" i="1"/>
  <c r="AJ50" i="1"/>
  <c r="AB77" i="1"/>
  <c r="AE71" i="1"/>
  <c r="AA71" i="1"/>
  <c r="AF71" i="1" s="1"/>
  <c r="AB71" i="1"/>
  <c r="AB129" i="1"/>
  <c r="AK81" i="1"/>
  <c r="AJ81" i="1"/>
  <c r="AH81" i="1"/>
  <c r="AK91" i="1"/>
  <c r="AJ91" i="1"/>
  <c r="AH91" i="1"/>
  <c r="AH107" i="1"/>
  <c r="AK107" i="1"/>
  <c r="AJ107" i="1"/>
  <c r="AA6" i="1"/>
  <c r="AF6" i="1" s="1"/>
  <c r="AE6" i="1"/>
  <c r="AB6" i="1"/>
  <c r="AE114" i="1"/>
  <c r="AA114" i="1"/>
  <c r="AF114" i="1" s="1"/>
  <c r="AE116" i="1"/>
  <c r="AA116" i="1"/>
  <c r="AF116" i="1" s="1"/>
  <c r="AE49" i="1"/>
  <c r="AA49" i="1"/>
  <c r="AF49" i="1" s="1"/>
  <c r="AE95" i="1"/>
  <c r="AA95" i="1"/>
  <c r="AF95" i="1" s="1"/>
  <c r="AJ56" i="1"/>
  <c r="AK56" i="1"/>
  <c r="AH56" i="1"/>
  <c r="AE111" i="1"/>
  <c r="AA111" i="1"/>
  <c r="AF111" i="1" s="1"/>
  <c r="AB111" i="1"/>
  <c r="AE84" i="1"/>
  <c r="AB84" i="1"/>
  <c r="AA84" i="1"/>
  <c r="AF84" i="1" s="1"/>
  <c r="AE78" i="1"/>
  <c r="AA78" i="1"/>
  <c r="AF78" i="1" s="1"/>
  <c r="AB78" i="1"/>
  <c r="AA98" i="1"/>
  <c r="AF98" i="1" s="1"/>
  <c r="AE98" i="1"/>
  <c r="AE70" i="1"/>
  <c r="AA70" i="1"/>
  <c r="AF70" i="1" s="1"/>
  <c r="AB70" i="1"/>
  <c r="AJ43" i="1"/>
  <c r="AH43" i="1"/>
  <c r="AK43" i="1"/>
  <c r="AB105" i="1"/>
  <c r="AB41" i="1"/>
  <c r="AE57" i="1"/>
  <c r="AA57" i="1"/>
  <c r="AF57" i="1" s="1"/>
  <c r="AK135" i="1"/>
  <c r="AJ135" i="1"/>
  <c r="AH135" i="1"/>
  <c r="AA45" i="1"/>
  <c r="AF45" i="1" s="1"/>
  <c r="AE45" i="1"/>
  <c r="AB133" i="1"/>
  <c r="AB69" i="1"/>
  <c r="AA69" i="1"/>
  <c r="AF69" i="1" s="1"/>
  <c r="AE69" i="1"/>
  <c r="AK137" i="1"/>
  <c r="AJ137" i="1"/>
  <c r="AH137" i="1"/>
  <c r="AB22" i="1"/>
  <c r="AB79" i="1"/>
  <c r="AE122" i="1"/>
  <c r="AA122" i="1"/>
  <c r="AF122" i="1" s="1"/>
  <c r="AE9" i="1"/>
  <c r="AA9" i="1"/>
  <c r="AF9" i="1" s="1"/>
  <c r="AE66" i="1"/>
  <c r="AA66" i="1"/>
  <c r="AF66" i="1" s="1"/>
  <c r="AB35" i="1"/>
  <c r="AB61" i="1"/>
  <c r="AA117" i="1"/>
  <c r="AF117" i="1" s="1"/>
  <c r="AE117" i="1"/>
  <c r="AB92" i="1"/>
  <c r="AE92" i="1"/>
  <c r="AA92" i="1"/>
  <c r="AF92" i="1" s="1"/>
  <c r="AB72" i="1"/>
  <c r="AB67" i="1"/>
  <c r="AB131" i="1"/>
  <c r="AB110" i="1"/>
  <c r="AA13" i="1"/>
  <c r="AF13" i="1" s="1"/>
  <c r="AE13" i="1"/>
  <c r="AH38" i="1"/>
  <c r="AK38" i="1"/>
  <c r="AJ38" i="1"/>
  <c r="AH63" i="1"/>
  <c r="AJ63" i="1"/>
  <c r="AK63" i="1"/>
  <c r="AE30" i="1"/>
  <c r="AA30" i="1"/>
  <c r="AF30" i="1" s="1"/>
  <c r="AB30" i="1"/>
  <c r="AA108" i="1"/>
  <c r="AF108" i="1" s="1"/>
  <c r="AE108" i="1"/>
  <c r="AB108" i="1"/>
  <c r="AE126" i="1"/>
  <c r="AA126" i="1"/>
  <c r="AF126" i="1" s="1"/>
  <c r="AB126" i="1"/>
  <c r="AB106" i="1"/>
  <c r="AK59" i="1" l="1"/>
  <c r="AJ59" i="1"/>
  <c r="AH59" i="1"/>
  <c r="AK34" i="1"/>
  <c r="AJ34" i="1"/>
  <c r="AH34" i="1"/>
  <c r="AJ88" i="1"/>
  <c r="AK88" i="1"/>
  <c r="AH88" i="1"/>
  <c r="AK65" i="1"/>
  <c r="AJ65" i="1"/>
  <c r="AH65" i="1"/>
  <c r="AJ54" i="1"/>
  <c r="AK54" i="1"/>
  <c r="AH54" i="1"/>
  <c r="AB13" i="1"/>
  <c r="AB98" i="1"/>
  <c r="AB95" i="1"/>
  <c r="AH14" i="1"/>
  <c r="AK14" i="1"/>
  <c r="AJ14" i="1"/>
  <c r="AB120" i="1"/>
  <c r="AK86" i="1"/>
  <c r="AJ86" i="1"/>
  <c r="AH86" i="1"/>
  <c r="AB112" i="1"/>
  <c r="AK110" i="1"/>
  <c r="AJ110" i="1"/>
  <c r="AH110" i="1"/>
  <c r="AB9" i="1"/>
  <c r="AB45" i="1"/>
  <c r="AK89" i="1"/>
  <c r="AJ89" i="1"/>
  <c r="AH89" i="1"/>
  <c r="AJ40" i="1"/>
  <c r="AH40" i="1"/>
  <c r="AK40" i="1"/>
  <c r="AB52" i="1"/>
  <c r="AB49" i="1"/>
  <c r="AJ3" i="1"/>
  <c r="AK3" i="1"/>
  <c r="AH3" i="1"/>
  <c r="AB28" i="1"/>
  <c r="AB5" i="1"/>
  <c r="AJ72" i="1"/>
  <c r="AH72" i="1"/>
  <c r="AK72" i="1"/>
  <c r="AB122" i="1"/>
  <c r="AB100" i="1"/>
  <c r="AJ75" i="1"/>
  <c r="AH75" i="1"/>
  <c r="AK75" i="1"/>
  <c r="AB62" i="1"/>
  <c r="AB46" i="1"/>
  <c r="AB128" i="1"/>
  <c r="AJ44" i="1"/>
  <c r="AK44" i="1"/>
  <c r="AH44" i="1"/>
  <c r="AK67" i="1"/>
  <c r="AJ67" i="1"/>
  <c r="AH67" i="1"/>
  <c r="AH78" i="1"/>
  <c r="AK78" i="1"/>
  <c r="AJ78" i="1"/>
  <c r="AJ30" i="1"/>
  <c r="AK30" i="1"/>
  <c r="AH30" i="1"/>
  <c r="AH21" i="1"/>
  <c r="AK21" i="1"/>
  <c r="AJ21" i="1"/>
  <c r="AJ15" i="1"/>
  <c r="AH15" i="1"/>
  <c r="AK15" i="1"/>
  <c r="AK82" i="1"/>
  <c r="AH82" i="1"/>
  <c r="AJ82" i="1"/>
  <c r="AH118" i="1"/>
  <c r="AK118" i="1"/>
  <c r="AJ118" i="1"/>
  <c r="AH47" i="1"/>
  <c r="AJ47" i="1"/>
  <c r="AK47" i="1"/>
  <c r="AH39" i="1"/>
  <c r="AK39" i="1"/>
  <c r="AJ39" i="1"/>
  <c r="AK29" i="1"/>
  <c r="AJ29" i="1"/>
  <c r="AH29" i="1"/>
  <c r="AH79" i="1"/>
  <c r="AK79" i="1"/>
  <c r="AJ79" i="1"/>
  <c r="AB57" i="1"/>
  <c r="AB116" i="1"/>
  <c r="AK90" i="1"/>
  <c r="AJ90" i="1"/>
  <c r="AH90" i="1"/>
  <c r="AB10" i="1"/>
  <c r="AB55" i="1"/>
  <c r="AH126" i="1"/>
  <c r="AK126" i="1"/>
  <c r="AJ126" i="1"/>
  <c r="AK131" i="1"/>
  <c r="AJ131" i="1"/>
  <c r="AH131" i="1"/>
  <c r="AH92" i="1"/>
  <c r="AK92" i="1"/>
  <c r="AJ92" i="1"/>
  <c r="AH61" i="1"/>
  <c r="AK61" i="1"/>
  <c r="AJ61" i="1"/>
  <c r="AK6" i="1"/>
  <c r="AH6" i="1"/>
  <c r="AJ6" i="1"/>
  <c r="AK77" i="1"/>
  <c r="AJ77" i="1"/>
  <c r="AH77" i="1"/>
  <c r="AH23" i="1"/>
  <c r="AK23" i="1"/>
  <c r="AJ23" i="1"/>
  <c r="AK8" i="1"/>
  <c r="AJ8" i="1"/>
  <c r="AH8" i="1"/>
  <c r="AK84" i="1"/>
  <c r="AJ84" i="1"/>
  <c r="AH84" i="1"/>
  <c r="AB117" i="1"/>
  <c r="AH4" i="1"/>
  <c r="AJ4" i="1"/>
  <c r="AK4" i="1"/>
  <c r="AB101" i="1"/>
  <c r="AB17" i="1"/>
  <c r="AK26" i="1"/>
  <c r="AH26" i="1"/>
  <c r="AJ26" i="1"/>
  <c r="AK33" i="1"/>
  <c r="AH33" i="1"/>
  <c r="AJ33" i="1"/>
  <c r="AH35" i="1"/>
  <c r="AK35" i="1"/>
  <c r="AJ35" i="1"/>
  <c r="AB18" i="1"/>
  <c r="AB60" i="1"/>
  <c r="AH108" i="1"/>
  <c r="AK108" i="1"/>
  <c r="AJ108" i="1"/>
  <c r="AJ96" i="1"/>
  <c r="AH96" i="1"/>
  <c r="AK96" i="1"/>
  <c r="AK11" i="1"/>
  <c r="AJ11" i="1"/>
  <c r="AH11" i="1"/>
  <c r="AK22" i="1"/>
  <c r="AJ22" i="1"/>
  <c r="AH22" i="1"/>
  <c r="AK129" i="1"/>
  <c r="AJ129" i="1"/>
  <c r="AH129" i="1"/>
  <c r="AK41" i="1"/>
  <c r="AJ41" i="1"/>
  <c r="AH41" i="1"/>
  <c r="AH71" i="1"/>
  <c r="AJ71" i="1"/>
  <c r="AK71" i="1"/>
  <c r="AB124" i="1"/>
  <c r="AB76" i="1"/>
  <c r="AB58" i="1"/>
  <c r="AB37" i="1"/>
  <c r="AK105" i="1"/>
  <c r="AH105" i="1"/>
  <c r="AJ105" i="1"/>
  <c r="AH111" i="1"/>
  <c r="AJ111" i="1"/>
  <c r="AK111" i="1"/>
  <c r="AB114" i="1"/>
  <c r="AH102" i="1"/>
  <c r="AK102" i="1"/>
  <c r="AJ102" i="1"/>
  <c r="AB104" i="1"/>
  <c r="AB12" i="1"/>
  <c r="AB53" i="1"/>
  <c r="AB68" i="1"/>
  <c r="AH69" i="1"/>
  <c r="AJ69" i="1"/>
  <c r="AK69" i="1"/>
  <c r="AK70" i="1"/>
  <c r="AJ70" i="1"/>
  <c r="AH70" i="1"/>
  <c r="AJ32" i="1"/>
  <c r="AH32" i="1"/>
  <c r="AK32" i="1"/>
  <c r="AJ109" i="1"/>
  <c r="AK109" i="1"/>
  <c r="AH109" i="1"/>
  <c r="AK73" i="1"/>
  <c r="AJ73" i="1"/>
  <c r="AH73" i="1"/>
  <c r="AB20" i="1"/>
  <c r="AH31" i="1"/>
  <c r="AK31" i="1"/>
  <c r="AJ31" i="1"/>
  <c r="AK125" i="1"/>
  <c r="AJ125" i="1"/>
  <c r="AH125" i="1"/>
  <c r="AK2" i="1"/>
  <c r="AJ2" i="1"/>
  <c r="AH2" i="1"/>
  <c r="AK25" i="1"/>
  <c r="AH25" i="1"/>
  <c r="AJ25" i="1"/>
  <c r="AH85" i="1"/>
  <c r="AJ85" i="1"/>
  <c r="AK85" i="1"/>
  <c r="AK121" i="1"/>
  <c r="AJ121" i="1"/>
  <c r="AH121" i="1"/>
  <c r="AJ24" i="1"/>
  <c r="AK24" i="1"/>
  <c r="AH24" i="1"/>
  <c r="AB64" i="1"/>
  <c r="AB93" i="1"/>
  <c r="AK106" i="1"/>
  <c r="AJ106" i="1"/>
  <c r="AH106" i="1"/>
  <c r="AB66" i="1"/>
  <c r="AK133" i="1"/>
  <c r="AJ133" i="1"/>
  <c r="AH133" i="1"/>
  <c r="AH119" i="1"/>
  <c r="AK119" i="1"/>
  <c r="AJ119" i="1"/>
  <c r="AB80" i="1"/>
  <c r="AB16" i="1"/>
  <c r="AB94" i="1"/>
  <c r="AB87" i="1"/>
  <c r="AB42" i="1"/>
  <c r="AB36" i="1"/>
  <c r="AB97" i="1"/>
  <c r="AK93" i="1" l="1"/>
  <c r="AH93" i="1"/>
  <c r="AJ93" i="1"/>
  <c r="AK5" i="1"/>
  <c r="AJ5" i="1"/>
  <c r="AH5" i="1"/>
  <c r="AK66" i="1"/>
  <c r="AJ66" i="1"/>
  <c r="AH66" i="1"/>
  <c r="AK122" i="1"/>
  <c r="AJ122" i="1"/>
  <c r="AH122" i="1"/>
  <c r="AH13" i="1"/>
  <c r="AK13" i="1"/>
  <c r="AJ13" i="1"/>
  <c r="AK45" i="1"/>
  <c r="AJ45" i="1"/>
  <c r="AH45" i="1"/>
  <c r="AH9" i="1"/>
  <c r="AK9" i="1"/>
  <c r="AJ9" i="1"/>
  <c r="AK116" i="1"/>
  <c r="AJ116" i="1"/>
  <c r="AH116" i="1"/>
  <c r="AJ128" i="1"/>
  <c r="AK128" i="1"/>
  <c r="AH128" i="1"/>
  <c r="AK49" i="1"/>
  <c r="AH49" i="1"/>
  <c r="AJ49" i="1"/>
  <c r="AJ112" i="1"/>
  <c r="AH112" i="1"/>
  <c r="AK112" i="1"/>
  <c r="AJ52" i="1"/>
  <c r="AH52" i="1"/>
  <c r="AK52" i="1"/>
  <c r="AK114" i="1"/>
  <c r="AH114" i="1"/>
  <c r="AJ114" i="1"/>
  <c r="AK60" i="1"/>
  <c r="AJ60" i="1"/>
  <c r="AH60" i="1"/>
  <c r="AH117" i="1"/>
  <c r="AK117" i="1"/>
  <c r="AJ117" i="1"/>
  <c r="AK97" i="1"/>
  <c r="AJ97" i="1"/>
  <c r="AH97" i="1"/>
  <c r="AJ18" i="1"/>
  <c r="AH18" i="1"/>
  <c r="AK18" i="1"/>
  <c r="AJ64" i="1"/>
  <c r="AK64" i="1"/>
  <c r="AH64" i="1"/>
  <c r="AJ37" i="1"/>
  <c r="AK37" i="1"/>
  <c r="AH37" i="1"/>
  <c r="AJ46" i="1"/>
  <c r="AH46" i="1"/>
  <c r="AK46" i="1"/>
  <c r="AK20" i="1"/>
  <c r="AJ20" i="1"/>
  <c r="AH20" i="1"/>
  <c r="AK12" i="1"/>
  <c r="AJ12" i="1"/>
  <c r="AH12" i="1"/>
  <c r="AJ17" i="1"/>
  <c r="AK17" i="1"/>
  <c r="AH17" i="1"/>
  <c r="AH87" i="1"/>
  <c r="AK87" i="1"/>
  <c r="AJ87" i="1"/>
  <c r="AK94" i="1"/>
  <c r="AJ94" i="1"/>
  <c r="AH94" i="1"/>
  <c r="AJ16" i="1"/>
  <c r="AK16" i="1"/>
  <c r="AH16" i="1"/>
  <c r="AJ80" i="1"/>
  <c r="AK80" i="1"/>
  <c r="AH80" i="1"/>
  <c r="AK58" i="1"/>
  <c r="AJ58" i="1"/>
  <c r="AH58" i="1"/>
  <c r="AJ120" i="1"/>
  <c r="AK120" i="1"/>
  <c r="AH120" i="1"/>
  <c r="AK76" i="1"/>
  <c r="AJ76" i="1"/>
  <c r="AH76" i="1"/>
  <c r="AK53" i="1"/>
  <c r="AJ53" i="1"/>
  <c r="AH53" i="1"/>
  <c r="AJ104" i="1"/>
  <c r="AH104" i="1"/>
  <c r="AK104" i="1"/>
  <c r="AJ101" i="1"/>
  <c r="AH101" i="1"/>
  <c r="AK101" i="1"/>
  <c r="AH55" i="1"/>
  <c r="AK55" i="1"/>
  <c r="AJ55" i="1"/>
  <c r="AH95" i="1"/>
  <c r="AK95" i="1"/>
  <c r="AJ95" i="1"/>
  <c r="AJ36" i="1"/>
  <c r="AH36" i="1"/>
  <c r="AK36" i="1"/>
  <c r="AK57" i="1"/>
  <c r="AJ57" i="1"/>
  <c r="AH57" i="1"/>
  <c r="AK42" i="1"/>
  <c r="AH42" i="1"/>
  <c r="AJ42" i="1"/>
  <c r="AK28" i="1"/>
  <c r="AJ28" i="1"/>
  <c r="AH28" i="1"/>
  <c r="AK68" i="1"/>
  <c r="AJ68" i="1"/>
  <c r="AH68" i="1"/>
  <c r="AJ62" i="1"/>
  <c r="AK62" i="1"/>
  <c r="AH62" i="1"/>
  <c r="AK124" i="1"/>
  <c r="AJ124" i="1"/>
  <c r="AH124" i="1"/>
  <c r="AH10" i="1"/>
  <c r="AK10" i="1"/>
  <c r="AJ10" i="1"/>
  <c r="AH100" i="1"/>
  <c r="AJ100" i="1"/>
  <c r="AK100" i="1"/>
  <c r="AK98" i="1"/>
  <c r="AH98" i="1"/>
  <c r="AJ98" i="1"/>
</calcChain>
</file>

<file path=xl/sharedStrings.xml><?xml version="1.0" encoding="utf-8"?>
<sst xmlns="http://schemas.openxmlformats.org/spreadsheetml/2006/main" count="179" uniqueCount="172">
  <si>
    <t>在庫数</t>
    <rPh sb="0" eb="3">
      <t>ザイコスウ</t>
    </rPh>
    <phoneticPr fontId="3"/>
  </si>
  <si>
    <t>カード名</t>
    <rPh sb="3" eb="4">
      <t>メイ</t>
    </rPh>
    <phoneticPr fontId="3"/>
  </si>
  <si>
    <t>ハレルヤ</t>
    <phoneticPr fontId="3"/>
  </si>
  <si>
    <t>モンブラン</t>
    <phoneticPr fontId="3"/>
  </si>
  <si>
    <t>モンブラン仕入れ(円)</t>
    <phoneticPr fontId="3"/>
  </si>
  <si>
    <t>タイ焼き</t>
    <phoneticPr fontId="3"/>
  </si>
  <si>
    <t>タイ焼き仕入れ(円)</t>
    <phoneticPr fontId="3"/>
  </si>
  <si>
    <t>https://www.hareruya2.com/products/9017513181504?_pos=1&amp;_sid=60b7c05a3&amp;_ss=r</t>
    <phoneticPr fontId="3"/>
  </si>
  <si>
    <t>リザード(AR){炎}〈169/165〉[SV2a]</t>
  </si>
  <si>
    <t>https://www.hareruya2.com/products/9017514230080?_pos=1&amp;_sid=7e568cdb2&amp;_ss=r</t>
  </si>
  <si>
    <r>
      <rPr>
        <b/>
        <sz val="12"/>
        <color rgb="FFE60012"/>
        <rFont val="游ゴシック"/>
        <family val="2"/>
        <charset val="128"/>
      </rPr>
      <t>ピカチュウ</t>
    </r>
    <r>
      <rPr>
        <b/>
        <sz val="12"/>
        <color rgb="FFE60012"/>
        <rFont val="Arial"/>
        <family val="2"/>
        <scheme val="minor"/>
      </rPr>
      <t>(AR){</t>
    </r>
    <r>
      <rPr>
        <b/>
        <sz val="12"/>
        <color rgb="FFE60012"/>
        <rFont val="游ゴシック"/>
        <family val="2"/>
        <charset val="128"/>
      </rPr>
      <t>雷</t>
    </r>
    <r>
      <rPr>
        <b/>
        <sz val="12"/>
        <color rgb="FFE60012"/>
        <rFont val="Arial"/>
        <family val="2"/>
        <scheme val="minor"/>
      </rPr>
      <t>}</t>
    </r>
    <r>
      <rPr>
        <b/>
        <sz val="12"/>
        <color rgb="FFE60012"/>
        <rFont val="游ゴシック"/>
        <family val="2"/>
        <charset val="128"/>
      </rPr>
      <t>〈</t>
    </r>
    <r>
      <rPr>
        <b/>
        <sz val="12"/>
        <color rgb="FFE60012"/>
        <rFont val="Arial"/>
        <family val="2"/>
        <scheme val="minor"/>
      </rPr>
      <t>173/165</t>
    </r>
    <r>
      <rPr>
        <b/>
        <sz val="12"/>
        <color rgb="FFE60012"/>
        <rFont val="游ゴシック"/>
        <family val="2"/>
        <charset val="128"/>
      </rPr>
      <t>〉</t>
    </r>
    <r>
      <rPr>
        <b/>
        <sz val="12"/>
        <color rgb="FFE60012"/>
        <rFont val="Arial"/>
        <family val="2"/>
        <scheme val="minor"/>
      </rPr>
      <t>[SV2a]</t>
    </r>
    <phoneticPr fontId="3"/>
  </si>
  <si>
    <t>https://www.hareruya2.com/products/9062713917760?_pos=1&amp;_sid=eb8f9425d&amp;_ss=r</t>
  </si>
  <si>
    <t>ゴース(AR){悪}〈080/071〉[SV5K]</t>
  </si>
  <si>
    <t>タイトル</t>
    <phoneticPr fontId="3"/>
  </si>
  <si>
    <t>最安値</t>
    <rPh sb="0" eb="3">
      <t>サイヤスネ</t>
    </rPh>
    <phoneticPr fontId="3"/>
  </si>
  <si>
    <r>
      <rPr>
        <sz val="8"/>
        <color theme="1"/>
        <rFont val="ＭＳ ゴシック"/>
        <family val="3"/>
        <charset val="128"/>
      </rPr>
      <t>仕入れ</t>
    </r>
    <r>
      <rPr>
        <sz val="8"/>
        <color theme="1"/>
        <rFont val="Arial"/>
        <family val="2"/>
        <scheme val="minor"/>
      </rPr>
      <t>(</t>
    </r>
    <r>
      <rPr>
        <sz val="8"/>
        <color theme="1"/>
        <rFont val="ＭＳ ゴシック"/>
        <family val="3"/>
        <charset val="128"/>
      </rPr>
      <t>円</t>
    </r>
    <r>
      <rPr>
        <sz val="8"/>
        <color theme="1"/>
        <rFont val="Arial"/>
        <family val="2"/>
        <scheme val="minor"/>
      </rPr>
      <t>)</t>
    </r>
    <phoneticPr fontId="3"/>
  </si>
  <si>
    <t>仕入れ(usd)</t>
  </si>
  <si>
    <t>鑑定料(usd)</t>
  </si>
  <si>
    <t>Gold取得率</t>
  </si>
  <si>
    <t>10取得率</t>
  </si>
  <si>
    <t>9.5以下取得率</t>
  </si>
  <si>
    <t>Gold相場(usd)</t>
  </si>
  <si>
    <t>10相場(usd)</t>
  </si>
  <si>
    <t>9.5以下相場(usd)</t>
  </si>
  <si>
    <t>売却期待価格(usd)</t>
  </si>
  <si>
    <t>PWCC手数料</t>
  </si>
  <si>
    <t>期待利益(usd)</t>
  </si>
  <si>
    <t>月販売枚数</t>
  </si>
  <si>
    <t>今月仕入数</t>
  </si>
  <si>
    <t>期待売上高</t>
  </si>
  <si>
    <t>手数料合計</t>
  </si>
  <si>
    <t>月仕入れ金額(円)</t>
  </si>
  <si>
    <t>月期待利益(usd)</t>
  </si>
  <si>
    <t>月期待利益(円)</t>
  </si>
  <si>
    <t>利益率</t>
  </si>
  <si>
    <t>利益率(対カードのみ)</t>
  </si>
  <si>
    <t>151エリカ sar</t>
  </si>
  <si>
    <t>151コダックar</t>
  </si>
  <si>
    <t>総売り上げ</t>
  </si>
  <si>
    <t>151ピカチュウar</t>
  </si>
  <si>
    <t>151ミュウ sar</t>
  </si>
  <si>
    <t xml:space="preserve"> </t>
  </si>
  <si>
    <t>151リザードンsar</t>
  </si>
  <si>
    <t>仕入れ合計</t>
  </si>
  <si>
    <t>151リザードンsr</t>
  </si>
  <si>
    <t>nagabaイーブイ</t>
  </si>
  <si>
    <t>nagabaエーフィ</t>
  </si>
  <si>
    <t>鑑定費合計</t>
  </si>
  <si>
    <t>nagabaグレイシア</t>
  </si>
  <si>
    <t>nagabaサンダース</t>
  </si>
  <si>
    <t>nagabaシャワーズ</t>
  </si>
  <si>
    <t>nagabaニンフィア</t>
  </si>
  <si>
    <t>nagabaピカチュウ</t>
  </si>
  <si>
    <t>nagabaブースター</t>
  </si>
  <si>
    <t>利益合計</t>
  </si>
  <si>
    <t>nagabaブラッキー</t>
  </si>
  <si>
    <t>nagabaリーフィア</t>
  </si>
  <si>
    <t>R団のサンダー</t>
  </si>
  <si>
    <t>アルセウスUR</t>
  </si>
  <si>
    <t>ｲｰﾌﾞｲ&amp;ｶﾋﾞｺﾞﾝ RR</t>
  </si>
  <si>
    <t>イーブイCHR</t>
  </si>
  <si>
    <t>イベルタルar</t>
  </si>
  <si>
    <t>ウネルミナモsar</t>
  </si>
  <si>
    <t>エンテイV SAR</t>
  </si>
  <si>
    <t>カイリュー　マスボ</t>
  </si>
  <si>
    <t>カビゴン　マスボ</t>
  </si>
  <si>
    <t>カビゴンar</t>
  </si>
  <si>
    <t>カビゴンchr</t>
  </si>
  <si>
    <t>カメール　マスボ</t>
  </si>
  <si>
    <t>カメールar</t>
  </si>
  <si>
    <t>カメックスsar</t>
  </si>
  <si>
    <t xml:space="preserve">カメックスsr </t>
  </si>
  <si>
    <t>ガラルファイヤーar</t>
  </si>
  <si>
    <t>ガラルファイヤーV CSR</t>
  </si>
  <si>
    <t>ガラルフリーザー</t>
  </si>
  <si>
    <t>ギャラドスSR</t>
  </si>
  <si>
    <t>ギラティナSA</t>
  </si>
  <si>
    <t>ギラティナUR</t>
  </si>
  <si>
    <t>ギラティナvstar HR</t>
  </si>
  <si>
    <t xml:space="preserve">グラードンar </t>
  </si>
  <si>
    <t>グレイシアvstar sar</t>
  </si>
  <si>
    <t>ゲンガー　マスボ</t>
  </si>
  <si>
    <t>ゲンガーchr</t>
  </si>
  <si>
    <t>ゲンガーv rr</t>
  </si>
  <si>
    <t>ゲンガーvmax 002</t>
  </si>
  <si>
    <t>ゲンガーvmax rr</t>
  </si>
  <si>
    <t>ゲンミミ rr</t>
  </si>
  <si>
    <t>コイキング　マスボ</t>
  </si>
  <si>
    <t>コイキングAR</t>
  </si>
  <si>
    <t>ゴース　マスボ</t>
  </si>
  <si>
    <t>ゴースar</t>
  </si>
  <si>
    <t>ゴースト　マスボ</t>
  </si>
  <si>
    <t>ゴーリキーar</t>
  </si>
  <si>
    <t>コダックar</t>
  </si>
  <si>
    <t>ゴルダック　マスボ</t>
  </si>
  <si>
    <t>サーナイトsar</t>
  </si>
  <si>
    <t>サンダーsar</t>
  </si>
  <si>
    <t>サンダースchr</t>
  </si>
  <si>
    <t>シャワーズ　マスボ</t>
  </si>
  <si>
    <t>シャワーズchr</t>
  </si>
  <si>
    <t>スイクンv sar</t>
  </si>
  <si>
    <t>ゼクロムchr</t>
  </si>
  <si>
    <t>ゼニガメ　マスボ</t>
  </si>
  <si>
    <t>ゼニガメar</t>
  </si>
  <si>
    <t>ゼニガメsar</t>
  </si>
  <si>
    <t>その他マスボ</t>
  </si>
  <si>
    <t>ダークライsar</t>
  </si>
  <si>
    <t>ディアルガUR</t>
  </si>
  <si>
    <t>デオキシスar</t>
  </si>
  <si>
    <t>トドロクツキsar</t>
  </si>
  <si>
    <t>トドロクツキsr</t>
  </si>
  <si>
    <t>ニドキングar</t>
  </si>
  <si>
    <t>ニャース　マスボ</t>
  </si>
  <si>
    <t>ハクリュー　マスボ</t>
  </si>
  <si>
    <t>ハクリューAR</t>
  </si>
  <si>
    <t>パルキアUR</t>
  </si>
  <si>
    <t>バンギラスar</t>
  </si>
  <si>
    <t>ピカチュウCHR</t>
  </si>
  <si>
    <t>ピカチュウS</t>
  </si>
  <si>
    <t>ピカチュウゲームP</t>
  </si>
  <si>
    <t>ヒトカゲ　マスボ</t>
  </si>
  <si>
    <t>ヒトカゲar</t>
  </si>
  <si>
    <t>ファイヤー　マスボ</t>
  </si>
  <si>
    <t>ブースター　マスボ</t>
  </si>
  <si>
    <t>ブースターCHR</t>
  </si>
  <si>
    <t>フーディンsar</t>
  </si>
  <si>
    <t>フシギソウ　マスボ</t>
  </si>
  <si>
    <t>フシギソウar</t>
  </si>
  <si>
    <t>フシギダネ　マスボ</t>
  </si>
  <si>
    <t>フシギダネar</t>
  </si>
  <si>
    <t>フシギバナsar</t>
  </si>
  <si>
    <t>フシギバナSR</t>
  </si>
  <si>
    <t>プテラ　マスボ</t>
  </si>
  <si>
    <t>ブラ＆ダクラ 010</t>
  </si>
  <si>
    <t>ブラッキーv rr</t>
  </si>
  <si>
    <t>ブラッキーvmax csr</t>
  </si>
  <si>
    <t>ブラッキーvmax rrr</t>
  </si>
  <si>
    <t>フリーザー　マスボ</t>
  </si>
  <si>
    <t>ホウオウv sr</t>
  </si>
  <si>
    <t>ミュウ AR</t>
  </si>
  <si>
    <t>ミュウ sar</t>
  </si>
  <si>
    <t>ミュウツー　25th</t>
  </si>
  <si>
    <t>ミュウツー　マスボ</t>
  </si>
  <si>
    <t>ミュウツーar</t>
  </si>
  <si>
    <t>ミュウツーVSTAR</t>
  </si>
  <si>
    <t>ヤドン　マスボ</t>
  </si>
  <si>
    <t>ヤドンar</t>
  </si>
  <si>
    <t>ライチュウ　マスボ</t>
  </si>
  <si>
    <t>ラッキーar</t>
  </si>
  <si>
    <t>ラプラスar</t>
  </si>
  <si>
    <t>リーフィアVSTAR</t>
  </si>
  <si>
    <t>ﾘｻﾞｰﾄﾞﾝ VSTAR RRR</t>
  </si>
  <si>
    <t>リザード　マスボ</t>
  </si>
  <si>
    <t>リザードar</t>
  </si>
  <si>
    <t>リザードンchr</t>
  </si>
  <si>
    <t>リザードンsar</t>
  </si>
  <si>
    <t>リザードンssr</t>
  </si>
  <si>
    <t>リザードンV 211</t>
  </si>
  <si>
    <t>リザードンV SSR</t>
  </si>
  <si>
    <t>リザードンVSTAR 212</t>
  </si>
  <si>
    <t>ルギア  VSTAR RRR</t>
  </si>
  <si>
    <t>ルギアV RR</t>
  </si>
  <si>
    <t>わるいギャラドス25th</t>
  </si>
  <si>
    <t>横浜記念デッキピカ</t>
  </si>
  <si>
    <t>名探偵ピカチュウ</t>
  </si>
  <si>
    <t>CR</t>
    <phoneticPr fontId="3"/>
  </si>
  <si>
    <r>
      <rPr>
        <sz val="10"/>
        <color rgb="FF000000"/>
        <rFont val="ＭＳ ゴシック"/>
        <family val="3"/>
        <charset val="128"/>
      </rPr>
      <t>価格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ＭＳ ゴシック"/>
        <family val="3"/>
        <charset val="128"/>
      </rPr>
      <t>ハレルヤ</t>
    </r>
    <phoneticPr fontId="3"/>
  </si>
  <si>
    <r>
      <rPr>
        <sz val="10"/>
        <color rgb="FF000000"/>
        <rFont val="ＭＳ ゴシック"/>
        <family val="3"/>
        <charset val="128"/>
      </rPr>
      <t>価格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</rPr>
      <t>CR</t>
    </r>
    <phoneticPr fontId="3"/>
  </si>
  <si>
    <t>https://www.cardrush-pokemon.jp/phone/product/43828</t>
    <phoneticPr fontId="3"/>
  </si>
  <si>
    <t>https://www.cardrush-pokemon.jp/product/57734</t>
    <phoneticPr fontId="3"/>
  </si>
  <si>
    <t>在庫_ハレルヤ</t>
    <rPh sb="0" eb="2">
      <t>ザイコ</t>
    </rPh>
    <phoneticPr fontId="3"/>
  </si>
  <si>
    <r>
      <rPr>
        <sz val="10"/>
        <color rgb="FF000000"/>
        <rFont val="游ゴシック"/>
        <family val="2"/>
        <charset val="128"/>
      </rPr>
      <t>在庫</t>
    </r>
    <r>
      <rPr>
        <sz val="10"/>
        <color rgb="FF000000"/>
        <rFont val="Arial"/>
        <family val="2"/>
        <scheme val="minor"/>
      </rPr>
      <t>_CR</t>
    </r>
    <rPh sb="0" eb="2">
      <t>ザイコ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</si>
</sst>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8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u/>
      <sz val="10"/>
      <color theme="10"/>
      <name val="Arial"/>
      <family val="2"/>
      <scheme val="minor"/>
    </font>
    <font>
      <b/>
      <sz val="12"/>
      <color rgb="FFE60012"/>
      <name val="Arial"/>
      <family val="2"/>
      <scheme val="minor"/>
    </font>
    <font>
      <b/>
      <sz val="12"/>
      <color rgb="FFE60012"/>
      <name val="游ゴシック"/>
      <family val="2"/>
      <charset val="128"/>
    </font>
    <font>
      <b/>
      <sz val="12"/>
      <color rgb="FFE60012"/>
      <name val="Arial"/>
      <family val="2"/>
      <charset val="128"/>
      <scheme val="minor"/>
    </font>
    <font>
      <sz val="10"/>
      <color rgb="FF000000"/>
      <name val="Arial"/>
      <family val="3"/>
    </font>
    <font>
      <sz val="8"/>
      <color theme="1"/>
      <name val="Arial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7"/>
      <color theme="1"/>
      <name val="Arial"/>
      <family val="2"/>
      <scheme val="minor"/>
    </font>
    <font>
      <b/>
      <i/>
      <sz val="8"/>
      <color rgb="FF111111"/>
      <name val="Sans-serif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游ゴシック"/>
      <family val="2"/>
      <charset val="128"/>
    </font>
    <font>
      <sz val="10"/>
      <color rgb="FF000000"/>
      <name val="Arial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1"/>
    <xf numFmtId="0" fontId="8" fillId="0" borderId="0" xfId="0" applyFont="1"/>
    <xf numFmtId="0" fontId="10" fillId="0" borderId="0" xfId="0" applyFont="1"/>
    <xf numFmtId="0" fontId="12" fillId="4" borderId="0" xfId="0" applyFont="1" applyFill="1"/>
    <xf numFmtId="2" fontId="1" fillId="4" borderId="0" xfId="0" applyNumberFormat="1" applyFont="1" applyFill="1"/>
    <xf numFmtId="0" fontId="1" fillId="4" borderId="0" xfId="0" applyFont="1" applyFill="1"/>
    <xf numFmtId="10" fontId="1" fillId="5" borderId="0" xfId="0" applyNumberFormat="1" applyFont="1" applyFill="1"/>
    <xf numFmtId="2" fontId="1" fillId="6" borderId="0" xfId="0" applyNumberFormat="1" applyFont="1" applyFill="1"/>
    <xf numFmtId="2" fontId="1" fillId="3" borderId="0" xfId="0" applyNumberFormat="1" applyFont="1" applyFill="1"/>
    <xf numFmtId="2" fontId="1" fillId="7" borderId="0" xfId="0" applyNumberFormat="1" applyFont="1" applyFill="1"/>
    <xf numFmtId="10" fontId="1" fillId="8" borderId="0" xfId="0" applyNumberFormat="1" applyFont="1" applyFill="1"/>
    <xf numFmtId="10" fontId="14" fillId="8" borderId="0" xfId="0" applyNumberFormat="1" applyFont="1" applyFill="1"/>
    <xf numFmtId="2" fontId="15" fillId="3" borderId="0" xfId="0" applyNumberFormat="1" applyFont="1" applyFill="1"/>
    <xf numFmtId="0" fontId="16" fillId="3" borderId="0" xfId="0" applyFont="1" applyFill="1"/>
    <xf numFmtId="0" fontId="16" fillId="0" borderId="0" xfId="0" applyFont="1"/>
    <xf numFmtId="2" fontId="17" fillId="9" borderId="0" xfId="0" applyNumberFormat="1" applyFont="1" applyFill="1"/>
    <xf numFmtId="10" fontId="16" fillId="0" borderId="0" xfId="0" applyNumberFormat="1" applyFont="1"/>
    <xf numFmtId="2" fontId="16" fillId="0" borderId="0" xfId="0" applyNumberFormat="1" applyFont="1"/>
    <xf numFmtId="2" fontId="0" fillId="9" borderId="0" xfId="0" applyNumberFormat="1" applyFill="1"/>
    <xf numFmtId="0" fontId="16" fillId="0" borderId="1" xfId="0" applyFont="1" applyBorder="1"/>
    <xf numFmtId="2" fontId="16" fillId="0" borderId="1" xfId="0" applyNumberFormat="1" applyFont="1" applyBorder="1"/>
    <xf numFmtId="0" fontId="16" fillId="10" borderId="0" xfId="0" applyFont="1" applyFill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11" borderId="0" xfId="0" applyFont="1" applyFill="1"/>
    <xf numFmtId="0" fontId="16" fillId="5" borderId="0" xfId="0" applyFont="1" applyFill="1"/>
    <xf numFmtId="0" fontId="16" fillId="7" borderId="0" xfId="0" applyFont="1" applyFill="1"/>
    <xf numFmtId="0" fontId="16" fillId="12" borderId="0" xfId="0" applyFont="1" applyFill="1"/>
    <xf numFmtId="0" fontId="16" fillId="13" borderId="0" xfId="0" applyFont="1" applyFill="1"/>
    <xf numFmtId="0" fontId="16" fillId="4" borderId="0" xfId="0" applyFont="1" applyFill="1"/>
    <xf numFmtId="0" fontId="19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rush-pokemon.jp/product/57734" TargetMode="External"/><Relationship Id="rId2" Type="http://schemas.openxmlformats.org/officeDocument/2006/relationships/hyperlink" Target="https://www.cardrush-pokemon.jp/phone/product/43828" TargetMode="External"/><Relationship Id="rId1" Type="http://schemas.openxmlformats.org/officeDocument/2006/relationships/hyperlink" Target="https://www.hareruya2.com/products/9017513181504?_pos=1&amp;_sid=60b7c05a3&amp;_ss=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rush-pokemon.jp/product/57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2"/>
  <sheetViews>
    <sheetView tabSelected="1" workbookViewId="0">
      <selection activeCell="H2" sqref="H2"/>
    </sheetView>
  </sheetViews>
  <sheetFormatPr defaultColWidth="12.5546875" defaultRowHeight="15.75" customHeight="1"/>
  <cols>
    <col min="15" max="16" width="15.44140625" customWidth="1"/>
    <col min="17" max="17" width="7.5546875" customWidth="1"/>
    <col min="18" max="20" width="8.44140625" customWidth="1"/>
    <col min="21" max="21" width="7.44140625" customWidth="1"/>
    <col min="22" max="22" width="9.88671875" customWidth="1"/>
    <col min="23" max="23" width="9.44140625" customWidth="1"/>
    <col min="24" max="24" width="8.44140625" customWidth="1"/>
    <col min="25" max="25" width="11.109375" customWidth="1"/>
    <col min="27" max="28" width="9.33203125" customWidth="1"/>
    <col min="29" max="32" width="8" customWidth="1"/>
    <col min="33" max="33" width="11.109375" customWidth="1"/>
    <col min="34" max="34" width="10.5546875" customWidth="1"/>
    <col min="35" max="35" width="10" customWidth="1"/>
    <col min="36" max="36" width="9.44140625" customWidth="1"/>
  </cols>
  <sheetData>
    <row r="1" spans="1:39" ht="15.75" customHeight="1">
      <c r="A1" s="5" t="s">
        <v>2</v>
      </c>
      <c r="B1" s="5" t="s">
        <v>165</v>
      </c>
      <c r="C1" s="5" t="s">
        <v>5</v>
      </c>
      <c r="D1" s="5" t="s">
        <v>3</v>
      </c>
      <c r="E1" s="5" t="s">
        <v>1</v>
      </c>
      <c r="F1" s="3" t="s">
        <v>166</v>
      </c>
      <c r="G1" s="5" t="s">
        <v>170</v>
      </c>
      <c r="H1" s="3" t="s">
        <v>167</v>
      </c>
      <c r="I1" s="36" t="s">
        <v>171</v>
      </c>
      <c r="J1" s="5" t="s">
        <v>6</v>
      </c>
      <c r="K1" s="4" t="s">
        <v>0</v>
      </c>
      <c r="L1" s="5" t="s">
        <v>4</v>
      </c>
      <c r="M1" s="4" t="s">
        <v>0</v>
      </c>
      <c r="N1" s="5" t="s">
        <v>14</v>
      </c>
      <c r="O1" s="1" t="s">
        <v>13</v>
      </c>
      <c r="P1" s="1"/>
      <c r="Q1" s="9" t="s">
        <v>15</v>
      </c>
      <c r="R1" s="10" t="s">
        <v>16</v>
      </c>
      <c r="S1" s="11" t="s">
        <v>17</v>
      </c>
      <c r="T1" s="12" t="s">
        <v>18</v>
      </c>
      <c r="U1" s="12" t="s">
        <v>19</v>
      </c>
      <c r="V1" s="12" t="s">
        <v>20</v>
      </c>
      <c r="W1" s="13" t="s">
        <v>21</v>
      </c>
      <c r="X1" s="13" t="s">
        <v>22</v>
      </c>
      <c r="Y1" s="13" t="s">
        <v>23</v>
      </c>
      <c r="Z1" s="14" t="s">
        <v>24</v>
      </c>
      <c r="AA1" s="14" t="s">
        <v>25</v>
      </c>
      <c r="AB1" s="14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6" t="s">
        <v>34</v>
      </c>
      <c r="AK1" s="17" t="s">
        <v>35</v>
      </c>
      <c r="AL1" s="2"/>
      <c r="AM1" s="18">
        <f ca="1">IFERROR(__xludf.DUMMYFUNCTION("GOOGLEFINANCE(""USDJPY"")"),155.7585)</f>
        <v>155.7585</v>
      </c>
    </row>
    <row r="2" spans="1:39" ht="15.75" customHeight="1">
      <c r="A2" s="6" t="s">
        <v>7</v>
      </c>
      <c r="B2" s="6" t="s">
        <v>168</v>
      </c>
      <c r="C2" s="5"/>
      <c r="D2" s="5"/>
      <c r="E2" s="5"/>
      <c r="F2" s="3"/>
      <c r="G2" s="4"/>
      <c r="H2" s="3"/>
      <c r="I2" s="4"/>
      <c r="J2" s="5"/>
      <c r="K2" s="4"/>
      <c r="L2" s="5"/>
      <c r="M2" s="4"/>
      <c r="N2" s="4"/>
      <c r="O2" s="7" t="s">
        <v>8</v>
      </c>
      <c r="P2" s="19" t="s">
        <v>36</v>
      </c>
      <c r="Q2" s="20">
        <v>10000</v>
      </c>
      <c r="R2" s="21">
        <f ca="1">IFERROR(__xludf.DUMMYFUNCTION("GOOGLEFINANCE(""JPYUSD"")*B2"),64.2019536999999)</f>
        <v>64.201953699999905</v>
      </c>
      <c r="S2" s="20">
        <v>9</v>
      </c>
      <c r="T2" s="22">
        <f>128/450</f>
        <v>0.28444444444444444</v>
      </c>
      <c r="U2" s="22">
        <f>246/450</f>
        <v>0.54666666666666663</v>
      </c>
      <c r="V2" s="22">
        <f t="shared" ref="V2:V65" si="0">1-T2-U2</f>
        <v>0.16888888888888887</v>
      </c>
      <c r="W2" s="23">
        <v>100</v>
      </c>
      <c r="X2" s="23">
        <v>100</v>
      </c>
      <c r="Y2" s="23">
        <v>60</v>
      </c>
      <c r="Z2" s="23">
        <f t="shared" ref="Z2:Z65" si="1">T2*W2+U2*X2+V2*Y2</f>
        <v>93.24444444444444</v>
      </c>
      <c r="AA2" s="23">
        <f t="shared" ref="AA2:AA65" si="2">IF(Z2&lt;50, Z2*0.2, IF(Z2&lt;100, Z2*0.18, IF(Z2&lt;200, Z2*0.12, Z2*0.075)))</f>
        <v>16.783999999999999</v>
      </c>
      <c r="AB2" s="23">
        <f t="shared" ref="AB2:AB65" ca="1" si="3">Z2-R2-S2-AA2</f>
        <v>3.2584907444445363</v>
      </c>
      <c r="AC2" s="23">
        <v>0</v>
      </c>
      <c r="AD2" s="23"/>
      <c r="AE2" s="23">
        <f t="shared" ref="AE2:AE65" si="4">Z2*AC2</f>
        <v>0</v>
      </c>
      <c r="AF2" s="23">
        <f t="shared" ref="AF2:AF65" si="5">AA2*AC2</f>
        <v>0</v>
      </c>
      <c r="AG2" s="23">
        <f t="shared" ref="AG2:AG65" si="6">Q2*AC2</f>
        <v>0</v>
      </c>
      <c r="AH2" s="23">
        <f t="shared" ref="AH2:AH65" ca="1" si="7">AB2*AC2</f>
        <v>0</v>
      </c>
      <c r="AI2" s="24">
        <f ca="1">IFERROR(__xludf.DUMMYFUNCTION("GOOGLEFINANCE(""USDJPY"")*S2"),0)</f>
        <v>0</v>
      </c>
      <c r="AJ2" s="22">
        <f t="shared" ref="AJ2:AJ65" ca="1" si="8">AB2/(R2+S2)</f>
        <v>4.4513712814259775E-2</v>
      </c>
      <c r="AK2" s="22">
        <f t="shared" ref="AK2:AK65" ca="1" si="9">AB2/R2</f>
        <v>5.0753763034543625E-2</v>
      </c>
    </row>
    <row r="3" spans="1:39" ht="15.75" customHeight="1">
      <c r="A3" s="5" t="s">
        <v>9</v>
      </c>
      <c r="B3" s="6" t="s">
        <v>169</v>
      </c>
      <c r="C3" s="5"/>
      <c r="D3" s="5"/>
      <c r="E3" s="5"/>
      <c r="F3" s="3"/>
      <c r="G3" s="4"/>
      <c r="H3" s="3"/>
      <c r="I3" s="4"/>
      <c r="J3" s="5"/>
      <c r="K3" s="4"/>
      <c r="L3" s="5"/>
      <c r="M3" s="4"/>
      <c r="N3" s="4"/>
      <c r="O3" s="8" t="s">
        <v>10</v>
      </c>
      <c r="P3" s="19" t="s">
        <v>37</v>
      </c>
      <c r="Q3" s="20">
        <v>300</v>
      </c>
      <c r="R3" s="21">
        <f ca="1">IFERROR(__xludf.DUMMYFUNCTION("GOOGLEFINANCE(""JPYUSD"")*B3"),1.92605861099999)</f>
        <v>1.92605861099999</v>
      </c>
      <c r="S3" s="20">
        <v>9</v>
      </c>
      <c r="T3" s="22">
        <f>401/1144</f>
        <v>0.35052447552447552</v>
      </c>
      <c r="U3" s="22">
        <f>559/1144</f>
        <v>0.48863636363636365</v>
      </c>
      <c r="V3" s="22">
        <f t="shared" si="0"/>
        <v>0.16083916083916083</v>
      </c>
      <c r="W3" s="23">
        <v>25</v>
      </c>
      <c r="X3" s="23">
        <v>15</v>
      </c>
      <c r="Y3" s="23">
        <v>9</v>
      </c>
      <c r="Z3" s="23">
        <f t="shared" si="1"/>
        <v>17.54020979020979</v>
      </c>
      <c r="AA3" s="23">
        <f t="shared" si="2"/>
        <v>3.5080419580419582</v>
      </c>
      <c r="AB3" s="23">
        <f t="shared" ca="1" si="3"/>
        <v>3.1061092211678423</v>
      </c>
      <c r="AC3" s="23">
        <v>8</v>
      </c>
      <c r="AD3" s="23"/>
      <c r="AE3" s="23">
        <f t="shared" si="4"/>
        <v>140.32167832167832</v>
      </c>
      <c r="AF3" s="23">
        <f t="shared" si="5"/>
        <v>28.064335664335665</v>
      </c>
      <c r="AG3" s="23">
        <f t="shared" si="6"/>
        <v>2400</v>
      </c>
      <c r="AH3" s="23">
        <f t="shared" ca="1" si="7"/>
        <v>24.848873769342738</v>
      </c>
      <c r="AI3" s="24">
        <f ca="1">IFERROR(__xludf.DUMMYFUNCTION("GOOGLEFINANCE(""USDJPY"")*S3"),3870.42330500215)</f>
        <v>3870.4233050021498</v>
      </c>
      <c r="AJ3" s="22">
        <f t="shared" ca="1" si="8"/>
        <v>0.28428451024788715</v>
      </c>
      <c r="AK3" s="22">
        <f t="shared" ca="1" si="9"/>
        <v>1.6126763762163925</v>
      </c>
      <c r="AM3" s="25" t="s">
        <v>38</v>
      </c>
    </row>
    <row r="4" spans="1:39" ht="15.75" customHeight="1">
      <c r="A4" s="5" t="s">
        <v>11</v>
      </c>
      <c r="B4" s="6" t="s">
        <v>169</v>
      </c>
      <c r="C4" s="5"/>
      <c r="D4" s="5"/>
      <c r="E4" s="5"/>
      <c r="F4" s="3"/>
      <c r="G4" s="4"/>
      <c r="H4" s="3"/>
      <c r="I4" s="4"/>
      <c r="J4" s="5"/>
      <c r="K4" s="4"/>
      <c r="L4" s="5"/>
      <c r="M4" s="4"/>
      <c r="N4" s="4"/>
      <c r="O4" s="7" t="s">
        <v>12</v>
      </c>
      <c r="P4" s="19" t="s">
        <v>39</v>
      </c>
      <c r="Q4" s="20">
        <v>600</v>
      </c>
      <c r="R4" s="21">
        <f ca="1">IFERROR(__xludf.DUMMYFUNCTION("GOOGLEFINANCE(""JPYUSD"")*B4"),3.85211722199999)</f>
        <v>3.8521172219999902</v>
      </c>
      <c r="S4" s="20">
        <v>9</v>
      </c>
      <c r="T4" s="22">
        <f>786/2404</f>
        <v>0.32695507487520797</v>
      </c>
      <c r="U4" s="22">
        <f>1190/2404</f>
        <v>0.49500831946755408</v>
      </c>
      <c r="V4" s="22">
        <f t="shared" si="0"/>
        <v>0.178036605657238</v>
      </c>
      <c r="W4" s="23">
        <v>35</v>
      </c>
      <c r="X4" s="23">
        <v>26</v>
      </c>
      <c r="Y4" s="23">
        <v>20</v>
      </c>
      <c r="Z4" s="23">
        <f t="shared" si="1"/>
        <v>27.874376039933445</v>
      </c>
      <c r="AA4" s="23">
        <f t="shared" si="2"/>
        <v>5.5748752079866897</v>
      </c>
      <c r="AB4" s="23">
        <f t="shared" ca="1" si="3"/>
        <v>9.4473836099467654</v>
      </c>
      <c r="AC4" s="23">
        <v>8</v>
      </c>
      <c r="AD4" s="23">
        <v>12</v>
      </c>
      <c r="AE4" s="23">
        <f t="shared" si="4"/>
        <v>222.99500831946756</v>
      </c>
      <c r="AF4" s="23">
        <f t="shared" si="5"/>
        <v>44.599001663893517</v>
      </c>
      <c r="AG4" s="23">
        <f t="shared" si="6"/>
        <v>4800</v>
      </c>
      <c r="AH4" s="23">
        <f t="shared" ca="1" si="7"/>
        <v>75.579068879574123</v>
      </c>
      <c r="AI4" s="24">
        <f ca="1">IFERROR(__xludf.DUMMYFUNCTION("GOOGLEFINANCE(""USDJPY"")*S4"),11772.0824000791)</f>
        <v>11772.0824000791</v>
      </c>
      <c r="AJ4" s="22">
        <f t="shared" ca="1" si="8"/>
        <v>0.73508383457434767</v>
      </c>
      <c r="AK4" s="22">
        <f t="shared" ca="1" si="9"/>
        <v>2.4525171653633517</v>
      </c>
      <c r="AM4" s="25">
        <f ca="1">IFERROR(__xludf.DUMMYFUNCTION("SUM(P:P)*GOOGLEFINANCE(""USDJPY"")"),4810284.81519804)</f>
        <v>4810284.8151980396</v>
      </c>
    </row>
    <row r="5" spans="1:39" ht="13.2">
      <c r="P5" s="19" t="s">
        <v>36</v>
      </c>
      <c r="Q5" s="20">
        <v>10000</v>
      </c>
      <c r="R5" s="21">
        <f ca="1">IFERROR(__xludf.DUMMYFUNCTION("GOOGLEFINANCE(""JPYUSD"")*B2"),64.2019536999999)</f>
        <v>64.201953699999905</v>
      </c>
      <c r="S5" s="20">
        <v>9</v>
      </c>
      <c r="T5" s="22">
        <f>128/450</f>
        <v>0.28444444444444444</v>
      </c>
      <c r="U5" s="22">
        <f>246/450</f>
        <v>0.54666666666666663</v>
      </c>
      <c r="V5" s="22">
        <f t="shared" si="0"/>
        <v>0.16888888888888887</v>
      </c>
      <c r="W5" s="23">
        <v>100</v>
      </c>
      <c r="X5" s="23">
        <v>100</v>
      </c>
      <c r="Y5" s="23">
        <v>60</v>
      </c>
      <c r="Z5" s="23">
        <f t="shared" si="1"/>
        <v>93.24444444444444</v>
      </c>
      <c r="AA5" s="23">
        <f t="shared" si="2"/>
        <v>16.783999999999999</v>
      </c>
      <c r="AB5" s="23">
        <f t="shared" ca="1" si="3"/>
        <v>3.2584907444445363</v>
      </c>
      <c r="AC5" s="23">
        <v>0</v>
      </c>
      <c r="AD5" s="23"/>
      <c r="AE5" s="23">
        <f t="shared" si="4"/>
        <v>0</v>
      </c>
      <c r="AF5" s="23">
        <f t="shared" si="5"/>
        <v>0</v>
      </c>
      <c r="AG5" s="23">
        <f t="shared" si="6"/>
        <v>0</v>
      </c>
      <c r="AH5" s="23">
        <f t="shared" ca="1" si="7"/>
        <v>0</v>
      </c>
      <c r="AI5" s="24">
        <f ca="1">IFERROR(__xludf.DUMMYFUNCTION("GOOGLEFINANCE(""USDJPY"")*S2"),0)</f>
        <v>0</v>
      </c>
      <c r="AJ5" s="22">
        <f t="shared" ca="1" si="8"/>
        <v>4.4513712814259775E-2</v>
      </c>
      <c r="AK5" s="22">
        <f t="shared" ca="1" si="9"/>
        <v>5.0753763034543625E-2</v>
      </c>
    </row>
    <row r="6" spans="1:39" ht="13.2">
      <c r="P6" s="19" t="s">
        <v>37</v>
      </c>
      <c r="Q6" s="20">
        <v>300</v>
      </c>
      <c r="R6" s="21">
        <f ca="1">IFERROR(__xludf.DUMMYFUNCTION("GOOGLEFINANCE(""JPYUSD"")*B3"),1.92605861099999)</f>
        <v>1.92605861099999</v>
      </c>
      <c r="S6" s="20">
        <v>9</v>
      </c>
      <c r="T6" s="22">
        <f>401/1144</f>
        <v>0.35052447552447552</v>
      </c>
      <c r="U6" s="22">
        <f>559/1144</f>
        <v>0.48863636363636365</v>
      </c>
      <c r="V6" s="22">
        <f t="shared" si="0"/>
        <v>0.16083916083916083</v>
      </c>
      <c r="W6" s="23">
        <v>25</v>
      </c>
      <c r="X6" s="23">
        <v>15</v>
      </c>
      <c r="Y6" s="23">
        <v>9</v>
      </c>
      <c r="Z6" s="23">
        <f t="shared" si="1"/>
        <v>17.54020979020979</v>
      </c>
      <c r="AA6" s="23">
        <f t="shared" si="2"/>
        <v>3.5080419580419582</v>
      </c>
      <c r="AB6" s="23">
        <f t="shared" ca="1" si="3"/>
        <v>3.1061092211678423</v>
      </c>
      <c r="AC6" s="23">
        <v>8</v>
      </c>
      <c r="AD6" s="23"/>
      <c r="AE6" s="23">
        <f t="shared" si="4"/>
        <v>140.32167832167832</v>
      </c>
      <c r="AF6" s="23">
        <f t="shared" si="5"/>
        <v>28.064335664335665</v>
      </c>
      <c r="AG6" s="23">
        <f t="shared" si="6"/>
        <v>2400</v>
      </c>
      <c r="AH6" s="23">
        <f t="shared" ca="1" si="7"/>
        <v>24.848873769342738</v>
      </c>
      <c r="AI6" s="24">
        <f ca="1">IFERROR(__xludf.DUMMYFUNCTION("GOOGLEFINANCE(""USDJPY"")*S3"),3870.42330500215)</f>
        <v>3870.4233050021498</v>
      </c>
      <c r="AJ6" s="22">
        <f t="shared" ca="1" si="8"/>
        <v>0.28428451024788715</v>
      </c>
      <c r="AK6" s="22">
        <f t="shared" ca="1" si="9"/>
        <v>1.6126763762163925</v>
      </c>
      <c r="AM6" s="25" t="s">
        <v>38</v>
      </c>
    </row>
    <row r="7" spans="1:39" ht="13.2">
      <c r="P7" s="19" t="s">
        <v>39</v>
      </c>
      <c r="Q7" s="20">
        <v>600</v>
      </c>
      <c r="R7" s="21">
        <f ca="1">IFERROR(__xludf.DUMMYFUNCTION("GOOGLEFINANCE(""JPYUSD"")*B4"),3.85211722199999)</f>
        <v>3.8521172219999902</v>
      </c>
      <c r="S7" s="20">
        <v>9</v>
      </c>
      <c r="T7" s="22">
        <f>786/2404</f>
        <v>0.32695507487520797</v>
      </c>
      <c r="U7" s="22">
        <f>1190/2404</f>
        <v>0.49500831946755408</v>
      </c>
      <c r="V7" s="22">
        <f t="shared" si="0"/>
        <v>0.178036605657238</v>
      </c>
      <c r="W7" s="23">
        <v>35</v>
      </c>
      <c r="X7" s="23">
        <v>26</v>
      </c>
      <c r="Y7" s="23">
        <v>20</v>
      </c>
      <c r="Z7" s="23">
        <f t="shared" si="1"/>
        <v>27.874376039933445</v>
      </c>
      <c r="AA7" s="23">
        <f t="shared" si="2"/>
        <v>5.5748752079866897</v>
      </c>
      <c r="AB7" s="23">
        <f t="shared" ca="1" si="3"/>
        <v>9.4473836099467654</v>
      </c>
      <c r="AC7" s="23">
        <v>8</v>
      </c>
      <c r="AD7" s="23">
        <v>12</v>
      </c>
      <c r="AE7" s="23">
        <f t="shared" si="4"/>
        <v>222.99500831946756</v>
      </c>
      <c r="AF7" s="23">
        <f t="shared" si="5"/>
        <v>44.599001663893517</v>
      </c>
      <c r="AG7" s="23">
        <f t="shared" si="6"/>
        <v>4800</v>
      </c>
      <c r="AH7" s="23">
        <f t="shared" ca="1" si="7"/>
        <v>75.579068879574123</v>
      </c>
      <c r="AI7" s="24">
        <f ca="1">IFERROR(__xludf.DUMMYFUNCTION("GOOGLEFINANCE(""USDJPY"")*S4"),11772.0824000791)</f>
        <v>11772.0824000791</v>
      </c>
      <c r="AJ7" s="22">
        <f t="shared" ca="1" si="8"/>
        <v>0.73508383457434767</v>
      </c>
      <c r="AK7" s="22">
        <f t="shared" ca="1" si="9"/>
        <v>2.4525171653633517</v>
      </c>
      <c r="AM7" s="25">
        <f ca="1">IFERROR(__xludf.DUMMYFUNCTION("SUM(P:P)*GOOGLEFINANCE(""USDJPY"")"),4810284.81519804)</f>
        <v>4810284.8151980396</v>
      </c>
    </row>
    <row r="8" spans="1:39" ht="13.2">
      <c r="P8" s="19" t="s">
        <v>40</v>
      </c>
      <c r="Q8" s="20">
        <v>8000</v>
      </c>
      <c r="R8" s="21">
        <f ca="1">IFERROR(__xludf.DUMMYFUNCTION("GOOGLEFINANCE(""JPYUSD"")*B5"),51.3615629599999)</f>
        <v>51.361562959999901</v>
      </c>
      <c r="S8" s="20">
        <v>9</v>
      </c>
      <c r="T8" s="22">
        <f>98/480</f>
        <v>0.20416666666666666</v>
      </c>
      <c r="U8" s="22">
        <f>257/480</f>
        <v>0.53541666666666665</v>
      </c>
      <c r="V8" s="22">
        <f t="shared" si="0"/>
        <v>0.26041666666666674</v>
      </c>
      <c r="W8" s="23">
        <v>120</v>
      </c>
      <c r="X8" s="23">
        <v>100</v>
      </c>
      <c r="Y8" s="23">
        <v>80</v>
      </c>
      <c r="Z8" s="23">
        <f t="shared" si="1"/>
        <v>98.875</v>
      </c>
      <c r="AA8" s="23">
        <f t="shared" si="2"/>
        <v>17.797499999999999</v>
      </c>
      <c r="AB8" s="23">
        <f t="shared" ca="1" si="3"/>
        <v>20.7159370400001</v>
      </c>
      <c r="AC8" s="23">
        <v>8</v>
      </c>
      <c r="AD8" s="23" t="s">
        <v>41</v>
      </c>
      <c r="AE8" s="23">
        <f t="shared" si="4"/>
        <v>791</v>
      </c>
      <c r="AF8" s="23">
        <f t="shared" si="5"/>
        <v>142.38</v>
      </c>
      <c r="AG8" s="23">
        <f t="shared" si="6"/>
        <v>64000</v>
      </c>
      <c r="AH8" s="23">
        <f t="shared" ca="1" si="7"/>
        <v>165.7274963200008</v>
      </c>
      <c r="AI8" s="24">
        <f ca="1">IFERROR(__xludf.DUMMYFUNCTION("GOOGLEFINANCE(""USDJPY"")*S5"),25813.4662355587)</f>
        <v>25813.466235558699</v>
      </c>
      <c r="AJ8" s="22">
        <f t="shared" ca="1" si="8"/>
        <v>0.34319749231357766</v>
      </c>
      <c r="AK8" s="22">
        <f t="shared" ca="1" si="9"/>
        <v>0.4033354097135548</v>
      </c>
    </row>
    <row r="9" spans="1:39" ht="13.2">
      <c r="P9" s="19" t="s">
        <v>42</v>
      </c>
      <c r="Q9" s="20">
        <v>9000</v>
      </c>
      <c r="R9" s="21">
        <f ca="1">IFERROR(__xludf.DUMMYFUNCTION("GOOGLEFINANCE(""JPYUSD"")*B6"),57.7817583299999)</f>
        <v>57.781758329999903</v>
      </c>
      <c r="S9" s="20">
        <v>9</v>
      </c>
      <c r="T9" s="22">
        <f>232/762</f>
        <v>0.30446194225721784</v>
      </c>
      <c r="U9" s="22">
        <f>381/762</f>
        <v>0.5</v>
      </c>
      <c r="V9" s="22">
        <f t="shared" si="0"/>
        <v>0.1955380577427821</v>
      </c>
      <c r="W9" s="23">
        <v>160</v>
      </c>
      <c r="X9" s="23">
        <v>110</v>
      </c>
      <c r="Y9" s="23">
        <v>70</v>
      </c>
      <c r="Z9" s="23">
        <f t="shared" si="1"/>
        <v>117.40157480314961</v>
      </c>
      <c r="AA9" s="23">
        <f t="shared" si="2"/>
        <v>14.088188976377953</v>
      </c>
      <c r="AB9" s="23">
        <f t="shared" ca="1" si="3"/>
        <v>36.531627496771762</v>
      </c>
      <c r="AC9" s="23">
        <v>8</v>
      </c>
      <c r="AD9" s="23">
        <v>1</v>
      </c>
      <c r="AE9" s="23">
        <f t="shared" si="4"/>
        <v>939.21259842519692</v>
      </c>
      <c r="AF9" s="23">
        <f t="shared" si="5"/>
        <v>112.70551181102363</v>
      </c>
      <c r="AG9" s="23">
        <f t="shared" si="6"/>
        <v>72000</v>
      </c>
      <c r="AH9" s="23">
        <f t="shared" ca="1" si="7"/>
        <v>292.25301997417409</v>
      </c>
      <c r="AI9" s="24">
        <f ca="1">IFERROR(__xludf.DUMMYFUNCTION("GOOGLEFINANCE(""USDJPY"")*S6"),45520.8920116472)</f>
        <v>45520.8920116472</v>
      </c>
      <c r="AJ9" s="22">
        <f t="shared" ca="1" si="8"/>
        <v>0.54703003350483681</v>
      </c>
      <c r="AK9" s="22">
        <f t="shared" ca="1" si="9"/>
        <v>0.63223461093264766</v>
      </c>
      <c r="AM9" s="25" t="s">
        <v>43</v>
      </c>
    </row>
    <row r="10" spans="1:39" ht="13.2">
      <c r="P10" s="19" t="s">
        <v>44</v>
      </c>
      <c r="Q10" s="20">
        <v>1200</v>
      </c>
      <c r="R10" s="21">
        <f ca="1">IFERROR(__xludf.DUMMYFUNCTION("GOOGLEFINANCE(""JPYUSD"")*B7"),7.70423444399999)</f>
        <v>7.7042344439999901</v>
      </c>
      <c r="S10" s="20">
        <v>9</v>
      </c>
      <c r="T10" s="22">
        <f>361/1084</f>
        <v>0.33302583025830257</v>
      </c>
      <c r="U10" s="22">
        <f>578/1084</f>
        <v>0.53321033210332103</v>
      </c>
      <c r="V10" s="22">
        <f t="shared" si="0"/>
        <v>0.1337638376383764</v>
      </c>
      <c r="W10" s="23">
        <v>45</v>
      </c>
      <c r="X10" s="23">
        <v>22</v>
      </c>
      <c r="Y10" s="23">
        <v>15</v>
      </c>
      <c r="Z10" s="23">
        <f t="shared" si="1"/>
        <v>28.723247232472325</v>
      </c>
      <c r="AA10" s="23">
        <f t="shared" si="2"/>
        <v>5.7446494464944653</v>
      </c>
      <c r="AB10" s="23">
        <f t="shared" ca="1" si="3"/>
        <v>6.2743633419778693</v>
      </c>
      <c r="AC10" s="23">
        <v>8</v>
      </c>
      <c r="AD10" s="23">
        <v>8</v>
      </c>
      <c r="AE10" s="23">
        <f t="shared" si="4"/>
        <v>229.7859778597786</v>
      </c>
      <c r="AF10" s="23">
        <f t="shared" si="5"/>
        <v>45.957195571955722</v>
      </c>
      <c r="AG10" s="23">
        <f t="shared" si="6"/>
        <v>9600</v>
      </c>
      <c r="AH10" s="23">
        <f t="shared" ca="1" si="7"/>
        <v>50.194906735822954</v>
      </c>
      <c r="AI10" s="24">
        <f ca="1">IFERROR(__xludf.DUMMYFUNCTION("GOOGLEFINANCE(""USDJPY"")*S7"),7818.28338081166)</f>
        <v>7818.2833808116602</v>
      </c>
      <c r="AJ10" s="22">
        <f t="shared" ca="1" si="8"/>
        <v>0.37561513896445364</v>
      </c>
      <c r="AK10" s="22">
        <f t="shared" ca="1" si="9"/>
        <v>0.81440451839628325</v>
      </c>
      <c r="AM10" s="26">
        <f>SUM(AG:AG)</f>
        <v>1469040</v>
      </c>
    </row>
    <row r="11" spans="1:39" ht="13.2">
      <c r="P11" s="27" t="s">
        <v>45</v>
      </c>
      <c r="Q11" s="20">
        <v>2000</v>
      </c>
      <c r="R11" s="21">
        <f ca="1">IFERROR(__xludf.DUMMYFUNCTION("GOOGLEFINANCE(""JPYUSD"")*B8"),12.8403907399999)</f>
        <v>12.840390739999901</v>
      </c>
      <c r="S11" s="20">
        <v>9</v>
      </c>
      <c r="T11" s="22">
        <f>501/1014</f>
        <v>0.49408284023668642</v>
      </c>
      <c r="U11" s="22">
        <f>398/1014</f>
        <v>0.39250493096646943</v>
      </c>
      <c r="V11" s="22">
        <f t="shared" si="0"/>
        <v>0.11341222879684421</v>
      </c>
      <c r="W11" s="23">
        <v>35</v>
      </c>
      <c r="X11" s="23">
        <v>30</v>
      </c>
      <c r="Y11" s="23">
        <v>20</v>
      </c>
      <c r="Z11" s="23">
        <f t="shared" si="1"/>
        <v>31.336291913214993</v>
      </c>
      <c r="AA11" s="23">
        <f t="shared" si="2"/>
        <v>6.2672583826429991</v>
      </c>
      <c r="AB11" s="23">
        <f t="shared" ca="1" si="3"/>
        <v>3.2286427905720929</v>
      </c>
      <c r="AC11" s="23">
        <v>2</v>
      </c>
      <c r="AD11" s="23"/>
      <c r="AE11" s="23">
        <f t="shared" si="4"/>
        <v>62.672583826429985</v>
      </c>
      <c r="AF11" s="23">
        <f t="shared" si="5"/>
        <v>12.534516765285998</v>
      </c>
      <c r="AG11" s="23">
        <f t="shared" si="6"/>
        <v>4000</v>
      </c>
      <c r="AH11" s="23">
        <f t="shared" ca="1" si="7"/>
        <v>6.4572855811441858</v>
      </c>
      <c r="AI11" s="24">
        <f ca="1">IFERROR(__xludf.DUMMYFUNCTION("GOOGLEFINANCE(""USDJPY"")*S8"),1005.77711619061)</f>
        <v>1005.7771161906099</v>
      </c>
      <c r="AJ11" s="22">
        <f t="shared" ca="1" si="8"/>
        <v>0.14782898479279258</v>
      </c>
      <c r="AK11" s="22">
        <f t="shared" ca="1" si="9"/>
        <v>0.25144427891235011</v>
      </c>
    </row>
    <row r="12" spans="1:39" ht="13.2">
      <c r="P12" s="27" t="s">
        <v>46</v>
      </c>
      <c r="Q12" s="20">
        <v>2000</v>
      </c>
      <c r="R12" s="21">
        <f ca="1">IFERROR(__xludf.DUMMYFUNCTION("GOOGLEFINANCE(""JPYUSD"")*B9"),12.8403907399999)</f>
        <v>12.840390739999901</v>
      </c>
      <c r="S12" s="20">
        <v>9</v>
      </c>
      <c r="T12" s="22">
        <f>540/932</f>
        <v>0.57939914163090134</v>
      </c>
      <c r="U12" s="22">
        <f>311/932</f>
        <v>0.33369098712446355</v>
      </c>
      <c r="V12" s="22">
        <f t="shared" si="0"/>
        <v>8.6909871244635117E-2</v>
      </c>
      <c r="W12" s="23">
        <v>40</v>
      </c>
      <c r="X12" s="23">
        <v>30</v>
      </c>
      <c r="Y12" s="23">
        <v>20</v>
      </c>
      <c r="Z12" s="23">
        <f t="shared" si="1"/>
        <v>34.92489270386266</v>
      </c>
      <c r="AA12" s="23">
        <f t="shared" si="2"/>
        <v>6.9849785407725324</v>
      </c>
      <c r="AB12" s="23">
        <f t="shared" ca="1" si="3"/>
        <v>6.0995234230902273</v>
      </c>
      <c r="AC12" s="23">
        <v>2</v>
      </c>
      <c r="AD12" s="23"/>
      <c r="AE12" s="23">
        <f t="shared" si="4"/>
        <v>69.849785407725321</v>
      </c>
      <c r="AF12" s="23">
        <f t="shared" si="5"/>
        <v>13.969957081545065</v>
      </c>
      <c r="AG12" s="23">
        <f t="shared" si="6"/>
        <v>4000</v>
      </c>
      <c r="AH12" s="23">
        <f t="shared" ca="1" si="7"/>
        <v>12.199046846180455</v>
      </c>
      <c r="AI12" s="24">
        <f ca="1">IFERROR(__xludf.DUMMYFUNCTION("GOOGLEFINANCE(""USDJPY"")*S9"),1900.10523819076)</f>
        <v>1900.10523819076</v>
      </c>
      <c r="AJ12" s="22">
        <f t="shared" ca="1" si="8"/>
        <v>0.27927721146120188</v>
      </c>
      <c r="AK12" s="22">
        <f t="shared" ca="1" si="9"/>
        <v>0.47502630929207024</v>
      </c>
      <c r="AM12" s="25" t="s">
        <v>47</v>
      </c>
    </row>
    <row r="13" spans="1:39" ht="13.2">
      <c r="P13" s="27" t="s">
        <v>48</v>
      </c>
      <c r="Q13" s="20">
        <v>2000</v>
      </c>
      <c r="R13" s="21">
        <f ca="1">IFERROR(__xludf.DUMMYFUNCTION("GOOGLEFINANCE(""JPYUSD"")*B10"),12.8403907399999)</f>
        <v>12.840390739999901</v>
      </c>
      <c r="S13" s="20">
        <v>9</v>
      </c>
      <c r="T13" s="22">
        <f>457/956</f>
        <v>0.47803347280334729</v>
      </c>
      <c r="U13" s="22">
        <f>386/956</f>
        <v>0.40376569037656906</v>
      </c>
      <c r="V13" s="22">
        <f t="shared" si="0"/>
        <v>0.11820083682008364</v>
      </c>
      <c r="W13" s="23">
        <v>35</v>
      </c>
      <c r="X13" s="23">
        <v>30</v>
      </c>
      <c r="Y13" s="23">
        <v>20</v>
      </c>
      <c r="Z13" s="23">
        <f t="shared" si="1"/>
        <v>31.2081589958159</v>
      </c>
      <c r="AA13" s="23">
        <f t="shared" si="2"/>
        <v>6.24163179916318</v>
      </c>
      <c r="AB13" s="23">
        <f t="shared" ca="1" si="3"/>
        <v>3.1261364566528194</v>
      </c>
      <c r="AC13" s="23">
        <v>2</v>
      </c>
      <c r="AD13" s="23"/>
      <c r="AE13" s="23">
        <f t="shared" si="4"/>
        <v>62.4163179916318</v>
      </c>
      <c r="AF13" s="23">
        <f t="shared" si="5"/>
        <v>12.48326359832636</v>
      </c>
      <c r="AG13" s="23">
        <f t="shared" si="6"/>
        <v>4000</v>
      </c>
      <c r="AH13" s="23">
        <f t="shared" ca="1" si="7"/>
        <v>6.2522729133056387</v>
      </c>
      <c r="AI13" s="24">
        <f ca="1">IFERROR(__xludf.DUMMYFUNCTION("GOOGLEFINANCE(""USDJPY"")*S10"),973.844650567086)</f>
        <v>973.84465056708598</v>
      </c>
      <c r="AJ13" s="22">
        <f t="shared" ca="1" si="8"/>
        <v>0.14313555530521765</v>
      </c>
      <c r="AK13" s="22">
        <f t="shared" ca="1" si="9"/>
        <v>0.24346116251076355</v>
      </c>
      <c r="AM13" s="28">
        <f ca="1">IFERROR(__xludf.DUMMYFUNCTION("GOOGLEFINANCE(""USDJPY"")*SUM(N:N)*9"),1062584.487)</f>
        <v>1062584.487</v>
      </c>
    </row>
    <row r="14" spans="1:39" ht="13.2">
      <c r="P14" s="27" t="s">
        <v>49</v>
      </c>
      <c r="Q14" s="20">
        <v>2000</v>
      </c>
      <c r="R14" s="21">
        <f ca="1">IFERROR(__xludf.DUMMYFUNCTION("GOOGLEFINANCE(""JPYUSD"")*B11"),12.8403907399999)</f>
        <v>12.840390739999901</v>
      </c>
      <c r="S14" s="20">
        <v>9</v>
      </c>
      <c r="T14" s="22">
        <f>461/837</f>
        <v>0.5507765830346476</v>
      </c>
      <c r="U14" s="22">
        <f>283/837</f>
        <v>0.33811230585424135</v>
      </c>
      <c r="V14" s="22">
        <f t="shared" si="0"/>
        <v>0.11111111111111105</v>
      </c>
      <c r="W14" s="23">
        <v>35</v>
      </c>
      <c r="X14" s="23">
        <v>30</v>
      </c>
      <c r="Y14" s="23">
        <v>20</v>
      </c>
      <c r="Z14" s="23">
        <f t="shared" si="1"/>
        <v>31.642771804062129</v>
      </c>
      <c r="AA14" s="23">
        <f t="shared" si="2"/>
        <v>6.3285543608124257</v>
      </c>
      <c r="AB14" s="23">
        <f t="shared" ca="1" si="3"/>
        <v>3.4738267032498023</v>
      </c>
      <c r="AC14" s="23">
        <v>2</v>
      </c>
      <c r="AD14" s="23">
        <v>1</v>
      </c>
      <c r="AE14" s="23">
        <f t="shared" si="4"/>
        <v>63.285543608124257</v>
      </c>
      <c r="AF14" s="23">
        <f t="shared" si="5"/>
        <v>12.657108721624851</v>
      </c>
      <c r="AG14" s="23">
        <f t="shared" si="6"/>
        <v>4000</v>
      </c>
      <c r="AH14" s="23">
        <f t="shared" ca="1" si="7"/>
        <v>6.9476534064996045</v>
      </c>
      <c r="AI14" s="24">
        <f ca="1">IFERROR(__xludf.DUMMYFUNCTION("GOOGLEFINANCE(""USDJPY"")*S11"),1082.15607311623)</f>
        <v>1082.1560731162299</v>
      </c>
      <c r="AJ14" s="22">
        <f t="shared" ca="1" si="8"/>
        <v>0.15905515357321937</v>
      </c>
      <c r="AK14" s="22">
        <f t="shared" ca="1" si="9"/>
        <v>0.27053901813348002</v>
      </c>
    </row>
    <row r="15" spans="1:39" ht="13.2">
      <c r="P15" s="27" t="s">
        <v>50</v>
      </c>
      <c r="Q15" s="20">
        <v>2000</v>
      </c>
      <c r="R15" s="21">
        <f ca="1">IFERROR(__xludf.DUMMYFUNCTION("GOOGLEFINANCE(""JPYUSD"")*B12"),12.8403907399999)</f>
        <v>12.840390739999901</v>
      </c>
      <c r="S15" s="20">
        <v>9</v>
      </c>
      <c r="T15" s="22">
        <f>481/971</f>
        <v>0.49536560247167866</v>
      </c>
      <c r="U15" s="22">
        <f>387/971</f>
        <v>0.39855818743563337</v>
      </c>
      <c r="V15" s="22">
        <f t="shared" si="0"/>
        <v>0.10607621009268803</v>
      </c>
      <c r="W15" s="23">
        <v>40</v>
      </c>
      <c r="X15" s="23">
        <v>25</v>
      </c>
      <c r="Y15" s="23">
        <v>20</v>
      </c>
      <c r="Z15" s="23">
        <f t="shared" si="1"/>
        <v>31.900102986611742</v>
      </c>
      <c r="AA15" s="23">
        <f t="shared" si="2"/>
        <v>6.3800205973223489</v>
      </c>
      <c r="AB15" s="23">
        <f t="shared" ca="1" si="3"/>
        <v>3.6796916492894924</v>
      </c>
      <c r="AC15" s="23">
        <v>2</v>
      </c>
      <c r="AD15" s="23"/>
      <c r="AE15" s="23">
        <f t="shared" si="4"/>
        <v>63.800205973223484</v>
      </c>
      <c r="AF15" s="23">
        <f t="shared" si="5"/>
        <v>12.760041194644698</v>
      </c>
      <c r="AG15" s="23">
        <f t="shared" si="6"/>
        <v>4000</v>
      </c>
      <c r="AH15" s="23">
        <f t="shared" ca="1" si="7"/>
        <v>7.3593832985789849</v>
      </c>
      <c r="AI15" s="24">
        <f ca="1">IFERROR(__xludf.DUMMYFUNCTION("GOOGLEFINANCE(""USDJPY"")*S12"),1146.28650351168)</f>
        <v>1146.2865035116799</v>
      </c>
      <c r="AJ15" s="22">
        <f t="shared" ca="1" si="8"/>
        <v>0.16848103557736574</v>
      </c>
      <c r="AK15" s="22">
        <f t="shared" ca="1" si="9"/>
        <v>0.28657162572371381</v>
      </c>
      <c r="AM15" s="25" t="s">
        <v>30</v>
      </c>
    </row>
    <row r="16" spans="1:39" ht="13.2">
      <c r="P16" s="27" t="s">
        <v>51</v>
      </c>
      <c r="Q16" s="20">
        <v>2500</v>
      </c>
      <c r="R16" s="21">
        <f ca="1">IFERROR(__xludf.DUMMYFUNCTION("GOOGLEFINANCE(""JPYUSD"")*B13"),16.0504884249999)</f>
        <v>16.050488424999902</v>
      </c>
      <c r="S16" s="20">
        <v>9</v>
      </c>
      <c r="T16" s="22">
        <f>492/937</f>
        <v>0.52508004268943431</v>
      </c>
      <c r="U16" s="22">
        <f>334/937</f>
        <v>0.35645677694770544</v>
      </c>
      <c r="V16" s="22">
        <f t="shared" si="0"/>
        <v>0.11846318036286024</v>
      </c>
      <c r="W16" s="23">
        <v>55</v>
      </c>
      <c r="X16" s="23">
        <v>30</v>
      </c>
      <c r="Y16" s="23">
        <v>20</v>
      </c>
      <c r="Z16" s="23">
        <f t="shared" si="1"/>
        <v>41.942369263607254</v>
      </c>
      <c r="AA16" s="23">
        <f t="shared" si="2"/>
        <v>8.388473852721452</v>
      </c>
      <c r="AB16" s="23">
        <f t="shared" ca="1" si="3"/>
        <v>8.5034069858859009</v>
      </c>
      <c r="AC16" s="23">
        <v>2</v>
      </c>
      <c r="AD16" s="23">
        <v>1</v>
      </c>
      <c r="AE16" s="23">
        <f t="shared" si="4"/>
        <v>83.884738527214509</v>
      </c>
      <c r="AF16" s="23">
        <f t="shared" si="5"/>
        <v>16.776947705442904</v>
      </c>
      <c r="AG16" s="23">
        <f t="shared" si="6"/>
        <v>5000</v>
      </c>
      <c r="AH16" s="23">
        <f t="shared" ca="1" si="7"/>
        <v>17.006813971771802</v>
      </c>
      <c r="AI16" s="24">
        <f ca="1">IFERROR(__xludf.DUMMYFUNCTION("GOOGLEFINANCE(""USDJPY"")*S13"),2648.95583402218)</f>
        <v>2648.9558340221802</v>
      </c>
      <c r="AJ16" s="22">
        <f t="shared" ca="1" si="8"/>
        <v>0.33945074609402287</v>
      </c>
      <c r="AK16" s="22">
        <f t="shared" ca="1" si="9"/>
        <v>0.52979116651934244</v>
      </c>
      <c r="AM16" s="25">
        <f ca="1">IFERROR(__xludf.DUMMYFUNCTION("SUM(Q:Q)*GOOGLEFINANCE(""USDJPY"")"),852413.669236398)</f>
        <v>852413.66923639795</v>
      </c>
    </row>
    <row r="17" spans="16:39" ht="13.2">
      <c r="P17" s="27" t="s">
        <v>52</v>
      </c>
      <c r="Q17" s="20">
        <v>4000</v>
      </c>
      <c r="R17" s="21">
        <f ca="1">IFERROR(__xludf.DUMMYFUNCTION("GOOGLEFINANCE(""JPYUSD"")*B14"),25.6807814799999)</f>
        <v>25.680781479999901</v>
      </c>
      <c r="S17" s="20">
        <v>9</v>
      </c>
      <c r="T17" s="22">
        <f>868/2902</f>
        <v>0.29910406616126811</v>
      </c>
      <c r="U17" s="22">
        <f>1394/2902</f>
        <v>0.48035837353549277</v>
      </c>
      <c r="V17" s="22">
        <f t="shared" si="0"/>
        <v>0.22053756030323918</v>
      </c>
      <c r="W17" s="23">
        <v>65</v>
      </c>
      <c r="X17" s="23">
        <v>40</v>
      </c>
      <c r="Y17" s="23">
        <v>25</v>
      </c>
      <c r="Z17" s="23">
        <f t="shared" si="1"/>
        <v>44.169538249483118</v>
      </c>
      <c r="AA17" s="23">
        <f t="shared" si="2"/>
        <v>8.8339076498966236</v>
      </c>
      <c r="AB17" s="23">
        <f t="shared" ca="1" si="3"/>
        <v>0.65484911958659353</v>
      </c>
      <c r="AC17" s="23">
        <v>0</v>
      </c>
      <c r="AD17" s="23">
        <v>1</v>
      </c>
      <c r="AE17" s="23">
        <f t="shared" si="4"/>
        <v>0</v>
      </c>
      <c r="AF17" s="23">
        <f t="shared" si="5"/>
        <v>0</v>
      </c>
      <c r="AG17" s="23">
        <f t="shared" si="6"/>
        <v>0</v>
      </c>
      <c r="AH17" s="23">
        <f t="shared" ca="1" si="7"/>
        <v>0</v>
      </c>
      <c r="AI17" s="24">
        <f ca="1">IFERROR(__xludf.DUMMYFUNCTION("GOOGLEFINANCE(""USDJPY"")*S14"),0)</f>
        <v>0</v>
      </c>
      <c r="AJ17" s="22">
        <f t="shared" ca="1" si="8"/>
        <v>1.8882190413276562E-2</v>
      </c>
      <c r="AK17" s="22">
        <f t="shared" ca="1" si="9"/>
        <v>2.5499579134559736E-2</v>
      </c>
    </row>
    <row r="18" spans="16:39" ht="13.2">
      <c r="P18" s="27" t="s">
        <v>53</v>
      </c>
      <c r="Q18" s="20">
        <v>2000</v>
      </c>
      <c r="R18" s="21">
        <f ca="1">IFERROR(__xludf.DUMMYFUNCTION("GOOGLEFINANCE(""JPYUSD"")*B15"),12.8403907399999)</f>
        <v>12.840390739999901</v>
      </c>
      <c r="S18" s="20">
        <v>9</v>
      </c>
      <c r="T18" s="22">
        <f>535/925</f>
        <v>0.57837837837837835</v>
      </c>
      <c r="U18" s="22">
        <f>328/995</f>
        <v>0.32964824120603015</v>
      </c>
      <c r="V18" s="22">
        <f t="shared" si="0"/>
        <v>9.1973380415591499E-2</v>
      </c>
      <c r="W18" s="23">
        <v>45</v>
      </c>
      <c r="X18" s="23">
        <v>30</v>
      </c>
      <c r="Y18" s="23">
        <v>20</v>
      </c>
      <c r="Z18" s="23">
        <f t="shared" si="1"/>
        <v>37.755941871519759</v>
      </c>
      <c r="AA18" s="23">
        <f t="shared" si="2"/>
        <v>7.5511883743039521</v>
      </c>
      <c r="AB18" s="23">
        <f t="shared" ca="1" si="3"/>
        <v>8.3643627572159076</v>
      </c>
      <c r="AC18" s="23">
        <v>2</v>
      </c>
      <c r="AD18" s="23"/>
      <c r="AE18" s="23">
        <f t="shared" si="4"/>
        <v>75.511883743039519</v>
      </c>
      <c r="AF18" s="23">
        <f t="shared" si="5"/>
        <v>15.102376748607904</v>
      </c>
      <c r="AG18" s="23">
        <f t="shared" si="6"/>
        <v>4000</v>
      </c>
      <c r="AH18" s="23">
        <f t="shared" ca="1" si="7"/>
        <v>16.728725514431815</v>
      </c>
      <c r="AI18" s="24">
        <f ca="1">IFERROR(__xludf.DUMMYFUNCTION("GOOGLEFINANCE(""USDJPY"")*S15"),2605.64119303959)</f>
        <v>2605.6411930395898</v>
      </c>
      <c r="AJ18" s="22">
        <f t="shared" ca="1" si="8"/>
        <v>0.38297679088208225</v>
      </c>
      <c r="AK18" s="22">
        <f t="shared" ca="1" si="9"/>
        <v>0.65141029790935878</v>
      </c>
      <c r="AM18" s="25" t="s">
        <v>54</v>
      </c>
    </row>
    <row r="19" spans="16:39" ht="13.2">
      <c r="P19" s="27" t="s">
        <v>55</v>
      </c>
      <c r="Q19" s="20">
        <v>4000</v>
      </c>
      <c r="R19" s="21">
        <f ca="1">IFERROR(__xludf.DUMMYFUNCTION("GOOGLEFINANCE(""JPYUSD"")*B16"),25.6807814799999)</f>
        <v>25.680781479999901</v>
      </c>
      <c r="S19" s="20">
        <v>9</v>
      </c>
      <c r="T19" s="22">
        <f>555/955</f>
        <v>0.58115183246073299</v>
      </c>
      <c r="U19" s="22">
        <f>310/955</f>
        <v>0.32460732984293195</v>
      </c>
      <c r="V19" s="22">
        <f t="shared" si="0"/>
        <v>9.4240837696335067E-2</v>
      </c>
      <c r="W19" s="23">
        <v>58</v>
      </c>
      <c r="X19" s="23">
        <v>50</v>
      </c>
      <c r="Y19" s="23">
        <v>40</v>
      </c>
      <c r="Z19" s="23">
        <f t="shared" si="1"/>
        <v>53.706806282722511</v>
      </c>
      <c r="AA19" s="23">
        <f t="shared" si="2"/>
        <v>9.667225130890051</v>
      </c>
      <c r="AB19" s="23">
        <f t="shared" ca="1" si="3"/>
        <v>9.3587996718325588</v>
      </c>
      <c r="AC19" s="23">
        <v>2</v>
      </c>
      <c r="AD19" s="23"/>
      <c r="AE19" s="23">
        <f t="shared" si="4"/>
        <v>107.41361256544502</v>
      </c>
      <c r="AF19" s="23">
        <f t="shared" si="5"/>
        <v>19.334450261780102</v>
      </c>
      <c r="AG19" s="23">
        <f t="shared" si="6"/>
        <v>8000</v>
      </c>
      <c r="AH19" s="23">
        <f t="shared" ca="1" si="7"/>
        <v>18.717599343665118</v>
      </c>
      <c r="AI19" s="24">
        <f ca="1">IFERROR(__xludf.DUMMYFUNCTION("GOOGLEFINANCE(""USDJPY"")*S16"),2915.42519737023)</f>
        <v>2915.4251973702299</v>
      </c>
      <c r="AJ19" s="22">
        <f t="shared" ca="1" si="8"/>
        <v>0.26985550130205965</v>
      </c>
      <c r="AK19" s="22">
        <f t="shared" ca="1" si="9"/>
        <v>0.36442814947516911</v>
      </c>
      <c r="AM19" s="29">
        <f ca="1">SUM(AI:AI)</f>
        <v>1449089.1638800402</v>
      </c>
    </row>
    <row r="20" spans="16:39" ht="13.2">
      <c r="P20" s="27" t="s">
        <v>56</v>
      </c>
      <c r="Q20" s="20">
        <v>2000</v>
      </c>
      <c r="R20" s="21">
        <f ca="1">IFERROR(__xludf.DUMMYFUNCTION("GOOGLEFINANCE(""JPYUSD"")*B17"),12.8403907399999)</f>
        <v>12.840390739999901</v>
      </c>
      <c r="S20" s="20">
        <v>9</v>
      </c>
      <c r="T20" s="22">
        <f>432/884</f>
        <v>0.48868778280542985</v>
      </c>
      <c r="U20" s="22">
        <f>329/884</f>
        <v>0.37217194570135748</v>
      </c>
      <c r="V20" s="22">
        <f t="shared" si="0"/>
        <v>0.13914027149321262</v>
      </c>
      <c r="W20" s="23">
        <v>35</v>
      </c>
      <c r="X20" s="23">
        <v>30</v>
      </c>
      <c r="Y20" s="23">
        <v>25</v>
      </c>
      <c r="Z20" s="23">
        <f t="shared" si="1"/>
        <v>31.747737556561084</v>
      </c>
      <c r="AA20" s="23">
        <f t="shared" si="2"/>
        <v>6.3495475113122168</v>
      </c>
      <c r="AB20" s="23">
        <f t="shared" ca="1" si="3"/>
        <v>3.5577993052489667</v>
      </c>
      <c r="AC20" s="23">
        <v>2</v>
      </c>
      <c r="AD20" s="23"/>
      <c r="AE20" s="23">
        <f t="shared" si="4"/>
        <v>63.495475113122168</v>
      </c>
      <c r="AF20" s="23">
        <f t="shared" si="5"/>
        <v>12.699095022624434</v>
      </c>
      <c r="AG20" s="23">
        <f t="shared" si="6"/>
        <v>4000</v>
      </c>
      <c r="AH20" s="23">
        <f t="shared" ca="1" si="7"/>
        <v>7.1155986104979334</v>
      </c>
      <c r="AI20" s="24">
        <f ca="1">IFERROR(__xludf.DUMMYFUNCTION("GOOGLEFINANCE(""USDJPY"")*S17"),1108.31496617321)</f>
        <v>1108.31496617321</v>
      </c>
      <c r="AJ20" s="22">
        <f t="shared" ca="1" si="8"/>
        <v>0.16289998414419316</v>
      </c>
      <c r="AK20" s="22">
        <f t="shared" ca="1" si="9"/>
        <v>0.27707874139420419</v>
      </c>
    </row>
    <row r="21" spans="16:39" ht="13.2">
      <c r="P21" s="20" t="s">
        <v>57</v>
      </c>
      <c r="Q21" s="20">
        <v>600</v>
      </c>
      <c r="R21" s="21">
        <f ca="1">IFERROR(__xludf.DUMMYFUNCTION("GOOGLEFINANCE(""JPYUSD"")*B18"),3.85211722199999)</f>
        <v>3.8521172219999902</v>
      </c>
      <c r="S21" s="20">
        <v>9</v>
      </c>
      <c r="T21" s="22">
        <f>256/527</f>
        <v>0.48576850094876661</v>
      </c>
      <c r="U21" s="22">
        <f>231/527</f>
        <v>0.43833017077798864</v>
      </c>
      <c r="V21" s="22">
        <f t="shared" si="0"/>
        <v>7.5901328273244695E-2</v>
      </c>
      <c r="W21" s="23">
        <v>35</v>
      </c>
      <c r="X21" s="23">
        <v>20</v>
      </c>
      <c r="Y21" s="23">
        <v>15</v>
      </c>
      <c r="Z21" s="23">
        <f t="shared" si="1"/>
        <v>26.907020872865278</v>
      </c>
      <c r="AA21" s="23">
        <f t="shared" si="2"/>
        <v>5.3814041745730563</v>
      </c>
      <c r="AB21" s="23">
        <f t="shared" ca="1" si="3"/>
        <v>8.6734994762922319</v>
      </c>
      <c r="AC21" s="23">
        <v>8</v>
      </c>
      <c r="AD21" s="23">
        <v>8</v>
      </c>
      <c r="AE21" s="23">
        <f t="shared" si="4"/>
        <v>215.25616698292222</v>
      </c>
      <c r="AF21" s="23">
        <f t="shared" si="5"/>
        <v>43.05123339658445</v>
      </c>
      <c r="AG21" s="23">
        <f t="shared" si="6"/>
        <v>4800</v>
      </c>
      <c r="AH21" s="23">
        <f t="shared" ca="1" si="7"/>
        <v>69.387995810337856</v>
      </c>
      <c r="AI21" s="24">
        <f ca="1">IFERROR(__xludf.DUMMYFUNCTION("GOOGLEFINANCE(""USDJPY"")*S18"),10807.7701454244)</f>
        <v>10807.7701454244</v>
      </c>
      <c r="AJ21" s="22">
        <f t="shared" ca="1" si="8"/>
        <v>0.67486930958310232</v>
      </c>
      <c r="AK21" s="22">
        <f t="shared" ca="1" si="9"/>
        <v>2.251618779085081</v>
      </c>
    </row>
    <row r="22" spans="16:39" ht="13.2">
      <c r="P22" s="30" t="s">
        <v>58</v>
      </c>
      <c r="Q22" s="20">
        <v>5000</v>
      </c>
      <c r="R22" s="21">
        <f ca="1">IFERROR(__xludf.DUMMYFUNCTION("GOOGLEFINANCE(""JPYUSD"")*B19"),32.1009768499999)</f>
        <v>32.100976849999903</v>
      </c>
      <c r="S22" s="20">
        <v>9</v>
      </c>
      <c r="T22" s="22">
        <f>339/617</f>
        <v>0.54943273905996759</v>
      </c>
      <c r="U22" s="22">
        <f>230/617</f>
        <v>0.37277147487844409</v>
      </c>
      <c r="V22" s="22">
        <f t="shared" si="0"/>
        <v>7.7795786061588323E-2</v>
      </c>
      <c r="W22" s="23">
        <v>90</v>
      </c>
      <c r="X22" s="23">
        <v>45</v>
      </c>
      <c r="Y22" s="23">
        <v>30</v>
      </c>
      <c r="Z22" s="23">
        <f t="shared" si="1"/>
        <v>68.557536466774721</v>
      </c>
      <c r="AA22" s="23">
        <f t="shared" si="2"/>
        <v>12.34035656401945</v>
      </c>
      <c r="AB22" s="23">
        <f t="shared" ca="1" si="3"/>
        <v>15.116203052755369</v>
      </c>
      <c r="AC22" s="23">
        <v>4</v>
      </c>
      <c r="AD22" s="23"/>
      <c r="AE22" s="23">
        <f t="shared" si="4"/>
        <v>274.23014586709888</v>
      </c>
      <c r="AF22" s="23">
        <f t="shared" si="5"/>
        <v>49.361426256077799</v>
      </c>
      <c r="AG22" s="23">
        <f t="shared" si="6"/>
        <v>20000</v>
      </c>
      <c r="AH22" s="23">
        <f t="shared" ca="1" si="7"/>
        <v>60.464812211021474</v>
      </c>
      <c r="AI22" s="24">
        <f ca="1">IFERROR(__xludf.DUMMYFUNCTION("GOOGLEFINANCE(""USDJPY"")*S19"),9417.90845277033)</f>
        <v>9417.9084527703308</v>
      </c>
      <c r="AJ22" s="22">
        <f t="shared" ca="1" si="8"/>
        <v>0.36778208722198302</v>
      </c>
      <c r="AK22" s="22">
        <f t="shared" ca="1" si="9"/>
        <v>0.47089542238511084</v>
      </c>
    </row>
    <row r="23" spans="16:39" ht="13.2">
      <c r="P23" s="20" t="s">
        <v>59</v>
      </c>
      <c r="Q23" s="20">
        <v>600</v>
      </c>
      <c r="R23" s="21">
        <f ca="1">IFERROR(__xludf.DUMMYFUNCTION("GOOGLEFINANCE(""JPYUSD"")*B20"),3.85211722199999)</f>
        <v>3.8521172219999902</v>
      </c>
      <c r="S23" s="20">
        <v>9</v>
      </c>
      <c r="T23" s="22">
        <f>102/475</f>
        <v>0.21473684210526317</v>
      </c>
      <c r="U23" s="22">
        <f>243/475</f>
        <v>0.51157894736842102</v>
      </c>
      <c r="V23" s="22">
        <f t="shared" si="0"/>
        <v>0.27368421052631586</v>
      </c>
      <c r="W23" s="23">
        <v>30</v>
      </c>
      <c r="X23" s="23">
        <v>25</v>
      </c>
      <c r="Y23" s="23">
        <v>10</v>
      </c>
      <c r="Z23" s="23">
        <f t="shared" si="1"/>
        <v>21.968421052631577</v>
      </c>
      <c r="AA23" s="23">
        <f t="shared" si="2"/>
        <v>4.3936842105263159</v>
      </c>
      <c r="AB23" s="23">
        <f t="shared" ca="1" si="3"/>
        <v>4.722619620105271</v>
      </c>
      <c r="AC23" s="23">
        <v>2</v>
      </c>
      <c r="AD23" s="23">
        <v>1</v>
      </c>
      <c r="AE23" s="23">
        <f t="shared" si="4"/>
        <v>43.936842105263153</v>
      </c>
      <c r="AF23" s="23">
        <f t="shared" si="5"/>
        <v>8.7873684210526317</v>
      </c>
      <c r="AG23" s="23">
        <f t="shared" si="6"/>
        <v>1200</v>
      </c>
      <c r="AH23" s="23">
        <f t="shared" ca="1" si="7"/>
        <v>9.4452392402105421</v>
      </c>
      <c r="AI23" s="24">
        <f ca="1">IFERROR(__xludf.DUMMYFUNCTION("GOOGLEFINANCE(""USDJPY"")*S20"),1471.17629619633)</f>
        <v>1471.17629619633</v>
      </c>
      <c r="AJ23" s="22">
        <f t="shared" ca="1" si="8"/>
        <v>0.36745849252146473</v>
      </c>
      <c r="AK23" s="22">
        <f t="shared" ca="1" si="9"/>
        <v>1.225980246170526</v>
      </c>
    </row>
    <row r="24" spans="16:39" ht="13.2">
      <c r="P24" s="20" t="s">
        <v>60</v>
      </c>
      <c r="Q24" s="20">
        <v>400</v>
      </c>
      <c r="R24" s="21">
        <f ca="1">IFERROR(__xludf.DUMMYFUNCTION("GOOGLEFINANCE(""JPYUSD"")*B21"),2.56807814799999)</f>
        <v>2.5680781479999899</v>
      </c>
      <c r="S24" s="20">
        <v>9</v>
      </c>
      <c r="T24" s="22">
        <f>385/882</f>
        <v>0.43650793650793651</v>
      </c>
      <c r="U24" s="22">
        <f>386/882</f>
        <v>0.43764172335600909</v>
      </c>
      <c r="V24" s="22">
        <f t="shared" si="0"/>
        <v>0.12585034013605439</v>
      </c>
      <c r="W24" s="23">
        <v>25</v>
      </c>
      <c r="X24" s="23">
        <v>15</v>
      </c>
      <c r="Y24" s="23">
        <v>10</v>
      </c>
      <c r="Z24" s="23">
        <f t="shared" si="1"/>
        <v>18.735827664399096</v>
      </c>
      <c r="AA24" s="23">
        <f t="shared" si="2"/>
        <v>3.7471655328798192</v>
      </c>
      <c r="AB24" s="23">
        <f t="shared" ca="1" si="3"/>
        <v>3.4205839835192862</v>
      </c>
      <c r="AC24" s="23">
        <v>8</v>
      </c>
      <c r="AD24" s="23">
        <v>10</v>
      </c>
      <c r="AE24" s="23">
        <f t="shared" si="4"/>
        <v>149.88662131519277</v>
      </c>
      <c r="AF24" s="23">
        <f t="shared" si="5"/>
        <v>29.977324263038554</v>
      </c>
      <c r="AG24" s="23">
        <f t="shared" si="6"/>
        <v>3200</v>
      </c>
      <c r="AH24" s="23">
        <f t="shared" ca="1" si="7"/>
        <v>27.364671868154289</v>
      </c>
      <c r="AI24" s="24">
        <f ca="1">IFERROR(__xludf.DUMMYFUNCTION("GOOGLEFINANCE(""USDJPY"")*S21"),4262.2802431759)</f>
        <v>4262.2802431759001</v>
      </c>
      <c r="AJ24" s="22">
        <f t="shared" ca="1" si="8"/>
        <v>0.29569163864186654</v>
      </c>
      <c r="AK24" s="22">
        <f t="shared" ca="1" si="9"/>
        <v>1.3319625752756881</v>
      </c>
    </row>
    <row r="25" spans="16:39" ht="13.2">
      <c r="P25" s="20" t="s">
        <v>61</v>
      </c>
      <c r="Q25" s="20">
        <v>200</v>
      </c>
      <c r="R25" s="21">
        <f ca="1">IFERROR(__xludf.DUMMYFUNCTION("GOOGLEFINANCE(""JPYUSD"")*B22"),1.28403907399999)</f>
        <v>1.2840390739999901</v>
      </c>
      <c r="S25" s="20">
        <v>9</v>
      </c>
      <c r="T25" s="22">
        <f>185/459</f>
        <v>0.40305010893246185</v>
      </c>
      <c r="U25" s="22">
        <f>193/459</f>
        <v>0.420479302832244</v>
      </c>
      <c r="V25" s="22">
        <f t="shared" si="0"/>
        <v>0.17647058823529416</v>
      </c>
      <c r="W25" s="23">
        <v>25</v>
      </c>
      <c r="X25" s="23">
        <v>20</v>
      </c>
      <c r="Y25" s="23">
        <v>10</v>
      </c>
      <c r="Z25" s="23">
        <f t="shared" si="1"/>
        <v>20.250544662309366</v>
      </c>
      <c r="AA25" s="23">
        <f t="shared" si="2"/>
        <v>4.0501089324618738</v>
      </c>
      <c r="AB25" s="23">
        <f t="shared" ca="1" si="3"/>
        <v>5.9163966558475005</v>
      </c>
      <c r="AC25" s="23">
        <v>8</v>
      </c>
      <c r="AD25" s="23">
        <v>7</v>
      </c>
      <c r="AE25" s="23">
        <f t="shared" si="4"/>
        <v>162.00435729847493</v>
      </c>
      <c r="AF25" s="23">
        <f t="shared" si="5"/>
        <v>32.40087145969499</v>
      </c>
      <c r="AG25" s="23">
        <f t="shared" si="6"/>
        <v>1600</v>
      </c>
      <c r="AH25" s="23">
        <f t="shared" ca="1" si="7"/>
        <v>47.331173246780004</v>
      </c>
      <c r="AI25" s="24">
        <f ca="1">IFERROR(__xludf.DUMMYFUNCTION("GOOGLEFINANCE(""USDJPY"")*S22"),7372.23254815857)</f>
        <v>7372.2325481585704</v>
      </c>
      <c r="AJ25" s="22">
        <f t="shared" ca="1" si="8"/>
        <v>0.5752989281035773</v>
      </c>
      <c r="AK25" s="22">
        <f t="shared" ca="1" si="9"/>
        <v>4.6076453401195687</v>
      </c>
    </row>
    <row r="26" spans="16:39" ht="13.2">
      <c r="P26" s="20" t="s">
        <v>62</v>
      </c>
      <c r="Q26" s="20">
        <v>2500</v>
      </c>
      <c r="R26" s="21">
        <f ca="1">IFERROR(__xludf.DUMMYFUNCTION("GOOGLEFINANCE(""JPYUSD"")*B23"),16.0504884249999)</f>
        <v>16.050488424999902</v>
      </c>
      <c r="S26" s="20">
        <v>9</v>
      </c>
      <c r="T26" s="22">
        <f>34/66</f>
        <v>0.51515151515151514</v>
      </c>
      <c r="U26" s="22">
        <f>22/66</f>
        <v>0.33333333333333331</v>
      </c>
      <c r="V26" s="22">
        <f t="shared" si="0"/>
        <v>0.15151515151515155</v>
      </c>
      <c r="W26" s="23">
        <v>90</v>
      </c>
      <c r="X26" s="23">
        <v>50</v>
      </c>
      <c r="Y26" s="23">
        <v>30</v>
      </c>
      <c r="Z26" s="23">
        <f t="shared" si="1"/>
        <v>67.575757575757564</v>
      </c>
      <c r="AA26" s="23">
        <f t="shared" si="2"/>
        <v>12.16363636363636</v>
      </c>
      <c r="AB26" s="23">
        <f t="shared" ca="1" si="3"/>
        <v>30.361632787121305</v>
      </c>
      <c r="AC26" s="23">
        <v>8</v>
      </c>
      <c r="AD26" s="23">
        <v>2</v>
      </c>
      <c r="AE26" s="23">
        <f t="shared" si="4"/>
        <v>540.60606060606051</v>
      </c>
      <c r="AF26" s="23">
        <f t="shared" si="5"/>
        <v>97.309090909090884</v>
      </c>
      <c r="AG26" s="23">
        <f t="shared" si="6"/>
        <v>20000</v>
      </c>
      <c r="AH26" s="23">
        <f t="shared" ca="1" si="7"/>
        <v>242.89306229697044</v>
      </c>
      <c r="AI26" s="24">
        <f ca="1">IFERROR(__xludf.DUMMYFUNCTION("GOOGLEFINANCE(""USDJPY"")*S23"),37832.6590437825)</f>
        <v>37832.6590437825</v>
      </c>
      <c r="AJ26" s="22">
        <f t="shared" ca="1" si="8"/>
        <v>1.2120175971028566</v>
      </c>
      <c r="AK26" s="22">
        <f t="shared" ca="1" si="9"/>
        <v>1.8916329511711722</v>
      </c>
    </row>
    <row r="27" spans="16:39" ht="13.2">
      <c r="P27" s="20" t="s">
        <v>63</v>
      </c>
      <c r="Q27" s="20">
        <v>1000</v>
      </c>
      <c r="R27" s="21">
        <f ca="1">IFERROR(__xludf.DUMMYFUNCTION("GOOGLEFINANCE(""JPYUSD"")*B24"),6.42019536999999)</f>
        <v>6.4201953699999903</v>
      </c>
      <c r="S27" s="20">
        <v>9</v>
      </c>
      <c r="T27" s="22">
        <f>264/818</f>
        <v>0.32273838630806845</v>
      </c>
      <c r="U27" s="22">
        <f>470/818</f>
        <v>0.57457212713936434</v>
      </c>
      <c r="V27" s="22">
        <f t="shared" si="0"/>
        <v>0.10268948655256727</v>
      </c>
      <c r="W27" s="23">
        <v>35</v>
      </c>
      <c r="X27" s="23">
        <v>25</v>
      </c>
      <c r="Y27" s="23">
        <v>15</v>
      </c>
      <c r="Z27" s="23">
        <f t="shared" si="1"/>
        <v>27.200488997555013</v>
      </c>
      <c r="AA27" s="23">
        <f t="shared" si="2"/>
        <v>5.4400977995110029</v>
      </c>
      <c r="AB27" s="23">
        <f t="shared" ca="1" si="3"/>
        <v>6.3401958280440187</v>
      </c>
      <c r="AC27" s="23">
        <v>8</v>
      </c>
      <c r="AD27" s="23">
        <v>8</v>
      </c>
      <c r="AE27" s="23">
        <f t="shared" si="4"/>
        <v>217.6039119804401</v>
      </c>
      <c r="AF27" s="23">
        <f t="shared" si="5"/>
        <v>43.520782396088023</v>
      </c>
      <c r="AG27" s="23">
        <f t="shared" si="6"/>
        <v>8000</v>
      </c>
      <c r="AH27" s="23">
        <f t="shared" ca="1" si="7"/>
        <v>50.72156662435215</v>
      </c>
      <c r="AI27" s="24">
        <f ca="1">IFERROR(__xludf.DUMMYFUNCTION("GOOGLEFINANCE(""USDJPY"")*S24"),7900.31513505914)</f>
        <v>7900.3151350591397</v>
      </c>
      <c r="AJ27" s="22">
        <f t="shared" ca="1" si="8"/>
        <v>0.41116183523711231</v>
      </c>
      <c r="AK27" s="22">
        <f t="shared" ca="1" si="9"/>
        <v>0.98753939135095636</v>
      </c>
    </row>
    <row r="28" spans="16:39" ht="13.2">
      <c r="P28" s="19" t="s">
        <v>64</v>
      </c>
      <c r="Q28" s="20">
        <v>6500</v>
      </c>
      <c r="R28" s="21">
        <f ca="1">IFERROR(__xludf.DUMMYFUNCTION("GOOGLEFINANCE(""JPYUSD"")*B25"),41.731269905)</f>
        <v>41.731269904999998</v>
      </c>
      <c r="S28" s="20">
        <v>9</v>
      </c>
      <c r="T28" s="22">
        <f t="shared" ref="T28:U28" si="10">42/96</f>
        <v>0.4375</v>
      </c>
      <c r="U28" s="22">
        <f t="shared" si="10"/>
        <v>0.4375</v>
      </c>
      <c r="V28" s="22">
        <f t="shared" si="0"/>
        <v>0.125</v>
      </c>
      <c r="W28" s="23">
        <v>90</v>
      </c>
      <c r="X28" s="23">
        <v>60</v>
      </c>
      <c r="Y28" s="23">
        <v>20</v>
      </c>
      <c r="Z28" s="23">
        <f t="shared" si="1"/>
        <v>68.125</v>
      </c>
      <c r="AA28" s="23">
        <f t="shared" si="2"/>
        <v>12.262499999999999</v>
      </c>
      <c r="AB28" s="23">
        <f t="shared" ca="1" si="3"/>
        <v>5.1312300950000029</v>
      </c>
      <c r="AC28" s="23">
        <v>1</v>
      </c>
      <c r="AD28" s="23">
        <v>2</v>
      </c>
      <c r="AE28" s="23">
        <f t="shared" si="4"/>
        <v>68.125</v>
      </c>
      <c r="AF28" s="23">
        <f t="shared" si="5"/>
        <v>12.262499999999999</v>
      </c>
      <c r="AG28" s="23">
        <f t="shared" si="6"/>
        <v>6500</v>
      </c>
      <c r="AH28" s="23">
        <f t="shared" ca="1" si="7"/>
        <v>5.1312300950000029</v>
      </c>
      <c r="AI28" s="24">
        <f ca="1">IFERROR(__xludf.DUMMYFUNCTION("GOOGLEFINANCE(""USDJPY"")*S25"),799.232702752058)</f>
        <v>799.232702752058</v>
      </c>
      <c r="AJ28" s="22">
        <f t="shared" ca="1" si="8"/>
        <v>0.1011453114540363</v>
      </c>
      <c r="AK28" s="22">
        <f t="shared" ca="1" si="9"/>
        <v>0.12295887728030076</v>
      </c>
    </row>
    <row r="29" spans="16:39" ht="13.2">
      <c r="P29" s="19" t="s">
        <v>65</v>
      </c>
      <c r="Q29" s="20">
        <v>2500</v>
      </c>
      <c r="R29" s="21">
        <f ca="1">IFERROR(__xludf.DUMMYFUNCTION("GOOGLEFINANCE(""JPYUSD"")*B26"),16.0504884249999)</f>
        <v>16.050488424999902</v>
      </c>
      <c r="S29" s="20">
        <v>9</v>
      </c>
      <c r="T29" s="22">
        <f>107/194</f>
        <v>0.55154639175257736</v>
      </c>
      <c r="U29" s="22">
        <f>62/194</f>
        <v>0.31958762886597936</v>
      </c>
      <c r="V29" s="22">
        <f t="shared" si="0"/>
        <v>0.12886597938144329</v>
      </c>
      <c r="W29" s="23">
        <v>75</v>
      </c>
      <c r="X29" s="23">
        <v>45</v>
      </c>
      <c r="Y29" s="23">
        <v>20</v>
      </c>
      <c r="Z29" s="23">
        <f t="shared" si="1"/>
        <v>58.324742268041234</v>
      </c>
      <c r="AA29" s="23">
        <f t="shared" si="2"/>
        <v>10.498453608247422</v>
      </c>
      <c r="AB29" s="23">
        <f t="shared" ca="1" si="3"/>
        <v>22.775800234793913</v>
      </c>
      <c r="AC29" s="23">
        <v>8</v>
      </c>
      <c r="AD29" s="23">
        <v>6</v>
      </c>
      <c r="AE29" s="23">
        <f t="shared" si="4"/>
        <v>466.59793814432987</v>
      </c>
      <c r="AF29" s="23">
        <f t="shared" si="5"/>
        <v>83.987628865979374</v>
      </c>
      <c r="AG29" s="23">
        <f t="shared" si="6"/>
        <v>20000</v>
      </c>
      <c r="AH29" s="23">
        <f t="shared" ca="1" si="7"/>
        <v>182.2064018783513</v>
      </c>
      <c r="AI29" s="24">
        <f ca="1">IFERROR(__xludf.DUMMYFUNCTION("GOOGLEFINANCE(""USDJPY"")*S26"),28380.195846969)</f>
        <v>28380.195846969</v>
      </c>
      <c r="AJ29" s="22">
        <f t="shared" ca="1" si="8"/>
        <v>0.90919585472290054</v>
      </c>
      <c r="AK29" s="22">
        <f t="shared" ca="1" si="9"/>
        <v>1.4190097915848348</v>
      </c>
    </row>
    <row r="30" spans="16:39" ht="13.2">
      <c r="P30" s="20" t="s">
        <v>66</v>
      </c>
      <c r="Q30" s="20">
        <v>200</v>
      </c>
      <c r="R30" s="21">
        <f ca="1">IFERROR(__xludf.DUMMYFUNCTION("GOOGLEFINANCE(""JPYUSD"")*B27"),1.28403907399999)</f>
        <v>1.2840390739999901</v>
      </c>
      <c r="S30" s="20">
        <v>9</v>
      </c>
      <c r="T30" s="22">
        <f>553/1653</f>
        <v>0.33454325468844526</v>
      </c>
      <c r="U30" s="22">
        <f>784/1653</f>
        <v>0.47428917120387176</v>
      </c>
      <c r="V30" s="22">
        <f t="shared" si="0"/>
        <v>0.19116757410768298</v>
      </c>
      <c r="W30" s="23">
        <v>20</v>
      </c>
      <c r="X30" s="23">
        <v>15</v>
      </c>
      <c r="Y30" s="23">
        <v>10</v>
      </c>
      <c r="Z30" s="23">
        <f t="shared" si="1"/>
        <v>15.716878402903813</v>
      </c>
      <c r="AA30" s="23">
        <f t="shared" si="2"/>
        <v>3.1433756805807627</v>
      </c>
      <c r="AB30" s="23">
        <f t="shared" ca="1" si="3"/>
        <v>2.2894636483230602</v>
      </c>
      <c r="AC30" s="23">
        <v>5</v>
      </c>
      <c r="AD30" s="23">
        <v>18</v>
      </c>
      <c r="AE30" s="23">
        <f t="shared" si="4"/>
        <v>78.584392014519068</v>
      </c>
      <c r="AF30" s="23">
        <f t="shared" si="5"/>
        <v>15.716878402903813</v>
      </c>
      <c r="AG30" s="23">
        <f t="shared" si="6"/>
        <v>1000</v>
      </c>
      <c r="AH30" s="23">
        <f t="shared" ca="1" si="7"/>
        <v>11.447318241615301</v>
      </c>
      <c r="AI30" s="24">
        <f ca="1">IFERROR(__xludf.DUMMYFUNCTION("GOOGLEFINANCE(""USDJPY"")*S27"),1783.01711833663)</f>
        <v>1783.0171183366299</v>
      </c>
      <c r="AJ30" s="22">
        <f t="shared" ca="1" si="8"/>
        <v>0.22262300170671856</v>
      </c>
      <c r="AK30" s="22">
        <f t="shared" ca="1" si="9"/>
        <v>1.783017117377129</v>
      </c>
    </row>
    <row r="31" spans="16:39" ht="13.2">
      <c r="P31" s="20" t="s">
        <v>67</v>
      </c>
      <c r="Q31" s="20">
        <v>200</v>
      </c>
      <c r="R31" s="21">
        <f ca="1">IFERROR(__xludf.DUMMYFUNCTION("GOOGLEFINANCE(""JPYUSD"")*B28"),1.28403907399999)</f>
        <v>1.2840390739999901</v>
      </c>
      <c r="S31" s="20">
        <v>9</v>
      </c>
      <c r="T31" s="22">
        <f>723/1503</f>
        <v>0.48103792415169661</v>
      </c>
      <c r="U31" s="22">
        <f>573/1503</f>
        <v>0.38123752495009983</v>
      </c>
      <c r="V31" s="22">
        <f t="shared" si="0"/>
        <v>0.13772455089820351</v>
      </c>
      <c r="W31" s="23">
        <v>30</v>
      </c>
      <c r="X31" s="23">
        <v>20</v>
      </c>
      <c r="Y31" s="23">
        <v>15</v>
      </c>
      <c r="Z31" s="23">
        <f t="shared" si="1"/>
        <v>24.121756487025948</v>
      </c>
      <c r="AA31" s="23">
        <f t="shared" si="2"/>
        <v>4.8243512974051903</v>
      </c>
      <c r="AB31" s="23">
        <f t="shared" ca="1" si="3"/>
        <v>9.0133661156207658</v>
      </c>
      <c r="AC31" s="23">
        <v>8</v>
      </c>
      <c r="AD31" s="23">
        <v>6</v>
      </c>
      <c r="AE31" s="23">
        <f t="shared" si="4"/>
        <v>192.97405189620758</v>
      </c>
      <c r="AF31" s="23">
        <f t="shared" si="5"/>
        <v>38.594810379241522</v>
      </c>
      <c r="AG31" s="23">
        <f t="shared" si="6"/>
        <v>1600</v>
      </c>
      <c r="AH31" s="23">
        <f t="shared" ca="1" si="7"/>
        <v>72.106928924966127</v>
      </c>
      <c r="AI31" s="24">
        <f ca="1">IFERROR(__xludf.DUMMYFUNCTION("GOOGLEFINANCE(""USDJPY"")*S28"),11231.2670889593)</f>
        <v>11231.267088959299</v>
      </c>
      <c r="AJ31" s="22">
        <f t="shared" ca="1" si="8"/>
        <v>0.87644222768545021</v>
      </c>
      <c r="AK31" s="22">
        <f t="shared" ca="1" si="9"/>
        <v>7.0195419268221082</v>
      </c>
    </row>
    <row r="32" spans="16:39" ht="13.2">
      <c r="P32" s="20" t="s">
        <v>68</v>
      </c>
      <c r="Q32" s="20">
        <v>1500</v>
      </c>
      <c r="R32" s="21">
        <f ca="1">IFERROR(__xludf.DUMMYFUNCTION("GOOGLEFINANCE(""JPYUSD"")*B29"),9.630293055)</f>
        <v>9.6302930549999992</v>
      </c>
      <c r="S32" s="20">
        <v>9</v>
      </c>
      <c r="T32" s="22">
        <f>49/122</f>
        <v>0.40163934426229508</v>
      </c>
      <c r="U32" s="22">
        <f>47/122</f>
        <v>0.38524590163934425</v>
      </c>
      <c r="V32" s="22">
        <f t="shared" si="0"/>
        <v>0.21311475409836067</v>
      </c>
      <c r="W32" s="23">
        <v>45</v>
      </c>
      <c r="X32" s="23">
        <v>35</v>
      </c>
      <c r="Y32" s="23">
        <v>20</v>
      </c>
      <c r="Z32" s="23">
        <f t="shared" si="1"/>
        <v>35.819672131147541</v>
      </c>
      <c r="AA32" s="23">
        <f t="shared" si="2"/>
        <v>7.1639344262295088</v>
      </c>
      <c r="AB32" s="23">
        <f t="shared" ca="1" si="3"/>
        <v>10.025444649918033</v>
      </c>
      <c r="AC32" s="23">
        <v>4</v>
      </c>
      <c r="AD32" s="23">
        <v>1</v>
      </c>
      <c r="AE32" s="23">
        <f t="shared" si="4"/>
        <v>143.27868852459017</v>
      </c>
      <c r="AF32" s="23">
        <f t="shared" si="5"/>
        <v>28.655737704918035</v>
      </c>
      <c r="AG32" s="23">
        <f t="shared" si="6"/>
        <v>6000</v>
      </c>
      <c r="AH32" s="23">
        <f t="shared" ca="1" si="7"/>
        <v>40.10177859967213</v>
      </c>
      <c r="AI32" s="24">
        <f ca="1">IFERROR(__xludf.DUMMYFUNCTION("GOOGLEFINANCE(""USDJPY"")*S29"),6246.19288201703)</f>
        <v>6246.1928820170297</v>
      </c>
      <c r="AJ32" s="22">
        <f t="shared" ca="1" si="8"/>
        <v>0.53812597688727193</v>
      </c>
      <c r="AK32" s="22">
        <f t="shared" ca="1" si="9"/>
        <v>1.0410321464426124</v>
      </c>
    </row>
    <row r="33" spans="16:37" ht="13.2">
      <c r="P33" s="19" t="s">
        <v>69</v>
      </c>
      <c r="Q33" s="20">
        <v>300</v>
      </c>
      <c r="R33" s="21">
        <f ca="1">IFERROR(__xludf.DUMMYFUNCTION("GOOGLEFINANCE(""JPYUSD"")*B30"),1.92605861099999)</f>
        <v>1.92605861099999</v>
      </c>
      <c r="S33" s="20">
        <v>9</v>
      </c>
      <c r="T33" s="22">
        <f>400/1611</f>
        <v>0.24829298572315331</v>
      </c>
      <c r="U33" s="22">
        <f>747/1611</f>
        <v>0.46368715083798884</v>
      </c>
      <c r="V33" s="22">
        <f t="shared" si="0"/>
        <v>0.28801986343885788</v>
      </c>
      <c r="W33" s="23">
        <v>40</v>
      </c>
      <c r="X33" s="23">
        <v>20</v>
      </c>
      <c r="Y33" s="23">
        <v>12</v>
      </c>
      <c r="Z33" s="23">
        <f t="shared" si="1"/>
        <v>22.661700806952204</v>
      </c>
      <c r="AA33" s="23">
        <f t="shared" si="2"/>
        <v>4.532340161390441</v>
      </c>
      <c r="AB33" s="23">
        <f t="shared" ca="1" si="3"/>
        <v>7.203302034561772</v>
      </c>
      <c r="AC33" s="23">
        <v>8</v>
      </c>
      <c r="AD33" s="23">
        <v>6</v>
      </c>
      <c r="AE33" s="23">
        <f t="shared" si="4"/>
        <v>181.29360645561763</v>
      </c>
      <c r="AF33" s="23">
        <f t="shared" si="5"/>
        <v>36.258721291123528</v>
      </c>
      <c r="AG33" s="23">
        <f t="shared" si="6"/>
        <v>2400</v>
      </c>
      <c r="AH33" s="23">
        <f t="shared" ca="1" si="7"/>
        <v>57.626416276494176</v>
      </c>
      <c r="AI33" s="24">
        <f ca="1">IFERROR(__xludf.DUMMYFUNCTION("GOOGLEFINANCE(""USDJPY"")*S30"),8975.8041596023)</f>
        <v>8975.8041596022995</v>
      </c>
      <c r="AJ33" s="22">
        <f t="shared" ca="1" si="8"/>
        <v>0.65927726465879732</v>
      </c>
      <c r="AK33" s="22">
        <f t="shared" ca="1" si="9"/>
        <v>3.7399183978217003</v>
      </c>
    </row>
    <row r="34" spans="16:37" ht="13.2">
      <c r="P34" s="19" t="s">
        <v>70</v>
      </c>
      <c r="Q34" s="20">
        <v>3500</v>
      </c>
      <c r="R34" s="21">
        <f ca="1">IFERROR(__xludf.DUMMYFUNCTION("GOOGLEFINANCE(""JPYUSD"")*B31"),22.470683795)</f>
        <v>22.470683794999999</v>
      </c>
      <c r="S34" s="20">
        <v>9</v>
      </c>
      <c r="T34" s="22">
        <f>262/753</f>
        <v>0.34794156706507307</v>
      </c>
      <c r="U34" s="22">
        <f>353/753</f>
        <v>0.46879150066401065</v>
      </c>
      <c r="V34" s="22">
        <f t="shared" si="0"/>
        <v>0.18326693227091628</v>
      </c>
      <c r="W34" s="23">
        <v>65</v>
      </c>
      <c r="X34" s="23">
        <v>50</v>
      </c>
      <c r="Y34" s="23">
        <v>30</v>
      </c>
      <c r="Z34" s="23">
        <f t="shared" si="1"/>
        <v>51.553784860557776</v>
      </c>
      <c r="AA34" s="23">
        <f t="shared" si="2"/>
        <v>9.2796812749003994</v>
      </c>
      <c r="AB34" s="23">
        <f t="shared" ca="1" si="3"/>
        <v>10.803419790657378</v>
      </c>
      <c r="AC34" s="23">
        <v>5</v>
      </c>
      <c r="AD34" s="23">
        <v>4</v>
      </c>
      <c r="AE34" s="23">
        <f t="shared" si="4"/>
        <v>257.76892430278889</v>
      </c>
      <c r="AF34" s="23">
        <f t="shared" si="5"/>
        <v>46.398406374501995</v>
      </c>
      <c r="AG34" s="23">
        <f t="shared" si="6"/>
        <v>17500</v>
      </c>
      <c r="AH34" s="23">
        <f t="shared" ca="1" si="7"/>
        <v>54.01709895328689</v>
      </c>
      <c r="AI34" s="24">
        <f ca="1">IFERROR(__xludf.DUMMYFUNCTION("GOOGLEFINANCE(""USDJPY"")*S31"),8413.62230731553)</f>
        <v>8413.6223073155306</v>
      </c>
      <c r="AJ34" s="22">
        <f t="shared" ca="1" si="8"/>
        <v>0.34328519396117485</v>
      </c>
      <c r="AK34" s="22">
        <f t="shared" ca="1" si="9"/>
        <v>0.48077841730215926</v>
      </c>
    </row>
    <row r="35" spans="16:37" ht="13.2">
      <c r="P35" s="20" t="s">
        <v>71</v>
      </c>
      <c r="Q35" s="20">
        <v>400</v>
      </c>
      <c r="R35" s="21">
        <f ca="1">IFERROR(__xludf.DUMMYFUNCTION("GOOGLEFINANCE(""JPYUSD"")*B32"),2.56807814799999)</f>
        <v>2.5680781479999899</v>
      </c>
      <c r="S35" s="20">
        <v>9</v>
      </c>
      <c r="T35" s="22">
        <f>215/719</f>
        <v>0.29902642559109877</v>
      </c>
      <c r="U35" s="22">
        <f>340/719</f>
        <v>0.47287899860917942</v>
      </c>
      <c r="V35" s="22">
        <f t="shared" si="0"/>
        <v>0.22809457579972175</v>
      </c>
      <c r="W35" s="23">
        <v>45</v>
      </c>
      <c r="X35" s="23">
        <v>15</v>
      </c>
      <c r="Y35" s="23">
        <v>15</v>
      </c>
      <c r="Z35" s="23">
        <f t="shared" si="1"/>
        <v>23.970792767732963</v>
      </c>
      <c r="AA35" s="23">
        <f t="shared" si="2"/>
        <v>4.7941585535465929</v>
      </c>
      <c r="AB35" s="23">
        <f t="shared" ca="1" si="3"/>
        <v>7.6085560661863791</v>
      </c>
      <c r="AC35" s="23">
        <v>4</v>
      </c>
      <c r="AD35" s="23">
        <v>5</v>
      </c>
      <c r="AE35" s="23">
        <f t="shared" si="4"/>
        <v>95.883171070931851</v>
      </c>
      <c r="AF35" s="23">
        <f t="shared" si="5"/>
        <v>19.176634214186372</v>
      </c>
      <c r="AG35" s="23">
        <f t="shared" si="6"/>
        <v>1600</v>
      </c>
      <c r="AH35" s="23">
        <f t="shared" ca="1" si="7"/>
        <v>30.434224264745517</v>
      </c>
      <c r="AI35" s="24">
        <f ca="1">IFERROR(__xludf.DUMMYFUNCTION("GOOGLEFINANCE(""USDJPY"")*S32"),4740.38912014035)</f>
        <v>4740.3891201403503</v>
      </c>
      <c r="AJ35" s="22">
        <f t="shared" ca="1" si="8"/>
        <v>0.65771997464434706</v>
      </c>
      <c r="AK35" s="22">
        <f t="shared" ca="1" si="9"/>
        <v>2.9627431984933539</v>
      </c>
    </row>
    <row r="36" spans="16:37" ht="13.2">
      <c r="P36" s="20" t="s">
        <v>72</v>
      </c>
      <c r="Q36" s="20">
        <v>200</v>
      </c>
      <c r="R36" s="21">
        <f ca="1">IFERROR(__xludf.DUMMYFUNCTION("GOOGLEFINANCE(""JPYUSD"")*B33"),1.28403907399999)</f>
        <v>1.2840390739999901</v>
      </c>
      <c r="S36" s="20">
        <v>9</v>
      </c>
      <c r="T36" s="22">
        <f>387/1248</f>
        <v>0.31009615384615385</v>
      </c>
      <c r="U36" s="22">
        <f>578/1248</f>
        <v>0.46314102564102566</v>
      </c>
      <c r="V36" s="22">
        <f t="shared" si="0"/>
        <v>0.22676282051282048</v>
      </c>
      <c r="W36" s="23">
        <v>30</v>
      </c>
      <c r="X36" s="23">
        <v>15</v>
      </c>
      <c r="Y36" s="23">
        <v>10</v>
      </c>
      <c r="Z36" s="23">
        <f t="shared" si="1"/>
        <v>18.517628205128204</v>
      </c>
      <c r="AA36" s="23">
        <f t="shared" si="2"/>
        <v>3.703525641025641</v>
      </c>
      <c r="AB36" s="23">
        <f t="shared" ca="1" si="3"/>
        <v>4.530063490102572</v>
      </c>
      <c r="AC36" s="23">
        <v>8</v>
      </c>
      <c r="AD36" s="23">
        <v>2</v>
      </c>
      <c r="AE36" s="23">
        <f t="shared" si="4"/>
        <v>148.14102564102564</v>
      </c>
      <c r="AF36" s="23">
        <f t="shared" si="5"/>
        <v>29.628205128205128</v>
      </c>
      <c r="AG36" s="23">
        <f t="shared" si="6"/>
        <v>1600</v>
      </c>
      <c r="AH36" s="23">
        <f t="shared" ca="1" si="7"/>
        <v>36.240507920820576</v>
      </c>
      <c r="AI36" s="24">
        <f ca="1">IFERROR(__xludf.DUMMYFUNCTION("GOOGLEFINANCE(""USDJPY"")*S33"),5644.76715298512)</f>
        <v>5644.7671529851204</v>
      </c>
      <c r="AJ36" s="22">
        <f t="shared" ca="1" si="8"/>
        <v>0.44049458170140909</v>
      </c>
      <c r="AK36" s="22">
        <f t="shared" ca="1" si="9"/>
        <v>3.5279794687171702</v>
      </c>
    </row>
    <row r="37" spans="16:37" ht="13.2">
      <c r="P37" s="20" t="s">
        <v>73</v>
      </c>
      <c r="Q37" s="20">
        <v>600</v>
      </c>
      <c r="R37" s="21">
        <f ca="1">IFERROR(__xludf.DUMMYFUNCTION("GOOGLEFINANCE(""JPYUSD"")*B34"),3.85211722199999)</f>
        <v>3.8521172219999902</v>
      </c>
      <c r="S37" s="20">
        <v>9</v>
      </c>
      <c r="T37" s="22">
        <f>125/370</f>
        <v>0.33783783783783783</v>
      </c>
      <c r="U37" s="22">
        <f>205/370</f>
        <v>0.55405405405405406</v>
      </c>
      <c r="V37" s="22">
        <f t="shared" si="0"/>
        <v>0.10810810810810811</v>
      </c>
      <c r="W37" s="23">
        <v>50</v>
      </c>
      <c r="X37" s="23">
        <v>15</v>
      </c>
      <c r="Y37" s="23">
        <v>10</v>
      </c>
      <c r="Z37" s="23">
        <f t="shared" si="1"/>
        <v>26.283783783783782</v>
      </c>
      <c r="AA37" s="23">
        <f t="shared" si="2"/>
        <v>5.256756756756757</v>
      </c>
      <c r="AB37" s="23">
        <f t="shared" ca="1" si="3"/>
        <v>8.1749098050270348</v>
      </c>
      <c r="AC37" s="23">
        <v>4</v>
      </c>
      <c r="AD37" s="23">
        <v>1</v>
      </c>
      <c r="AE37" s="23">
        <f t="shared" si="4"/>
        <v>105.13513513513513</v>
      </c>
      <c r="AF37" s="23">
        <f t="shared" si="5"/>
        <v>21.027027027027028</v>
      </c>
      <c r="AG37" s="23">
        <f t="shared" si="6"/>
        <v>2400</v>
      </c>
      <c r="AH37" s="23">
        <f t="shared" ca="1" si="7"/>
        <v>32.699639220108139</v>
      </c>
      <c r="AI37" s="24">
        <f ca="1">IFERROR(__xludf.DUMMYFUNCTION("GOOGLEFINANCE(""USDJPY"")*S34"),5093.2467554652)</f>
        <v>5093.2467554652003</v>
      </c>
      <c r="AJ37" s="22">
        <f t="shared" ca="1" si="8"/>
        <v>0.63607494888339433</v>
      </c>
      <c r="AK37" s="22">
        <f t="shared" ca="1" si="9"/>
        <v>2.1221861469684673</v>
      </c>
    </row>
    <row r="38" spans="16:37" ht="13.2">
      <c r="P38" s="20" t="s">
        <v>74</v>
      </c>
      <c r="Q38" s="20">
        <v>300</v>
      </c>
      <c r="R38" s="21">
        <f ca="1">IFERROR(__xludf.DUMMYFUNCTION("GOOGLEFINANCE(""JPYUSD"")*B35"),1.92605861099999)</f>
        <v>1.92605861099999</v>
      </c>
      <c r="S38" s="20">
        <v>9</v>
      </c>
      <c r="T38" s="22">
        <f>417/1372</f>
        <v>0.30393586005830903</v>
      </c>
      <c r="U38" s="22">
        <f>571/1372</f>
        <v>0.41618075801749271</v>
      </c>
      <c r="V38" s="22">
        <f t="shared" si="0"/>
        <v>0.2798833819241982</v>
      </c>
      <c r="W38" s="23">
        <v>30</v>
      </c>
      <c r="X38" s="23">
        <v>25</v>
      </c>
      <c r="Y38" s="23">
        <v>15</v>
      </c>
      <c r="Z38" s="23">
        <f t="shared" si="1"/>
        <v>23.720845481049562</v>
      </c>
      <c r="AA38" s="23">
        <f t="shared" si="2"/>
        <v>4.7441690962099123</v>
      </c>
      <c r="AB38" s="23">
        <f t="shared" ca="1" si="3"/>
        <v>8.050617773839658</v>
      </c>
      <c r="AC38" s="23">
        <v>8</v>
      </c>
      <c r="AD38" s="23">
        <v>10</v>
      </c>
      <c r="AE38" s="23">
        <f t="shared" si="4"/>
        <v>189.76676384839649</v>
      </c>
      <c r="AF38" s="23">
        <f t="shared" si="5"/>
        <v>37.953352769679299</v>
      </c>
      <c r="AG38" s="23">
        <f t="shared" si="6"/>
        <v>2400</v>
      </c>
      <c r="AH38" s="23">
        <f t="shared" ca="1" si="7"/>
        <v>64.404942190717264</v>
      </c>
      <c r="AI38" s="24">
        <f ca="1">IFERROR(__xludf.DUMMYFUNCTION("GOOGLEFINANCE(""USDJPY"")*S35"),10031.6171882128)</f>
        <v>10031.6171882128</v>
      </c>
      <c r="AJ38" s="22">
        <f t="shared" ca="1" si="8"/>
        <v>0.73682725495674772</v>
      </c>
      <c r="AK38" s="22">
        <f t="shared" ca="1" si="9"/>
        <v>4.1798404928393431</v>
      </c>
    </row>
    <row r="39" spans="16:37" ht="13.2">
      <c r="P39" s="20" t="s">
        <v>75</v>
      </c>
      <c r="Q39" s="20">
        <v>500</v>
      </c>
      <c r="R39" s="21">
        <f ca="1">IFERROR(__xludf.DUMMYFUNCTION("GOOGLEFINANCE(""JPYUSD"")*B36"),3.21009768499999)</f>
        <v>3.2100976849999898</v>
      </c>
      <c r="S39" s="20">
        <v>9</v>
      </c>
      <c r="T39" s="22">
        <f>280/533</f>
        <v>0.52532833020637903</v>
      </c>
      <c r="U39" s="22">
        <f>215/533</f>
        <v>0.40337711069418386</v>
      </c>
      <c r="V39" s="22">
        <f t="shared" si="0"/>
        <v>7.1294559099437105E-2</v>
      </c>
      <c r="W39" s="23">
        <v>25</v>
      </c>
      <c r="X39" s="23">
        <v>17</v>
      </c>
      <c r="Y39" s="23">
        <v>15</v>
      </c>
      <c r="Z39" s="23">
        <f t="shared" si="1"/>
        <v>21.060037523452156</v>
      </c>
      <c r="AA39" s="23">
        <f t="shared" si="2"/>
        <v>4.2120075046904315</v>
      </c>
      <c r="AB39" s="23">
        <f t="shared" ca="1" si="3"/>
        <v>4.637932333761734</v>
      </c>
      <c r="AC39" s="23">
        <v>4</v>
      </c>
      <c r="AD39" s="23">
        <v>4</v>
      </c>
      <c r="AE39" s="23">
        <f t="shared" si="4"/>
        <v>84.240150093808623</v>
      </c>
      <c r="AF39" s="23">
        <f t="shared" si="5"/>
        <v>16.848030018761726</v>
      </c>
      <c r="AG39" s="23">
        <f t="shared" si="6"/>
        <v>2000</v>
      </c>
      <c r="AH39" s="23">
        <f t="shared" ca="1" si="7"/>
        <v>18.551729335046936</v>
      </c>
      <c r="AI39" s="24">
        <f ca="1">IFERROR(__xludf.DUMMYFUNCTION("GOOGLEFINANCE(""USDJPY"")*S36"),2889.5895336329)</f>
        <v>2889.5895336328999</v>
      </c>
      <c r="AJ39" s="22">
        <f t="shared" ca="1" si="8"/>
        <v>0.37984399907458544</v>
      </c>
      <c r="AK39" s="22">
        <f t="shared" ca="1" si="9"/>
        <v>1.4447947660389495</v>
      </c>
    </row>
    <row r="40" spans="16:37" ht="13.2">
      <c r="P40" s="20" t="s">
        <v>76</v>
      </c>
      <c r="Q40" s="20">
        <v>50000</v>
      </c>
      <c r="R40" s="21">
        <f ca="1">IFERROR(__xludf.DUMMYFUNCTION("GOOGLEFINANCE(""JPYUSD"")*B37"),321.009768499999)</f>
        <v>321.00976849999898</v>
      </c>
      <c r="S40" s="20">
        <v>9</v>
      </c>
      <c r="T40" s="22">
        <f>5/9</f>
        <v>0.55555555555555558</v>
      </c>
      <c r="U40" s="22">
        <f>3/9</f>
        <v>0.33333333333333331</v>
      </c>
      <c r="V40" s="22">
        <f t="shared" si="0"/>
        <v>0.1111111111111111</v>
      </c>
      <c r="W40" s="23">
        <v>700</v>
      </c>
      <c r="X40" s="23">
        <v>500</v>
      </c>
      <c r="Y40" s="23">
        <v>300</v>
      </c>
      <c r="Z40" s="23">
        <f t="shared" si="1"/>
        <v>588.88888888888891</v>
      </c>
      <c r="AA40" s="23">
        <f t="shared" si="2"/>
        <v>44.166666666666664</v>
      </c>
      <c r="AB40" s="23">
        <f t="shared" ca="1" si="3"/>
        <v>214.71245372222327</v>
      </c>
      <c r="AC40" s="23">
        <v>2</v>
      </c>
      <c r="AD40" s="23">
        <v>1</v>
      </c>
      <c r="AE40" s="23">
        <f t="shared" si="4"/>
        <v>1177.7777777777778</v>
      </c>
      <c r="AF40" s="23">
        <f t="shared" si="5"/>
        <v>88.333333333333329</v>
      </c>
      <c r="AG40" s="23">
        <f t="shared" si="6"/>
        <v>100000</v>
      </c>
      <c r="AH40" s="23">
        <f t="shared" ca="1" si="7"/>
        <v>429.42490744444655</v>
      </c>
      <c r="AI40" s="24">
        <f ca="1">IFERROR(__xludf.DUMMYFUNCTION("GOOGLEFINANCE(""USDJPY"")*S37"),66886.5794461855)</f>
        <v>66886.579446185497</v>
      </c>
      <c r="AJ40" s="22">
        <f t="shared" ca="1" si="8"/>
        <v>0.65062453968608491</v>
      </c>
      <c r="AK40" s="22">
        <f t="shared" ca="1" si="9"/>
        <v>0.6688657941019136</v>
      </c>
    </row>
    <row r="41" spans="16:37" ht="13.2">
      <c r="P41" s="30" t="s">
        <v>77</v>
      </c>
      <c r="Q41" s="20">
        <v>6500</v>
      </c>
      <c r="R41" s="21">
        <f ca="1">IFERROR(__xludf.DUMMYFUNCTION("GOOGLEFINANCE(""JPYUSD"")*B38"),41.731269905)</f>
        <v>41.731269904999998</v>
      </c>
      <c r="S41" s="20">
        <v>9</v>
      </c>
      <c r="T41" s="22">
        <f>407/722</f>
        <v>0.56371191135734067</v>
      </c>
      <c r="U41" s="22">
        <f>254/722</f>
        <v>0.35180055401662053</v>
      </c>
      <c r="V41" s="22">
        <f t="shared" si="0"/>
        <v>8.4487534626038807E-2</v>
      </c>
      <c r="W41" s="23">
        <v>110</v>
      </c>
      <c r="X41" s="23">
        <v>80</v>
      </c>
      <c r="Y41" s="23">
        <v>65</v>
      </c>
      <c r="Z41" s="23">
        <f t="shared" si="1"/>
        <v>95.644044321329631</v>
      </c>
      <c r="AA41" s="23">
        <f t="shared" si="2"/>
        <v>17.215927977839332</v>
      </c>
      <c r="AB41" s="23">
        <f t="shared" ca="1" si="3"/>
        <v>27.696846438490301</v>
      </c>
      <c r="AC41" s="23">
        <v>8</v>
      </c>
      <c r="AD41" s="23">
        <v>6</v>
      </c>
      <c r="AE41" s="23">
        <f t="shared" si="4"/>
        <v>765.15235457063704</v>
      </c>
      <c r="AF41" s="23">
        <f t="shared" si="5"/>
        <v>137.72742382271466</v>
      </c>
      <c r="AG41" s="23">
        <f t="shared" si="6"/>
        <v>52000</v>
      </c>
      <c r="AH41" s="23">
        <f t="shared" ca="1" si="7"/>
        <v>221.57477150792241</v>
      </c>
      <c r="AI41" s="24">
        <f ca="1">IFERROR(__xludf.DUMMYFUNCTION("GOOGLEFINANCE(""USDJPY"")*S38"),34512.1540479167)</f>
        <v>34512.154047916702</v>
      </c>
      <c r="AJ41" s="22">
        <f t="shared" ca="1" si="8"/>
        <v>0.5459521610705933</v>
      </c>
      <c r="AK41" s="22">
        <f t="shared" ca="1" si="9"/>
        <v>0.66369526979508064</v>
      </c>
    </row>
    <row r="42" spans="16:37" ht="13.2">
      <c r="P42" s="20" t="s">
        <v>78</v>
      </c>
      <c r="Q42" s="20">
        <v>2500</v>
      </c>
      <c r="R42" s="21">
        <f ca="1">IFERROR(__xludf.DUMMYFUNCTION("GOOGLEFINANCE(""JPYUSD"")*B39"),16.0504884249999)</f>
        <v>16.050488424999902</v>
      </c>
      <c r="S42" s="20">
        <v>9</v>
      </c>
      <c r="T42" s="22">
        <f>73/112</f>
        <v>0.6517857142857143</v>
      </c>
      <c r="U42" s="22">
        <f>30/112</f>
        <v>0.26785714285714285</v>
      </c>
      <c r="V42" s="22">
        <f t="shared" si="0"/>
        <v>8.0357142857142849E-2</v>
      </c>
      <c r="W42" s="23">
        <v>50</v>
      </c>
      <c r="X42" s="23">
        <v>30</v>
      </c>
      <c r="Y42" s="23">
        <v>20</v>
      </c>
      <c r="Z42" s="23">
        <f t="shared" si="1"/>
        <v>42.232142857142854</v>
      </c>
      <c r="AA42" s="23">
        <f t="shared" si="2"/>
        <v>8.4464285714285712</v>
      </c>
      <c r="AB42" s="23">
        <f t="shared" ca="1" si="3"/>
        <v>8.7352258607143813</v>
      </c>
      <c r="AC42" s="23">
        <v>4</v>
      </c>
      <c r="AD42" s="23"/>
      <c r="AE42" s="23">
        <f t="shared" si="4"/>
        <v>168.92857142857142</v>
      </c>
      <c r="AF42" s="23">
        <f t="shared" si="5"/>
        <v>33.785714285714285</v>
      </c>
      <c r="AG42" s="23">
        <f t="shared" si="6"/>
        <v>10000</v>
      </c>
      <c r="AH42" s="23">
        <f t="shared" ca="1" si="7"/>
        <v>34.940903442857525</v>
      </c>
      <c r="AI42" s="24">
        <f ca="1">IFERROR(__xludf.DUMMYFUNCTION("GOOGLEFINANCE(""USDJPY"")*S39"),5442.34270890426)</f>
        <v>5442.3427089042598</v>
      </c>
      <c r="AJ42" s="22">
        <f t="shared" ca="1" si="8"/>
        <v>0.34870481215834481</v>
      </c>
      <c r="AK42" s="22">
        <f t="shared" ca="1" si="9"/>
        <v>0.5442342705975588</v>
      </c>
    </row>
    <row r="43" spans="16:37" ht="13.2">
      <c r="P43" s="20" t="s">
        <v>79</v>
      </c>
      <c r="Q43" s="20">
        <v>300</v>
      </c>
      <c r="R43" s="21">
        <f ca="1">IFERROR(__xludf.DUMMYFUNCTION("GOOGLEFINANCE(""JPYUSD"")*B40"),1.92605861099999)</f>
        <v>1.92605861099999</v>
      </c>
      <c r="S43" s="20">
        <v>9</v>
      </c>
      <c r="T43" s="22">
        <f>292/836</f>
        <v>0.34928229665071769</v>
      </c>
      <c r="U43" s="22">
        <f>392/836</f>
        <v>0.46889952153110048</v>
      </c>
      <c r="V43" s="22">
        <f t="shared" si="0"/>
        <v>0.18181818181818188</v>
      </c>
      <c r="W43" s="23">
        <v>30</v>
      </c>
      <c r="X43" s="23">
        <v>20</v>
      </c>
      <c r="Y43" s="23">
        <v>10</v>
      </c>
      <c r="Z43" s="23">
        <f t="shared" si="1"/>
        <v>21.67464114832536</v>
      </c>
      <c r="AA43" s="23">
        <f t="shared" si="2"/>
        <v>4.3349282296650724</v>
      </c>
      <c r="AB43" s="23">
        <f t="shared" ca="1" si="3"/>
        <v>6.4136543076602965</v>
      </c>
      <c r="AC43" s="23">
        <v>8</v>
      </c>
      <c r="AD43" s="23">
        <v>4</v>
      </c>
      <c r="AE43" s="23">
        <f t="shared" si="4"/>
        <v>173.39712918660288</v>
      </c>
      <c r="AF43" s="23">
        <f t="shared" si="5"/>
        <v>34.679425837320579</v>
      </c>
      <c r="AG43" s="23">
        <f t="shared" si="6"/>
        <v>2400</v>
      </c>
      <c r="AH43" s="23">
        <f t="shared" ca="1" si="7"/>
        <v>51.309234461282372</v>
      </c>
      <c r="AI43" s="24">
        <f ca="1">IFERROR(__xludf.DUMMYFUNCTION("GOOGLEFINANCE(""USDJPY"")*S40"),7991.84939583764)</f>
        <v>7991.8493958376403</v>
      </c>
      <c r="AJ43" s="22">
        <f t="shared" ca="1" si="8"/>
        <v>0.58700529953255465</v>
      </c>
      <c r="AK43" s="22">
        <f t="shared" ca="1" si="9"/>
        <v>3.3299372464737158</v>
      </c>
    </row>
    <row r="44" spans="16:37" ht="13.2">
      <c r="P44" s="20" t="s">
        <v>80</v>
      </c>
      <c r="Q44" s="20">
        <v>1400</v>
      </c>
      <c r="R44" s="21">
        <f ca="1">IFERROR(__xludf.DUMMYFUNCTION("GOOGLEFINANCE(""JPYUSD"")*B41"),8.988273518)</f>
        <v>8.9882735179999997</v>
      </c>
      <c r="S44" s="20">
        <v>9</v>
      </c>
      <c r="T44" s="22">
        <f>272/704</f>
        <v>0.38636363636363635</v>
      </c>
      <c r="U44" s="22">
        <f>310/704</f>
        <v>0.44034090909090912</v>
      </c>
      <c r="V44" s="22">
        <f t="shared" si="0"/>
        <v>0.17329545454545453</v>
      </c>
      <c r="W44" s="23">
        <v>45</v>
      </c>
      <c r="X44" s="23">
        <v>20</v>
      </c>
      <c r="Y44" s="23">
        <v>15</v>
      </c>
      <c r="Z44" s="23">
        <f t="shared" si="1"/>
        <v>28.792613636363637</v>
      </c>
      <c r="AA44" s="23">
        <f t="shared" si="2"/>
        <v>5.7585227272727275</v>
      </c>
      <c r="AB44" s="23">
        <f t="shared" ca="1" si="3"/>
        <v>5.0458173910909094</v>
      </c>
      <c r="AC44" s="23">
        <v>4</v>
      </c>
      <c r="AD44" s="23">
        <v>4</v>
      </c>
      <c r="AE44" s="23">
        <f t="shared" si="4"/>
        <v>115.17045454545455</v>
      </c>
      <c r="AF44" s="23">
        <f t="shared" si="5"/>
        <v>23.03409090909091</v>
      </c>
      <c r="AG44" s="23">
        <f t="shared" si="6"/>
        <v>5600</v>
      </c>
      <c r="AH44" s="23">
        <f t="shared" ca="1" si="7"/>
        <v>20.183269564363638</v>
      </c>
      <c r="AI44" s="24">
        <f ca="1">IFERROR(__xludf.DUMMYFUNCTION("GOOGLEFINANCE(""USDJPY"")*S41"),3143.71579244093)</f>
        <v>3143.7157924409298</v>
      </c>
      <c r="AJ44" s="22">
        <f t="shared" ca="1" si="8"/>
        <v>0.28050592993495471</v>
      </c>
      <c r="AK44" s="22">
        <f t="shared" ca="1" si="9"/>
        <v>0.56137781977663548</v>
      </c>
    </row>
    <row r="45" spans="16:37" ht="13.2">
      <c r="P45" s="20" t="s">
        <v>81</v>
      </c>
      <c r="Q45" s="20">
        <v>18000</v>
      </c>
      <c r="R45" s="21">
        <f ca="1">IFERROR(__xludf.DUMMYFUNCTION("GOOGLEFINANCE(""JPYUSD"")*B42"),115.563516659999)</f>
        <v>115.563516659999</v>
      </c>
      <c r="S45" s="20">
        <v>9</v>
      </c>
      <c r="T45" s="22">
        <f>73/150</f>
        <v>0.48666666666666669</v>
      </c>
      <c r="U45" s="22">
        <f>51/150</f>
        <v>0.34</v>
      </c>
      <c r="V45" s="22">
        <f t="shared" si="0"/>
        <v>0.17333333333333328</v>
      </c>
      <c r="W45" s="23">
        <v>250</v>
      </c>
      <c r="X45" s="23">
        <v>144</v>
      </c>
      <c r="Y45" s="23">
        <v>120</v>
      </c>
      <c r="Z45" s="23">
        <f t="shared" si="1"/>
        <v>191.42666666666665</v>
      </c>
      <c r="AA45" s="23">
        <f t="shared" si="2"/>
        <v>22.971199999999996</v>
      </c>
      <c r="AB45" s="23">
        <f t="shared" ca="1" si="3"/>
        <v>43.891950006667656</v>
      </c>
      <c r="AC45" s="23">
        <v>2</v>
      </c>
      <c r="AD45" s="23"/>
      <c r="AE45" s="23">
        <f t="shared" si="4"/>
        <v>382.8533333333333</v>
      </c>
      <c r="AF45" s="23">
        <f t="shared" si="5"/>
        <v>45.942399999999992</v>
      </c>
      <c r="AG45" s="23">
        <f t="shared" si="6"/>
        <v>36000</v>
      </c>
      <c r="AH45" s="23">
        <f t="shared" ca="1" si="7"/>
        <v>87.783900013335312</v>
      </c>
      <c r="AI45" s="24">
        <f ca="1">IFERROR(__xludf.DUMMYFUNCTION("GOOGLEFINANCE(""USDJPY"")*S42"),13673.0885902267)</f>
        <v>13673.0885902267</v>
      </c>
      <c r="AJ45" s="22">
        <f t="shared" ca="1" si="8"/>
        <v>0.35236601521513283</v>
      </c>
      <c r="AK45" s="22">
        <f t="shared" ca="1" si="9"/>
        <v>0.3798080161908084</v>
      </c>
    </row>
    <row r="46" spans="16:37" ht="13.2">
      <c r="P46" s="20" t="s">
        <v>82</v>
      </c>
      <c r="Q46" s="20">
        <v>400</v>
      </c>
      <c r="R46" s="21">
        <f ca="1">IFERROR(__xludf.DUMMYFUNCTION("GOOGLEFINANCE(""JPYUSD"")*B43"),2.56807814799999)</f>
        <v>2.5680781479999899</v>
      </c>
      <c r="S46" s="20">
        <v>9</v>
      </c>
      <c r="T46" s="22">
        <f>1152/2529</f>
        <v>0.45551601423487542</v>
      </c>
      <c r="U46" s="22">
        <f>1011/2529</f>
        <v>0.39976275207591933</v>
      </c>
      <c r="V46" s="22">
        <f t="shared" si="0"/>
        <v>0.14472123368920525</v>
      </c>
      <c r="W46" s="23">
        <v>32</v>
      </c>
      <c r="X46" s="23">
        <v>20</v>
      </c>
      <c r="Y46" s="23">
        <v>15</v>
      </c>
      <c r="Z46" s="23">
        <f t="shared" si="1"/>
        <v>24.74258600237248</v>
      </c>
      <c r="AA46" s="23">
        <f t="shared" si="2"/>
        <v>4.9485172004744964</v>
      </c>
      <c r="AB46" s="23">
        <f t="shared" ca="1" si="3"/>
        <v>8.225990653897993</v>
      </c>
      <c r="AC46" s="23">
        <v>8</v>
      </c>
      <c r="AD46" s="23">
        <v>9</v>
      </c>
      <c r="AE46" s="23">
        <f t="shared" si="4"/>
        <v>197.94068801897984</v>
      </c>
      <c r="AF46" s="23">
        <f t="shared" si="5"/>
        <v>39.588137603795971</v>
      </c>
      <c r="AG46" s="23">
        <f t="shared" si="6"/>
        <v>3200</v>
      </c>
      <c r="AH46" s="23">
        <f t="shared" ca="1" si="7"/>
        <v>65.807925231183944</v>
      </c>
      <c r="AI46" s="24">
        <f ca="1">IFERROR(__xludf.DUMMYFUNCTION("GOOGLEFINANCE(""USDJPY"")*S43"),10250.1437221213)</f>
        <v>10250.1437221213</v>
      </c>
      <c r="AJ46" s="22">
        <f t="shared" ca="1" si="8"/>
        <v>0.71109397331657787</v>
      </c>
      <c r="AK46" s="22">
        <f t="shared" ca="1" si="9"/>
        <v>3.203169911439169</v>
      </c>
    </row>
    <row r="47" spans="16:37" ht="13.2">
      <c r="P47" s="31" t="s">
        <v>83</v>
      </c>
      <c r="Q47" s="20">
        <v>160</v>
      </c>
      <c r="R47" s="21">
        <f ca="1">IFERROR(__xludf.DUMMYFUNCTION("GOOGLEFINANCE(""JPYUSD"")*B44"),1.0272312592)</f>
        <v>1.0272312591999999</v>
      </c>
      <c r="S47" s="20">
        <v>9</v>
      </c>
      <c r="T47" s="22">
        <f>113/500</f>
        <v>0.22600000000000001</v>
      </c>
      <c r="U47" s="22">
        <f>260/500</f>
        <v>0.52</v>
      </c>
      <c r="V47" s="22">
        <f t="shared" si="0"/>
        <v>0.254</v>
      </c>
      <c r="W47" s="23">
        <v>18</v>
      </c>
      <c r="X47" s="23">
        <v>15</v>
      </c>
      <c r="Y47" s="23">
        <v>12</v>
      </c>
      <c r="Z47" s="23">
        <f t="shared" si="1"/>
        <v>14.916000000000002</v>
      </c>
      <c r="AA47" s="23">
        <f t="shared" si="2"/>
        <v>2.9832000000000005</v>
      </c>
      <c r="AB47" s="23">
        <f t="shared" ca="1" si="3"/>
        <v>1.905568740800001</v>
      </c>
      <c r="AC47" s="23">
        <v>4</v>
      </c>
      <c r="AD47" s="23"/>
      <c r="AE47" s="23">
        <f t="shared" si="4"/>
        <v>59.664000000000009</v>
      </c>
      <c r="AF47" s="23">
        <f t="shared" si="5"/>
        <v>11.932800000000002</v>
      </c>
      <c r="AG47" s="23">
        <f t="shared" si="6"/>
        <v>640</v>
      </c>
      <c r="AH47" s="23">
        <f t="shared" ca="1" si="7"/>
        <v>7.6222749632000042</v>
      </c>
      <c r="AI47" s="24">
        <f ca="1">IFERROR(__xludf.DUMMYFUNCTION("GOOGLEFINANCE(""USDJPY"")*S44"),1187.23411485558)</f>
        <v>1187.2341148555799</v>
      </c>
      <c r="AJ47" s="22">
        <f t="shared" ca="1" si="8"/>
        <v>0.19003937293773282</v>
      </c>
      <c r="AK47" s="22">
        <f t="shared" ca="1" si="9"/>
        <v>1.8550533034635686</v>
      </c>
    </row>
    <row r="48" spans="16:37" ht="13.2">
      <c r="P48" s="20" t="s">
        <v>84</v>
      </c>
      <c r="Q48" s="20">
        <v>700</v>
      </c>
      <c r="R48" s="21">
        <f ca="1">IFERROR(__xludf.DUMMYFUNCTION("GOOGLEFINANCE(""JPYUSD"")*B45"),4.494136759)</f>
        <v>4.4941367589999999</v>
      </c>
      <c r="S48" s="20">
        <v>9</v>
      </c>
      <c r="T48" s="22">
        <f>133/517</f>
        <v>0.2572533849129594</v>
      </c>
      <c r="U48" s="22">
        <f>278/517</f>
        <v>0.53771760154738879</v>
      </c>
      <c r="V48" s="22">
        <f t="shared" si="0"/>
        <v>0.20502901353965175</v>
      </c>
      <c r="W48" s="23">
        <v>40</v>
      </c>
      <c r="X48" s="23">
        <v>25</v>
      </c>
      <c r="Y48" s="23">
        <v>20</v>
      </c>
      <c r="Z48" s="23">
        <f t="shared" si="1"/>
        <v>27.833655705996133</v>
      </c>
      <c r="AA48" s="23">
        <f t="shared" si="2"/>
        <v>5.5667311411992273</v>
      </c>
      <c r="AB48" s="23">
        <f t="shared" ca="1" si="3"/>
        <v>8.7727878057969058</v>
      </c>
      <c r="AC48" s="23">
        <v>8</v>
      </c>
      <c r="AD48" s="23">
        <v>8</v>
      </c>
      <c r="AE48" s="23">
        <f t="shared" si="4"/>
        <v>222.66924564796906</v>
      </c>
      <c r="AF48" s="23">
        <f t="shared" si="5"/>
        <v>44.533849129593818</v>
      </c>
      <c r="AG48" s="23">
        <f t="shared" si="6"/>
        <v>5600</v>
      </c>
      <c r="AH48" s="23">
        <f t="shared" ca="1" si="7"/>
        <v>70.182302446375246</v>
      </c>
      <c r="AI48" s="24">
        <f ca="1">IFERROR(__xludf.DUMMYFUNCTION("GOOGLEFINANCE(""USDJPY"")*S45"),10931.4901555937)</f>
        <v>10931.490155593699</v>
      </c>
      <c r="AJ48" s="22">
        <f t="shared" ca="1" si="8"/>
        <v>0.65011848942066186</v>
      </c>
      <c r="AK48" s="22">
        <f t="shared" ca="1" si="9"/>
        <v>1.952051812448395</v>
      </c>
    </row>
    <row r="49" spans="16:37" ht="13.2">
      <c r="P49" s="31" t="s">
        <v>85</v>
      </c>
      <c r="Q49" s="20">
        <v>600</v>
      </c>
      <c r="R49" s="21">
        <f ca="1">IFERROR(__xludf.DUMMYFUNCTION("GOOGLEFINANCE(""JPYUSD"")*B46"),3.85211722199999)</f>
        <v>3.8521172219999902</v>
      </c>
      <c r="S49" s="20">
        <v>9</v>
      </c>
      <c r="T49" s="22">
        <f>133/516</f>
        <v>0.25775193798449614</v>
      </c>
      <c r="U49" s="22">
        <f>277/516</f>
        <v>0.53682170542635654</v>
      </c>
      <c r="V49" s="22">
        <f t="shared" si="0"/>
        <v>0.20542635658914732</v>
      </c>
      <c r="W49" s="23">
        <v>45</v>
      </c>
      <c r="X49" s="23">
        <v>25</v>
      </c>
      <c r="Y49" s="23">
        <v>15</v>
      </c>
      <c r="Z49" s="23">
        <f t="shared" si="1"/>
        <v>28.100775193798448</v>
      </c>
      <c r="AA49" s="23">
        <f t="shared" si="2"/>
        <v>5.6201550387596901</v>
      </c>
      <c r="AB49" s="23">
        <f t="shared" ca="1" si="3"/>
        <v>9.6285029330387673</v>
      </c>
      <c r="AC49" s="23">
        <v>8</v>
      </c>
      <c r="AD49" s="23"/>
      <c r="AE49" s="23">
        <f t="shared" si="4"/>
        <v>224.80620155038758</v>
      </c>
      <c r="AF49" s="23">
        <f t="shared" si="5"/>
        <v>44.961240310077521</v>
      </c>
      <c r="AG49" s="23">
        <f t="shared" si="6"/>
        <v>4800</v>
      </c>
      <c r="AH49" s="23">
        <f t="shared" ca="1" si="7"/>
        <v>77.028023464310138</v>
      </c>
      <c r="AI49" s="24">
        <f ca="1">IFERROR(__xludf.DUMMYFUNCTION("GOOGLEFINANCE(""USDJPY"")*S46"),11997.7693927657)</f>
        <v>11997.7693927657</v>
      </c>
      <c r="AJ49" s="22">
        <f t="shared" ca="1" si="8"/>
        <v>0.74917640157816912</v>
      </c>
      <c r="AK49" s="22">
        <f t="shared" ca="1" si="9"/>
        <v>2.4995352888144255</v>
      </c>
    </row>
    <row r="50" spans="16:37" ht="13.2">
      <c r="P50" s="20" t="s">
        <v>86</v>
      </c>
      <c r="Q50" s="20">
        <v>2000</v>
      </c>
      <c r="R50" s="21">
        <f ca="1">IFERROR(__xludf.DUMMYFUNCTION("GOOGLEFINANCE(""JPYUSD"")*B47"),12.8403907399999)</f>
        <v>12.840390739999901</v>
      </c>
      <c r="S50" s="20">
        <v>9</v>
      </c>
      <c r="T50" s="22">
        <f>180/743</f>
        <v>0.24226110363391656</v>
      </c>
      <c r="U50" s="22">
        <f>353/743</f>
        <v>0.47510094212651416</v>
      </c>
      <c r="V50" s="22">
        <f t="shared" si="0"/>
        <v>0.28263795423956922</v>
      </c>
      <c r="W50" s="23">
        <v>70</v>
      </c>
      <c r="X50" s="23">
        <v>40</v>
      </c>
      <c r="Y50" s="23">
        <v>30</v>
      </c>
      <c r="Z50" s="23">
        <f t="shared" si="1"/>
        <v>44.441453566621803</v>
      </c>
      <c r="AA50" s="23">
        <f t="shared" si="2"/>
        <v>8.8882907133243609</v>
      </c>
      <c r="AB50" s="23">
        <f t="shared" ca="1" si="3"/>
        <v>13.712772113297541</v>
      </c>
      <c r="AC50" s="23">
        <v>8</v>
      </c>
      <c r="AD50" s="23">
        <v>5</v>
      </c>
      <c r="AE50" s="23">
        <f t="shared" si="4"/>
        <v>355.53162853297442</v>
      </c>
      <c r="AF50" s="23">
        <f t="shared" si="5"/>
        <v>71.106325706594887</v>
      </c>
      <c r="AG50" s="23">
        <f t="shared" si="6"/>
        <v>16000</v>
      </c>
      <c r="AH50" s="23">
        <f t="shared" ca="1" si="7"/>
        <v>109.70217690638033</v>
      </c>
      <c r="AI50" s="24">
        <f ca="1">IFERROR(__xludf.DUMMYFUNCTION("GOOGLEFINANCE(""USDJPY"")*S47"),17087.0465216723)</f>
        <v>17087.046521672299</v>
      </c>
      <c r="AJ50" s="22">
        <f t="shared" ca="1" si="8"/>
        <v>0.6278629478996951</v>
      </c>
      <c r="AK50" s="22">
        <f t="shared" ca="1" si="9"/>
        <v>1.0679404070298291</v>
      </c>
    </row>
    <row r="51" spans="16:37" ht="13.2">
      <c r="P51" s="19" t="s">
        <v>87</v>
      </c>
      <c r="Q51" s="20">
        <v>4500</v>
      </c>
      <c r="R51" s="21">
        <f ca="1">IFERROR(__xludf.DUMMYFUNCTION("GOOGLEFINANCE(""JPYUSD"")*B48"),28.8908791649999)</f>
        <v>28.890879164999902</v>
      </c>
      <c r="S51" s="20">
        <v>9</v>
      </c>
      <c r="T51" s="22">
        <f>47/95</f>
        <v>0.49473684210526314</v>
      </c>
      <c r="U51" s="22">
        <f>32/95</f>
        <v>0.33684210526315789</v>
      </c>
      <c r="V51" s="22">
        <f t="shared" si="0"/>
        <v>0.16842105263157897</v>
      </c>
      <c r="W51" s="23">
        <v>70</v>
      </c>
      <c r="X51" s="23">
        <v>45</v>
      </c>
      <c r="Y51" s="23">
        <v>35</v>
      </c>
      <c r="Z51" s="23">
        <f t="shared" si="1"/>
        <v>55.68421052631578</v>
      </c>
      <c r="AA51" s="23">
        <f t="shared" si="2"/>
        <v>10.02315789473684</v>
      </c>
      <c r="AB51" s="23">
        <f t="shared" ca="1" si="3"/>
        <v>7.7701734665790383</v>
      </c>
      <c r="AC51" s="23">
        <v>0</v>
      </c>
      <c r="AD51" s="23"/>
      <c r="AE51" s="23">
        <f t="shared" si="4"/>
        <v>0</v>
      </c>
      <c r="AF51" s="23">
        <f t="shared" si="5"/>
        <v>0</v>
      </c>
      <c r="AG51" s="23">
        <f t="shared" si="6"/>
        <v>0</v>
      </c>
      <c r="AH51" s="23">
        <f t="shared" ca="1" si="7"/>
        <v>0</v>
      </c>
      <c r="AI51" s="24">
        <f ca="1">IFERROR(__xludf.DUMMYFUNCTION("GOOGLEFINANCE(""USDJPY"")*S48"),0)</f>
        <v>0</v>
      </c>
      <c r="AJ51" s="22">
        <f t="shared" ca="1" si="8"/>
        <v>0.20506712005131852</v>
      </c>
      <c r="AK51" s="22">
        <f t="shared" ca="1" si="9"/>
        <v>0.26894901405396759</v>
      </c>
    </row>
    <row r="52" spans="16:37" ht="13.2">
      <c r="P52" s="20" t="s">
        <v>88</v>
      </c>
      <c r="Q52" s="20">
        <v>3500</v>
      </c>
      <c r="R52" s="21">
        <f ca="1">IFERROR(__xludf.DUMMYFUNCTION("GOOGLEFINANCE(""JPYUSD"")*B49"),22.470683795)</f>
        <v>22.470683794999999</v>
      </c>
      <c r="S52" s="20">
        <v>9</v>
      </c>
      <c r="T52" s="22">
        <f>922/1794</f>
        <v>0.51393534002229657</v>
      </c>
      <c r="U52" s="22">
        <f>687/1794</f>
        <v>0.38294314381270905</v>
      </c>
      <c r="V52" s="22">
        <f t="shared" si="0"/>
        <v>0.10312151616499438</v>
      </c>
      <c r="W52" s="23">
        <v>100</v>
      </c>
      <c r="X52" s="23">
        <v>70</v>
      </c>
      <c r="Y52" s="23">
        <v>30</v>
      </c>
      <c r="Z52" s="23">
        <f t="shared" si="1"/>
        <v>81.293199554069119</v>
      </c>
      <c r="AA52" s="23">
        <f t="shared" si="2"/>
        <v>14.63277591973244</v>
      </c>
      <c r="AB52" s="23">
        <f t="shared" ca="1" si="3"/>
        <v>35.189739839336681</v>
      </c>
      <c r="AC52" s="23">
        <v>8</v>
      </c>
      <c r="AD52" s="23">
        <v>3</v>
      </c>
      <c r="AE52" s="23">
        <f t="shared" si="4"/>
        <v>650.34559643255295</v>
      </c>
      <c r="AF52" s="23">
        <f t="shared" si="5"/>
        <v>117.06220735785952</v>
      </c>
      <c r="AG52" s="23">
        <f t="shared" si="6"/>
        <v>28000</v>
      </c>
      <c r="AH52" s="23">
        <f t="shared" ca="1" si="7"/>
        <v>281.51791871469345</v>
      </c>
      <c r="AI52" s="24">
        <f ca="1">IFERROR(__xludf.DUMMYFUNCTION("GOOGLEFINANCE(""USDJPY"")*S49"),43848.8087421225)</f>
        <v>43848.808742122499</v>
      </c>
      <c r="AJ52" s="22">
        <f t="shared" ca="1" si="8"/>
        <v>1.1181752537873855</v>
      </c>
      <c r="AK52" s="22">
        <f t="shared" ca="1" si="9"/>
        <v>1.5660288828044844</v>
      </c>
    </row>
    <row r="53" spans="16:37" ht="13.2">
      <c r="P53" s="20" t="s">
        <v>89</v>
      </c>
      <c r="Q53" s="20">
        <v>3000</v>
      </c>
      <c r="R53" s="21">
        <f ca="1">IFERROR(__xludf.DUMMYFUNCTION("GOOGLEFINANCE(""JPYUSD"")*B50"),19.26058611)</f>
        <v>19.260586109999998</v>
      </c>
      <c r="S53" s="20">
        <v>9</v>
      </c>
      <c r="T53" s="22">
        <f>33/101</f>
        <v>0.32673267326732675</v>
      </c>
      <c r="U53" s="22">
        <f>51/101</f>
        <v>0.50495049504950495</v>
      </c>
      <c r="V53" s="22">
        <f t="shared" si="0"/>
        <v>0.16831683168316824</v>
      </c>
      <c r="W53" s="23">
        <v>70</v>
      </c>
      <c r="X53" s="23">
        <v>60</v>
      </c>
      <c r="Y53" s="23">
        <v>30</v>
      </c>
      <c r="Z53" s="23">
        <f t="shared" si="1"/>
        <v>58.21782178217822</v>
      </c>
      <c r="AA53" s="23">
        <f t="shared" si="2"/>
        <v>10.47920792079208</v>
      </c>
      <c r="AB53" s="23">
        <f t="shared" ca="1" si="3"/>
        <v>19.478027751386144</v>
      </c>
      <c r="AC53" s="23">
        <v>8</v>
      </c>
      <c r="AD53" s="23">
        <v>7</v>
      </c>
      <c r="AE53" s="23">
        <f t="shared" si="4"/>
        <v>465.74257425742576</v>
      </c>
      <c r="AF53" s="23">
        <f t="shared" si="5"/>
        <v>83.833663366336637</v>
      </c>
      <c r="AG53" s="23">
        <f t="shared" si="6"/>
        <v>24000</v>
      </c>
      <c r="AH53" s="23">
        <f t="shared" ca="1" si="7"/>
        <v>155.82422201108915</v>
      </c>
      <c r="AI53" s="24">
        <f ca="1">IFERROR(__xludf.DUMMYFUNCTION("GOOGLEFINANCE(""USDJPY"")*S50"),24270.9470841142)</f>
        <v>24270.947084114199</v>
      </c>
      <c r="AJ53" s="22">
        <f t="shared" ca="1" si="8"/>
        <v>0.68922943337306974</v>
      </c>
      <c r="AK53" s="22">
        <f t="shared" ca="1" si="9"/>
        <v>1.0112894612938725</v>
      </c>
    </row>
    <row r="54" spans="16:37" ht="13.2">
      <c r="P54" s="20" t="s">
        <v>90</v>
      </c>
      <c r="Q54" s="20">
        <v>400</v>
      </c>
      <c r="R54" s="21">
        <f ca="1">IFERROR(__xludf.DUMMYFUNCTION("GOOGLEFINANCE(""JPYUSD"")*B51"),2.56807814799999)</f>
        <v>2.5680781479999899</v>
      </c>
      <c r="S54" s="20">
        <v>9</v>
      </c>
      <c r="T54" s="22">
        <f>161/586</f>
        <v>0.27474402730375425</v>
      </c>
      <c r="U54" s="22">
        <f>285/586</f>
        <v>0.48634812286689422</v>
      </c>
      <c r="V54" s="22">
        <f t="shared" si="0"/>
        <v>0.23890784982935154</v>
      </c>
      <c r="W54" s="23">
        <v>35</v>
      </c>
      <c r="X54" s="23">
        <v>25</v>
      </c>
      <c r="Y54" s="23">
        <v>15</v>
      </c>
      <c r="Z54" s="23">
        <f t="shared" si="1"/>
        <v>25.358361774744026</v>
      </c>
      <c r="AA54" s="23">
        <f t="shared" si="2"/>
        <v>5.0716723549488059</v>
      </c>
      <c r="AB54" s="23">
        <f t="shared" ca="1" si="3"/>
        <v>8.7186112717952291</v>
      </c>
      <c r="AC54" s="23">
        <v>8</v>
      </c>
      <c r="AD54" s="23">
        <v>9</v>
      </c>
      <c r="AE54" s="23">
        <f t="shared" si="4"/>
        <v>202.86689419795221</v>
      </c>
      <c r="AF54" s="23">
        <f t="shared" si="5"/>
        <v>40.573378839590447</v>
      </c>
      <c r="AG54" s="23">
        <f t="shared" si="6"/>
        <v>3200</v>
      </c>
      <c r="AH54" s="23">
        <f t="shared" ca="1" si="7"/>
        <v>69.748890174361833</v>
      </c>
      <c r="AI54" s="24">
        <f ca="1">IFERROR(__xludf.DUMMYFUNCTION("GOOGLEFINANCE(""USDJPY"")*S51"),10863.9825102233)</f>
        <v>10863.982510223301</v>
      </c>
      <c r="AJ54" s="22">
        <f t="shared" ca="1" si="8"/>
        <v>0.75367845550927515</v>
      </c>
      <c r="AK54" s="22">
        <f t="shared" ca="1" si="9"/>
        <v>3.3949945326178068</v>
      </c>
    </row>
    <row r="55" spans="16:37" ht="13.2">
      <c r="P55" s="20" t="s">
        <v>91</v>
      </c>
      <c r="Q55" s="20">
        <v>3000</v>
      </c>
      <c r="R55" s="21">
        <f ca="1">IFERROR(__xludf.DUMMYFUNCTION("GOOGLEFINANCE(""JPYUSD"")*B52"),19.26058611)</f>
        <v>19.260586109999998</v>
      </c>
      <c r="S55" s="20">
        <v>9</v>
      </c>
      <c r="T55" s="22">
        <f>55/106</f>
        <v>0.51886792452830188</v>
      </c>
      <c r="U55" s="22">
        <f>39/106</f>
        <v>0.36792452830188677</v>
      </c>
      <c r="V55" s="22">
        <f t="shared" si="0"/>
        <v>0.11320754716981135</v>
      </c>
      <c r="W55" s="23">
        <v>70</v>
      </c>
      <c r="X55" s="23">
        <v>40</v>
      </c>
      <c r="Y55" s="23">
        <v>25</v>
      </c>
      <c r="Z55" s="23">
        <f t="shared" si="1"/>
        <v>53.867924528301884</v>
      </c>
      <c r="AA55" s="23">
        <f t="shared" si="2"/>
        <v>9.6962264150943387</v>
      </c>
      <c r="AB55" s="23">
        <f t="shared" ca="1" si="3"/>
        <v>15.911112003207547</v>
      </c>
      <c r="AC55" s="23">
        <v>8</v>
      </c>
      <c r="AD55" s="23">
        <v>5</v>
      </c>
      <c r="AE55" s="23">
        <f t="shared" si="4"/>
        <v>430.94339622641508</v>
      </c>
      <c r="AF55" s="23">
        <f t="shared" si="5"/>
        <v>77.56981132075471</v>
      </c>
      <c r="AG55" s="23">
        <f t="shared" si="6"/>
        <v>24000</v>
      </c>
      <c r="AH55" s="23">
        <f t="shared" ca="1" si="7"/>
        <v>127.28889602566038</v>
      </c>
      <c r="AI55" s="24">
        <f ca="1">IFERROR(__xludf.DUMMYFUNCTION("GOOGLEFINANCE(""USDJPY"")*S52"),19826.3275116128)</f>
        <v>19826.327511612799</v>
      </c>
      <c r="AJ55" s="22">
        <f t="shared" ca="1" si="8"/>
        <v>0.56301422558173364</v>
      </c>
      <c r="AK55" s="22">
        <f t="shared" ca="1" si="9"/>
        <v>0.82609697920597436</v>
      </c>
    </row>
    <row r="56" spans="16:37" ht="13.2">
      <c r="P56" s="20" t="s">
        <v>92</v>
      </c>
      <c r="Q56" s="20">
        <v>200</v>
      </c>
      <c r="R56" s="21">
        <f ca="1">IFERROR(__xludf.DUMMYFUNCTION("GOOGLEFINANCE(""JPYUSD"")*B53"),1.28403907399999)</f>
        <v>1.2840390739999901</v>
      </c>
      <c r="S56" s="20">
        <v>9</v>
      </c>
      <c r="T56" s="22">
        <f>378/1001</f>
        <v>0.3776223776223776</v>
      </c>
      <c r="U56" s="22">
        <f>434/1001</f>
        <v>0.43356643356643354</v>
      </c>
      <c r="V56" s="22">
        <f t="shared" si="0"/>
        <v>0.18881118881118886</v>
      </c>
      <c r="W56" s="23">
        <v>25</v>
      </c>
      <c r="X56" s="23">
        <v>15</v>
      </c>
      <c r="Y56" s="23">
        <v>10</v>
      </c>
      <c r="Z56" s="23">
        <f t="shared" si="1"/>
        <v>17.832167832167833</v>
      </c>
      <c r="AA56" s="23">
        <f t="shared" si="2"/>
        <v>3.5664335664335667</v>
      </c>
      <c r="AB56" s="23">
        <f t="shared" ca="1" si="3"/>
        <v>3.9816951917342749</v>
      </c>
      <c r="AC56" s="23">
        <v>8</v>
      </c>
      <c r="AD56" s="23">
        <v>1</v>
      </c>
      <c r="AE56" s="23">
        <f t="shared" si="4"/>
        <v>142.65734265734267</v>
      </c>
      <c r="AF56" s="23">
        <f t="shared" si="5"/>
        <v>28.531468531468533</v>
      </c>
      <c r="AG56" s="23">
        <f t="shared" si="6"/>
        <v>1600</v>
      </c>
      <c r="AH56" s="23">
        <f t="shared" ca="1" si="7"/>
        <v>31.853561533874199</v>
      </c>
      <c r="AI56" s="24">
        <f ca="1">IFERROR(__xludf.DUMMYFUNCTION("GOOGLEFINANCE(""USDJPY"")*S53"),4961.46296417393)</f>
        <v>4961.4629641739302</v>
      </c>
      <c r="AJ56" s="22">
        <f t="shared" ca="1" si="8"/>
        <v>0.38717231265687807</v>
      </c>
      <c r="AK56" s="22">
        <f t="shared" ca="1" si="9"/>
        <v>3.1009143509399979</v>
      </c>
    </row>
    <row r="57" spans="16:37" ht="13.2">
      <c r="P57" s="20" t="s">
        <v>93</v>
      </c>
      <c r="Q57" s="20">
        <v>200</v>
      </c>
      <c r="R57" s="21">
        <f ca="1">IFERROR(__xludf.DUMMYFUNCTION("GOOGLEFINANCE(""JPYUSD"")*B54"),1.28403907399999)</f>
        <v>1.2840390739999901</v>
      </c>
      <c r="S57" s="20">
        <v>9</v>
      </c>
      <c r="T57" s="22">
        <f>401/1145</f>
        <v>0.35021834061135371</v>
      </c>
      <c r="U57" s="22">
        <f>560/1145</f>
        <v>0.48908296943231439</v>
      </c>
      <c r="V57" s="22">
        <f t="shared" si="0"/>
        <v>0.16069868995633191</v>
      </c>
      <c r="W57" s="23">
        <v>22</v>
      </c>
      <c r="X57" s="23">
        <v>16</v>
      </c>
      <c r="Y57" s="23">
        <v>10</v>
      </c>
      <c r="Z57" s="23">
        <f t="shared" si="1"/>
        <v>17.137117903930132</v>
      </c>
      <c r="AA57" s="23">
        <f t="shared" si="2"/>
        <v>3.4274235807860265</v>
      </c>
      <c r="AB57" s="23">
        <f t="shared" ca="1" si="3"/>
        <v>3.4256552491441159</v>
      </c>
      <c r="AC57" s="23">
        <v>5</v>
      </c>
      <c r="AD57" s="23">
        <v>5</v>
      </c>
      <c r="AE57" s="23">
        <f t="shared" si="4"/>
        <v>85.685589519650662</v>
      </c>
      <c r="AF57" s="23">
        <f t="shared" si="5"/>
        <v>17.137117903930132</v>
      </c>
      <c r="AG57" s="23">
        <f t="shared" si="6"/>
        <v>1000</v>
      </c>
      <c r="AH57" s="23">
        <f t="shared" ca="1" si="7"/>
        <v>17.128276245720578</v>
      </c>
      <c r="AI57" s="24">
        <f ca="1">IFERROR(__xludf.DUMMYFUNCTION("GOOGLEFINANCE(""USDJPY"")*S54"),2667.87461561906)</f>
        <v>2667.87461561906</v>
      </c>
      <c r="AJ57" s="22">
        <f t="shared" ca="1" si="8"/>
        <v>0.33310406781755869</v>
      </c>
      <c r="AK57" s="22">
        <f t="shared" ca="1" si="9"/>
        <v>2.6678746141833862</v>
      </c>
    </row>
    <row r="58" spans="16:37" ht="13.2">
      <c r="P58" s="20" t="s">
        <v>94</v>
      </c>
      <c r="Q58" s="20">
        <v>1000</v>
      </c>
      <c r="R58" s="21">
        <f ca="1">IFERROR(__xludf.DUMMYFUNCTION("GOOGLEFINANCE(""JPYUSD"")*B55"),6.42019536999999)</f>
        <v>6.4201953699999903</v>
      </c>
      <c r="S58" s="20">
        <v>9</v>
      </c>
      <c r="T58" s="22">
        <f>34/55</f>
        <v>0.61818181818181817</v>
      </c>
      <c r="U58" s="22">
        <f>16/55</f>
        <v>0.29090909090909089</v>
      </c>
      <c r="V58" s="22">
        <f t="shared" si="0"/>
        <v>9.0909090909090939E-2</v>
      </c>
      <c r="W58" s="23">
        <v>40</v>
      </c>
      <c r="X58" s="23">
        <v>30</v>
      </c>
      <c r="Y58" s="23">
        <v>25</v>
      </c>
      <c r="Z58" s="23">
        <f t="shared" si="1"/>
        <v>35.727272727272727</v>
      </c>
      <c r="AA58" s="23">
        <f t="shared" si="2"/>
        <v>7.1454545454545455</v>
      </c>
      <c r="AB58" s="23">
        <f t="shared" ca="1" si="3"/>
        <v>13.161622811818191</v>
      </c>
      <c r="AC58" s="23">
        <v>4</v>
      </c>
      <c r="AD58" s="23">
        <v>3</v>
      </c>
      <c r="AE58" s="23">
        <f t="shared" si="4"/>
        <v>142.90909090909091</v>
      </c>
      <c r="AF58" s="23">
        <f t="shared" si="5"/>
        <v>28.581818181818182</v>
      </c>
      <c r="AG58" s="23">
        <f t="shared" si="6"/>
        <v>4000</v>
      </c>
      <c r="AH58" s="23">
        <f t="shared" ca="1" si="7"/>
        <v>52.646491247272763</v>
      </c>
      <c r="AI58" s="24">
        <f ca="1">IFERROR(__xludf.DUMMYFUNCTION("GOOGLEFINANCE(""USDJPY"")*S55"),8200.13850693833)</f>
        <v>8200.1385069383305</v>
      </c>
      <c r="AJ58" s="22">
        <f t="shared" ca="1" si="8"/>
        <v>0.85353152122988951</v>
      </c>
      <c r="AK58" s="22">
        <f t="shared" ca="1" si="9"/>
        <v>2.0500346256313708</v>
      </c>
    </row>
    <row r="59" spans="16:37" ht="13.2">
      <c r="P59" s="32" t="s">
        <v>95</v>
      </c>
      <c r="Q59" s="20">
        <v>5000</v>
      </c>
      <c r="R59" s="21">
        <f ca="1">IFERROR(__xludf.DUMMYFUNCTION("GOOGLEFINANCE(""JPYUSD"")*B56"),32.1009768499999)</f>
        <v>32.100976849999903</v>
      </c>
      <c r="S59" s="20">
        <v>9</v>
      </c>
      <c r="T59" s="22">
        <f>55/163</f>
        <v>0.33742331288343558</v>
      </c>
      <c r="U59" s="22">
        <f>73/163</f>
        <v>0.44785276073619634</v>
      </c>
      <c r="V59" s="22">
        <f t="shared" si="0"/>
        <v>0.21472392638036802</v>
      </c>
      <c r="W59" s="23">
        <v>100</v>
      </c>
      <c r="X59" s="23">
        <v>60</v>
      </c>
      <c r="Y59" s="23">
        <v>35</v>
      </c>
      <c r="Z59" s="23">
        <f t="shared" si="1"/>
        <v>68.128834355828218</v>
      </c>
      <c r="AA59" s="23">
        <f t="shared" si="2"/>
        <v>12.263190184049078</v>
      </c>
      <c r="AB59" s="23">
        <f t="shared" ca="1" si="3"/>
        <v>14.764667321779237</v>
      </c>
      <c r="AC59" s="23">
        <v>8</v>
      </c>
      <c r="AD59" s="23">
        <v>1</v>
      </c>
      <c r="AE59" s="23">
        <f t="shared" si="4"/>
        <v>545.03067484662574</v>
      </c>
      <c r="AF59" s="23">
        <f t="shared" si="5"/>
        <v>98.105521472392624</v>
      </c>
      <c r="AG59" s="23">
        <f t="shared" si="6"/>
        <v>40000</v>
      </c>
      <c r="AH59" s="23">
        <f t="shared" ca="1" si="7"/>
        <v>118.1173385742339</v>
      </c>
      <c r="AI59" s="24">
        <f ca="1">IFERROR(__xludf.DUMMYFUNCTION("GOOGLEFINANCE(""USDJPY"")*S56"),18397.7794803146)</f>
        <v>18397.779480314599</v>
      </c>
      <c r="AJ59" s="22">
        <f t="shared" ca="1" si="8"/>
        <v>0.35922910970373378</v>
      </c>
      <c r="AK59" s="22">
        <f t="shared" ca="1" si="9"/>
        <v>0.45994448676035482</v>
      </c>
    </row>
    <row r="60" spans="16:37" ht="13.2">
      <c r="P60" s="19" t="s">
        <v>96</v>
      </c>
      <c r="Q60" s="20">
        <v>4000</v>
      </c>
      <c r="R60" s="21">
        <f ca="1">IFERROR(__xludf.DUMMYFUNCTION("GOOGLEFINANCE(""JPYUSD"")*B57"),25.6807814799999)</f>
        <v>25.680781479999901</v>
      </c>
      <c r="S60" s="20">
        <v>9</v>
      </c>
      <c r="T60" s="22">
        <f>141/426</f>
        <v>0.33098591549295775</v>
      </c>
      <c r="U60" s="22">
        <f>213/426</f>
        <v>0.5</v>
      </c>
      <c r="V60" s="22">
        <f t="shared" si="0"/>
        <v>0.16901408450704225</v>
      </c>
      <c r="W60" s="23">
        <v>85</v>
      </c>
      <c r="X60" s="23">
        <v>60</v>
      </c>
      <c r="Y60" s="23">
        <v>40</v>
      </c>
      <c r="Z60" s="23">
        <f t="shared" si="1"/>
        <v>64.894366197183103</v>
      </c>
      <c r="AA60" s="23">
        <f t="shared" si="2"/>
        <v>11.680985915492958</v>
      </c>
      <c r="AB60" s="23">
        <f t="shared" ca="1" si="3"/>
        <v>18.532598801690245</v>
      </c>
      <c r="AC60" s="23">
        <v>8</v>
      </c>
      <c r="AD60" s="23">
        <v>4</v>
      </c>
      <c r="AE60" s="23">
        <f t="shared" si="4"/>
        <v>519.15492957746483</v>
      </c>
      <c r="AF60" s="23">
        <f t="shared" si="5"/>
        <v>93.447887323943661</v>
      </c>
      <c r="AG60" s="23">
        <f t="shared" si="6"/>
        <v>32000</v>
      </c>
      <c r="AH60" s="23">
        <f t="shared" ca="1" si="7"/>
        <v>148.26079041352196</v>
      </c>
      <c r="AI60" s="24">
        <f ca="1">IFERROR(__xludf.DUMMYFUNCTION("GOOGLEFINANCE(""USDJPY"")*S57"),23092.8783236244)</f>
        <v>23092.878323624402</v>
      </c>
      <c r="AJ60" s="22">
        <f t="shared" ca="1" si="8"/>
        <v>0.53437662044547152</v>
      </c>
      <c r="AK60" s="22">
        <f t="shared" ca="1" si="9"/>
        <v>0.72165244722491662</v>
      </c>
    </row>
    <row r="61" spans="16:37" ht="13.2">
      <c r="P61" s="20" t="s">
        <v>97</v>
      </c>
      <c r="Q61" s="20">
        <v>200</v>
      </c>
      <c r="R61" s="21">
        <f ca="1">IFERROR(__xludf.DUMMYFUNCTION("GOOGLEFINANCE(""JPYUSD"")*B58"),1.28403907399999)</f>
        <v>1.2840390739999901</v>
      </c>
      <c r="S61" s="20">
        <v>9</v>
      </c>
      <c r="T61" s="22">
        <f>494/1131</f>
        <v>0.43678160919540232</v>
      </c>
      <c r="U61" s="22">
        <f>511/1131</f>
        <v>0.45181255526083114</v>
      </c>
      <c r="V61" s="22">
        <f t="shared" si="0"/>
        <v>0.11140583554376654</v>
      </c>
      <c r="W61" s="23">
        <v>25</v>
      </c>
      <c r="X61" s="23">
        <v>20</v>
      </c>
      <c r="Y61" s="23">
        <v>10</v>
      </c>
      <c r="Z61" s="23">
        <f t="shared" si="1"/>
        <v>21.069849690539346</v>
      </c>
      <c r="AA61" s="23">
        <f t="shared" si="2"/>
        <v>4.2139699381078692</v>
      </c>
      <c r="AB61" s="23">
        <f t="shared" ca="1" si="3"/>
        <v>6.5718406784314887</v>
      </c>
      <c r="AC61" s="23">
        <v>8</v>
      </c>
      <c r="AD61" s="23">
        <v>8</v>
      </c>
      <c r="AE61" s="23">
        <f t="shared" si="4"/>
        <v>168.55879752431477</v>
      </c>
      <c r="AF61" s="23">
        <f t="shared" si="5"/>
        <v>33.711759504862954</v>
      </c>
      <c r="AG61" s="23">
        <f t="shared" si="6"/>
        <v>1600</v>
      </c>
      <c r="AH61" s="23">
        <f t="shared" ca="1" si="7"/>
        <v>52.574725427451909</v>
      </c>
      <c r="AI61" s="24">
        <f ca="1">IFERROR(__xludf.DUMMYFUNCTION("GOOGLEFINANCE(""USDJPY"")*S58"),8188.96037049175)</f>
        <v>8188.9603704917499</v>
      </c>
      <c r="AJ61" s="22">
        <f t="shared" ca="1" si="8"/>
        <v>0.63903303275522882</v>
      </c>
      <c r="AK61" s="22">
        <f t="shared" ca="1" si="9"/>
        <v>5.1181002288031143</v>
      </c>
    </row>
    <row r="62" spans="16:37" ht="13.2">
      <c r="P62" s="20" t="s">
        <v>98</v>
      </c>
      <c r="Q62" s="20">
        <v>3000</v>
      </c>
      <c r="R62" s="21">
        <f ca="1">IFERROR(__xludf.DUMMYFUNCTION("GOOGLEFINANCE(""JPYUSD"")*B59"),19.26058611)</f>
        <v>19.260586109999998</v>
      </c>
      <c r="S62" s="20">
        <v>9</v>
      </c>
      <c r="T62" s="22">
        <f>72/160</f>
        <v>0.45</v>
      </c>
      <c r="U62" s="22">
        <f>71/160</f>
        <v>0.44374999999999998</v>
      </c>
      <c r="V62" s="22">
        <f t="shared" si="0"/>
        <v>0.10625000000000007</v>
      </c>
      <c r="W62" s="23">
        <v>70</v>
      </c>
      <c r="X62" s="23">
        <v>45</v>
      </c>
      <c r="Y62" s="23">
        <v>30</v>
      </c>
      <c r="Z62" s="23">
        <f t="shared" si="1"/>
        <v>54.65625</v>
      </c>
      <c r="AA62" s="23">
        <f t="shared" si="2"/>
        <v>9.8381249999999998</v>
      </c>
      <c r="AB62" s="23">
        <f t="shared" ca="1" si="3"/>
        <v>16.557538890000004</v>
      </c>
      <c r="AC62" s="23">
        <v>4</v>
      </c>
      <c r="AD62" s="23">
        <v>2</v>
      </c>
      <c r="AE62" s="23">
        <f t="shared" si="4"/>
        <v>218.625</v>
      </c>
      <c r="AF62" s="23">
        <f t="shared" si="5"/>
        <v>39.352499999999999</v>
      </c>
      <c r="AG62" s="23">
        <f t="shared" si="6"/>
        <v>12000</v>
      </c>
      <c r="AH62" s="23">
        <f t="shared" ca="1" si="7"/>
        <v>66.230155560000014</v>
      </c>
      <c r="AI62" s="24">
        <f ca="1">IFERROR(__xludf.DUMMYFUNCTION("GOOGLEFINANCE(""USDJPY"")*S59"),10315.9096847922)</f>
        <v>10315.909684792199</v>
      </c>
      <c r="AJ62" s="22">
        <f t="shared" ca="1" si="8"/>
        <v>0.58588802176827903</v>
      </c>
      <c r="AK62" s="22">
        <f t="shared" ca="1" si="9"/>
        <v>0.85965913993673404</v>
      </c>
    </row>
    <row r="63" spans="16:37" ht="13.2">
      <c r="P63" s="20" t="s">
        <v>99</v>
      </c>
      <c r="Q63" s="20">
        <v>400</v>
      </c>
      <c r="R63" s="21">
        <f ca="1">IFERROR(__xludf.DUMMYFUNCTION("GOOGLEFINANCE(""JPYUSD"")*B60"),2.56807814799999)</f>
        <v>2.5680781479999899</v>
      </c>
      <c r="S63" s="20">
        <v>9</v>
      </c>
      <c r="T63" s="22">
        <f>514/1070</f>
        <v>0.48037383177570092</v>
      </c>
      <c r="U63" s="22">
        <f>433/1070</f>
        <v>0.4046728971962617</v>
      </c>
      <c r="V63" s="22">
        <f t="shared" si="0"/>
        <v>0.11495327102803737</v>
      </c>
      <c r="W63" s="23">
        <v>22</v>
      </c>
      <c r="X63" s="23">
        <v>20</v>
      </c>
      <c r="Y63" s="23">
        <v>15</v>
      </c>
      <c r="Z63" s="23">
        <f t="shared" si="1"/>
        <v>20.385981308411214</v>
      </c>
      <c r="AA63" s="23">
        <f t="shared" si="2"/>
        <v>4.0771962616822428</v>
      </c>
      <c r="AB63" s="23">
        <f t="shared" ca="1" si="3"/>
        <v>4.7407068987289804</v>
      </c>
      <c r="AC63" s="23">
        <v>8</v>
      </c>
      <c r="AD63" s="23">
        <v>6</v>
      </c>
      <c r="AE63" s="23">
        <f t="shared" si="4"/>
        <v>163.08785046728971</v>
      </c>
      <c r="AF63" s="23">
        <f t="shared" si="5"/>
        <v>32.617570093457942</v>
      </c>
      <c r="AG63" s="23">
        <f t="shared" si="6"/>
        <v>3200</v>
      </c>
      <c r="AH63" s="23">
        <f t="shared" ca="1" si="7"/>
        <v>37.925655189831843</v>
      </c>
      <c r="AI63" s="24">
        <f ca="1">IFERROR(__xludf.DUMMYFUNCTION("GOOGLEFINANCE(""USDJPY"")*S60"),5907.24316388541)</f>
        <v>5907.2431638854096</v>
      </c>
      <c r="AJ63" s="22">
        <f t="shared" ca="1" si="8"/>
        <v>0.40980937698355735</v>
      </c>
      <c r="AK63" s="22">
        <f t="shared" ca="1" si="9"/>
        <v>1.846013487720779</v>
      </c>
    </row>
    <row r="64" spans="16:37" ht="13.2">
      <c r="P64" s="20" t="s">
        <v>100</v>
      </c>
      <c r="Q64" s="20">
        <v>1100</v>
      </c>
      <c r="R64" s="21">
        <f ca="1">IFERROR(__xludf.DUMMYFUNCTION("GOOGLEFINANCE(""JPYUSD"")*B61"),7.06221490699999)</f>
        <v>7.0622149069999898</v>
      </c>
      <c r="S64" s="20">
        <v>9</v>
      </c>
      <c r="T64" s="22">
        <f>289/735</f>
        <v>0.39319727891156464</v>
      </c>
      <c r="U64" s="22">
        <f>358/735</f>
        <v>0.48707482993197276</v>
      </c>
      <c r="V64" s="22">
        <f t="shared" si="0"/>
        <v>0.1197278911564626</v>
      </c>
      <c r="W64" s="23">
        <v>50</v>
      </c>
      <c r="X64" s="23">
        <v>25</v>
      </c>
      <c r="Y64" s="23">
        <v>20</v>
      </c>
      <c r="Z64" s="23">
        <f t="shared" si="1"/>
        <v>34.2312925170068</v>
      </c>
      <c r="AA64" s="23">
        <f t="shared" si="2"/>
        <v>6.8462585034013603</v>
      </c>
      <c r="AB64" s="23">
        <f t="shared" ca="1" si="3"/>
        <v>11.322819106605449</v>
      </c>
      <c r="AC64" s="23">
        <v>5</v>
      </c>
      <c r="AD64" s="23">
        <v>5</v>
      </c>
      <c r="AE64" s="23">
        <f t="shared" si="4"/>
        <v>171.15646258503401</v>
      </c>
      <c r="AF64" s="23">
        <f t="shared" si="5"/>
        <v>34.2312925170068</v>
      </c>
      <c r="AG64" s="23">
        <f t="shared" si="6"/>
        <v>5500</v>
      </c>
      <c r="AH64" s="23">
        <f t="shared" ca="1" si="7"/>
        <v>56.614095533027246</v>
      </c>
      <c r="AI64" s="24">
        <f ca="1">IFERROR(__xludf.DUMMYFUNCTION("GOOGLEFINANCE(""USDJPY"")*S61"),8818.12659908101)</f>
        <v>8818.1265990810098</v>
      </c>
      <c r="AJ64" s="22">
        <f t="shared" ca="1" si="8"/>
        <v>0.70493510217391686</v>
      </c>
      <c r="AK64" s="22">
        <f t="shared" ca="1" si="9"/>
        <v>1.6032957444246556</v>
      </c>
    </row>
    <row r="65" spans="16:37" ht="13.2">
      <c r="P65" s="20" t="s">
        <v>101</v>
      </c>
      <c r="Q65" s="20">
        <v>500</v>
      </c>
      <c r="R65" s="21">
        <f ca="1">IFERROR(__xludf.DUMMYFUNCTION("GOOGLEFINANCE(""JPYUSD"")*B62"),3.21009768499999)</f>
        <v>3.2100976849999898</v>
      </c>
      <c r="S65" s="20">
        <v>9</v>
      </c>
      <c r="T65" s="22">
        <f>170/417</f>
        <v>0.407673860911271</v>
      </c>
      <c r="U65" s="22">
        <f>202/417</f>
        <v>0.4844124700239808</v>
      </c>
      <c r="V65" s="22">
        <f t="shared" si="0"/>
        <v>0.1079136690647482</v>
      </c>
      <c r="W65" s="23">
        <v>25</v>
      </c>
      <c r="X65" s="23">
        <v>20</v>
      </c>
      <c r="Y65" s="23">
        <v>10</v>
      </c>
      <c r="Z65" s="23">
        <f t="shared" si="1"/>
        <v>20.959232613908874</v>
      </c>
      <c r="AA65" s="23">
        <f t="shared" si="2"/>
        <v>4.1918465227817752</v>
      </c>
      <c r="AB65" s="23">
        <f t="shared" ca="1" si="3"/>
        <v>4.5572884061271086</v>
      </c>
      <c r="AC65" s="23">
        <v>8</v>
      </c>
      <c r="AD65" s="23">
        <v>6</v>
      </c>
      <c r="AE65" s="23">
        <f t="shared" si="4"/>
        <v>167.67386091127099</v>
      </c>
      <c r="AF65" s="23">
        <f t="shared" si="5"/>
        <v>33.534772182254201</v>
      </c>
      <c r="AG65" s="23">
        <f t="shared" si="6"/>
        <v>4000</v>
      </c>
      <c r="AH65" s="23">
        <f t="shared" ca="1" si="7"/>
        <v>36.458307249016869</v>
      </c>
      <c r="AI65" s="24">
        <f ca="1">IFERROR(__xludf.DUMMYFUNCTION("GOOGLEFINANCE(""USDJPY"")*S62"),5678.69124964598)</f>
        <v>5678.69124964598</v>
      </c>
      <c r="AJ65" s="22">
        <f t="shared" ca="1" si="8"/>
        <v>0.37323930763680147</v>
      </c>
      <c r="AK65" s="22">
        <f t="shared" ca="1" si="9"/>
        <v>1.4196728116475132</v>
      </c>
    </row>
    <row r="66" spans="16:37" ht="13.2">
      <c r="P66" s="19" t="s">
        <v>102</v>
      </c>
      <c r="Q66" s="20">
        <v>2500</v>
      </c>
      <c r="R66" s="21">
        <f ca="1">IFERROR(__xludf.DUMMYFUNCTION("GOOGLEFINANCE(""JPYUSD"")*B63"),16.0504884249999)</f>
        <v>16.050488424999902</v>
      </c>
      <c r="S66" s="20">
        <v>9</v>
      </c>
      <c r="T66" s="22">
        <f>89/198</f>
        <v>0.4494949494949495</v>
      </c>
      <c r="U66" s="22">
        <f>79/198</f>
        <v>0.39898989898989901</v>
      </c>
      <c r="V66" s="22">
        <f t="shared" ref="V66:V137" si="11">1-T66-U66</f>
        <v>0.15151515151515149</v>
      </c>
      <c r="W66" s="23">
        <v>75</v>
      </c>
      <c r="X66" s="23">
        <v>50</v>
      </c>
      <c r="Y66" s="23">
        <v>25</v>
      </c>
      <c r="Z66" s="23">
        <f t="shared" ref="Z66:Z138" si="12">T66*W66+U66*X66+V66*Y66</f>
        <v>57.449494949494955</v>
      </c>
      <c r="AA66" s="23">
        <f t="shared" ref="AA66:AA138" si="13">IF(Z66&lt;50, Z66*0.2, IF(Z66&lt;100, Z66*0.18, IF(Z66&lt;200, Z66*0.12, Z66*0.075)))</f>
        <v>10.340909090909092</v>
      </c>
      <c r="AB66" s="23">
        <f t="shared" ref="AB66:AB138" ca="1" si="14">Z66-R66-S66-AA66</f>
        <v>22.058097433585957</v>
      </c>
      <c r="AC66" s="23">
        <v>8</v>
      </c>
      <c r="AD66" s="23">
        <v>7</v>
      </c>
      <c r="AE66" s="23">
        <f t="shared" ref="AE66:AE137" si="15">Z66*AC66</f>
        <v>459.59595959595964</v>
      </c>
      <c r="AF66" s="23">
        <f t="shared" ref="AF66:AF137" si="16">AA66*AC66</f>
        <v>82.727272727272734</v>
      </c>
      <c r="AG66" s="23">
        <f t="shared" ref="AG66:AG137" si="17">Q66*AC66</f>
        <v>20000</v>
      </c>
      <c r="AH66" s="23">
        <f t="shared" ref="AH66:AH137" ca="1" si="18">AB66*AC66</f>
        <v>176.46477946868765</v>
      </c>
      <c r="AI66" s="24">
        <f ca="1">IFERROR(__xludf.DUMMYFUNCTION("GOOGLEFINANCE(""USDJPY"")*S63"),27485.8893528734)</f>
        <v>27485.889352873401</v>
      </c>
      <c r="AJ66" s="22">
        <f t="shared" ref="AJ66:AJ137" ca="1" si="19">AB66/(R66+S66)</f>
        <v>0.8805456029181612</v>
      </c>
      <c r="AK66" s="22">
        <f t="shared" ref="AK66:AK137" ca="1" si="20">AB66/R66</f>
        <v>1.3742944669041179</v>
      </c>
    </row>
    <row r="67" spans="16:37" ht="13.2">
      <c r="P67" s="19" t="s">
        <v>103</v>
      </c>
      <c r="Q67" s="20">
        <v>300</v>
      </c>
      <c r="R67" s="21">
        <f ca="1">IFERROR(__xludf.DUMMYFUNCTION("GOOGLEFINANCE(""JPYUSD"")*B64"),1.92605861099999)</f>
        <v>1.92605861099999</v>
      </c>
      <c r="S67" s="20">
        <v>9</v>
      </c>
      <c r="T67" s="22">
        <f>639/1966</f>
        <v>0.32502543234994913</v>
      </c>
      <c r="U67" s="22">
        <f>892/1966</f>
        <v>0.45371312309257378</v>
      </c>
      <c r="V67" s="22">
        <f t="shared" si="11"/>
        <v>0.22126144455747715</v>
      </c>
      <c r="W67" s="23">
        <v>35</v>
      </c>
      <c r="X67" s="23">
        <v>20</v>
      </c>
      <c r="Y67" s="23">
        <v>12</v>
      </c>
      <c r="Z67" s="23">
        <f t="shared" si="12"/>
        <v>23.105289928789421</v>
      </c>
      <c r="AA67" s="23">
        <f t="shared" si="13"/>
        <v>4.6210579857578846</v>
      </c>
      <c r="AB67" s="23">
        <f t="shared" ca="1" si="14"/>
        <v>7.5581733320315454</v>
      </c>
      <c r="AC67" s="23">
        <v>8</v>
      </c>
      <c r="AD67" s="23">
        <v>14</v>
      </c>
      <c r="AE67" s="23">
        <f t="shared" si="15"/>
        <v>184.84231943031537</v>
      </c>
      <c r="AF67" s="23">
        <f t="shared" si="16"/>
        <v>36.968463886063077</v>
      </c>
      <c r="AG67" s="23">
        <f t="shared" si="17"/>
        <v>2400</v>
      </c>
      <c r="AH67" s="23">
        <f t="shared" ca="1" si="18"/>
        <v>60.465386656252363</v>
      </c>
      <c r="AI67" s="24">
        <f ca="1">IFERROR(__xludf.DUMMYFUNCTION("GOOGLEFINANCE(""USDJPY"")*S64"),9417.99792749787)</f>
        <v>9417.9979274978705</v>
      </c>
      <c r="AJ67" s="22">
        <f t="shared" ca="1" si="19"/>
        <v>0.69175661609779671</v>
      </c>
      <c r="AK67" s="22">
        <f t="shared" ca="1" si="20"/>
        <v>3.9241658010123683</v>
      </c>
    </row>
    <row r="68" spans="16:37" ht="13.2">
      <c r="P68" s="20" t="s">
        <v>104</v>
      </c>
      <c r="Q68" s="20">
        <v>1500</v>
      </c>
      <c r="R68" s="21">
        <f ca="1">IFERROR(__xludf.DUMMYFUNCTION("GOOGLEFINANCE(""JPYUSD"")*B65"),9.630293055)</f>
        <v>9.6302930549999992</v>
      </c>
      <c r="S68" s="20">
        <v>9</v>
      </c>
      <c r="T68" s="22">
        <f>67/444</f>
        <v>0.15090090090090091</v>
      </c>
      <c r="U68" s="22">
        <f>205/444</f>
        <v>0.46171171171171171</v>
      </c>
      <c r="V68" s="22">
        <f t="shared" si="11"/>
        <v>0.38738738738738737</v>
      </c>
      <c r="W68" s="23">
        <v>50</v>
      </c>
      <c r="X68" s="23">
        <v>30</v>
      </c>
      <c r="Y68" s="23">
        <v>20</v>
      </c>
      <c r="Z68" s="23">
        <f t="shared" si="12"/>
        <v>29.144144144144146</v>
      </c>
      <c r="AA68" s="23">
        <f t="shared" si="13"/>
        <v>5.8288288288288292</v>
      </c>
      <c r="AB68" s="23">
        <f t="shared" ca="1" si="14"/>
        <v>4.6850222603153178</v>
      </c>
      <c r="AC68" s="23">
        <v>2</v>
      </c>
      <c r="AD68" s="23">
        <v>1</v>
      </c>
      <c r="AE68" s="23">
        <f t="shared" si="15"/>
        <v>58.288288288288292</v>
      </c>
      <c r="AF68" s="23">
        <f t="shared" si="16"/>
        <v>11.657657657657658</v>
      </c>
      <c r="AG68" s="23">
        <f t="shared" si="17"/>
        <v>3000</v>
      </c>
      <c r="AH68" s="23">
        <f t="shared" ca="1" si="18"/>
        <v>9.3700445206306355</v>
      </c>
      <c r="AI68" s="24">
        <f ca="1">IFERROR(__xludf.DUMMYFUNCTION("GOOGLEFINANCE(""USDJPY"")*S65"),1459.46407946664)</f>
        <v>1459.46407946664</v>
      </c>
      <c r="AJ68" s="22">
        <f t="shared" ca="1" si="19"/>
        <v>0.25147335291421791</v>
      </c>
      <c r="AK68" s="22">
        <f t="shared" ca="1" si="20"/>
        <v>0.48648802622708121</v>
      </c>
    </row>
    <row r="69" spans="16:37" ht="13.2">
      <c r="P69" s="20" t="s">
        <v>105</v>
      </c>
      <c r="Q69" s="20">
        <v>1000</v>
      </c>
      <c r="R69" s="21">
        <f ca="1">IFERROR(__xludf.DUMMYFUNCTION("GOOGLEFINANCE(""JPYUSD"")*B66"),6.42019536999999)</f>
        <v>6.4201953699999903</v>
      </c>
      <c r="S69" s="20">
        <v>9</v>
      </c>
      <c r="T69" s="22">
        <f>23/51</f>
        <v>0.45098039215686275</v>
      </c>
      <c r="U69" s="22">
        <f>19/51</f>
        <v>0.37254901960784315</v>
      </c>
      <c r="V69" s="22">
        <f t="shared" si="11"/>
        <v>0.17647058823529416</v>
      </c>
      <c r="W69" s="23">
        <v>35</v>
      </c>
      <c r="X69" s="23">
        <v>25</v>
      </c>
      <c r="Y69" s="23">
        <v>20</v>
      </c>
      <c r="Z69" s="23">
        <f t="shared" si="12"/>
        <v>28.627450980392162</v>
      </c>
      <c r="AA69" s="23">
        <f t="shared" si="13"/>
        <v>5.7254901960784323</v>
      </c>
      <c r="AB69" s="23">
        <f t="shared" ca="1" si="14"/>
        <v>7.4817654143137382</v>
      </c>
      <c r="AC69" s="23">
        <v>50</v>
      </c>
      <c r="AD69" s="23">
        <v>49</v>
      </c>
      <c r="AE69" s="23">
        <f t="shared" si="15"/>
        <v>1431.3725490196082</v>
      </c>
      <c r="AF69" s="23">
        <f t="shared" si="16"/>
        <v>286.2745098039216</v>
      </c>
      <c r="AG69" s="23">
        <f t="shared" si="17"/>
        <v>50000</v>
      </c>
      <c r="AH69" s="23">
        <f t="shared" ca="1" si="18"/>
        <v>374.08827071568692</v>
      </c>
      <c r="AI69" s="24">
        <f ca="1">IFERROR(__xludf.DUMMYFUNCTION("GOOGLEFINANCE(""USDJPY"")*S66"),58267.4279142692)</f>
        <v>58267.427914269203</v>
      </c>
      <c r="AJ69" s="22">
        <f t="shared" ca="1" si="19"/>
        <v>0.48519264735578654</v>
      </c>
      <c r="AK69" s="22">
        <f t="shared" ca="1" si="20"/>
        <v>1.1653485576582616</v>
      </c>
    </row>
    <row r="70" spans="16:37" ht="13.2">
      <c r="P70" s="20" t="s">
        <v>106</v>
      </c>
      <c r="Q70" s="20">
        <v>700</v>
      </c>
      <c r="R70" s="21">
        <f ca="1">IFERROR(__xludf.DUMMYFUNCTION("GOOGLEFINANCE(""JPYUSD"")*B67"),4.494136759)</f>
        <v>4.4941367589999999</v>
      </c>
      <c r="S70" s="20">
        <v>9</v>
      </c>
      <c r="T70" s="22">
        <f>345/743</f>
        <v>0.46433378196500674</v>
      </c>
      <c r="U70" s="22">
        <f>299/743</f>
        <v>0.40242261103633914</v>
      </c>
      <c r="V70" s="22">
        <f t="shared" si="11"/>
        <v>0.13324360699865412</v>
      </c>
      <c r="W70" s="23">
        <v>35</v>
      </c>
      <c r="X70" s="23">
        <v>20</v>
      </c>
      <c r="Y70" s="23">
        <v>15</v>
      </c>
      <c r="Z70" s="23">
        <f t="shared" si="12"/>
        <v>26.298788694481829</v>
      </c>
      <c r="AA70" s="23">
        <f t="shared" si="13"/>
        <v>5.2597577388963659</v>
      </c>
      <c r="AB70" s="23">
        <f t="shared" ca="1" si="14"/>
        <v>7.5448941965854628</v>
      </c>
      <c r="AC70" s="23">
        <v>8</v>
      </c>
      <c r="AD70" s="23">
        <v>8</v>
      </c>
      <c r="AE70" s="23">
        <f t="shared" si="15"/>
        <v>210.39030955585463</v>
      </c>
      <c r="AF70" s="23">
        <f t="shared" si="16"/>
        <v>42.078061911170927</v>
      </c>
      <c r="AG70" s="23">
        <f t="shared" si="17"/>
        <v>5600</v>
      </c>
      <c r="AH70" s="23">
        <f t="shared" ca="1" si="18"/>
        <v>60.359153572683702</v>
      </c>
      <c r="AI70" s="24">
        <f ca="1">IFERROR(__xludf.DUMMYFUNCTION("GOOGLEFINANCE(""USDJPY"")*S67"),9401.45122175085)</f>
        <v>9401.4512217508509</v>
      </c>
      <c r="AJ70" s="22">
        <f t="shared" ca="1" si="19"/>
        <v>0.55912388701362081</v>
      </c>
      <c r="AK70" s="22">
        <f t="shared" ca="1" si="20"/>
        <v>1.6788305744091983</v>
      </c>
    </row>
    <row r="71" spans="16:37" ht="13.2">
      <c r="P71" s="30" t="s">
        <v>107</v>
      </c>
      <c r="Q71" s="20">
        <v>3000</v>
      </c>
      <c r="R71" s="21">
        <f ca="1">IFERROR(__xludf.DUMMYFUNCTION("GOOGLEFINANCE(""JPYUSD"")*B68"),19.26058611)</f>
        <v>19.260586109999998</v>
      </c>
      <c r="S71" s="20">
        <v>9</v>
      </c>
      <c r="T71" s="22">
        <f>287/557</f>
        <v>0.51526032315978454</v>
      </c>
      <c r="U71" s="22">
        <f>226/557</f>
        <v>0.40574506283662476</v>
      </c>
      <c r="V71" s="22">
        <f t="shared" si="11"/>
        <v>7.8994614003590702E-2</v>
      </c>
      <c r="W71" s="23">
        <v>60</v>
      </c>
      <c r="X71" s="23">
        <v>40</v>
      </c>
      <c r="Y71" s="23">
        <v>30</v>
      </c>
      <c r="Z71" s="23">
        <f t="shared" si="12"/>
        <v>49.515260323159779</v>
      </c>
      <c r="AA71" s="23">
        <f t="shared" si="13"/>
        <v>9.9030520646319573</v>
      </c>
      <c r="AB71" s="23">
        <f t="shared" ca="1" si="14"/>
        <v>11.351622148527824</v>
      </c>
      <c r="AC71" s="23">
        <v>8</v>
      </c>
      <c r="AD71" s="23">
        <v>1</v>
      </c>
      <c r="AE71" s="23">
        <f t="shared" si="15"/>
        <v>396.12208258527824</v>
      </c>
      <c r="AF71" s="23">
        <f t="shared" si="16"/>
        <v>79.224416517055658</v>
      </c>
      <c r="AG71" s="23">
        <f t="shared" si="17"/>
        <v>24000</v>
      </c>
      <c r="AH71" s="23">
        <f t="shared" ca="1" si="18"/>
        <v>90.81297718822259</v>
      </c>
      <c r="AI71" s="24">
        <f ca="1">IFERROR(__xludf.DUMMYFUNCTION("GOOGLEFINANCE(""USDJPY"")*S68"),14144.8931073717)</f>
        <v>14144.893107371699</v>
      </c>
      <c r="AJ71" s="22">
        <f t="shared" ca="1" si="19"/>
        <v>0.40167681251702902</v>
      </c>
      <c r="AK71" s="22">
        <f t="shared" ca="1" si="20"/>
        <v>0.5893705458233236</v>
      </c>
    </row>
    <row r="72" spans="16:37" ht="13.2">
      <c r="P72" s="20" t="s">
        <v>108</v>
      </c>
      <c r="Q72" s="20">
        <v>200</v>
      </c>
      <c r="R72" s="21">
        <f ca="1">IFERROR(__xludf.DUMMYFUNCTION("GOOGLEFINANCE(""JPYUSD"")*B69"),1.28403907399999)</f>
        <v>1.2840390739999901</v>
      </c>
      <c r="S72" s="20">
        <v>9</v>
      </c>
      <c r="T72" s="22">
        <f>343/1022</f>
        <v>0.33561643835616439</v>
      </c>
      <c r="U72" s="22">
        <f>494/1022</f>
        <v>0.48336594911937375</v>
      </c>
      <c r="V72" s="22">
        <f t="shared" si="11"/>
        <v>0.18101761252446186</v>
      </c>
      <c r="W72" s="23">
        <v>20</v>
      </c>
      <c r="X72" s="23">
        <v>15</v>
      </c>
      <c r="Y72" s="23">
        <v>10</v>
      </c>
      <c r="Z72" s="23">
        <f t="shared" si="12"/>
        <v>15.772994129158514</v>
      </c>
      <c r="AA72" s="23">
        <f t="shared" si="13"/>
        <v>3.154598825831703</v>
      </c>
      <c r="AB72" s="23">
        <f t="shared" ca="1" si="14"/>
        <v>2.3343562293268207</v>
      </c>
      <c r="AC72" s="23">
        <v>5</v>
      </c>
      <c r="AD72" s="23">
        <v>1</v>
      </c>
      <c r="AE72" s="23">
        <f t="shared" si="15"/>
        <v>78.864970645792567</v>
      </c>
      <c r="AF72" s="23">
        <f t="shared" si="16"/>
        <v>15.772994129158516</v>
      </c>
      <c r="AG72" s="23">
        <f t="shared" si="17"/>
        <v>1000</v>
      </c>
      <c r="AH72" s="23">
        <f t="shared" ca="1" si="18"/>
        <v>11.671781146634103</v>
      </c>
      <c r="AI72" s="24">
        <f ca="1">IFERROR(__xludf.DUMMYFUNCTION("GOOGLEFINANCE(""USDJPY"")*S69"),1817.97912372799)</f>
        <v>1817.9791237279901</v>
      </c>
      <c r="AJ72" s="22">
        <f t="shared" ca="1" si="19"/>
        <v>0.2269882691547252</v>
      </c>
      <c r="AK72" s="22">
        <f t="shared" ca="1" si="20"/>
        <v>1.8179791227496858</v>
      </c>
    </row>
    <row r="73" spans="16:37" ht="13.2">
      <c r="P73" s="33" t="s">
        <v>109</v>
      </c>
      <c r="Q73" s="20">
        <v>6500</v>
      </c>
      <c r="R73" s="21">
        <f ca="1">IFERROR(__xludf.DUMMYFUNCTION("GOOGLEFINANCE(""JPYUSD"")*B70"),41.731269905)</f>
        <v>41.731269904999998</v>
      </c>
      <c r="S73" s="20">
        <v>9</v>
      </c>
      <c r="T73" s="22">
        <f>33/83</f>
        <v>0.39759036144578314</v>
      </c>
      <c r="U73" s="22">
        <f>37/83</f>
        <v>0.44578313253012047</v>
      </c>
      <c r="V73" s="22">
        <f t="shared" si="11"/>
        <v>0.15662650602409633</v>
      </c>
      <c r="W73" s="23">
        <v>150</v>
      </c>
      <c r="X73" s="23">
        <v>100</v>
      </c>
      <c r="Y73" s="23">
        <v>80</v>
      </c>
      <c r="Z73" s="23">
        <f t="shared" si="12"/>
        <v>116.74698795180723</v>
      </c>
      <c r="AA73" s="23">
        <f t="shared" si="13"/>
        <v>14.009638554216867</v>
      </c>
      <c r="AB73" s="23">
        <f t="shared" ca="1" si="14"/>
        <v>52.006079492590359</v>
      </c>
      <c r="AC73" s="23">
        <v>8</v>
      </c>
      <c r="AD73" s="23">
        <v>9</v>
      </c>
      <c r="AE73" s="23">
        <f t="shared" si="15"/>
        <v>933.97590361445782</v>
      </c>
      <c r="AF73" s="23">
        <f t="shared" si="16"/>
        <v>112.07710843373494</v>
      </c>
      <c r="AG73" s="23">
        <f t="shared" si="17"/>
        <v>52000</v>
      </c>
      <c r="AH73" s="23">
        <f t="shared" ca="1" si="18"/>
        <v>416.04863594072287</v>
      </c>
      <c r="AI73" s="24">
        <f ca="1">IFERROR(__xludf.DUMMYFUNCTION("GOOGLEFINANCE(""USDJPY"")*S70"),64803.111461173)</f>
        <v>64803.111461173001</v>
      </c>
      <c r="AJ73" s="22">
        <f t="shared" ca="1" si="19"/>
        <v>1.0251286748779911</v>
      </c>
      <c r="AK73" s="22">
        <f t="shared" ca="1" si="20"/>
        <v>1.2462136812749927</v>
      </c>
    </row>
    <row r="74" spans="16:37" ht="13.2">
      <c r="P74" s="20" t="s">
        <v>110</v>
      </c>
      <c r="Q74" s="20">
        <v>600</v>
      </c>
      <c r="R74" s="21">
        <f ca="1">IFERROR(__xludf.DUMMYFUNCTION("GOOGLEFINANCE(""JPYUSD"")*B71"),3.85211722199999)</f>
        <v>3.8521172219999902</v>
      </c>
      <c r="S74" s="20">
        <v>9</v>
      </c>
      <c r="T74" s="22">
        <f>10/36</f>
        <v>0.27777777777777779</v>
      </c>
      <c r="U74" s="22">
        <f>19/36</f>
        <v>0.52777777777777779</v>
      </c>
      <c r="V74" s="22">
        <f t="shared" si="11"/>
        <v>0.19444444444444442</v>
      </c>
      <c r="W74" s="23">
        <v>25</v>
      </c>
      <c r="X74" s="23">
        <v>15</v>
      </c>
      <c r="Y74" s="23">
        <v>10</v>
      </c>
      <c r="Z74" s="23">
        <f t="shared" si="12"/>
        <v>16.805555555555554</v>
      </c>
      <c r="AA74" s="23">
        <f t="shared" si="13"/>
        <v>3.3611111111111107</v>
      </c>
      <c r="AB74" s="23">
        <f t="shared" ca="1" si="14"/>
        <v>0.59232722244445313</v>
      </c>
      <c r="AC74" s="23">
        <v>0</v>
      </c>
      <c r="AD74" s="23">
        <v>1</v>
      </c>
      <c r="AE74" s="23">
        <f t="shared" si="15"/>
        <v>0</v>
      </c>
      <c r="AF74" s="23">
        <f t="shared" si="16"/>
        <v>0</v>
      </c>
      <c r="AG74" s="23">
        <f t="shared" si="17"/>
        <v>0</v>
      </c>
      <c r="AH74" s="23">
        <f t="shared" ca="1" si="18"/>
        <v>0</v>
      </c>
      <c r="AI74" s="24">
        <f ca="1">IFERROR(__xludf.DUMMYFUNCTION("GOOGLEFINANCE(""USDJPY"")*S71"),0)</f>
        <v>0</v>
      </c>
      <c r="AJ74" s="22">
        <f t="shared" ca="1" si="19"/>
        <v>4.6087910047265951E-2</v>
      </c>
      <c r="AK74" s="22">
        <f t="shared" ca="1" si="20"/>
        <v>0.15376666604577555</v>
      </c>
    </row>
    <row r="75" spans="16:37" ht="13.2">
      <c r="P75" s="20" t="s">
        <v>111</v>
      </c>
      <c r="Q75" s="20">
        <v>200</v>
      </c>
      <c r="R75" s="21">
        <f ca="1">IFERROR(__xludf.DUMMYFUNCTION("GOOGLEFINANCE(""JPYUSD"")*B72"),1.28403907399999)</f>
        <v>1.2840390739999901</v>
      </c>
      <c r="S75" s="20">
        <v>9</v>
      </c>
      <c r="T75" s="22">
        <f>319/1106</f>
        <v>0.2884267631103074</v>
      </c>
      <c r="U75" s="22">
        <f>513/1106</f>
        <v>0.46383363471971067</v>
      </c>
      <c r="V75" s="22">
        <f t="shared" si="11"/>
        <v>0.24773960216998187</v>
      </c>
      <c r="W75" s="23">
        <v>25</v>
      </c>
      <c r="X75" s="23">
        <v>20</v>
      </c>
      <c r="Y75" s="23">
        <v>10</v>
      </c>
      <c r="Z75" s="23">
        <f t="shared" si="12"/>
        <v>18.964737793851715</v>
      </c>
      <c r="AA75" s="23">
        <f t="shared" si="13"/>
        <v>3.7929475587703432</v>
      </c>
      <c r="AB75" s="23">
        <f t="shared" ca="1" si="14"/>
        <v>4.8877511610813826</v>
      </c>
      <c r="AC75" s="23">
        <v>8</v>
      </c>
      <c r="AD75" s="23">
        <v>8</v>
      </c>
      <c r="AE75" s="23">
        <f t="shared" si="15"/>
        <v>151.71790235081372</v>
      </c>
      <c r="AF75" s="23">
        <f t="shared" si="16"/>
        <v>30.343580470162745</v>
      </c>
      <c r="AG75" s="23">
        <f t="shared" si="17"/>
        <v>1600</v>
      </c>
      <c r="AH75" s="23">
        <f t="shared" ca="1" si="18"/>
        <v>39.102009288651061</v>
      </c>
      <c r="AI75" s="24">
        <f ca="1">IFERROR(__xludf.DUMMYFUNCTION("GOOGLEFINANCE(""USDJPY"")*S72"),6090.47031378634)</f>
        <v>6090.4703137863398</v>
      </c>
      <c r="AJ75" s="22">
        <f t="shared" ca="1" si="19"/>
        <v>0.47527543661697558</v>
      </c>
      <c r="AK75" s="22">
        <f t="shared" ca="1" si="20"/>
        <v>3.8065439440680295</v>
      </c>
    </row>
    <row r="76" spans="16:37" ht="13.2">
      <c r="P76" s="20" t="s">
        <v>112</v>
      </c>
      <c r="Q76" s="20">
        <v>1200</v>
      </c>
      <c r="R76" s="21">
        <f ca="1">IFERROR(__xludf.DUMMYFUNCTION("GOOGLEFINANCE(""JPYUSD"")*B73"),7.70423444399999)</f>
        <v>7.7042344439999901</v>
      </c>
      <c r="S76" s="20">
        <v>9</v>
      </c>
      <c r="T76" s="22">
        <f>35/95</f>
        <v>0.36842105263157893</v>
      </c>
      <c r="U76" s="22">
        <f>38/95</f>
        <v>0.4</v>
      </c>
      <c r="V76" s="22">
        <f t="shared" si="11"/>
        <v>0.231578947368421</v>
      </c>
      <c r="W76" s="23">
        <v>45</v>
      </c>
      <c r="X76" s="23">
        <v>30</v>
      </c>
      <c r="Y76" s="23">
        <v>10</v>
      </c>
      <c r="Z76" s="23">
        <f t="shared" si="12"/>
        <v>30.89473684210526</v>
      </c>
      <c r="AA76" s="23">
        <f t="shared" si="13"/>
        <v>6.1789473684210527</v>
      </c>
      <c r="AB76" s="23">
        <f t="shared" ca="1" si="14"/>
        <v>8.0115550296842173</v>
      </c>
      <c r="AC76" s="23">
        <v>4</v>
      </c>
      <c r="AD76" s="23">
        <v>1</v>
      </c>
      <c r="AE76" s="23">
        <f t="shared" si="15"/>
        <v>123.57894736842104</v>
      </c>
      <c r="AF76" s="23">
        <f t="shared" si="16"/>
        <v>24.715789473684211</v>
      </c>
      <c r="AG76" s="23">
        <f t="shared" si="17"/>
        <v>4800</v>
      </c>
      <c r="AH76" s="23">
        <f t="shared" ca="1" si="18"/>
        <v>32.046220118736869</v>
      </c>
      <c r="AI76" s="24">
        <f ca="1">IFERROR(__xludf.DUMMYFUNCTION("GOOGLEFINANCE(""USDJPY"")*S73"),4991.47117636427)</f>
        <v>4991.4711763642699</v>
      </c>
      <c r="AJ76" s="22">
        <f t="shared" ca="1" si="19"/>
        <v>0.47961222386709829</v>
      </c>
      <c r="AK76" s="22">
        <f t="shared" ca="1" si="20"/>
        <v>1.039889827849614</v>
      </c>
    </row>
    <row r="77" spans="16:37" ht="13.2">
      <c r="P77" s="20" t="s">
        <v>113</v>
      </c>
      <c r="Q77" s="20">
        <v>1400</v>
      </c>
      <c r="R77" s="21">
        <f ca="1">IFERROR(__xludf.DUMMYFUNCTION("GOOGLEFINANCE(""JPYUSD"")*B74"),8.988273518)</f>
        <v>8.9882735179999997</v>
      </c>
      <c r="S77" s="20">
        <v>9</v>
      </c>
      <c r="T77" s="22">
        <f>33/70</f>
        <v>0.47142857142857142</v>
      </c>
      <c r="U77" s="22">
        <f>30/70</f>
        <v>0.42857142857142855</v>
      </c>
      <c r="V77" s="22">
        <f t="shared" si="11"/>
        <v>0.10000000000000003</v>
      </c>
      <c r="W77" s="23">
        <v>35</v>
      </c>
      <c r="X77" s="23">
        <v>25</v>
      </c>
      <c r="Y77" s="23">
        <v>15</v>
      </c>
      <c r="Z77" s="23">
        <f t="shared" si="12"/>
        <v>28.714285714285715</v>
      </c>
      <c r="AA77" s="23">
        <f t="shared" si="13"/>
        <v>5.7428571428571438</v>
      </c>
      <c r="AB77" s="23">
        <f t="shared" ca="1" si="14"/>
        <v>4.9831550534285718</v>
      </c>
      <c r="AC77" s="23">
        <v>4</v>
      </c>
      <c r="AD77" s="23">
        <v>1</v>
      </c>
      <c r="AE77" s="23">
        <f t="shared" si="15"/>
        <v>114.85714285714286</v>
      </c>
      <c r="AF77" s="23">
        <f t="shared" si="16"/>
        <v>22.971428571428575</v>
      </c>
      <c r="AG77" s="23">
        <f t="shared" si="17"/>
        <v>5600</v>
      </c>
      <c r="AH77" s="23">
        <f t="shared" ca="1" si="18"/>
        <v>19.932620213714287</v>
      </c>
      <c r="AI77" s="24">
        <f ca="1">IFERROR(__xludf.DUMMYFUNCTION("GOOGLEFINANCE(""USDJPY"")*S74"),3104.67502555781)</f>
        <v>3104.6750255578099</v>
      </c>
      <c r="AJ77" s="22">
        <f t="shared" ca="1" si="19"/>
        <v>0.27702241954694362</v>
      </c>
      <c r="AK77" s="22">
        <f t="shared" ca="1" si="20"/>
        <v>0.55440625426554491</v>
      </c>
    </row>
    <row r="78" spans="16:37" ht="13.2">
      <c r="P78" s="20" t="s">
        <v>114</v>
      </c>
      <c r="Q78" s="20">
        <v>200</v>
      </c>
      <c r="R78" s="21">
        <f ca="1">IFERROR(__xludf.DUMMYFUNCTION("GOOGLEFINANCE(""JPYUSD"")*B75"),1.28403907399999)</f>
        <v>1.2840390739999901</v>
      </c>
      <c r="S78" s="20">
        <v>9</v>
      </c>
      <c r="T78" s="22">
        <f>322/1074</f>
        <v>0.29981378026070765</v>
      </c>
      <c r="U78" s="22">
        <f>521/1074</f>
        <v>0.48510242085661082</v>
      </c>
      <c r="V78" s="22">
        <f t="shared" si="11"/>
        <v>0.21508379888268148</v>
      </c>
      <c r="W78" s="23">
        <v>25</v>
      </c>
      <c r="X78" s="23">
        <v>15</v>
      </c>
      <c r="Y78" s="23">
        <v>10</v>
      </c>
      <c r="Z78" s="23">
        <f t="shared" si="12"/>
        <v>16.922718808193668</v>
      </c>
      <c r="AA78" s="23">
        <f t="shared" si="13"/>
        <v>3.3845437616387337</v>
      </c>
      <c r="AB78" s="23">
        <f t="shared" ca="1" si="14"/>
        <v>3.2541359725549444</v>
      </c>
      <c r="AC78" s="23">
        <v>5</v>
      </c>
      <c r="AD78" s="23">
        <v>5</v>
      </c>
      <c r="AE78" s="23">
        <f t="shared" si="15"/>
        <v>84.613594040968337</v>
      </c>
      <c r="AF78" s="23">
        <f t="shared" si="16"/>
        <v>16.922718808193668</v>
      </c>
      <c r="AG78" s="23">
        <f t="shared" si="17"/>
        <v>1000</v>
      </c>
      <c r="AH78" s="23">
        <f t="shared" ca="1" si="18"/>
        <v>16.27067986277472</v>
      </c>
      <c r="AI78" s="24">
        <f ca="1">IFERROR(__xludf.DUMMYFUNCTION("GOOGLEFINANCE(""USDJPY"")*S75"),2534.29668940598)</f>
        <v>2534.29668940598</v>
      </c>
      <c r="AJ78" s="22">
        <f t="shared" ca="1" si="19"/>
        <v>0.31642586625152175</v>
      </c>
      <c r="AK78" s="22">
        <f t="shared" ca="1" si="20"/>
        <v>2.5342966880421969</v>
      </c>
    </row>
    <row r="79" spans="16:37" ht="13.2">
      <c r="P79" s="30" t="s">
        <v>115</v>
      </c>
      <c r="Q79" s="20">
        <v>3000</v>
      </c>
      <c r="R79" s="21">
        <f ca="1">IFERROR(__xludf.DUMMYFUNCTION("GOOGLEFINANCE(""JPYUSD"")*B76"),19.26058611)</f>
        <v>19.260586109999998</v>
      </c>
      <c r="S79" s="20">
        <v>9</v>
      </c>
      <c r="T79" s="22">
        <f>284/495</f>
        <v>0.57373737373737377</v>
      </c>
      <c r="U79" s="22">
        <f>179/495</f>
        <v>0.36161616161616161</v>
      </c>
      <c r="V79" s="22">
        <f t="shared" si="11"/>
        <v>6.4646464646464619E-2</v>
      </c>
      <c r="W79" s="23">
        <v>60</v>
      </c>
      <c r="X79" s="23">
        <v>40</v>
      </c>
      <c r="Y79" s="23">
        <v>30</v>
      </c>
      <c r="Z79" s="23">
        <f t="shared" si="12"/>
        <v>50.828282828282831</v>
      </c>
      <c r="AA79" s="23">
        <f t="shared" si="13"/>
        <v>9.1490909090909085</v>
      </c>
      <c r="AB79" s="23">
        <f t="shared" ca="1" si="14"/>
        <v>13.418605809191924</v>
      </c>
      <c r="AC79" s="23">
        <v>8</v>
      </c>
      <c r="AD79" s="23"/>
      <c r="AE79" s="23">
        <f t="shared" si="15"/>
        <v>406.62626262626264</v>
      </c>
      <c r="AF79" s="23">
        <f t="shared" si="16"/>
        <v>73.192727272727268</v>
      </c>
      <c r="AG79" s="23">
        <f t="shared" si="17"/>
        <v>24000</v>
      </c>
      <c r="AH79" s="23">
        <f t="shared" ca="1" si="18"/>
        <v>107.34884647353539</v>
      </c>
      <c r="AI79" s="24">
        <f ca="1">IFERROR(__xludf.DUMMYFUNCTION("GOOGLEFINANCE(""USDJPY"")*S76"),16720.4953034481)</f>
        <v>16720.4953034481</v>
      </c>
      <c r="AJ79" s="22">
        <f t="shared" ca="1" si="19"/>
        <v>0.47481696794829581</v>
      </c>
      <c r="AK79" s="22">
        <f t="shared" ca="1" si="20"/>
        <v>0.69668730393542133</v>
      </c>
    </row>
    <row r="80" spans="16:37" ht="13.2">
      <c r="P80" s="20" t="s">
        <v>116</v>
      </c>
      <c r="Q80" s="20">
        <v>300</v>
      </c>
      <c r="R80" s="21">
        <f ca="1">IFERROR(__xludf.DUMMYFUNCTION("GOOGLEFINANCE(""JPYUSD"")*B77"),1.92605861099999)</f>
        <v>1.92605861099999</v>
      </c>
      <c r="S80" s="20">
        <v>9</v>
      </c>
      <c r="T80" s="22">
        <f>768/1537</f>
        <v>0.4996746909564086</v>
      </c>
      <c r="U80" s="22">
        <f>522/1537</f>
        <v>0.33962264150943394</v>
      </c>
      <c r="V80" s="22">
        <f t="shared" si="11"/>
        <v>0.16070266753415746</v>
      </c>
      <c r="W80" s="23">
        <v>30</v>
      </c>
      <c r="X80" s="23">
        <v>15</v>
      </c>
      <c r="Y80" s="23">
        <v>10</v>
      </c>
      <c r="Z80" s="23">
        <f t="shared" si="12"/>
        <v>21.691607026675342</v>
      </c>
      <c r="AA80" s="23">
        <f t="shared" si="13"/>
        <v>4.3383214053350683</v>
      </c>
      <c r="AB80" s="23">
        <f t="shared" ca="1" si="14"/>
        <v>6.4272270103402827</v>
      </c>
      <c r="AC80" s="23">
        <v>8</v>
      </c>
      <c r="AD80" s="23">
        <v>12</v>
      </c>
      <c r="AE80" s="23">
        <f t="shared" si="15"/>
        <v>173.53285621340274</v>
      </c>
      <c r="AF80" s="23">
        <f t="shared" si="16"/>
        <v>34.706571242680546</v>
      </c>
      <c r="AG80" s="23">
        <f t="shared" si="17"/>
        <v>2400</v>
      </c>
      <c r="AH80" s="23">
        <f t="shared" ca="1" si="18"/>
        <v>51.417816082722261</v>
      </c>
      <c r="AI80" s="24">
        <f ca="1">IFERROR(__xludf.DUMMYFUNCTION("GOOGLEFINANCE(""USDJPY"")*S77"),8008.76190632068)</f>
        <v>8008.7619063206803</v>
      </c>
      <c r="AJ80" s="22">
        <f t="shared" ca="1" si="19"/>
        <v>0.58824753181074518</v>
      </c>
      <c r="AK80" s="22">
        <f t="shared" ca="1" si="20"/>
        <v>3.336984125837859</v>
      </c>
    </row>
    <row r="81" spans="16:37" ht="13.2">
      <c r="P81" s="20" t="s">
        <v>117</v>
      </c>
      <c r="Q81" s="20">
        <v>800</v>
      </c>
      <c r="R81" s="21">
        <f ca="1">IFERROR(__xludf.DUMMYFUNCTION("GOOGLEFINANCE(""JPYUSD"")*B78"),5.13615629599999)</f>
        <v>5.1361562959999896</v>
      </c>
      <c r="S81" s="20">
        <v>9</v>
      </c>
      <c r="T81" s="22">
        <f>813/1903</f>
        <v>0.42722017866526535</v>
      </c>
      <c r="U81" s="22">
        <f>803/1903</f>
        <v>0.42196531791907516</v>
      </c>
      <c r="V81" s="22">
        <f t="shared" si="11"/>
        <v>0.15081450341565944</v>
      </c>
      <c r="W81" s="23">
        <v>25</v>
      </c>
      <c r="X81" s="23">
        <v>20</v>
      </c>
      <c r="Y81" s="23">
        <v>10</v>
      </c>
      <c r="Z81" s="23">
        <f t="shared" si="12"/>
        <v>20.627955859169731</v>
      </c>
      <c r="AA81" s="23">
        <f t="shared" si="13"/>
        <v>4.1255911718339462</v>
      </c>
      <c r="AB81" s="23">
        <f t="shared" ca="1" si="14"/>
        <v>2.3662083913357961</v>
      </c>
      <c r="AC81" s="23">
        <v>4</v>
      </c>
      <c r="AD81" s="23">
        <v>2</v>
      </c>
      <c r="AE81" s="23">
        <f t="shared" si="15"/>
        <v>82.511823436678924</v>
      </c>
      <c r="AF81" s="23">
        <f t="shared" si="16"/>
        <v>16.502364687335785</v>
      </c>
      <c r="AG81" s="23">
        <f t="shared" si="17"/>
        <v>3200</v>
      </c>
      <c r="AH81" s="23">
        <f t="shared" ca="1" si="18"/>
        <v>9.4648335653431843</v>
      </c>
      <c r="AI81" s="24">
        <f ca="1">IFERROR(__xludf.DUMMYFUNCTION("GOOGLEFINANCE(""USDJPY"")*S78"),1474.22827888749)</f>
        <v>1474.22827888749</v>
      </c>
      <c r="AJ81" s="22">
        <f t="shared" ca="1" si="19"/>
        <v>0.1673869715210595</v>
      </c>
      <c r="AK81" s="22">
        <f t="shared" ca="1" si="20"/>
        <v>0.46069633690442524</v>
      </c>
    </row>
    <row r="82" spans="16:37" ht="13.2">
      <c r="P82" s="32" t="s">
        <v>118</v>
      </c>
      <c r="Q82" s="20">
        <v>2000</v>
      </c>
      <c r="R82" s="21">
        <f ca="1">IFERROR(__xludf.DUMMYFUNCTION("GOOGLEFINANCE(""JPYUSD"")*B79"),12.8403907399999)</f>
        <v>12.840390739999901</v>
      </c>
      <c r="S82" s="20">
        <v>9</v>
      </c>
      <c r="T82" s="22">
        <f>52/284</f>
        <v>0.18309859154929578</v>
      </c>
      <c r="U82" s="22">
        <f>127/284</f>
        <v>0.44718309859154931</v>
      </c>
      <c r="V82" s="22">
        <f t="shared" si="11"/>
        <v>0.36971830985915494</v>
      </c>
      <c r="W82" s="23">
        <v>70</v>
      </c>
      <c r="X82" s="23">
        <v>40</v>
      </c>
      <c r="Y82" s="23">
        <v>20</v>
      </c>
      <c r="Z82" s="23">
        <f t="shared" si="12"/>
        <v>38.098591549295776</v>
      </c>
      <c r="AA82" s="23">
        <f t="shared" si="13"/>
        <v>7.6197183098591559</v>
      </c>
      <c r="AB82" s="23">
        <f t="shared" ca="1" si="14"/>
        <v>8.6384824994367193</v>
      </c>
      <c r="AC82" s="23">
        <v>8</v>
      </c>
      <c r="AD82" s="23">
        <v>7</v>
      </c>
      <c r="AE82" s="23">
        <f t="shared" si="15"/>
        <v>304.78873239436621</v>
      </c>
      <c r="AF82" s="23">
        <f t="shared" si="16"/>
        <v>60.957746478873247</v>
      </c>
      <c r="AG82" s="23">
        <f t="shared" si="17"/>
        <v>16000</v>
      </c>
      <c r="AH82" s="23">
        <f t="shared" ca="1" si="18"/>
        <v>69.107859995493754</v>
      </c>
      <c r="AI82" s="24">
        <f ca="1">IFERROR(__xludf.DUMMYFUNCTION("GOOGLEFINANCE(""USDJPY"")*S79"),10764.1366111079)</f>
        <v>10764.136611107901</v>
      </c>
      <c r="AJ82" s="22">
        <f t="shared" ca="1" si="19"/>
        <v>0.39552783657920759</v>
      </c>
      <c r="AK82" s="22">
        <f t="shared" ca="1" si="20"/>
        <v>0.67275853783222073</v>
      </c>
    </row>
    <row r="83" spans="16:37" ht="13.2">
      <c r="P83" s="20" t="s">
        <v>119</v>
      </c>
      <c r="Q83" s="20">
        <v>900</v>
      </c>
      <c r="R83" s="21">
        <f ca="1">IFERROR(__xludf.DUMMYFUNCTION("GOOGLEFINANCE(""JPYUSD"")*B80"),5.778175833)</f>
        <v>5.7781758329999997</v>
      </c>
      <c r="S83" s="20">
        <v>9</v>
      </c>
      <c r="T83" s="22">
        <f>1719/3078</f>
        <v>0.55847953216374269</v>
      </c>
      <c r="U83" s="22">
        <f>880/3078</f>
        <v>0.28589993502274202</v>
      </c>
      <c r="V83" s="22">
        <f t="shared" si="11"/>
        <v>0.15562053281351529</v>
      </c>
      <c r="W83" s="23">
        <v>30</v>
      </c>
      <c r="X83" s="23">
        <v>20</v>
      </c>
      <c r="Y83" s="23">
        <v>10</v>
      </c>
      <c r="Z83" s="23">
        <f t="shared" si="12"/>
        <v>24.028589993502276</v>
      </c>
      <c r="AA83" s="23">
        <f t="shared" si="13"/>
        <v>4.8057179987004552</v>
      </c>
      <c r="AB83" s="23">
        <f t="shared" ca="1" si="14"/>
        <v>4.4446961618018221</v>
      </c>
      <c r="AC83" s="23">
        <v>8</v>
      </c>
      <c r="AD83" s="23">
        <v>6</v>
      </c>
      <c r="AE83" s="23">
        <f t="shared" si="15"/>
        <v>192.22871994801821</v>
      </c>
      <c r="AF83" s="23">
        <f t="shared" si="16"/>
        <v>38.445743989603642</v>
      </c>
      <c r="AG83" s="23">
        <f t="shared" si="17"/>
        <v>7200</v>
      </c>
      <c r="AH83" s="23">
        <f t="shared" ca="1" si="18"/>
        <v>35.557569294414577</v>
      </c>
      <c r="AI83" s="24">
        <f ca="1">IFERROR(__xludf.DUMMYFUNCTION("GOOGLEFINANCE(""USDJPY"")*S80"),5538.39365694407)</f>
        <v>5538.3936569440702</v>
      </c>
      <c r="AJ83" s="22">
        <f t="shared" ca="1" si="19"/>
        <v>0.30076081189105325</v>
      </c>
      <c r="AK83" s="22">
        <f t="shared" ca="1" si="20"/>
        <v>0.76922134082827975</v>
      </c>
    </row>
    <row r="84" spans="16:37" ht="13.2">
      <c r="P84" s="19" t="s">
        <v>120</v>
      </c>
      <c r="Q84" s="20">
        <v>3300</v>
      </c>
      <c r="R84" s="21">
        <f ca="1">IFERROR(__xludf.DUMMYFUNCTION("GOOGLEFINANCE(""JPYUSD"")*B81"),21.1866447209999)</f>
        <v>21.186644720999901</v>
      </c>
      <c r="S84" s="20">
        <v>9</v>
      </c>
      <c r="T84" s="22">
        <f>63/173</f>
        <v>0.36416184971098264</v>
      </c>
      <c r="U84" s="22">
        <f>81/173</f>
        <v>0.46820809248554912</v>
      </c>
      <c r="V84" s="22">
        <f t="shared" si="11"/>
        <v>0.16763005780346824</v>
      </c>
      <c r="W84" s="23">
        <v>90</v>
      </c>
      <c r="X84" s="23">
        <v>60</v>
      </c>
      <c r="Y84" s="23">
        <v>20</v>
      </c>
      <c r="Z84" s="23">
        <f t="shared" si="12"/>
        <v>64.219653179190757</v>
      </c>
      <c r="AA84" s="23">
        <f t="shared" si="13"/>
        <v>11.559537572254335</v>
      </c>
      <c r="AB84" s="23">
        <f t="shared" ca="1" si="14"/>
        <v>22.473470885936521</v>
      </c>
      <c r="AC84" s="23">
        <v>8</v>
      </c>
      <c r="AD84" s="23">
        <v>7</v>
      </c>
      <c r="AE84" s="23">
        <f t="shared" si="15"/>
        <v>513.75722543352606</v>
      </c>
      <c r="AF84" s="23">
        <f t="shared" si="16"/>
        <v>92.476300578034682</v>
      </c>
      <c r="AG84" s="23">
        <f t="shared" si="17"/>
        <v>26400</v>
      </c>
      <c r="AH84" s="23">
        <f t="shared" ca="1" si="18"/>
        <v>179.78776708749217</v>
      </c>
      <c r="AI84" s="24">
        <f ca="1">IFERROR(__xludf.DUMMYFUNCTION("GOOGLEFINANCE(""USDJPY"")*S81"),28003.472919897)</f>
        <v>28003.472919897002</v>
      </c>
      <c r="AJ84" s="22">
        <f t="shared" ca="1" si="19"/>
        <v>0.74448389655914404</v>
      </c>
      <c r="AK84" s="22">
        <f t="shared" ca="1" si="20"/>
        <v>1.060737610031339</v>
      </c>
    </row>
    <row r="85" spans="16:37" ht="13.2">
      <c r="P85" s="19" t="s">
        <v>121</v>
      </c>
      <c r="Q85" s="20">
        <v>300</v>
      </c>
      <c r="R85" s="21">
        <f ca="1">IFERROR(__xludf.DUMMYFUNCTION("GOOGLEFINANCE(""JPYUSD"")*B82"),1.92605861099999)</f>
        <v>1.92605861099999</v>
      </c>
      <c r="S85" s="20">
        <v>9</v>
      </c>
      <c r="T85" s="22">
        <f>489/1669</f>
        <v>0.29298981426003595</v>
      </c>
      <c r="U85" s="22">
        <f>813/1699</f>
        <v>0.4785167745732784</v>
      </c>
      <c r="V85" s="22">
        <f t="shared" si="11"/>
        <v>0.22849341116668559</v>
      </c>
      <c r="W85" s="23">
        <v>35</v>
      </c>
      <c r="X85" s="23">
        <v>22</v>
      </c>
      <c r="Y85" s="23">
        <v>12</v>
      </c>
      <c r="Z85" s="23">
        <f t="shared" si="12"/>
        <v>23.523933473713612</v>
      </c>
      <c r="AA85" s="23">
        <f t="shared" si="13"/>
        <v>4.7047866947427224</v>
      </c>
      <c r="AB85" s="23">
        <f t="shared" ca="1" si="14"/>
        <v>7.8930881679708982</v>
      </c>
      <c r="AC85" s="23">
        <v>8</v>
      </c>
      <c r="AD85" s="23">
        <v>6</v>
      </c>
      <c r="AE85" s="23">
        <f t="shared" si="15"/>
        <v>188.19146778970889</v>
      </c>
      <c r="AF85" s="23">
        <f t="shared" si="16"/>
        <v>37.638293557941779</v>
      </c>
      <c r="AG85" s="23">
        <f t="shared" si="17"/>
        <v>2400</v>
      </c>
      <c r="AH85" s="23">
        <f t="shared" ca="1" si="18"/>
        <v>63.144705343767185</v>
      </c>
      <c r="AI85" s="24">
        <f ca="1">IFERROR(__xludf.DUMMYFUNCTION("GOOGLEFINANCE(""USDJPY"")*S82"),9835.32458728715)</f>
        <v>9835.3245872871503</v>
      </c>
      <c r="AJ85" s="22">
        <f t="shared" ca="1" si="19"/>
        <v>0.72240946612023493</v>
      </c>
      <c r="AK85" s="22">
        <f t="shared" ca="1" si="20"/>
        <v>4.0980519091643259</v>
      </c>
    </row>
    <row r="86" spans="16:37" ht="13.2">
      <c r="P86" s="19" t="s">
        <v>122</v>
      </c>
      <c r="Q86" s="20">
        <v>1200</v>
      </c>
      <c r="R86" s="21">
        <f ca="1">IFERROR(__xludf.DUMMYFUNCTION("GOOGLEFINANCE(""JPYUSD"")*B83"),7.70423444399999)</f>
        <v>7.7042344439999901</v>
      </c>
      <c r="S86" s="20">
        <v>9</v>
      </c>
      <c r="T86" s="22">
        <f>48/117</f>
        <v>0.41025641025641024</v>
      </c>
      <c r="U86" s="22">
        <f>53/117</f>
        <v>0.45299145299145299</v>
      </c>
      <c r="V86" s="22">
        <f t="shared" si="11"/>
        <v>0.13675213675213677</v>
      </c>
      <c r="W86" s="23">
        <v>43</v>
      </c>
      <c r="X86" s="23">
        <v>25</v>
      </c>
      <c r="Y86" s="23">
        <v>20</v>
      </c>
      <c r="Z86" s="23">
        <f t="shared" si="12"/>
        <v>31.700854700854702</v>
      </c>
      <c r="AA86" s="23">
        <f t="shared" si="13"/>
        <v>6.3401709401709407</v>
      </c>
      <c r="AB86" s="23">
        <f t="shared" ca="1" si="14"/>
        <v>8.656449316683771</v>
      </c>
      <c r="AC86" s="23">
        <v>8</v>
      </c>
      <c r="AD86" s="23">
        <v>4</v>
      </c>
      <c r="AE86" s="23">
        <f t="shared" si="15"/>
        <v>253.60683760683762</v>
      </c>
      <c r="AF86" s="23">
        <f t="shared" si="16"/>
        <v>50.721367521367526</v>
      </c>
      <c r="AG86" s="23">
        <f t="shared" si="17"/>
        <v>9600</v>
      </c>
      <c r="AH86" s="23">
        <f t="shared" ca="1" si="18"/>
        <v>69.251594533470168</v>
      </c>
      <c r="AI86" s="24">
        <f ca="1">IFERROR(__xludf.DUMMYFUNCTION("GOOGLEFINANCE(""USDJPY"")*S83"),10786.5244871415)</f>
        <v>10786.5244871415</v>
      </c>
      <c r="AJ86" s="22">
        <f t="shared" ca="1" si="19"/>
        <v>0.51821885915837884</v>
      </c>
      <c r="AK86" s="22">
        <f t="shared" ca="1" si="20"/>
        <v>1.1235963001392513</v>
      </c>
    </row>
    <row r="87" spans="16:37" ht="13.2">
      <c r="P87" s="19" t="s">
        <v>123</v>
      </c>
      <c r="Q87" s="20">
        <v>4000</v>
      </c>
      <c r="R87" s="21">
        <f ca="1">IFERROR(__xludf.DUMMYFUNCTION("GOOGLEFINANCE(""JPYUSD"")*B84"),25.6807814799999)</f>
        <v>25.680781479999901</v>
      </c>
      <c r="S87" s="20">
        <v>9</v>
      </c>
      <c r="T87" s="22">
        <f>62/142</f>
        <v>0.43661971830985913</v>
      </c>
      <c r="U87" s="22">
        <f>63/142</f>
        <v>0.44366197183098594</v>
      </c>
      <c r="V87" s="22">
        <f t="shared" si="11"/>
        <v>0.11971830985915494</v>
      </c>
      <c r="W87" s="23">
        <v>60</v>
      </c>
      <c r="X87" s="23">
        <v>40</v>
      </c>
      <c r="Y87" s="23">
        <v>30</v>
      </c>
      <c r="Z87" s="23">
        <f t="shared" si="12"/>
        <v>47.535211267605632</v>
      </c>
      <c r="AA87" s="23">
        <f t="shared" si="13"/>
        <v>9.5070422535211261</v>
      </c>
      <c r="AB87" s="23">
        <f t="shared" ca="1" si="14"/>
        <v>3.3473875340846053</v>
      </c>
      <c r="AC87" s="23">
        <v>0</v>
      </c>
      <c r="AD87" s="23"/>
      <c r="AE87" s="23">
        <f t="shared" si="15"/>
        <v>0</v>
      </c>
      <c r="AF87" s="23">
        <f t="shared" si="16"/>
        <v>0</v>
      </c>
      <c r="AG87" s="23">
        <f t="shared" si="17"/>
        <v>0</v>
      </c>
      <c r="AH87" s="23">
        <f t="shared" ca="1" si="18"/>
        <v>0</v>
      </c>
      <c r="AI87" s="24">
        <f ca="1">IFERROR(__xludf.DUMMYFUNCTION("GOOGLEFINANCE(""USDJPY"")*S84"),0)</f>
        <v>0</v>
      </c>
      <c r="AJ87" s="22">
        <f t="shared" ca="1" si="19"/>
        <v>9.6519956910861834E-2</v>
      </c>
      <c r="AK87" s="22">
        <f t="shared" ca="1" si="20"/>
        <v>0.13034601523678468</v>
      </c>
    </row>
    <row r="88" spans="16:37" ht="13.2">
      <c r="P88" s="20" t="s">
        <v>124</v>
      </c>
      <c r="Q88" s="20">
        <v>300</v>
      </c>
      <c r="R88" s="21">
        <f ca="1">IFERROR(__xludf.DUMMYFUNCTION("GOOGLEFINANCE(""JPYUSD"")*B85"),1.92605861099999)</f>
        <v>1.92605861099999</v>
      </c>
      <c r="S88" s="20">
        <v>9</v>
      </c>
      <c r="T88" s="22">
        <f>507/1146</f>
        <v>0.44240837696335078</v>
      </c>
      <c r="U88" s="22">
        <f>524/1146</f>
        <v>0.45724258289703318</v>
      </c>
      <c r="V88" s="22">
        <f t="shared" si="11"/>
        <v>0.10034904013961604</v>
      </c>
      <c r="W88" s="23">
        <v>22</v>
      </c>
      <c r="X88" s="23">
        <v>15</v>
      </c>
      <c r="Y88" s="23">
        <v>10</v>
      </c>
      <c r="Z88" s="23">
        <f t="shared" si="12"/>
        <v>17.595113438045374</v>
      </c>
      <c r="AA88" s="23">
        <f t="shared" si="13"/>
        <v>3.5190226876090751</v>
      </c>
      <c r="AB88" s="23">
        <f t="shared" ca="1" si="14"/>
        <v>3.1500321394363091</v>
      </c>
      <c r="AC88" s="23">
        <v>5</v>
      </c>
      <c r="AD88" s="23">
        <v>11</v>
      </c>
      <c r="AE88" s="23">
        <f t="shared" si="15"/>
        <v>87.975567190226869</v>
      </c>
      <c r="AF88" s="23">
        <f t="shared" si="16"/>
        <v>17.595113438045374</v>
      </c>
      <c r="AG88" s="23">
        <f t="shared" si="17"/>
        <v>1500</v>
      </c>
      <c r="AH88" s="23">
        <f t="shared" ca="1" si="18"/>
        <v>15.750160697181546</v>
      </c>
      <c r="AI88" s="24">
        <f ca="1">IFERROR(__xludf.DUMMYFUNCTION("GOOGLEFINANCE(""USDJPY"")*S85"),2453.22140495194)</f>
        <v>2453.2214049519398</v>
      </c>
      <c r="AJ88" s="22">
        <f t="shared" ca="1" si="19"/>
        <v>0.2883045251345222</v>
      </c>
      <c r="AK88" s="22">
        <f t="shared" ca="1" si="20"/>
        <v>1.635480935754517</v>
      </c>
    </row>
    <row r="89" spans="16:37" ht="13.2">
      <c r="P89" s="19" t="s">
        <v>125</v>
      </c>
      <c r="Q89" s="20">
        <v>2500</v>
      </c>
      <c r="R89" s="21">
        <f ca="1">IFERROR(__xludf.DUMMYFUNCTION("GOOGLEFINANCE(""JPYUSD"")*B86"),16.0504884249999)</f>
        <v>16.050488424999902</v>
      </c>
      <c r="S89" s="20">
        <v>9</v>
      </c>
      <c r="T89" s="22">
        <f>182/546</f>
        <v>0.33333333333333331</v>
      </c>
      <c r="U89" s="22">
        <f>272/546</f>
        <v>0.49816849816849818</v>
      </c>
      <c r="V89" s="22">
        <f t="shared" si="11"/>
        <v>0.16849816849816857</v>
      </c>
      <c r="W89" s="23">
        <v>65</v>
      </c>
      <c r="X89" s="23">
        <v>40</v>
      </c>
      <c r="Y89" s="23">
        <v>25</v>
      </c>
      <c r="Z89" s="23">
        <f t="shared" si="12"/>
        <v>45.805860805860803</v>
      </c>
      <c r="AA89" s="23">
        <f t="shared" si="13"/>
        <v>9.1611721611721606</v>
      </c>
      <c r="AB89" s="23">
        <f t="shared" ca="1" si="14"/>
        <v>11.594200219688741</v>
      </c>
      <c r="AC89" s="23">
        <v>8</v>
      </c>
      <c r="AD89" s="23">
        <v>6</v>
      </c>
      <c r="AE89" s="23">
        <f t="shared" si="15"/>
        <v>366.44688644688642</v>
      </c>
      <c r="AF89" s="23">
        <f t="shared" si="16"/>
        <v>73.289377289377285</v>
      </c>
      <c r="AG89" s="23">
        <f t="shared" si="17"/>
        <v>20000</v>
      </c>
      <c r="AH89" s="23">
        <f t="shared" ca="1" si="18"/>
        <v>92.753601757509927</v>
      </c>
      <c r="AI89" s="24">
        <f ca="1">IFERROR(__xludf.DUMMYFUNCTION("GOOGLEFINANCE(""USDJPY"")*S86"),14447.1618793469)</f>
        <v>14447.161879346901</v>
      </c>
      <c r="AJ89" s="22">
        <f t="shared" ca="1" si="19"/>
        <v>0.46283329981374549</v>
      </c>
      <c r="AK89" s="22">
        <f t="shared" ca="1" si="20"/>
        <v>0.72235809357862657</v>
      </c>
    </row>
    <row r="90" spans="16:37" ht="13.2">
      <c r="P90" s="20" t="s">
        <v>126</v>
      </c>
      <c r="Q90" s="20">
        <v>1500</v>
      </c>
      <c r="R90" s="21">
        <f ca="1">IFERROR(__xludf.DUMMYFUNCTION("GOOGLEFINANCE(""JPYUSD"")*B87"),9.630293055)</f>
        <v>9.6302930549999992</v>
      </c>
      <c r="S90" s="20">
        <v>9</v>
      </c>
      <c r="T90" s="22">
        <f>76/162</f>
        <v>0.46913580246913578</v>
      </c>
      <c r="U90" s="22">
        <f>68/162</f>
        <v>0.41975308641975306</v>
      </c>
      <c r="V90" s="22">
        <f t="shared" si="11"/>
        <v>0.11111111111111116</v>
      </c>
      <c r="W90" s="23">
        <v>60</v>
      </c>
      <c r="X90" s="23">
        <v>40</v>
      </c>
      <c r="Y90" s="23">
        <v>20</v>
      </c>
      <c r="Z90" s="23">
        <f t="shared" si="12"/>
        <v>47.160493827160487</v>
      </c>
      <c r="AA90" s="23">
        <f t="shared" si="13"/>
        <v>9.432098765432098</v>
      </c>
      <c r="AB90" s="23">
        <f t="shared" ca="1" si="14"/>
        <v>19.098102006728386</v>
      </c>
      <c r="AC90" s="23">
        <v>8</v>
      </c>
      <c r="AD90" s="23">
        <v>8</v>
      </c>
      <c r="AE90" s="23">
        <f t="shared" si="15"/>
        <v>377.28395061728389</v>
      </c>
      <c r="AF90" s="23">
        <f t="shared" si="16"/>
        <v>75.456790123456784</v>
      </c>
      <c r="AG90" s="23">
        <f t="shared" si="17"/>
        <v>12000</v>
      </c>
      <c r="AH90" s="23">
        <f t="shared" ca="1" si="18"/>
        <v>152.78481605382709</v>
      </c>
      <c r="AI90" s="24">
        <f ca="1">IFERROR(__xludf.DUMMYFUNCTION("GOOGLEFINANCE(""USDJPY"")*S87"),23797.53377132)</f>
        <v>23797.533771319999</v>
      </c>
      <c r="AJ90" s="22">
        <f t="shared" ca="1" si="19"/>
        <v>1.025110123085414</v>
      </c>
      <c r="AK90" s="22">
        <f t="shared" ca="1" si="20"/>
        <v>1.9831278132094587</v>
      </c>
    </row>
    <row r="91" spans="16:37" ht="13.2">
      <c r="P91" s="19" t="s">
        <v>127</v>
      </c>
      <c r="Q91" s="20">
        <v>300</v>
      </c>
      <c r="R91" s="21">
        <f ca="1">IFERROR(__xludf.DUMMYFUNCTION("GOOGLEFINANCE(""JPYUSD"")*B88"),1.92605861099999)</f>
        <v>1.92605861099999</v>
      </c>
      <c r="S91" s="20">
        <v>9</v>
      </c>
      <c r="T91" s="22">
        <f>417/1629</f>
        <v>0.2559852670349908</v>
      </c>
      <c r="U91" s="22">
        <f>830/1629</f>
        <v>0.50951503990178026</v>
      </c>
      <c r="V91" s="22">
        <f t="shared" si="11"/>
        <v>0.23449969306322893</v>
      </c>
      <c r="W91" s="23">
        <v>22</v>
      </c>
      <c r="X91" s="23">
        <v>17</v>
      </c>
      <c r="Y91" s="23">
        <v>12</v>
      </c>
      <c r="Z91" s="23">
        <f t="shared" si="12"/>
        <v>17.10742786985881</v>
      </c>
      <c r="AA91" s="23">
        <f t="shared" si="13"/>
        <v>3.4214855739717622</v>
      </c>
      <c r="AB91" s="23">
        <f t="shared" ca="1" si="14"/>
        <v>2.7598836848870585</v>
      </c>
      <c r="AC91" s="23">
        <v>4</v>
      </c>
      <c r="AD91" s="23">
        <v>4</v>
      </c>
      <c r="AE91" s="23">
        <f t="shared" si="15"/>
        <v>68.429711479435241</v>
      </c>
      <c r="AF91" s="23">
        <f t="shared" si="16"/>
        <v>13.685942295887049</v>
      </c>
      <c r="AG91" s="23">
        <f t="shared" si="17"/>
        <v>1200</v>
      </c>
      <c r="AH91" s="23">
        <f t="shared" ca="1" si="18"/>
        <v>11.039534739548234</v>
      </c>
      <c r="AI91" s="24">
        <f ca="1">IFERROR(__xludf.DUMMYFUNCTION("GOOGLEFINANCE(""USDJPY"")*S88"),1719.50137172991)</f>
        <v>1719.50137172991</v>
      </c>
      <c r="AJ91" s="22">
        <f t="shared" ca="1" si="19"/>
        <v>0.25259645615560766</v>
      </c>
      <c r="AK91" s="22">
        <f t="shared" ca="1" si="20"/>
        <v>1.4329178090038261</v>
      </c>
    </row>
    <row r="92" spans="16:37" ht="13.2">
      <c r="P92" s="20" t="s">
        <v>128</v>
      </c>
      <c r="Q92" s="20">
        <v>2700</v>
      </c>
      <c r="R92" s="21">
        <f ca="1">IFERROR(__xludf.DUMMYFUNCTION("GOOGLEFINANCE(""JPYUSD"")*B89"),17.334527499)</f>
        <v>17.334527499</v>
      </c>
      <c r="S92" s="20">
        <v>9</v>
      </c>
      <c r="T92" s="22">
        <f>69/138</f>
        <v>0.5</v>
      </c>
      <c r="U92" s="22">
        <f>52/138</f>
        <v>0.37681159420289856</v>
      </c>
      <c r="V92" s="22">
        <f t="shared" si="11"/>
        <v>0.12318840579710144</v>
      </c>
      <c r="W92" s="23">
        <v>45</v>
      </c>
      <c r="X92" s="23">
        <v>35</v>
      </c>
      <c r="Y92" s="23">
        <v>20</v>
      </c>
      <c r="Z92" s="23">
        <f t="shared" si="12"/>
        <v>38.152173913043484</v>
      </c>
      <c r="AA92" s="23">
        <f t="shared" si="13"/>
        <v>7.6304347826086971</v>
      </c>
      <c r="AB92" s="23">
        <f t="shared" ca="1" si="14"/>
        <v>4.1872116314347867</v>
      </c>
      <c r="AC92" s="23">
        <v>2</v>
      </c>
      <c r="AD92" s="23">
        <v>1</v>
      </c>
      <c r="AE92" s="23">
        <f t="shared" si="15"/>
        <v>76.304347826086968</v>
      </c>
      <c r="AF92" s="23">
        <f t="shared" si="16"/>
        <v>15.260869565217394</v>
      </c>
      <c r="AG92" s="23">
        <f t="shared" si="17"/>
        <v>5400</v>
      </c>
      <c r="AH92" s="23">
        <f t="shared" ca="1" si="18"/>
        <v>8.3744232628695734</v>
      </c>
      <c r="AI92" s="24">
        <f ca="1">IFERROR(__xludf.DUMMYFUNCTION("GOOGLEFINANCE(""USDJPY"")*S89"),1304.38760578967)</f>
        <v>1304.38760578967</v>
      </c>
      <c r="AJ92" s="22">
        <f t="shared" ca="1" si="19"/>
        <v>0.15900082625723161</v>
      </c>
      <c r="AK92" s="22">
        <f t="shared" ca="1" si="20"/>
        <v>0.24155326020142978</v>
      </c>
    </row>
    <row r="93" spans="16:37" ht="13.2">
      <c r="P93" s="19" t="s">
        <v>129</v>
      </c>
      <c r="Q93" s="20">
        <v>300</v>
      </c>
      <c r="R93" s="21">
        <f ca="1">IFERROR(__xludf.DUMMYFUNCTION("GOOGLEFINANCE(""JPYUSD"")*B90"),1.92605861099999)</f>
        <v>1.92605861099999</v>
      </c>
      <c r="S93" s="20">
        <v>9</v>
      </c>
      <c r="T93" s="22">
        <f>643/1922</f>
        <v>0.33454734651404788</v>
      </c>
      <c r="U93" s="22">
        <f>921/1922</f>
        <v>0.47918834547346512</v>
      </c>
      <c r="V93" s="22">
        <f t="shared" si="11"/>
        <v>0.18626430801248706</v>
      </c>
      <c r="W93" s="23">
        <v>25</v>
      </c>
      <c r="X93" s="23">
        <v>20</v>
      </c>
      <c r="Y93" s="23">
        <v>10</v>
      </c>
      <c r="Z93" s="23">
        <f t="shared" si="12"/>
        <v>19.810093652445367</v>
      </c>
      <c r="AA93" s="23">
        <f t="shared" si="13"/>
        <v>3.9620187304890737</v>
      </c>
      <c r="AB93" s="23">
        <f t="shared" ca="1" si="14"/>
        <v>4.9220163109563018</v>
      </c>
      <c r="AC93" s="23">
        <v>8</v>
      </c>
      <c r="AD93" s="23">
        <v>7</v>
      </c>
      <c r="AE93" s="23">
        <f t="shared" si="15"/>
        <v>158.48074921956294</v>
      </c>
      <c r="AF93" s="23">
        <f t="shared" si="16"/>
        <v>31.69614984391259</v>
      </c>
      <c r="AG93" s="23">
        <f t="shared" si="17"/>
        <v>2400</v>
      </c>
      <c r="AH93" s="23">
        <f t="shared" ca="1" si="18"/>
        <v>39.376130487650414</v>
      </c>
      <c r="AI93" s="24">
        <f ca="1">IFERROR(__xludf.DUMMYFUNCTION("GOOGLEFINANCE(""USDJPY"")*S90"),6133.16702056068)</f>
        <v>6133.1670205606797</v>
      </c>
      <c r="AJ93" s="22">
        <f t="shared" ca="1" si="19"/>
        <v>0.45048415775483586</v>
      </c>
      <c r="AK93" s="22">
        <f t="shared" ca="1" si="20"/>
        <v>2.555486257191748</v>
      </c>
    </row>
    <row r="94" spans="16:37" ht="13.2">
      <c r="P94" s="19" t="s">
        <v>130</v>
      </c>
      <c r="Q94" s="20">
        <v>3800</v>
      </c>
      <c r="R94" s="21">
        <f ca="1">IFERROR(__xludf.DUMMYFUNCTION("GOOGLEFINANCE(""JPYUSD"")*B91"),24.3967424059999)</f>
        <v>24.396742405999898</v>
      </c>
      <c r="S94" s="20">
        <v>9</v>
      </c>
      <c r="T94" s="22">
        <f>238/703</f>
        <v>0.33854907539118068</v>
      </c>
      <c r="U94" s="22">
        <f>335/703</f>
        <v>0.47652916073968704</v>
      </c>
      <c r="V94" s="22">
        <f t="shared" si="11"/>
        <v>0.18492176386913234</v>
      </c>
      <c r="W94" s="23">
        <v>75</v>
      </c>
      <c r="X94" s="23">
        <v>45</v>
      </c>
      <c r="Y94" s="23">
        <v>35</v>
      </c>
      <c r="Z94" s="23">
        <f t="shared" si="12"/>
        <v>53.307254623044095</v>
      </c>
      <c r="AA94" s="23">
        <f t="shared" si="13"/>
        <v>9.5953058321479361</v>
      </c>
      <c r="AB94" s="23">
        <f t="shared" ca="1" si="14"/>
        <v>10.315206384896261</v>
      </c>
      <c r="AC94" s="23">
        <v>4</v>
      </c>
      <c r="AD94" s="23">
        <v>4</v>
      </c>
      <c r="AE94" s="23">
        <f t="shared" si="15"/>
        <v>213.22901849217638</v>
      </c>
      <c r="AF94" s="23">
        <f t="shared" si="16"/>
        <v>38.381223328591744</v>
      </c>
      <c r="AG94" s="23">
        <f t="shared" si="17"/>
        <v>15200</v>
      </c>
      <c r="AH94" s="23">
        <f t="shared" ca="1" si="18"/>
        <v>41.260825539585042</v>
      </c>
      <c r="AI94" s="24">
        <f ca="1">IFERROR(__xludf.DUMMYFUNCTION("GOOGLEFINANCE(""USDJPY"")*S91"),6426.72429480739)</f>
        <v>6426.7242948073899</v>
      </c>
      <c r="AJ94" s="22">
        <f t="shared" ca="1" si="19"/>
        <v>0.30886863932702247</v>
      </c>
      <c r="AK94" s="22">
        <f t="shared" ca="1" si="20"/>
        <v>0.42281080864137988</v>
      </c>
    </row>
    <row r="95" spans="16:37" ht="13.2">
      <c r="P95" s="20" t="s">
        <v>131</v>
      </c>
      <c r="Q95" s="20">
        <v>600</v>
      </c>
      <c r="R95" s="21">
        <f ca="1">IFERROR(__xludf.DUMMYFUNCTION("GOOGLEFINANCE(""JPYUSD"")*B92"),3.85211722199999)</f>
        <v>3.8521172219999902</v>
      </c>
      <c r="S95" s="20">
        <v>9</v>
      </c>
      <c r="T95" s="22">
        <f>232/747</f>
        <v>0.31057563587684067</v>
      </c>
      <c r="U95" s="22">
        <f>390/747</f>
        <v>0.52208835341365467</v>
      </c>
      <c r="V95" s="22">
        <f t="shared" si="11"/>
        <v>0.16733601070950466</v>
      </c>
      <c r="W95" s="23">
        <v>35</v>
      </c>
      <c r="X95" s="23">
        <v>20</v>
      </c>
      <c r="Y95" s="23">
        <v>15</v>
      </c>
      <c r="Z95" s="23">
        <f t="shared" si="12"/>
        <v>23.82195448460509</v>
      </c>
      <c r="AA95" s="23">
        <f t="shared" si="13"/>
        <v>4.764390896921018</v>
      </c>
      <c r="AB95" s="23">
        <f t="shared" ca="1" si="14"/>
        <v>6.2054463656840824</v>
      </c>
      <c r="AC95" s="23">
        <v>8</v>
      </c>
      <c r="AD95" s="23">
        <v>4</v>
      </c>
      <c r="AE95" s="23">
        <f t="shared" si="15"/>
        <v>190.57563587684072</v>
      </c>
      <c r="AF95" s="23">
        <f t="shared" si="16"/>
        <v>38.115127175368144</v>
      </c>
      <c r="AG95" s="23">
        <f t="shared" si="17"/>
        <v>4800</v>
      </c>
      <c r="AH95" s="23">
        <f t="shared" ca="1" si="18"/>
        <v>49.643570925472659</v>
      </c>
      <c r="AI95" s="24">
        <f ca="1">IFERROR(__xludf.DUMMYFUNCTION("GOOGLEFINANCE(""USDJPY"")*S92"),7732.40814199522)</f>
        <v>7732.4081419952199</v>
      </c>
      <c r="AJ95" s="22">
        <f t="shared" ca="1" si="19"/>
        <v>0.48283456013470893</v>
      </c>
      <c r="AK95" s="22">
        <f t="shared" ca="1" si="20"/>
        <v>1.6109183620487699</v>
      </c>
    </row>
    <row r="96" spans="16:37" ht="13.2">
      <c r="P96" s="20" t="s">
        <v>132</v>
      </c>
      <c r="Q96" s="20">
        <v>1400</v>
      </c>
      <c r="R96" s="21">
        <f ca="1">IFERROR(__xludf.DUMMYFUNCTION("GOOGLEFINANCE(""JPYUSD"")*B93"),8.988273518)</f>
        <v>8.9882735179999997</v>
      </c>
      <c r="S96" s="20">
        <v>9</v>
      </c>
      <c r="T96" s="22">
        <f>36/72</f>
        <v>0.5</v>
      </c>
      <c r="U96" s="22">
        <f>33/72</f>
        <v>0.45833333333333331</v>
      </c>
      <c r="V96" s="22">
        <f t="shared" si="11"/>
        <v>4.1666666666666685E-2</v>
      </c>
      <c r="W96" s="23">
        <v>40</v>
      </c>
      <c r="X96" s="23">
        <v>30</v>
      </c>
      <c r="Y96" s="23">
        <v>20</v>
      </c>
      <c r="Z96" s="23">
        <f t="shared" si="12"/>
        <v>34.583333333333336</v>
      </c>
      <c r="AA96" s="23">
        <f t="shared" si="13"/>
        <v>6.9166666666666679</v>
      </c>
      <c r="AB96" s="23">
        <f t="shared" ca="1" si="14"/>
        <v>9.6783931486666681</v>
      </c>
      <c r="AC96" s="23">
        <v>8</v>
      </c>
      <c r="AD96" s="23">
        <v>5</v>
      </c>
      <c r="AE96" s="23">
        <f t="shared" si="15"/>
        <v>276.66666666666669</v>
      </c>
      <c r="AF96" s="23">
        <f t="shared" si="16"/>
        <v>55.333333333333343</v>
      </c>
      <c r="AG96" s="23">
        <f t="shared" si="17"/>
        <v>11200</v>
      </c>
      <c r="AH96" s="23">
        <f t="shared" ca="1" si="18"/>
        <v>77.427145189333345</v>
      </c>
      <c r="AI96" s="24">
        <f ca="1">IFERROR(__xludf.DUMMYFUNCTION("GOOGLEFINANCE(""USDJPY"")*S93"),12059.9359939727)</f>
        <v>12059.9359939727</v>
      </c>
      <c r="AJ96" s="22">
        <f t="shared" ca="1" si="19"/>
        <v>0.53803902520061009</v>
      </c>
      <c r="AK96" s="22">
        <f t="shared" ca="1" si="20"/>
        <v>1.0767799988823914</v>
      </c>
    </row>
    <row r="97" spans="16:37" ht="13.2">
      <c r="P97" s="20" t="s">
        <v>133</v>
      </c>
      <c r="Q97" s="20">
        <v>1200</v>
      </c>
      <c r="R97" s="21">
        <f ca="1">IFERROR(__xludf.DUMMYFUNCTION("GOOGLEFINANCE(""JPYUSD"")*B94"),7.70423444399999)</f>
        <v>7.7042344439999901</v>
      </c>
      <c r="S97" s="20">
        <v>9</v>
      </c>
      <c r="T97" s="22">
        <f>40/240</f>
        <v>0.16666666666666666</v>
      </c>
      <c r="U97" s="22">
        <f>109/240</f>
        <v>0.45416666666666666</v>
      </c>
      <c r="V97" s="22">
        <f t="shared" si="11"/>
        <v>0.37916666666666671</v>
      </c>
      <c r="W97" s="23">
        <v>40</v>
      </c>
      <c r="X97" s="23">
        <v>20</v>
      </c>
      <c r="Y97" s="23">
        <v>10</v>
      </c>
      <c r="Z97" s="23">
        <f t="shared" si="12"/>
        <v>19.541666666666668</v>
      </c>
      <c r="AA97" s="23">
        <f t="shared" si="13"/>
        <v>3.9083333333333337</v>
      </c>
      <c r="AB97" s="23">
        <f t="shared" ca="1" si="14"/>
        <v>-1.0709011106666559</v>
      </c>
      <c r="AC97" s="23">
        <v>0</v>
      </c>
      <c r="AD97" s="23">
        <v>1</v>
      </c>
      <c r="AE97" s="23">
        <f t="shared" si="15"/>
        <v>0</v>
      </c>
      <c r="AF97" s="23">
        <f t="shared" si="16"/>
        <v>0</v>
      </c>
      <c r="AG97" s="23">
        <f t="shared" si="17"/>
        <v>0</v>
      </c>
      <c r="AH97" s="23">
        <f t="shared" ca="1" si="18"/>
        <v>0</v>
      </c>
      <c r="AI97" s="24">
        <f ca="1">IFERROR(__xludf.DUMMYFUNCTION("GOOGLEFINANCE(""USDJPY"")*S94"),0)</f>
        <v>0</v>
      </c>
      <c r="AJ97" s="22">
        <f t="shared" ca="1" si="19"/>
        <v>-6.410955942080386E-2</v>
      </c>
      <c r="AK97" s="22">
        <f t="shared" ca="1" si="20"/>
        <v>-0.13900162546334074</v>
      </c>
    </row>
    <row r="98" spans="16:37" ht="13.2">
      <c r="P98" s="20" t="s">
        <v>134</v>
      </c>
      <c r="Q98" s="20">
        <v>200</v>
      </c>
      <c r="R98" s="21">
        <f ca="1">IFERROR(__xludf.DUMMYFUNCTION("GOOGLEFINANCE(""JPYUSD"")*B95"),1.28403907399999)</f>
        <v>1.2840390739999901</v>
      </c>
      <c r="S98" s="20">
        <v>9</v>
      </c>
      <c r="T98" s="22">
        <f>169/746</f>
        <v>0.22654155495978553</v>
      </c>
      <c r="U98" s="22">
        <f>341/746</f>
        <v>0.4571045576407507</v>
      </c>
      <c r="V98" s="22">
        <f t="shared" si="11"/>
        <v>0.31635388739946374</v>
      </c>
      <c r="W98" s="23">
        <v>30</v>
      </c>
      <c r="X98" s="23">
        <v>15</v>
      </c>
      <c r="Y98" s="23">
        <v>10</v>
      </c>
      <c r="Z98" s="23">
        <f t="shared" si="12"/>
        <v>16.816353887399465</v>
      </c>
      <c r="AA98" s="23">
        <f t="shared" si="13"/>
        <v>3.3632707774798933</v>
      </c>
      <c r="AB98" s="23">
        <f t="shared" ca="1" si="14"/>
        <v>3.1690440359195819</v>
      </c>
      <c r="AC98" s="23">
        <v>4</v>
      </c>
      <c r="AD98" s="23">
        <v>3</v>
      </c>
      <c r="AE98" s="23">
        <f t="shared" si="15"/>
        <v>67.265415549597861</v>
      </c>
      <c r="AF98" s="23">
        <f t="shared" si="16"/>
        <v>13.453083109919573</v>
      </c>
      <c r="AG98" s="23">
        <f t="shared" si="17"/>
        <v>800</v>
      </c>
      <c r="AH98" s="23">
        <f t="shared" ca="1" si="18"/>
        <v>12.676176143678328</v>
      </c>
      <c r="AI98" s="24">
        <f ca="1">IFERROR(__xludf.DUMMYFUNCTION("GOOGLEFINANCE(""USDJPY"")*S95"),1974.42218187511)</f>
        <v>1974.42218187511</v>
      </c>
      <c r="AJ98" s="22">
        <f t="shared" ca="1" si="19"/>
        <v>0.30815169148195176</v>
      </c>
      <c r="AK98" s="22">
        <f t="shared" ca="1" si="20"/>
        <v>2.4680277260157633</v>
      </c>
    </row>
    <row r="99" spans="16:37" ht="13.2">
      <c r="P99" s="20" t="s">
        <v>135</v>
      </c>
      <c r="Q99" s="20">
        <v>4500</v>
      </c>
      <c r="R99" s="21">
        <f ca="1">IFERROR(__xludf.DUMMYFUNCTION("GOOGLEFINANCE(""JPYUSD"")*B96"),28.8908791649999)</f>
        <v>28.890879164999902</v>
      </c>
      <c r="S99" s="20">
        <v>9</v>
      </c>
      <c r="T99" s="22">
        <f>146/404</f>
        <v>0.36138613861386137</v>
      </c>
      <c r="U99" s="22">
        <f>212/404</f>
        <v>0.52475247524752477</v>
      </c>
      <c r="V99" s="22">
        <f t="shared" si="11"/>
        <v>0.11386138613861385</v>
      </c>
      <c r="W99" s="23">
        <v>80</v>
      </c>
      <c r="X99" s="23">
        <v>60</v>
      </c>
      <c r="Y99" s="23">
        <v>30</v>
      </c>
      <c r="Z99" s="23">
        <f t="shared" si="12"/>
        <v>63.811881188118811</v>
      </c>
      <c r="AA99" s="23">
        <f t="shared" si="13"/>
        <v>11.486138613861385</v>
      </c>
      <c r="AB99" s="23">
        <f t="shared" ca="1" si="14"/>
        <v>14.434863409257524</v>
      </c>
      <c r="AC99" s="23">
        <v>4</v>
      </c>
      <c r="AD99" s="23">
        <v>1</v>
      </c>
      <c r="AE99" s="23">
        <f t="shared" si="15"/>
        <v>255.24752475247524</v>
      </c>
      <c r="AF99" s="23">
        <f t="shared" si="16"/>
        <v>45.944554455445541</v>
      </c>
      <c r="AG99" s="23">
        <f t="shared" si="17"/>
        <v>18000</v>
      </c>
      <c r="AH99" s="23">
        <f t="shared" ca="1" si="18"/>
        <v>57.739453637030095</v>
      </c>
      <c r="AI99" s="24">
        <f ca="1">IFERROR(__xludf.DUMMYFUNCTION("GOOGLEFINANCE(""USDJPY"")*S96"),8993.41068932329)</f>
        <v>8993.4106893232893</v>
      </c>
      <c r="AJ99" s="22">
        <f t="shared" ca="1" si="19"/>
        <v>0.38095878816639123</v>
      </c>
      <c r="AK99" s="22">
        <f t="shared" ca="1" si="20"/>
        <v>0.49963392691575687</v>
      </c>
    </row>
    <row r="100" spans="16:37" ht="13.2">
      <c r="P100" s="20" t="s">
        <v>136</v>
      </c>
      <c r="Q100" s="20">
        <v>200</v>
      </c>
      <c r="R100" s="21">
        <f ca="1">IFERROR(__xludf.DUMMYFUNCTION("GOOGLEFINANCE(""JPYUSD"")*B97"),1.28403907399999)</f>
        <v>1.2840390739999901</v>
      </c>
      <c r="S100" s="20">
        <v>9</v>
      </c>
      <c r="T100" s="22">
        <f>481/1153</f>
        <v>0.41717259323503902</v>
      </c>
      <c r="U100" s="22">
        <f>522/1153</f>
        <v>0.45273200346921078</v>
      </c>
      <c r="V100" s="22">
        <f t="shared" si="11"/>
        <v>0.13009540329575026</v>
      </c>
      <c r="W100" s="23">
        <v>30</v>
      </c>
      <c r="X100" s="23">
        <v>20</v>
      </c>
      <c r="Y100" s="23">
        <v>15</v>
      </c>
      <c r="Z100" s="23">
        <f t="shared" si="12"/>
        <v>23.521248915871642</v>
      </c>
      <c r="AA100" s="23">
        <f t="shared" si="13"/>
        <v>4.7042497831743288</v>
      </c>
      <c r="AB100" s="23">
        <f t="shared" ca="1" si="14"/>
        <v>8.5329600586973235</v>
      </c>
      <c r="AC100" s="23">
        <v>8</v>
      </c>
      <c r="AD100" s="23">
        <v>8</v>
      </c>
      <c r="AE100" s="23">
        <f t="shared" si="15"/>
        <v>188.16999132697313</v>
      </c>
      <c r="AF100" s="23">
        <f t="shared" si="16"/>
        <v>37.633998265394631</v>
      </c>
      <c r="AG100" s="23">
        <f t="shared" si="17"/>
        <v>1600</v>
      </c>
      <c r="AH100" s="23">
        <f t="shared" ca="1" si="18"/>
        <v>68.263680469578588</v>
      </c>
      <c r="AI100" s="24">
        <f ca="1">IFERROR(__xludf.DUMMYFUNCTION("GOOGLEFINANCE(""USDJPY"")*S97"),10632.6484744208)</f>
        <v>10632.648474420799</v>
      </c>
      <c r="AJ100" s="22">
        <f t="shared" ca="1" si="19"/>
        <v>0.82972847509596426</v>
      </c>
      <c r="AK100" s="22">
        <f t="shared" ca="1" si="20"/>
        <v>6.6454052929368954</v>
      </c>
    </row>
    <row r="101" spans="16:37" ht="13.2">
      <c r="P101" s="19" t="s">
        <v>137</v>
      </c>
      <c r="Q101" s="20">
        <v>1200</v>
      </c>
      <c r="R101" s="21">
        <f ca="1">IFERROR(__xludf.DUMMYFUNCTION("GOOGLEFINANCE(""JPYUSD"")*B98"),7.70423444399999)</f>
        <v>7.7042344439999901</v>
      </c>
      <c r="S101" s="20">
        <v>9</v>
      </c>
      <c r="T101" s="22">
        <f>74/149</f>
        <v>0.49664429530201343</v>
      </c>
      <c r="U101" s="22">
        <f>61/149</f>
        <v>0.40939597315436244</v>
      </c>
      <c r="V101" s="22">
        <f t="shared" si="11"/>
        <v>9.3959731543624192E-2</v>
      </c>
      <c r="W101" s="23">
        <v>43</v>
      </c>
      <c r="X101" s="23">
        <v>25</v>
      </c>
      <c r="Y101" s="23">
        <v>20</v>
      </c>
      <c r="Z101" s="23">
        <f t="shared" si="12"/>
        <v>33.469798657718123</v>
      </c>
      <c r="AA101" s="23">
        <f t="shared" si="13"/>
        <v>6.6939597315436252</v>
      </c>
      <c r="AB101" s="23">
        <f t="shared" ca="1" si="14"/>
        <v>10.071604482174507</v>
      </c>
      <c r="AC101" s="23">
        <v>8</v>
      </c>
      <c r="AD101" s="23">
        <v>3</v>
      </c>
      <c r="AE101" s="23">
        <f t="shared" si="15"/>
        <v>267.75838926174498</v>
      </c>
      <c r="AF101" s="23">
        <f t="shared" si="16"/>
        <v>53.551677852349002</v>
      </c>
      <c r="AG101" s="23">
        <f t="shared" si="17"/>
        <v>9600</v>
      </c>
      <c r="AH101" s="23">
        <f t="shared" ca="1" si="18"/>
        <v>80.572835857396058</v>
      </c>
      <c r="AI101" s="24">
        <f ca="1">IFERROR(__xludf.DUMMYFUNCTION("GOOGLEFINANCE(""USDJPY"")*S98"),12549.9040538942)</f>
        <v>12549.904053894201</v>
      </c>
      <c r="AJ101" s="22">
        <f t="shared" ca="1" si="19"/>
        <v>0.6029372082832648</v>
      </c>
      <c r="AK101" s="22">
        <f t="shared" ca="1" si="20"/>
        <v>1.3072816715771429</v>
      </c>
    </row>
    <row r="102" spans="16:37" ht="13.2">
      <c r="P102" s="20" t="s">
        <v>138</v>
      </c>
      <c r="Q102" s="20">
        <v>400</v>
      </c>
      <c r="R102" s="21">
        <f ca="1">IFERROR(__xludf.DUMMYFUNCTION("GOOGLEFINANCE(""JPYUSD"")*B99"),2.56807814799999)</f>
        <v>2.5680781479999899</v>
      </c>
      <c r="S102" s="20">
        <v>9</v>
      </c>
      <c r="T102" s="22">
        <f>57/239</f>
        <v>0.2384937238493724</v>
      </c>
      <c r="U102" s="22">
        <f>126/239</f>
        <v>0.52719665271966532</v>
      </c>
      <c r="V102" s="22">
        <f t="shared" si="11"/>
        <v>0.23430962343096229</v>
      </c>
      <c r="W102" s="23">
        <v>30</v>
      </c>
      <c r="X102" s="23">
        <v>25</v>
      </c>
      <c r="Y102" s="23">
        <v>20</v>
      </c>
      <c r="Z102" s="23">
        <f t="shared" si="12"/>
        <v>25.020920502092054</v>
      </c>
      <c r="AA102" s="23">
        <f t="shared" si="13"/>
        <v>5.0041841004184109</v>
      </c>
      <c r="AB102" s="23">
        <f t="shared" ca="1" si="14"/>
        <v>8.4486582536736528</v>
      </c>
      <c r="AC102" s="23">
        <v>8</v>
      </c>
      <c r="AD102" s="23">
        <v>7</v>
      </c>
      <c r="AE102" s="23">
        <f t="shared" si="15"/>
        <v>200.16736401673643</v>
      </c>
      <c r="AF102" s="23">
        <f t="shared" si="16"/>
        <v>40.033472803347287</v>
      </c>
      <c r="AG102" s="23">
        <f t="shared" si="17"/>
        <v>3200</v>
      </c>
      <c r="AH102" s="23">
        <f t="shared" ca="1" si="18"/>
        <v>67.589266029389222</v>
      </c>
      <c r="AI102" s="24">
        <f ca="1">IFERROR(__xludf.DUMMYFUNCTION("GOOGLEFINANCE(""USDJPY"")*S99"),10527.6026928386)</f>
        <v>10527.6026928386</v>
      </c>
      <c r="AJ102" s="22">
        <f t="shared" ca="1" si="19"/>
        <v>0.73034242555962892</v>
      </c>
      <c r="AK102" s="22">
        <f t="shared" ca="1" si="20"/>
        <v>3.2898758397416517</v>
      </c>
    </row>
    <row r="103" spans="16:37" ht="13.2">
      <c r="P103" s="20" t="s">
        <v>139</v>
      </c>
      <c r="Q103" s="20">
        <v>500</v>
      </c>
      <c r="R103" s="21">
        <f ca="1">IFERROR(__xludf.DUMMYFUNCTION("GOOGLEFINANCE(""JPYUSD"")*B100"),3.21009768499999)</f>
        <v>3.2100976849999898</v>
      </c>
      <c r="S103" s="20">
        <v>9</v>
      </c>
      <c r="T103" s="22">
        <f>673/1507</f>
        <v>0.44658261446582614</v>
      </c>
      <c r="U103" s="22">
        <f>620/1507</f>
        <v>0.41141340411413402</v>
      </c>
      <c r="V103" s="22">
        <f t="shared" si="11"/>
        <v>0.14200398142003984</v>
      </c>
      <c r="W103" s="23">
        <v>30</v>
      </c>
      <c r="X103" s="23">
        <v>20</v>
      </c>
      <c r="Y103" s="23">
        <v>15</v>
      </c>
      <c r="Z103" s="23">
        <f t="shared" si="12"/>
        <v>23.755806237558062</v>
      </c>
      <c r="AA103" s="23">
        <f t="shared" si="13"/>
        <v>4.7511612475116127</v>
      </c>
      <c r="AB103" s="23">
        <f t="shared" ca="1" si="14"/>
        <v>6.7945473050464589</v>
      </c>
      <c r="AC103" s="23">
        <v>8</v>
      </c>
      <c r="AD103" s="23">
        <v>5</v>
      </c>
      <c r="AE103" s="23">
        <f t="shared" si="15"/>
        <v>190.04644990046449</v>
      </c>
      <c r="AF103" s="23">
        <f t="shared" si="16"/>
        <v>38.009289980092902</v>
      </c>
      <c r="AG103" s="23">
        <f t="shared" si="17"/>
        <v>4000</v>
      </c>
      <c r="AH103" s="23">
        <f t="shared" ca="1" si="18"/>
        <v>54.356378440371671</v>
      </c>
      <c r="AI103" s="24">
        <f ca="1">IFERROR(__xludf.DUMMYFUNCTION("GOOGLEFINANCE(""USDJPY"")*S100"),8466.46797130461)</f>
        <v>8466.4679713046098</v>
      </c>
      <c r="AJ103" s="22">
        <f t="shared" ca="1" si="19"/>
        <v>0.55646952877318145</v>
      </c>
      <c r="AK103" s="22">
        <f t="shared" ca="1" si="20"/>
        <v>2.1166169916871178</v>
      </c>
    </row>
    <row r="104" spans="16:37" ht="13.2">
      <c r="P104" s="32" t="s">
        <v>140</v>
      </c>
      <c r="Q104" s="20">
        <v>6500</v>
      </c>
      <c r="R104" s="21">
        <f ca="1">IFERROR(__xludf.DUMMYFUNCTION("GOOGLEFINANCE(""JPYUSD"")*B101"),41.731269905)</f>
        <v>41.731269904999998</v>
      </c>
      <c r="S104" s="20">
        <v>9</v>
      </c>
      <c r="T104" s="22">
        <f>149/430</f>
        <v>0.34651162790697676</v>
      </c>
      <c r="U104" s="22">
        <f>183/430</f>
        <v>0.42558139534883721</v>
      </c>
      <c r="V104" s="22">
        <f t="shared" si="11"/>
        <v>0.22790697674418603</v>
      </c>
      <c r="W104" s="23">
        <v>120</v>
      </c>
      <c r="X104" s="23">
        <v>85</v>
      </c>
      <c r="Y104" s="23">
        <v>60</v>
      </c>
      <c r="Z104" s="23">
        <f t="shared" si="12"/>
        <v>91.430232558139537</v>
      </c>
      <c r="AA104" s="23">
        <f t="shared" si="13"/>
        <v>16.457441860465117</v>
      </c>
      <c r="AB104" s="23">
        <f t="shared" ca="1" si="14"/>
        <v>24.241520792674422</v>
      </c>
      <c r="AC104" s="23">
        <v>8</v>
      </c>
      <c r="AD104" s="23">
        <v>9</v>
      </c>
      <c r="AE104" s="23">
        <f t="shared" si="15"/>
        <v>731.44186046511629</v>
      </c>
      <c r="AF104" s="23">
        <f t="shared" si="16"/>
        <v>131.65953488372094</v>
      </c>
      <c r="AG104" s="23">
        <f t="shared" si="17"/>
        <v>52000</v>
      </c>
      <c r="AH104" s="23">
        <f t="shared" ca="1" si="18"/>
        <v>193.93216634139537</v>
      </c>
      <c r="AI104" s="24">
        <f ca="1">IFERROR(__xludf.DUMMYFUNCTION("GOOGLEFINANCE(""USDJPY"")*S101"),30206.5833310862)</f>
        <v>30206.5833310862</v>
      </c>
      <c r="AJ104" s="22">
        <f t="shared" ca="1" si="19"/>
        <v>0.47784178945390865</v>
      </c>
      <c r="AK104" s="22">
        <f t="shared" ca="1" si="20"/>
        <v>0.58089583297751368</v>
      </c>
    </row>
    <row r="105" spans="16:37" ht="13.2">
      <c r="P105" s="20" t="s">
        <v>141</v>
      </c>
      <c r="Q105" s="20">
        <v>500</v>
      </c>
      <c r="R105" s="21">
        <f ca="1">IFERROR(__xludf.DUMMYFUNCTION("GOOGLEFINANCE(""JPYUSD"")*B102"),3.21009768499999)</f>
        <v>3.2100976849999898</v>
      </c>
      <c r="S105" s="20">
        <v>9</v>
      </c>
      <c r="T105" s="22">
        <f>131/259</f>
        <v>0.50579150579150578</v>
      </c>
      <c r="U105" s="22">
        <f>102/259</f>
        <v>0.39382239382239381</v>
      </c>
      <c r="V105" s="22">
        <f t="shared" si="11"/>
        <v>0.10038610038610041</v>
      </c>
      <c r="W105" s="23">
        <v>35</v>
      </c>
      <c r="X105" s="23">
        <v>20</v>
      </c>
      <c r="Y105" s="23">
        <v>10</v>
      </c>
      <c r="Z105" s="23">
        <f t="shared" si="12"/>
        <v>26.583011583011583</v>
      </c>
      <c r="AA105" s="23">
        <f t="shared" si="13"/>
        <v>5.3166023166023173</v>
      </c>
      <c r="AB105" s="23">
        <f t="shared" ca="1" si="14"/>
        <v>9.0563115814092754</v>
      </c>
      <c r="AC105" s="23">
        <v>8</v>
      </c>
      <c r="AD105" s="23">
        <v>5</v>
      </c>
      <c r="AE105" s="23">
        <f t="shared" si="15"/>
        <v>212.66409266409266</v>
      </c>
      <c r="AF105" s="23">
        <f t="shared" si="16"/>
        <v>42.532818532818538</v>
      </c>
      <c r="AG105" s="23">
        <f t="shared" si="17"/>
        <v>4000</v>
      </c>
      <c r="AH105" s="23">
        <f t="shared" ca="1" si="18"/>
        <v>72.450492651274203</v>
      </c>
      <c r="AI105" s="24">
        <f ca="1">IFERROR(__xludf.DUMMYFUNCTION("GOOGLEFINANCE(""USDJPY"")*S102"),11284.7800596234)</f>
        <v>11284.780059623399</v>
      </c>
      <c r="AJ105" s="22">
        <f t="shared" ca="1" si="19"/>
        <v>0.74170672627254108</v>
      </c>
      <c r="AK105" s="22">
        <f t="shared" ca="1" si="20"/>
        <v>2.82119501338767</v>
      </c>
    </row>
    <row r="106" spans="16:37" ht="13.2">
      <c r="P106" s="19" t="s">
        <v>142</v>
      </c>
      <c r="Q106" s="20">
        <v>4000</v>
      </c>
      <c r="R106" s="21">
        <f ca="1">IFERROR(__xludf.DUMMYFUNCTION("GOOGLEFINANCE(""JPYUSD"")*B103"),25.6807814799999)</f>
        <v>25.680781479999901</v>
      </c>
      <c r="S106" s="20">
        <v>9</v>
      </c>
      <c r="T106" s="22">
        <f>98/215</f>
        <v>0.45581395348837211</v>
      </c>
      <c r="U106" s="22">
        <f>95/215</f>
        <v>0.44186046511627908</v>
      </c>
      <c r="V106" s="22">
        <f t="shared" si="11"/>
        <v>0.10232558139534886</v>
      </c>
      <c r="W106" s="23">
        <v>140</v>
      </c>
      <c r="X106" s="23">
        <v>75</v>
      </c>
      <c r="Y106" s="23">
        <v>40</v>
      </c>
      <c r="Z106" s="23">
        <f t="shared" si="12"/>
        <v>101.04651162790699</v>
      </c>
      <c r="AA106" s="23">
        <f t="shared" si="13"/>
        <v>12.125581395348838</v>
      </c>
      <c r="AB106" s="23">
        <f t="shared" ca="1" si="14"/>
        <v>54.240148752558262</v>
      </c>
      <c r="AC106" s="23">
        <v>8</v>
      </c>
      <c r="AD106" s="23">
        <v>8</v>
      </c>
      <c r="AE106" s="23">
        <f t="shared" si="15"/>
        <v>808.37209302325596</v>
      </c>
      <c r="AF106" s="23">
        <f t="shared" si="16"/>
        <v>97.004651162790708</v>
      </c>
      <c r="AG106" s="23">
        <f t="shared" si="17"/>
        <v>32000</v>
      </c>
      <c r="AH106" s="23">
        <f t="shared" ca="1" si="18"/>
        <v>433.9211900204661</v>
      </c>
      <c r="AI106" s="24">
        <f ca="1">IFERROR(__xludf.DUMMYFUNCTION("GOOGLEFINANCE(""USDJPY"")*S103"),67586.9136758026)</f>
        <v>67586.9136758026</v>
      </c>
      <c r="AJ106" s="22">
        <f t="shared" ca="1" si="19"/>
        <v>1.5639828872898403</v>
      </c>
      <c r="AK106" s="22">
        <f t="shared" ca="1" si="20"/>
        <v>2.1120910512322335</v>
      </c>
    </row>
    <row r="107" spans="16:37" ht="13.2">
      <c r="P107" s="19" t="s">
        <v>143</v>
      </c>
      <c r="Q107" s="20">
        <v>300</v>
      </c>
      <c r="R107" s="21">
        <f ca="1">IFERROR(__xludf.DUMMYFUNCTION("GOOGLEFINANCE(""JPYUSD"")*B104"),1.92605861099999)</f>
        <v>1.92605861099999</v>
      </c>
      <c r="S107" s="20">
        <v>9</v>
      </c>
      <c r="T107" s="22">
        <f>787/2320</f>
        <v>0.33922413793103451</v>
      </c>
      <c r="U107" s="22">
        <f>1109/2320</f>
        <v>0.47801724137931034</v>
      </c>
      <c r="V107" s="22">
        <f t="shared" si="11"/>
        <v>0.18275862068965509</v>
      </c>
      <c r="W107" s="23">
        <v>30</v>
      </c>
      <c r="X107" s="23">
        <v>20</v>
      </c>
      <c r="Y107" s="23">
        <v>12</v>
      </c>
      <c r="Z107" s="23">
        <f t="shared" si="12"/>
        <v>21.930172413793102</v>
      </c>
      <c r="AA107" s="23">
        <f t="shared" si="13"/>
        <v>4.3860344827586202</v>
      </c>
      <c r="AB107" s="23">
        <f t="shared" ca="1" si="14"/>
        <v>6.6180793200344903</v>
      </c>
      <c r="AC107" s="23">
        <v>8</v>
      </c>
      <c r="AD107" s="23">
        <v>13</v>
      </c>
      <c r="AE107" s="23">
        <f t="shared" si="15"/>
        <v>175.44137931034481</v>
      </c>
      <c r="AF107" s="23">
        <f t="shared" si="16"/>
        <v>35.088275862068961</v>
      </c>
      <c r="AG107" s="23">
        <f t="shared" si="17"/>
        <v>2400</v>
      </c>
      <c r="AH107" s="23">
        <f t="shared" ca="1" si="18"/>
        <v>52.944634560275922</v>
      </c>
      <c r="AI107" s="24">
        <f ca="1">IFERROR(__xludf.DUMMYFUNCTION("GOOGLEFINANCE(""USDJPY"")*S104"),8246.57686215672)</f>
        <v>8246.5768621567204</v>
      </c>
      <c r="AJ107" s="22">
        <f t="shared" ca="1" si="19"/>
        <v>0.60571515819726884</v>
      </c>
      <c r="AK107" s="22">
        <f t="shared" ca="1" si="20"/>
        <v>3.4360736907162193</v>
      </c>
    </row>
    <row r="108" spans="16:37" ht="13.2">
      <c r="P108" s="30" t="s">
        <v>144</v>
      </c>
      <c r="Q108" s="20">
        <v>1700</v>
      </c>
      <c r="R108" s="21">
        <f ca="1">IFERROR(__xludf.DUMMYFUNCTION("GOOGLEFINANCE(""JPYUSD"")*B105"),10.914332129)</f>
        <v>10.914332129</v>
      </c>
      <c r="S108" s="20">
        <v>9</v>
      </c>
      <c r="T108" s="22">
        <f>552/1207</f>
        <v>0.45733222866611434</v>
      </c>
      <c r="U108" s="22">
        <f>534/1207</f>
        <v>0.44241922120961058</v>
      </c>
      <c r="V108" s="22">
        <f t="shared" si="11"/>
        <v>0.10024855012427508</v>
      </c>
      <c r="W108" s="23">
        <v>55</v>
      </c>
      <c r="X108" s="23">
        <v>42</v>
      </c>
      <c r="Y108" s="23">
        <v>25</v>
      </c>
      <c r="Z108" s="23">
        <f t="shared" si="12"/>
        <v>46.241093620546813</v>
      </c>
      <c r="AA108" s="23">
        <f t="shared" si="13"/>
        <v>9.2482187241093623</v>
      </c>
      <c r="AB108" s="23">
        <f t="shared" ca="1" si="14"/>
        <v>17.078542767437447</v>
      </c>
      <c r="AC108" s="23">
        <v>8</v>
      </c>
      <c r="AD108" s="23">
        <v>8</v>
      </c>
      <c r="AE108" s="23">
        <f t="shared" si="15"/>
        <v>369.92874896437451</v>
      </c>
      <c r="AF108" s="23">
        <f t="shared" si="16"/>
        <v>73.985749792874898</v>
      </c>
      <c r="AG108" s="23">
        <f t="shared" si="17"/>
        <v>13600</v>
      </c>
      <c r="AH108" s="23">
        <f t="shared" ca="1" si="18"/>
        <v>136.62834213949958</v>
      </c>
      <c r="AI108" s="24">
        <f ca="1">IFERROR(__xludf.DUMMYFUNCTION("GOOGLEFINANCE(""USDJPY"")*S105"),21281.0256291352)</f>
        <v>21281.025629135202</v>
      </c>
      <c r="AJ108" s="22">
        <f t="shared" ca="1" si="19"/>
        <v>0.85760057916112731</v>
      </c>
      <c r="AK108" s="22">
        <f t="shared" ca="1" si="20"/>
        <v>1.5647812954178653</v>
      </c>
    </row>
    <row r="109" spans="16:37" ht="13.2">
      <c r="P109" s="20" t="s">
        <v>145</v>
      </c>
      <c r="Q109" s="20">
        <v>3000</v>
      </c>
      <c r="R109" s="21">
        <f ca="1">IFERROR(__xludf.DUMMYFUNCTION("GOOGLEFINANCE(""JPYUSD"")*B106"),19.26058611)</f>
        <v>19.260586109999998</v>
      </c>
      <c r="S109" s="20">
        <v>9</v>
      </c>
      <c r="T109" s="22">
        <f>25/67</f>
        <v>0.37313432835820898</v>
      </c>
      <c r="U109" s="22">
        <f>27/67</f>
        <v>0.40298507462686567</v>
      </c>
      <c r="V109" s="22">
        <f t="shared" si="11"/>
        <v>0.22388059701492541</v>
      </c>
      <c r="W109" s="23">
        <v>50</v>
      </c>
      <c r="X109" s="23">
        <v>40</v>
      </c>
      <c r="Y109" s="23">
        <v>30</v>
      </c>
      <c r="Z109" s="23">
        <f t="shared" si="12"/>
        <v>41.492537313432834</v>
      </c>
      <c r="AA109" s="23">
        <f t="shared" si="13"/>
        <v>8.2985074626865671</v>
      </c>
      <c r="AB109" s="23">
        <f t="shared" ca="1" si="14"/>
        <v>4.9334437407462683</v>
      </c>
      <c r="AC109" s="23">
        <v>0</v>
      </c>
      <c r="AD109" s="23">
        <v>0</v>
      </c>
      <c r="AE109" s="23">
        <f t="shared" si="15"/>
        <v>0</v>
      </c>
      <c r="AF109" s="23">
        <f t="shared" si="16"/>
        <v>0</v>
      </c>
      <c r="AG109" s="23">
        <f t="shared" si="17"/>
        <v>0</v>
      </c>
      <c r="AH109" s="23">
        <f t="shared" ca="1" si="18"/>
        <v>0</v>
      </c>
      <c r="AI109" s="24">
        <f ca="1">IFERROR(__xludf.DUMMYFUNCTION("GOOGLEFINANCE(""USDJPY"")*S106"),0)</f>
        <v>0</v>
      </c>
      <c r="AJ109" s="22">
        <f t="shared" ca="1" si="19"/>
        <v>0.17456976021458279</v>
      </c>
      <c r="AK109" s="22">
        <f t="shared" ca="1" si="20"/>
        <v>0.25614193215983438</v>
      </c>
    </row>
    <row r="110" spans="16:37" ht="13.2">
      <c r="P110" s="20" t="s">
        <v>146</v>
      </c>
      <c r="Q110" s="20">
        <v>200</v>
      </c>
      <c r="R110" s="21">
        <f ca="1">IFERROR(__xludf.DUMMYFUNCTION("GOOGLEFINANCE(""JPYUSD"")*B107"),1.28403907399999)</f>
        <v>1.2840390739999901</v>
      </c>
      <c r="S110" s="20">
        <v>9</v>
      </c>
      <c r="T110" s="22">
        <f>375/812</f>
        <v>0.46182266009852219</v>
      </c>
      <c r="U110" s="22">
        <f>305/812</f>
        <v>0.37561576354679804</v>
      </c>
      <c r="V110" s="22">
        <f t="shared" si="11"/>
        <v>0.16256157635467972</v>
      </c>
      <c r="W110" s="23">
        <v>25</v>
      </c>
      <c r="X110" s="23">
        <v>17</v>
      </c>
      <c r="Y110" s="23">
        <v>12</v>
      </c>
      <c r="Z110" s="23">
        <f t="shared" si="12"/>
        <v>19.881773399014779</v>
      </c>
      <c r="AA110" s="23">
        <f t="shared" si="13"/>
        <v>3.9763546798029559</v>
      </c>
      <c r="AB110" s="23">
        <f t="shared" ca="1" si="14"/>
        <v>5.6213796452118352</v>
      </c>
      <c r="AC110" s="23">
        <v>8</v>
      </c>
      <c r="AD110" s="23">
        <v>1</v>
      </c>
      <c r="AE110" s="23">
        <f t="shared" si="15"/>
        <v>159.05418719211823</v>
      </c>
      <c r="AF110" s="23">
        <f t="shared" si="16"/>
        <v>31.810837438423647</v>
      </c>
      <c r="AG110" s="23">
        <f t="shared" si="17"/>
        <v>1600</v>
      </c>
      <c r="AH110" s="23">
        <f t="shared" ca="1" si="18"/>
        <v>44.971037161694682</v>
      </c>
      <c r="AI110" s="24">
        <f ca="1">IFERROR(__xludf.DUMMYFUNCTION("GOOGLEFINANCE(""USDJPY"")*S107"),7004.6212917498)</f>
        <v>7004.6212917497996</v>
      </c>
      <c r="AJ110" s="22">
        <f t="shared" ca="1" si="19"/>
        <v>0.54661204656677687</v>
      </c>
      <c r="AK110" s="22">
        <f t="shared" ca="1" si="20"/>
        <v>4.3778883049877333</v>
      </c>
    </row>
    <row r="111" spans="16:37" ht="13.2">
      <c r="P111" s="20" t="s">
        <v>147</v>
      </c>
      <c r="Q111" s="20">
        <v>1600</v>
      </c>
      <c r="R111" s="21">
        <f ca="1">IFERROR(__xludf.DUMMYFUNCTION("GOOGLEFINANCE(""JPYUSD"")*B108"),10.2723125919999)</f>
        <v>10.272312591999899</v>
      </c>
      <c r="S111" s="20">
        <v>9</v>
      </c>
      <c r="T111" s="22">
        <f>51/121</f>
        <v>0.42148760330578511</v>
      </c>
      <c r="U111" s="22">
        <f>46/121</f>
        <v>0.38016528925619836</v>
      </c>
      <c r="V111" s="22">
        <f t="shared" si="11"/>
        <v>0.19834710743801659</v>
      </c>
      <c r="W111" s="23">
        <v>50</v>
      </c>
      <c r="X111" s="23">
        <v>30</v>
      </c>
      <c r="Y111" s="23">
        <v>17</v>
      </c>
      <c r="Z111" s="23">
        <f t="shared" si="12"/>
        <v>35.851239669421489</v>
      </c>
      <c r="AA111" s="23">
        <f t="shared" si="13"/>
        <v>7.1702479338842977</v>
      </c>
      <c r="AB111" s="23">
        <f t="shared" ca="1" si="14"/>
        <v>9.4086791435372916</v>
      </c>
      <c r="AC111" s="23">
        <v>4</v>
      </c>
      <c r="AD111" s="23">
        <v>1</v>
      </c>
      <c r="AE111" s="23">
        <f t="shared" si="15"/>
        <v>143.40495867768595</v>
      </c>
      <c r="AF111" s="23">
        <f t="shared" si="16"/>
        <v>28.680991735537191</v>
      </c>
      <c r="AG111" s="23">
        <f t="shared" si="17"/>
        <v>6400</v>
      </c>
      <c r="AH111" s="23">
        <f t="shared" ca="1" si="18"/>
        <v>37.634716574149166</v>
      </c>
      <c r="AI111" s="24">
        <f ca="1">IFERROR(__xludf.DUMMYFUNCTION("GOOGLEFINANCE(""USDJPY"")*S108"),5861.92700151455)</f>
        <v>5861.9270015145503</v>
      </c>
      <c r="AJ111" s="22">
        <f t="shared" ca="1" si="19"/>
        <v>0.48819668623696538</v>
      </c>
      <c r="AK111" s="22">
        <f t="shared" ca="1" si="20"/>
        <v>0.91592609349376619</v>
      </c>
    </row>
    <row r="112" spans="16:37" ht="13.2">
      <c r="P112" s="20" t="s">
        <v>148</v>
      </c>
      <c r="Q112" s="20">
        <v>200</v>
      </c>
      <c r="R112" s="21">
        <f ca="1">IFERROR(__xludf.DUMMYFUNCTION("GOOGLEFINANCE(""JPYUSD"")*B109"),1.28403907399999)</f>
        <v>1.2840390739999901</v>
      </c>
      <c r="S112" s="20">
        <v>9</v>
      </c>
      <c r="T112" s="22">
        <f>33/136</f>
        <v>0.24264705882352941</v>
      </c>
      <c r="U112" s="22">
        <f>57/136</f>
        <v>0.41911764705882354</v>
      </c>
      <c r="V112" s="22">
        <f t="shared" si="11"/>
        <v>0.33823529411764702</v>
      </c>
      <c r="W112" s="23">
        <v>20</v>
      </c>
      <c r="X112" s="23">
        <v>15</v>
      </c>
      <c r="Y112" s="23">
        <v>10</v>
      </c>
      <c r="Z112" s="23">
        <f t="shared" si="12"/>
        <v>14.522058823529413</v>
      </c>
      <c r="AA112" s="23">
        <f t="shared" si="13"/>
        <v>2.9044117647058827</v>
      </c>
      <c r="AB112" s="23">
        <f t="shared" ca="1" si="14"/>
        <v>1.3336079848235403</v>
      </c>
      <c r="AC112" s="23">
        <v>2</v>
      </c>
      <c r="AD112" s="23">
        <v>11</v>
      </c>
      <c r="AE112" s="23">
        <f t="shared" si="15"/>
        <v>29.044117647058826</v>
      </c>
      <c r="AF112" s="23">
        <f t="shared" si="16"/>
        <v>5.8088235294117654</v>
      </c>
      <c r="AG112" s="23">
        <f t="shared" si="17"/>
        <v>400</v>
      </c>
      <c r="AH112" s="23">
        <f t="shared" ca="1" si="18"/>
        <v>2.6672159696470805</v>
      </c>
      <c r="AI112" s="24">
        <f ca="1">IFERROR(__xludf.DUMMYFUNCTION("GOOGLEFINANCE(""USDJPY"")*S109"),415.441558608272)</f>
        <v>415.44155860827198</v>
      </c>
      <c r="AJ112" s="22">
        <f t="shared" ca="1" si="19"/>
        <v>0.12967745213990439</v>
      </c>
      <c r="AK112" s="22">
        <f t="shared" ca="1" si="20"/>
        <v>1.0386038959617756</v>
      </c>
    </row>
    <row r="113" spans="16:37" ht="13.2">
      <c r="P113" s="20" t="s">
        <v>149</v>
      </c>
      <c r="Q113" s="20">
        <v>200</v>
      </c>
      <c r="R113" s="21">
        <f ca="1">IFERROR(__xludf.DUMMYFUNCTION("GOOGLEFINANCE(""JPYUSD"")*B110"),1.28403907399999)</f>
        <v>1.2840390739999901</v>
      </c>
      <c r="S113" s="20">
        <v>9</v>
      </c>
      <c r="T113" s="22">
        <f>401/1344</f>
        <v>0.29836309523809523</v>
      </c>
      <c r="U113" s="22">
        <f>585/1344</f>
        <v>0.43526785714285715</v>
      </c>
      <c r="V113" s="22">
        <f t="shared" si="11"/>
        <v>0.26636904761904762</v>
      </c>
      <c r="W113" s="23">
        <v>25</v>
      </c>
      <c r="X113" s="23">
        <v>15</v>
      </c>
      <c r="Y113" s="23">
        <v>10</v>
      </c>
      <c r="Z113" s="23">
        <f t="shared" si="12"/>
        <v>16.651785714285715</v>
      </c>
      <c r="AA113" s="23">
        <f t="shared" si="13"/>
        <v>3.3303571428571432</v>
      </c>
      <c r="AB113" s="23">
        <f t="shared" ca="1" si="14"/>
        <v>3.037389497428582</v>
      </c>
      <c r="AC113" s="23">
        <v>8</v>
      </c>
      <c r="AD113" s="23">
        <v>4</v>
      </c>
      <c r="AE113" s="23">
        <f t="shared" si="15"/>
        <v>133.21428571428572</v>
      </c>
      <c r="AF113" s="23">
        <f t="shared" si="16"/>
        <v>26.642857142857146</v>
      </c>
      <c r="AG113" s="23">
        <f t="shared" si="17"/>
        <v>1600</v>
      </c>
      <c r="AH113" s="23">
        <f t="shared" ca="1" si="18"/>
        <v>24.299115979428656</v>
      </c>
      <c r="AI113" s="24">
        <f ca="1">IFERROR(__xludf.DUMMYFUNCTION("GOOGLEFINANCE(""USDJPY"")*S110"),3784.79385628182)</f>
        <v>3784.7938562818199</v>
      </c>
      <c r="AJ113" s="22">
        <f t="shared" ca="1" si="19"/>
        <v>0.29534985967796262</v>
      </c>
      <c r="AK113" s="22">
        <f t="shared" ca="1" si="20"/>
        <v>2.3654961589031873</v>
      </c>
    </row>
    <row r="114" spans="16:37" ht="13.2">
      <c r="P114" s="30" t="s">
        <v>150</v>
      </c>
      <c r="Q114" s="20">
        <v>2000</v>
      </c>
      <c r="R114" s="21">
        <f ca="1">IFERROR(__xludf.DUMMYFUNCTION("GOOGLEFINANCE(""JPYUSD"")*B111"),12.8403907399999)</f>
        <v>12.840390739999901</v>
      </c>
      <c r="S114" s="20">
        <v>9</v>
      </c>
      <c r="T114" s="22">
        <f>371/782</f>
        <v>0.47442455242966752</v>
      </c>
      <c r="U114" s="22">
        <f>313/782</f>
        <v>0.40025575447570333</v>
      </c>
      <c r="V114" s="22">
        <f t="shared" si="11"/>
        <v>0.12531969309462915</v>
      </c>
      <c r="W114" s="23">
        <v>40</v>
      </c>
      <c r="X114" s="23">
        <v>30</v>
      </c>
      <c r="Y114" s="23">
        <v>20</v>
      </c>
      <c r="Z114" s="23">
        <f t="shared" si="12"/>
        <v>33.491048593350385</v>
      </c>
      <c r="AA114" s="23">
        <f t="shared" si="13"/>
        <v>6.6982097186700775</v>
      </c>
      <c r="AB114" s="23">
        <f t="shared" ca="1" si="14"/>
        <v>4.9524481346804068</v>
      </c>
      <c r="AC114" s="23">
        <v>2</v>
      </c>
      <c r="AD114" s="23">
        <v>2</v>
      </c>
      <c r="AE114" s="23">
        <f t="shared" si="15"/>
        <v>66.98209718670077</v>
      </c>
      <c r="AF114" s="23">
        <f t="shared" si="16"/>
        <v>13.396419437340155</v>
      </c>
      <c r="AG114" s="23">
        <f t="shared" si="17"/>
        <v>4000</v>
      </c>
      <c r="AH114" s="23">
        <f t="shared" ca="1" si="18"/>
        <v>9.9048962693608136</v>
      </c>
      <c r="AI114" s="24">
        <f ca="1">IFERROR(__xludf.DUMMYFUNCTION("GOOGLEFINANCE(""USDJPY"")*S111"),1542.7717855712)</f>
        <v>1542.7717855712001</v>
      </c>
      <c r="AJ114" s="22">
        <f t="shared" ca="1" si="19"/>
        <v>0.2267563888227592</v>
      </c>
      <c r="AK114" s="22">
        <f t="shared" ca="1" si="20"/>
        <v>0.38569294618525335</v>
      </c>
    </row>
    <row r="115" spans="16:37" ht="13.2">
      <c r="P115" s="20" t="s">
        <v>151</v>
      </c>
      <c r="Q115" s="20">
        <v>4000</v>
      </c>
      <c r="R115" s="21">
        <f ca="1">IFERROR(__xludf.DUMMYFUNCTION("GOOGLEFINANCE(""JPYUSD"")*B112"),25.6807814799999)</f>
        <v>25.680781479999901</v>
      </c>
      <c r="S115" s="20">
        <v>9</v>
      </c>
      <c r="T115" s="22">
        <f>186/536</f>
        <v>0.34701492537313433</v>
      </c>
      <c r="U115" s="22">
        <f>219/536</f>
        <v>0.40858208955223879</v>
      </c>
      <c r="V115" s="22">
        <f t="shared" si="11"/>
        <v>0.24440298507462693</v>
      </c>
      <c r="W115" s="23"/>
      <c r="X115" s="23"/>
      <c r="Y115" s="23"/>
      <c r="Z115" s="23">
        <f t="shared" si="12"/>
        <v>0</v>
      </c>
      <c r="AA115" s="23">
        <f t="shared" si="13"/>
        <v>0</v>
      </c>
      <c r="AB115" s="23">
        <f t="shared" ca="1" si="14"/>
        <v>-34.680781479999901</v>
      </c>
      <c r="AC115" s="23"/>
      <c r="AD115" s="23"/>
      <c r="AE115" s="23">
        <f t="shared" si="15"/>
        <v>0</v>
      </c>
      <c r="AF115" s="23">
        <f t="shared" si="16"/>
        <v>0</v>
      </c>
      <c r="AG115" s="23">
        <f t="shared" si="17"/>
        <v>0</v>
      </c>
      <c r="AH115" s="23">
        <f t="shared" ca="1" si="18"/>
        <v>0</v>
      </c>
      <c r="AI115" s="24">
        <f ca="1">IFERROR(__xludf.DUMMYFUNCTION("GOOGLEFINANCE(""USDJPY"")*S112"),0)</f>
        <v>0</v>
      </c>
      <c r="AJ115" s="22">
        <f t="shared" ca="1" si="19"/>
        <v>-1</v>
      </c>
      <c r="AK115" s="22">
        <f t="shared" ca="1" si="20"/>
        <v>-1.3504566248114049</v>
      </c>
    </row>
    <row r="116" spans="16:37" ht="13.2">
      <c r="P116" s="20" t="s">
        <v>152</v>
      </c>
      <c r="Q116" s="20">
        <v>1400</v>
      </c>
      <c r="R116" s="21">
        <f ca="1">IFERROR(__xludf.DUMMYFUNCTION("GOOGLEFINANCE(""JPYUSD"")*B113"),8.988273518)</f>
        <v>8.9882735179999997</v>
      </c>
      <c r="S116" s="20">
        <v>9</v>
      </c>
      <c r="T116" s="22">
        <f>65/162</f>
        <v>0.40123456790123457</v>
      </c>
      <c r="U116" s="22">
        <f>80/162</f>
        <v>0.49382716049382713</v>
      </c>
      <c r="V116" s="22">
        <f t="shared" si="11"/>
        <v>0.10493827160493829</v>
      </c>
      <c r="W116" s="23">
        <v>55</v>
      </c>
      <c r="X116" s="23">
        <v>25</v>
      </c>
      <c r="Y116" s="23">
        <v>20</v>
      </c>
      <c r="Z116" s="23">
        <f t="shared" si="12"/>
        <v>36.512345679012348</v>
      </c>
      <c r="AA116" s="23">
        <f t="shared" si="13"/>
        <v>7.30246913580247</v>
      </c>
      <c r="AB116" s="23">
        <f t="shared" ca="1" si="14"/>
        <v>11.221603025209879</v>
      </c>
      <c r="AC116" s="23">
        <v>8</v>
      </c>
      <c r="AD116" s="23">
        <v>7</v>
      </c>
      <c r="AE116" s="23">
        <f t="shared" si="15"/>
        <v>292.09876543209879</v>
      </c>
      <c r="AF116" s="23">
        <f t="shared" si="16"/>
        <v>58.41975308641976</v>
      </c>
      <c r="AG116" s="23">
        <f t="shared" si="17"/>
        <v>11200</v>
      </c>
      <c r="AH116" s="23">
        <f t="shared" ca="1" si="18"/>
        <v>89.772824201679029</v>
      </c>
      <c r="AI116" s="24">
        <f ca="1">IFERROR(__xludf.DUMMYFUNCTION("GOOGLEFINANCE(""USDJPY"")*S113"),13982.8804384172)</f>
        <v>13982.8804384172</v>
      </c>
      <c r="AJ116" s="22">
        <f t="shared" ca="1" si="19"/>
        <v>0.62382879679814518</v>
      </c>
      <c r="AK116" s="22">
        <f t="shared" ca="1" si="20"/>
        <v>1.2484714670439649</v>
      </c>
    </row>
    <row r="117" spans="16:37" ht="13.2">
      <c r="P117" s="19" t="s">
        <v>153</v>
      </c>
      <c r="Q117" s="20">
        <v>300</v>
      </c>
      <c r="R117" s="21">
        <f ca="1">IFERROR(__xludf.DUMMYFUNCTION("GOOGLEFINANCE(""JPYUSD"")*B114"),1.92605861099999)</f>
        <v>1.92605861099999</v>
      </c>
      <c r="S117" s="20">
        <v>9</v>
      </c>
      <c r="T117" s="22">
        <f>425/1548</f>
        <v>0.27454780361757108</v>
      </c>
      <c r="U117" s="22">
        <f>750/1548</f>
        <v>0.48449612403100772</v>
      </c>
      <c r="V117" s="22">
        <f t="shared" si="11"/>
        <v>0.24095607235142125</v>
      </c>
      <c r="W117" s="23">
        <v>30</v>
      </c>
      <c r="X117" s="23">
        <v>18</v>
      </c>
      <c r="Y117" s="23">
        <v>11</v>
      </c>
      <c r="Z117" s="23">
        <f t="shared" si="12"/>
        <v>19.607881136950908</v>
      </c>
      <c r="AA117" s="23">
        <f t="shared" si="13"/>
        <v>3.9215762273901817</v>
      </c>
      <c r="AB117" s="23">
        <f t="shared" ca="1" si="14"/>
        <v>4.7602462985607357</v>
      </c>
      <c r="AC117" s="23">
        <v>8</v>
      </c>
      <c r="AD117" s="23">
        <v>14</v>
      </c>
      <c r="AE117" s="23">
        <f t="shared" si="15"/>
        <v>156.86304909560727</v>
      </c>
      <c r="AF117" s="23">
        <f t="shared" si="16"/>
        <v>31.372609819121454</v>
      </c>
      <c r="AG117" s="23">
        <f t="shared" si="17"/>
        <v>2400</v>
      </c>
      <c r="AH117" s="23">
        <f t="shared" ca="1" si="18"/>
        <v>38.081970388485885</v>
      </c>
      <c r="AI117" s="24">
        <f ca="1">IFERROR(__xludf.DUMMYFUNCTION("GOOGLEFINANCE(""USDJPY"")*S114"),5931.59058475497)</f>
        <v>5931.5905847549702</v>
      </c>
      <c r="AJ117" s="22">
        <f t="shared" ca="1" si="19"/>
        <v>0.43567826862728698</v>
      </c>
      <c r="AK117" s="22">
        <f t="shared" ca="1" si="20"/>
        <v>2.4714960756512308</v>
      </c>
    </row>
    <row r="118" spans="16:37" ht="13.2">
      <c r="P118" s="20" t="s">
        <v>154</v>
      </c>
      <c r="Q118" s="20">
        <v>400</v>
      </c>
      <c r="R118" s="21">
        <f ca="1">IFERROR(__xludf.DUMMYFUNCTION("GOOGLEFINANCE(""JPYUSD"")*B115"),2.56807814799999)</f>
        <v>2.5680781479999899</v>
      </c>
      <c r="S118" s="20">
        <v>9</v>
      </c>
      <c r="T118" s="22">
        <f>1398/3355</f>
        <v>0.41669150521609538</v>
      </c>
      <c r="U118" s="22">
        <f>1525/3355</f>
        <v>0.45454545454545453</v>
      </c>
      <c r="V118" s="22">
        <f t="shared" si="11"/>
        <v>0.12876304023845014</v>
      </c>
      <c r="W118" s="23">
        <v>25</v>
      </c>
      <c r="X118" s="23">
        <v>20</v>
      </c>
      <c r="Y118" s="23">
        <v>15</v>
      </c>
      <c r="Z118" s="23">
        <f t="shared" si="12"/>
        <v>21.439642324888226</v>
      </c>
      <c r="AA118" s="23">
        <f t="shared" si="13"/>
        <v>4.2879284649776457</v>
      </c>
      <c r="AB118" s="23">
        <f t="shared" ca="1" si="14"/>
        <v>5.5836357119105893</v>
      </c>
      <c r="AC118" s="23">
        <v>8</v>
      </c>
      <c r="AD118" s="23">
        <v>11</v>
      </c>
      <c r="AE118" s="23">
        <f t="shared" si="15"/>
        <v>171.51713859910581</v>
      </c>
      <c r="AF118" s="23">
        <f t="shared" si="16"/>
        <v>34.303427719821165</v>
      </c>
      <c r="AG118" s="23">
        <f t="shared" si="17"/>
        <v>3200</v>
      </c>
      <c r="AH118" s="23">
        <f t="shared" ca="1" si="18"/>
        <v>44.669085695284714</v>
      </c>
      <c r="AI118" s="24">
        <f ca="1">IFERROR(__xludf.DUMMYFUNCTION("GOOGLEFINANCE(""USDJPY"")*S115"),6957.58978426899)</f>
        <v>6957.5897842689901</v>
      </c>
      <c r="AJ118" s="22">
        <f t="shared" ca="1" si="19"/>
        <v>0.48267617494233006</v>
      </c>
      <c r="AK118" s="22">
        <f t="shared" ca="1" si="20"/>
        <v>2.1742468064140121</v>
      </c>
    </row>
    <row r="119" spans="16:37" ht="13.2">
      <c r="P119" s="32" t="s">
        <v>155</v>
      </c>
      <c r="Q119" s="20">
        <v>10000</v>
      </c>
      <c r="R119" s="21">
        <f ca="1">IFERROR(__xludf.DUMMYFUNCTION("GOOGLEFINANCE(""JPYUSD"")*B116"),64.2019536999999)</f>
        <v>64.201953699999905</v>
      </c>
      <c r="S119" s="20">
        <v>9</v>
      </c>
      <c r="T119" s="22">
        <f>198/410</f>
        <v>0.48292682926829267</v>
      </c>
      <c r="U119" s="22">
        <f>163/410</f>
        <v>0.39756097560975612</v>
      </c>
      <c r="V119" s="22">
        <f t="shared" si="11"/>
        <v>0.11951219512195121</v>
      </c>
      <c r="W119" s="23">
        <v>150</v>
      </c>
      <c r="X119" s="23">
        <v>120</v>
      </c>
      <c r="Y119" s="23">
        <v>80</v>
      </c>
      <c r="Z119" s="23">
        <f t="shared" si="12"/>
        <v>129.70731707317074</v>
      </c>
      <c r="AA119" s="23">
        <f t="shared" si="13"/>
        <v>15.564878048780489</v>
      </c>
      <c r="AB119" s="23">
        <f t="shared" ca="1" si="14"/>
        <v>40.940485324390352</v>
      </c>
      <c r="AC119" s="23">
        <v>8</v>
      </c>
      <c r="AD119" s="23"/>
      <c r="AE119" s="23">
        <f t="shared" si="15"/>
        <v>1037.6585365853659</v>
      </c>
      <c r="AF119" s="23">
        <f t="shared" si="16"/>
        <v>124.51902439024391</v>
      </c>
      <c r="AG119" s="23">
        <f t="shared" si="17"/>
        <v>80000</v>
      </c>
      <c r="AH119" s="23">
        <f t="shared" ca="1" si="18"/>
        <v>327.52388259512281</v>
      </c>
      <c r="AI119" s="24">
        <f ca="1">IFERROR(__xludf.DUMMYFUNCTION("GOOGLEFINANCE(""USDJPY"")*S116"),51014.6286671923)</f>
        <v>51014.628667192301</v>
      </c>
      <c r="AJ119" s="22">
        <f t="shared" ca="1" si="19"/>
        <v>0.55928132044364287</v>
      </c>
      <c r="AK119" s="22">
        <f t="shared" ca="1" si="20"/>
        <v>0.63768285799674052</v>
      </c>
    </row>
    <row r="120" spans="16:37" ht="13.2">
      <c r="P120" s="32" t="s">
        <v>156</v>
      </c>
      <c r="Q120" s="20">
        <v>800</v>
      </c>
      <c r="R120" s="21">
        <f ca="1">IFERROR(__xludf.DUMMYFUNCTION("GOOGLEFINANCE(""JPYUSD"")*B117"),5.13615629599999)</f>
        <v>5.1361562959999896</v>
      </c>
      <c r="S120" s="20">
        <v>9</v>
      </c>
      <c r="T120" s="22">
        <f>358/1072</f>
        <v>0.33395522388059701</v>
      </c>
      <c r="U120" s="22">
        <f>578/1072</f>
        <v>0.53917910447761197</v>
      </c>
      <c r="V120" s="22">
        <f t="shared" si="11"/>
        <v>0.12686567164179108</v>
      </c>
      <c r="W120" s="23">
        <v>40</v>
      </c>
      <c r="X120" s="23">
        <v>25</v>
      </c>
      <c r="Y120" s="23">
        <v>18</v>
      </c>
      <c r="Z120" s="23">
        <f t="shared" si="12"/>
        <v>29.121268656716417</v>
      </c>
      <c r="AA120" s="23">
        <f t="shared" si="13"/>
        <v>5.8242537313432834</v>
      </c>
      <c r="AB120" s="23">
        <f t="shared" ca="1" si="14"/>
        <v>9.1608586293731449</v>
      </c>
      <c r="AC120" s="23">
        <v>8</v>
      </c>
      <c r="AD120" s="23">
        <v>23</v>
      </c>
      <c r="AE120" s="23">
        <f t="shared" si="15"/>
        <v>232.97014925373134</v>
      </c>
      <c r="AF120" s="23">
        <f t="shared" si="16"/>
        <v>46.594029850746267</v>
      </c>
      <c r="AG120" s="23">
        <f t="shared" si="17"/>
        <v>6400</v>
      </c>
      <c r="AH120" s="23">
        <f t="shared" ca="1" si="18"/>
        <v>73.286869034985159</v>
      </c>
      <c r="AI120" s="24">
        <f ca="1">IFERROR(__xludf.DUMMYFUNCTION("GOOGLEFINANCE(""USDJPY"")*S117"),11415.0527905857)</f>
        <v>11415.0527905857</v>
      </c>
      <c r="AJ120" s="22">
        <f t="shared" ca="1" si="19"/>
        <v>0.64804452055792072</v>
      </c>
      <c r="AK120" s="22">
        <f t="shared" ca="1" si="20"/>
        <v>1.7836019975691884</v>
      </c>
    </row>
    <row r="121" spans="16:37" ht="13.2">
      <c r="P121" s="30" t="s">
        <v>157</v>
      </c>
      <c r="Q121" s="20">
        <v>1500</v>
      </c>
      <c r="R121" s="21">
        <f ca="1">IFERROR(__xludf.DUMMYFUNCTION("GOOGLEFINANCE(""JPYUSD"")*B118"),9.630293055)</f>
        <v>9.6302930549999992</v>
      </c>
      <c r="S121" s="20">
        <v>9</v>
      </c>
      <c r="T121" s="22">
        <f>330/1013</f>
        <v>0.32576505429417574</v>
      </c>
      <c r="U121" s="22">
        <f>502/1013</f>
        <v>0.49555774925962487</v>
      </c>
      <c r="V121" s="22">
        <f t="shared" si="11"/>
        <v>0.17867719644619945</v>
      </c>
      <c r="W121" s="23">
        <v>50</v>
      </c>
      <c r="X121" s="23">
        <v>30</v>
      </c>
      <c r="Y121" s="23">
        <v>20</v>
      </c>
      <c r="Z121" s="23">
        <f t="shared" si="12"/>
        <v>34.728529121421523</v>
      </c>
      <c r="AA121" s="23">
        <f t="shared" si="13"/>
        <v>6.9457058242843051</v>
      </c>
      <c r="AB121" s="23">
        <f t="shared" ca="1" si="14"/>
        <v>9.1525302421372192</v>
      </c>
      <c r="AC121" s="23">
        <v>8</v>
      </c>
      <c r="AD121" s="23">
        <v>2</v>
      </c>
      <c r="AE121" s="23">
        <f t="shared" si="15"/>
        <v>277.82823297137219</v>
      </c>
      <c r="AF121" s="23">
        <f t="shared" si="16"/>
        <v>55.56564659427444</v>
      </c>
      <c r="AG121" s="23">
        <f t="shared" si="17"/>
        <v>12000</v>
      </c>
      <c r="AH121" s="23">
        <f t="shared" ca="1" si="18"/>
        <v>73.220241937097754</v>
      </c>
      <c r="AI121" s="24">
        <f ca="1">IFERROR(__xludf.DUMMYFUNCTION("GOOGLEFINANCE(""USDJPY"")*S118"),11404.6750537594)</f>
        <v>11404.6750537594</v>
      </c>
      <c r="AJ121" s="22">
        <f t="shared" ca="1" si="19"/>
        <v>0.49127140486289145</v>
      </c>
      <c r="AK121" s="22">
        <f t="shared" ca="1" si="20"/>
        <v>0.95038958730183942</v>
      </c>
    </row>
    <row r="122" spans="16:37" ht="13.2">
      <c r="P122" s="20" t="s">
        <v>158</v>
      </c>
      <c r="Q122" s="20">
        <v>8000</v>
      </c>
      <c r="R122" s="21">
        <f ca="1">IFERROR(__xludf.DUMMYFUNCTION("GOOGLEFINANCE(""JPYUSD"")*B119"),51.3615629599999)</f>
        <v>51.361562959999901</v>
      </c>
      <c r="S122" s="20">
        <v>9</v>
      </c>
      <c r="T122" s="22">
        <f>189/1503</f>
        <v>0.12574850299401197</v>
      </c>
      <c r="U122" s="22">
        <f>809/1503</f>
        <v>0.53825681969394545</v>
      </c>
      <c r="V122" s="22">
        <f t="shared" si="11"/>
        <v>0.33599467731204258</v>
      </c>
      <c r="W122" s="23">
        <v>150</v>
      </c>
      <c r="X122" s="23">
        <v>100</v>
      </c>
      <c r="Y122" s="23">
        <v>60</v>
      </c>
      <c r="Z122" s="23">
        <f t="shared" si="12"/>
        <v>92.847638057218887</v>
      </c>
      <c r="AA122" s="23">
        <f t="shared" si="13"/>
        <v>16.712574850299401</v>
      </c>
      <c r="AB122" s="23">
        <f t="shared" ca="1" si="14"/>
        <v>15.773500246919586</v>
      </c>
      <c r="AC122" s="23">
        <v>1</v>
      </c>
      <c r="AD122" s="23">
        <v>1</v>
      </c>
      <c r="AE122" s="23">
        <f t="shared" si="15"/>
        <v>92.847638057218887</v>
      </c>
      <c r="AF122" s="23">
        <f t="shared" si="16"/>
        <v>16.712574850299401</v>
      </c>
      <c r="AG122" s="23">
        <f t="shared" si="17"/>
        <v>8000</v>
      </c>
      <c r="AH122" s="23">
        <f t="shared" ca="1" si="18"/>
        <v>15.773500246919586</v>
      </c>
      <c r="AI122" s="24">
        <f ca="1">IFERROR(__xludf.DUMMYFUNCTION("GOOGLEFINANCE(""USDJPY"")*S119"),2456.85673820981)</f>
        <v>2456.8567382098099</v>
      </c>
      <c r="AJ122" s="22">
        <f t="shared" ca="1" si="19"/>
        <v>0.26131696187807946</v>
      </c>
      <c r="AK122" s="22">
        <f t="shared" ca="1" si="20"/>
        <v>0.30710709211096049</v>
      </c>
    </row>
    <row r="123" spans="16:37" ht="13.2">
      <c r="P123" s="30" t="s">
        <v>159</v>
      </c>
      <c r="Q123" s="20">
        <v>2200</v>
      </c>
      <c r="R123" s="21">
        <f ca="1">IFERROR(__xludf.DUMMYFUNCTION("GOOGLEFINANCE(""JPYUSD"")*B120"),14.1244298139999)</f>
        <v>14.1244298139999</v>
      </c>
      <c r="S123" s="20">
        <v>9</v>
      </c>
      <c r="T123" s="22">
        <f t="shared" ref="T123:U123" si="21">433/973</f>
        <v>0.44501541623843782</v>
      </c>
      <c r="U123" s="22">
        <f t="shared" si="21"/>
        <v>0.44501541623843782</v>
      </c>
      <c r="V123" s="22">
        <f t="shared" si="11"/>
        <v>0.1099691675231243</v>
      </c>
      <c r="W123" s="23">
        <v>60</v>
      </c>
      <c r="X123" s="23">
        <v>40</v>
      </c>
      <c r="Y123" s="23">
        <v>20</v>
      </c>
      <c r="Z123" s="23">
        <f t="shared" si="12"/>
        <v>46.700924974306261</v>
      </c>
      <c r="AA123" s="23">
        <f t="shared" si="13"/>
        <v>9.3401849948612519</v>
      </c>
      <c r="AB123" s="23">
        <f t="shared" ca="1" si="14"/>
        <v>14.236310165445113</v>
      </c>
      <c r="AC123" s="23">
        <v>8</v>
      </c>
      <c r="AD123" s="23">
        <v>7</v>
      </c>
      <c r="AE123" s="23">
        <f t="shared" si="15"/>
        <v>373.60739979445009</v>
      </c>
      <c r="AF123" s="23">
        <f t="shared" si="16"/>
        <v>74.721479958890015</v>
      </c>
      <c r="AG123" s="23">
        <f t="shared" si="17"/>
        <v>17600</v>
      </c>
      <c r="AH123" s="23">
        <f t="shared" ca="1" si="18"/>
        <v>113.89048132356091</v>
      </c>
      <c r="AI123" s="24">
        <f ca="1">IFERROR(__xludf.DUMMYFUNCTION("GOOGLEFINANCE(""USDJPY"")*S120"),17739.4105352357)</f>
        <v>17739.4105352357</v>
      </c>
      <c r="AJ123" s="22">
        <f t="shared" ca="1" si="19"/>
        <v>0.61563940300167852</v>
      </c>
      <c r="AK123" s="22">
        <f t="shared" ca="1" si="20"/>
        <v>1.0079210525960007</v>
      </c>
    </row>
    <row r="124" spans="16:37" ht="13.2">
      <c r="P124" s="20" t="s">
        <v>160</v>
      </c>
      <c r="Q124" s="20">
        <v>400</v>
      </c>
      <c r="R124" s="21">
        <f ca="1">IFERROR(__xludf.DUMMYFUNCTION("GOOGLEFINANCE(""JPYUSD"")*B121"),2.56807814799999)</f>
        <v>2.5680781479999899</v>
      </c>
      <c r="S124" s="20">
        <v>9</v>
      </c>
      <c r="T124" s="22">
        <f>265/734</f>
        <v>0.36103542234332425</v>
      </c>
      <c r="U124" s="22">
        <f>362/734</f>
        <v>0.49318801089918257</v>
      </c>
      <c r="V124" s="22">
        <f t="shared" si="11"/>
        <v>0.14577656675749312</v>
      </c>
      <c r="W124" s="23">
        <v>20</v>
      </c>
      <c r="X124" s="23">
        <v>15</v>
      </c>
      <c r="Y124" s="23">
        <v>10</v>
      </c>
      <c r="Z124" s="23">
        <f t="shared" si="12"/>
        <v>16.076294277929154</v>
      </c>
      <c r="AA124" s="23">
        <f t="shared" si="13"/>
        <v>3.215258855585831</v>
      </c>
      <c r="AB124" s="23">
        <f t="shared" ca="1" si="14"/>
        <v>1.2929572743433324</v>
      </c>
      <c r="AC124" s="23">
        <v>2</v>
      </c>
      <c r="AD124" s="23">
        <v>4</v>
      </c>
      <c r="AE124" s="23">
        <f t="shared" si="15"/>
        <v>32.152588555858308</v>
      </c>
      <c r="AF124" s="23">
        <f t="shared" si="16"/>
        <v>6.430517711171662</v>
      </c>
      <c r="AG124" s="23">
        <f t="shared" si="17"/>
        <v>800</v>
      </c>
      <c r="AH124" s="23">
        <f t="shared" ca="1" si="18"/>
        <v>2.5859145486866648</v>
      </c>
      <c r="AI124" s="24">
        <f ca="1">IFERROR(__xludf.DUMMYFUNCTION("GOOGLEFINANCE(""USDJPY"")*S121"),402.778171231609)</f>
        <v>402.77817123160901</v>
      </c>
      <c r="AJ124" s="22">
        <f t="shared" ca="1" si="19"/>
        <v>0.11176941042422611</v>
      </c>
      <c r="AK124" s="22">
        <f t="shared" ca="1" si="20"/>
        <v>0.5034727137685755</v>
      </c>
    </row>
    <row r="125" spans="16:37" ht="13.2">
      <c r="P125" s="20" t="s">
        <v>161</v>
      </c>
      <c r="Q125" s="20">
        <v>400</v>
      </c>
      <c r="R125" s="21">
        <f ca="1">IFERROR(__xludf.DUMMYFUNCTION("GOOGLEFINANCE(""JPYUSD"")*B122"),2.56807814799999)</f>
        <v>2.5680781479999899</v>
      </c>
      <c r="S125" s="20">
        <v>9</v>
      </c>
      <c r="T125" s="22">
        <f>175/481</f>
        <v>0.36382536382536385</v>
      </c>
      <c r="U125" s="22">
        <f>226/481</f>
        <v>0.46985446985446988</v>
      </c>
      <c r="V125" s="22">
        <f t="shared" si="11"/>
        <v>0.16632016632016622</v>
      </c>
      <c r="W125" s="23">
        <v>45</v>
      </c>
      <c r="X125" s="23">
        <v>30</v>
      </c>
      <c r="Y125" s="23">
        <v>15</v>
      </c>
      <c r="Z125" s="23">
        <f t="shared" si="12"/>
        <v>32.962577962577967</v>
      </c>
      <c r="AA125" s="23">
        <f t="shared" si="13"/>
        <v>6.5925155925155936</v>
      </c>
      <c r="AB125" s="23">
        <f t="shared" ca="1" si="14"/>
        <v>14.801984222062384</v>
      </c>
      <c r="AC125" s="23">
        <v>8</v>
      </c>
      <c r="AD125" s="23">
        <v>1</v>
      </c>
      <c r="AE125" s="23">
        <f t="shared" si="15"/>
        <v>263.70062370062374</v>
      </c>
      <c r="AF125" s="23">
        <f t="shared" si="16"/>
        <v>52.740124740124749</v>
      </c>
      <c r="AG125" s="23">
        <f t="shared" si="17"/>
        <v>3200</v>
      </c>
      <c r="AH125" s="23">
        <f t="shared" ca="1" si="18"/>
        <v>118.41587377649907</v>
      </c>
      <c r="AI125" s="24">
        <f ca="1">IFERROR(__xludf.DUMMYFUNCTION("GOOGLEFINANCE(""USDJPY"")*S122"),18444.2788756168)</f>
        <v>18444.278875616801</v>
      </c>
      <c r="AJ125" s="22">
        <f t="shared" ca="1" si="19"/>
        <v>1.2795543073523845</v>
      </c>
      <c r="AK125" s="22">
        <f t="shared" ca="1" si="20"/>
        <v>5.7638371455285018</v>
      </c>
    </row>
    <row r="126" spans="16:37" ht="13.2">
      <c r="P126" s="34" t="s">
        <v>162</v>
      </c>
      <c r="Q126" s="20">
        <v>1000</v>
      </c>
      <c r="R126" s="21">
        <f ca="1">IFERROR(__xludf.DUMMYFUNCTION("GOOGLEFINANCE(""JPYUSD"")*B123"),6.42019536999999)</f>
        <v>6.4201953699999903</v>
      </c>
      <c r="S126" s="20">
        <v>9</v>
      </c>
      <c r="T126" s="22">
        <f>229/459</f>
        <v>0.4989106753812636</v>
      </c>
      <c r="U126" s="22">
        <f>186/459</f>
        <v>0.40522875816993464</v>
      </c>
      <c r="V126" s="22">
        <f t="shared" si="11"/>
        <v>9.5860566448801809E-2</v>
      </c>
      <c r="W126" s="23">
        <v>38</v>
      </c>
      <c r="X126" s="23">
        <v>25</v>
      </c>
      <c r="Y126" s="23">
        <v>20</v>
      </c>
      <c r="Z126" s="23">
        <f t="shared" si="12"/>
        <v>31.006535947712418</v>
      </c>
      <c r="AA126" s="23">
        <f t="shared" si="13"/>
        <v>6.2013071895424838</v>
      </c>
      <c r="AB126" s="23">
        <f t="shared" ca="1" si="14"/>
        <v>9.3850333881699441</v>
      </c>
      <c r="AC126" s="23">
        <v>8</v>
      </c>
      <c r="AD126" s="23">
        <v>10</v>
      </c>
      <c r="AE126" s="23">
        <f t="shared" si="15"/>
        <v>248.05228758169935</v>
      </c>
      <c r="AF126" s="23">
        <f t="shared" si="16"/>
        <v>49.610457516339871</v>
      </c>
      <c r="AG126" s="23">
        <f t="shared" si="17"/>
        <v>8000</v>
      </c>
      <c r="AH126" s="23">
        <f t="shared" ca="1" si="18"/>
        <v>75.080267105359553</v>
      </c>
      <c r="AI126" s="24">
        <f ca="1">IFERROR(__xludf.DUMMYFUNCTION("GOOGLEFINANCE(""USDJPY"")*S123"),11694.3897839301)</f>
        <v>11694.389783930101</v>
      </c>
      <c r="AJ126" s="22">
        <f t="shared" ca="1" si="19"/>
        <v>0.60861961622279692</v>
      </c>
      <c r="AK126" s="22">
        <f t="shared" ca="1" si="20"/>
        <v>1.4617987222046107</v>
      </c>
    </row>
    <row r="127" spans="16:37" ht="13.2">
      <c r="P127" s="35" t="s">
        <v>163</v>
      </c>
      <c r="Q127" s="20">
        <v>12000</v>
      </c>
      <c r="R127" s="21">
        <f ca="1">IFERROR(__xludf.DUMMYFUNCTION("GOOGLEFINANCE(""JPYUSD"")*B124"),77.04234444)</f>
        <v>77.042344439999994</v>
      </c>
      <c r="S127" s="20">
        <v>9</v>
      </c>
      <c r="T127" s="22">
        <f>216/719</f>
        <v>0.3004172461752434</v>
      </c>
      <c r="U127" s="22">
        <f>299/719</f>
        <v>0.41585535465924894</v>
      </c>
      <c r="V127" s="22">
        <f t="shared" si="11"/>
        <v>0.2837273991655076</v>
      </c>
      <c r="W127" s="23">
        <v>200</v>
      </c>
      <c r="X127" s="23">
        <v>120</v>
      </c>
      <c r="Y127" s="23">
        <v>80</v>
      </c>
      <c r="Z127" s="23">
        <f t="shared" si="12"/>
        <v>132.68428372739916</v>
      </c>
      <c r="AA127" s="23">
        <f t="shared" si="13"/>
        <v>15.922114047287899</v>
      </c>
      <c r="AB127" s="23">
        <f t="shared" ca="1" si="14"/>
        <v>30.71982524011127</v>
      </c>
      <c r="AC127" s="23">
        <v>5</v>
      </c>
      <c r="AD127" s="23">
        <v>5</v>
      </c>
      <c r="AE127" s="23">
        <f t="shared" si="15"/>
        <v>663.42141863699578</v>
      </c>
      <c r="AF127" s="23">
        <f t="shared" si="16"/>
        <v>79.610570236439486</v>
      </c>
      <c r="AG127" s="23">
        <f t="shared" si="17"/>
        <v>60000</v>
      </c>
      <c r="AH127" s="23">
        <f t="shared" ca="1" si="18"/>
        <v>153.59912620055636</v>
      </c>
      <c r="AI127" s="24">
        <f ca="1">IFERROR(__xludf.DUMMYFUNCTION("GOOGLEFINANCE(""USDJPY"")*S124"),23924.3694983093)</f>
        <v>23924.369498309301</v>
      </c>
      <c r="AJ127" s="22">
        <f t="shared" ca="1" si="19"/>
        <v>0.35703147607203056</v>
      </c>
      <c r="AK127" s="22">
        <f t="shared" ca="1" si="20"/>
        <v>0.39873949142390963</v>
      </c>
    </row>
    <row r="128" spans="16:37" ht="13.2">
      <c r="P128" s="20" t="s">
        <v>164</v>
      </c>
      <c r="Q128" s="20">
        <v>2500</v>
      </c>
      <c r="R128" s="21">
        <f ca="1">IFERROR(__xludf.DUMMYFUNCTION("GOOGLEFINANCE(""JPYUSD"")*B125"),16.0504884249999)</f>
        <v>16.050488424999902</v>
      </c>
      <c r="S128" s="20">
        <v>9</v>
      </c>
      <c r="T128" s="22">
        <f>319/889</f>
        <v>0.35883014623172105</v>
      </c>
      <c r="U128" s="22">
        <f>391/889</f>
        <v>0.43982002249718788</v>
      </c>
      <c r="V128" s="22">
        <f t="shared" si="11"/>
        <v>0.20134983127109107</v>
      </c>
      <c r="W128" s="23">
        <v>70</v>
      </c>
      <c r="X128" s="23">
        <v>40</v>
      </c>
      <c r="Y128" s="23">
        <v>20</v>
      </c>
      <c r="Z128" s="23">
        <f t="shared" si="12"/>
        <v>46.737907761529812</v>
      </c>
      <c r="AA128" s="23">
        <f t="shared" si="13"/>
        <v>9.3475815523059627</v>
      </c>
      <c r="AB128" s="23">
        <f t="shared" ca="1" si="14"/>
        <v>12.339837784223947</v>
      </c>
      <c r="AC128" s="23">
        <v>8</v>
      </c>
      <c r="AD128" s="23">
        <v>5</v>
      </c>
      <c r="AE128" s="23">
        <f t="shared" si="15"/>
        <v>373.90326209223849</v>
      </c>
      <c r="AF128" s="23">
        <f t="shared" si="16"/>
        <v>74.780652418447701</v>
      </c>
      <c r="AG128" s="23">
        <f t="shared" si="17"/>
        <v>20000</v>
      </c>
      <c r="AH128" s="23">
        <f t="shared" ca="1" si="18"/>
        <v>98.718702273791578</v>
      </c>
      <c r="AI128" s="24">
        <f ca="1">IFERROR(__xludf.DUMMYFUNCTION("GOOGLEFINANCE(""USDJPY"")*S125"),15376.2769881122)</f>
        <v>15376.2769881122</v>
      </c>
      <c r="AJ128" s="22">
        <f t="shared" ca="1" si="19"/>
        <v>0.49259869008817525</v>
      </c>
      <c r="AK128" s="22">
        <f t="shared" ca="1" si="20"/>
        <v>0.76881384899188965</v>
      </c>
    </row>
    <row r="129" spans="18:37" ht="13.2">
      <c r="R129" s="21">
        <f ca="1">IFERROR(__xludf.DUMMYFUNCTION("GOOGLEFINANCE(""JPYUSD"")*B126"),0)</f>
        <v>0</v>
      </c>
      <c r="S129" s="20">
        <v>9</v>
      </c>
      <c r="T129" s="22"/>
      <c r="U129" s="22"/>
      <c r="V129" s="22">
        <f t="shared" si="11"/>
        <v>1</v>
      </c>
      <c r="W129" s="23"/>
      <c r="X129" s="23"/>
      <c r="Y129" s="23"/>
      <c r="Z129" s="23">
        <f t="shared" si="12"/>
        <v>0</v>
      </c>
      <c r="AA129" s="23">
        <f t="shared" si="13"/>
        <v>0</v>
      </c>
      <c r="AB129" s="23">
        <f t="shared" ca="1" si="14"/>
        <v>-9</v>
      </c>
      <c r="AC129" s="23"/>
      <c r="AD129" s="23"/>
      <c r="AE129" s="23">
        <f t="shared" si="15"/>
        <v>0</v>
      </c>
      <c r="AF129" s="23">
        <f t="shared" si="16"/>
        <v>0</v>
      </c>
      <c r="AG129" s="23">
        <f t="shared" si="17"/>
        <v>0</v>
      </c>
      <c r="AH129" s="23">
        <f t="shared" ca="1" si="18"/>
        <v>0</v>
      </c>
      <c r="AI129" s="24">
        <f ca="1">IFERROR(__xludf.DUMMYFUNCTION("GOOGLEFINANCE(""USDJPY"")*S126"),0)</f>
        <v>0</v>
      </c>
      <c r="AJ129" s="22">
        <f t="shared" ca="1" si="19"/>
        <v>-1</v>
      </c>
      <c r="AK129" s="22" t="e">
        <f t="shared" ca="1" si="20"/>
        <v>#DIV/0!</v>
      </c>
    </row>
    <row r="130" spans="18:37" ht="13.2">
      <c r="R130" s="21">
        <f ca="1">IFERROR(__xludf.DUMMYFUNCTION("GOOGLEFINANCE(""JPYUSD"")*B127"),0)</f>
        <v>0</v>
      </c>
      <c r="S130" s="20">
        <v>9</v>
      </c>
      <c r="T130" s="22"/>
      <c r="U130" s="22"/>
      <c r="V130" s="22">
        <f t="shared" si="11"/>
        <v>1</v>
      </c>
      <c r="W130" s="23"/>
      <c r="X130" s="23"/>
      <c r="Y130" s="23"/>
      <c r="Z130" s="23">
        <f t="shared" si="12"/>
        <v>0</v>
      </c>
      <c r="AA130" s="23">
        <f t="shared" si="13"/>
        <v>0</v>
      </c>
      <c r="AB130" s="23">
        <f t="shared" ca="1" si="14"/>
        <v>-9</v>
      </c>
      <c r="AC130" s="23"/>
      <c r="AD130" s="23"/>
      <c r="AE130" s="23">
        <f t="shared" si="15"/>
        <v>0</v>
      </c>
      <c r="AF130" s="23">
        <f t="shared" si="16"/>
        <v>0</v>
      </c>
      <c r="AG130" s="23">
        <f t="shared" si="17"/>
        <v>0</v>
      </c>
      <c r="AH130" s="23">
        <f t="shared" ca="1" si="18"/>
        <v>0</v>
      </c>
      <c r="AI130" s="24">
        <f ca="1">IFERROR(__xludf.DUMMYFUNCTION("GOOGLEFINANCE(""USDJPY"")*S127"),0)</f>
        <v>0</v>
      </c>
      <c r="AJ130" s="22">
        <f t="shared" ca="1" si="19"/>
        <v>-1</v>
      </c>
      <c r="AK130" s="22" t="e">
        <f t="shared" ca="1" si="20"/>
        <v>#DIV/0!</v>
      </c>
    </row>
    <row r="131" spans="18:37" ht="13.2">
      <c r="R131" s="21">
        <f ca="1">IFERROR(__xludf.DUMMYFUNCTION("GOOGLEFINANCE(""JPYUSD"")*B128"),0)</f>
        <v>0</v>
      </c>
      <c r="S131" s="20">
        <v>9</v>
      </c>
      <c r="T131" s="22"/>
      <c r="U131" s="22"/>
      <c r="V131" s="22">
        <f t="shared" si="11"/>
        <v>1</v>
      </c>
      <c r="W131" s="23"/>
      <c r="X131" s="23"/>
      <c r="Y131" s="23"/>
      <c r="Z131" s="23">
        <f t="shared" si="12"/>
        <v>0</v>
      </c>
      <c r="AA131" s="23">
        <f t="shared" si="13"/>
        <v>0</v>
      </c>
      <c r="AB131" s="23">
        <f t="shared" ca="1" si="14"/>
        <v>-9</v>
      </c>
      <c r="AC131" s="23"/>
      <c r="AD131" s="23"/>
      <c r="AE131" s="23">
        <f t="shared" si="15"/>
        <v>0</v>
      </c>
      <c r="AF131" s="23">
        <f t="shared" si="16"/>
        <v>0</v>
      </c>
      <c r="AG131" s="23">
        <f t="shared" si="17"/>
        <v>0</v>
      </c>
      <c r="AH131" s="23">
        <f t="shared" ca="1" si="18"/>
        <v>0</v>
      </c>
      <c r="AI131" s="24">
        <f ca="1">IFERROR(__xludf.DUMMYFUNCTION("GOOGLEFINANCE(""USDJPY"")*S128"),0)</f>
        <v>0</v>
      </c>
      <c r="AJ131" s="22">
        <f t="shared" ca="1" si="19"/>
        <v>-1</v>
      </c>
      <c r="AK131" s="22" t="e">
        <f t="shared" ca="1" si="20"/>
        <v>#DIV/0!</v>
      </c>
    </row>
    <row r="132" spans="18:37" ht="13.2">
      <c r="R132" s="21">
        <f ca="1">IFERROR(__xludf.DUMMYFUNCTION("GOOGLEFINANCE(""JPYUSD"")*B129"),0)</f>
        <v>0</v>
      </c>
      <c r="S132" s="20">
        <v>9</v>
      </c>
      <c r="T132" s="22"/>
      <c r="U132" s="22"/>
      <c r="V132" s="22">
        <f t="shared" si="11"/>
        <v>1</v>
      </c>
      <c r="W132" s="23"/>
      <c r="X132" s="23"/>
      <c r="Y132" s="23"/>
      <c r="Z132" s="23">
        <f t="shared" si="12"/>
        <v>0</v>
      </c>
      <c r="AA132" s="23">
        <f t="shared" si="13"/>
        <v>0</v>
      </c>
      <c r="AB132" s="23">
        <f t="shared" ca="1" si="14"/>
        <v>-9</v>
      </c>
      <c r="AC132" s="23"/>
      <c r="AD132" s="23"/>
      <c r="AE132" s="23">
        <f t="shared" si="15"/>
        <v>0</v>
      </c>
      <c r="AF132" s="23">
        <f t="shared" si="16"/>
        <v>0</v>
      </c>
      <c r="AG132" s="23">
        <f t="shared" si="17"/>
        <v>0</v>
      </c>
      <c r="AH132" s="23">
        <f t="shared" ca="1" si="18"/>
        <v>0</v>
      </c>
      <c r="AI132" s="24">
        <f ca="1">IFERROR(__xludf.DUMMYFUNCTION("GOOGLEFINANCE(""USDJPY"")*S129"),0)</f>
        <v>0</v>
      </c>
      <c r="AJ132" s="22">
        <f t="shared" ca="1" si="19"/>
        <v>-1</v>
      </c>
      <c r="AK132" s="22" t="e">
        <f t="shared" ca="1" si="20"/>
        <v>#DIV/0!</v>
      </c>
    </row>
    <row r="133" spans="18:37" ht="13.2">
      <c r="R133" s="21">
        <f ca="1">IFERROR(__xludf.DUMMYFUNCTION("GOOGLEFINANCE(""JPYUSD"")*B130"),0)</f>
        <v>0</v>
      </c>
      <c r="S133" s="20">
        <v>9</v>
      </c>
      <c r="T133" s="22"/>
      <c r="U133" s="22"/>
      <c r="V133" s="22">
        <f t="shared" si="11"/>
        <v>1</v>
      </c>
      <c r="W133" s="23"/>
      <c r="X133" s="23"/>
      <c r="Y133" s="23"/>
      <c r="Z133" s="23">
        <f t="shared" si="12"/>
        <v>0</v>
      </c>
      <c r="AA133" s="23">
        <f t="shared" si="13"/>
        <v>0</v>
      </c>
      <c r="AB133" s="23">
        <f t="shared" ca="1" si="14"/>
        <v>-9</v>
      </c>
      <c r="AC133" s="23"/>
      <c r="AD133" s="23"/>
      <c r="AE133" s="23">
        <f t="shared" si="15"/>
        <v>0</v>
      </c>
      <c r="AF133" s="23">
        <f t="shared" si="16"/>
        <v>0</v>
      </c>
      <c r="AG133" s="23">
        <f t="shared" si="17"/>
        <v>0</v>
      </c>
      <c r="AH133" s="23">
        <f t="shared" ca="1" si="18"/>
        <v>0</v>
      </c>
      <c r="AI133" s="24">
        <f ca="1">IFERROR(__xludf.DUMMYFUNCTION("GOOGLEFINANCE(""USDJPY"")*S130"),0)</f>
        <v>0</v>
      </c>
      <c r="AJ133" s="22">
        <f t="shared" ca="1" si="19"/>
        <v>-1</v>
      </c>
      <c r="AK133" s="22" t="e">
        <f t="shared" ca="1" si="20"/>
        <v>#DIV/0!</v>
      </c>
    </row>
    <row r="134" spans="18:37" ht="13.2">
      <c r="R134" s="21">
        <f ca="1">IFERROR(__xludf.DUMMYFUNCTION("GOOGLEFINANCE(""JPYUSD"")*A134"),0)</f>
        <v>0</v>
      </c>
      <c r="S134" s="20">
        <v>9</v>
      </c>
      <c r="T134" s="22"/>
      <c r="U134" s="22"/>
      <c r="V134" s="22">
        <f t="shared" si="11"/>
        <v>1</v>
      </c>
      <c r="W134" s="23"/>
      <c r="X134" s="23"/>
      <c r="Y134" s="23"/>
      <c r="Z134" s="23">
        <f t="shared" si="12"/>
        <v>0</v>
      </c>
      <c r="AA134" s="23">
        <f t="shared" si="13"/>
        <v>0</v>
      </c>
      <c r="AB134" s="23">
        <f t="shared" ca="1" si="14"/>
        <v>-9</v>
      </c>
      <c r="AC134" s="23"/>
      <c r="AD134" s="23"/>
      <c r="AE134" s="23">
        <f t="shared" si="15"/>
        <v>0</v>
      </c>
      <c r="AF134" s="23">
        <f t="shared" si="16"/>
        <v>0</v>
      </c>
      <c r="AG134" s="23">
        <f t="shared" si="17"/>
        <v>0</v>
      </c>
      <c r="AH134" s="23">
        <f t="shared" ca="1" si="18"/>
        <v>0</v>
      </c>
      <c r="AI134" s="24">
        <f ca="1">IFERROR(__xludf.DUMMYFUNCTION("GOOGLEFINANCE(""USDJPY"")*S131"),0)</f>
        <v>0</v>
      </c>
      <c r="AJ134" s="22">
        <f t="shared" ca="1" si="19"/>
        <v>-1</v>
      </c>
      <c r="AK134" s="22" t="e">
        <f t="shared" ca="1" si="20"/>
        <v>#DIV/0!</v>
      </c>
    </row>
    <row r="135" spans="18:37" ht="13.2">
      <c r="R135" s="21">
        <f ca="1">IFERROR(__xludf.DUMMYFUNCTION("GOOGLEFINANCE(""JPYUSD"")*B132"),0)</f>
        <v>0</v>
      </c>
      <c r="S135" s="20">
        <v>9</v>
      </c>
      <c r="T135" s="22"/>
      <c r="U135" s="22"/>
      <c r="V135" s="22">
        <f t="shared" si="11"/>
        <v>1</v>
      </c>
      <c r="W135" s="23"/>
      <c r="X135" s="23"/>
      <c r="Y135" s="23"/>
      <c r="Z135" s="23">
        <f t="shared" si="12"/>
        <v>0</v>
      </c>
      <c r="AA135" s="23">
        <f t="shared" si="13"/>
        <v>0</v>
      </c>
      <c r="AB135" s="23">
        <f t="shared" ca="1" si="14"/>
        <v>-9</v>
      </c>
      <c r="AC135" s="23"/>
      <c r="AD135" s="23"/>
      <c r="AE135" s="23">
        <f t="shared" si="15"/>
        <v>0</v>
      </c>
      <c r="AF135" s="23">
        <f t="shared" si="16"/>
        <v>0</v>
      </c>
      <c r="AG135" s="23">
        <f t="shared" si="17"/>
        <v>0</v>
      </c>
      <c r="AH135" s="23">
        <f t="shared" ca="1" si="18"/>
        <v>0</v>
      </c>
      <c r="AI135" s="24">
        <f ca="1">IFERROR(__xludf.DUMMYFUNCTION("GOOGLEFINANCE(""USDJPY"")*S132"),0)</f>
        <v>0</v>
      </c>
      <c r="AJ135" s="22">
        <f t="shared" ca="1" si="19"/>
        <v>-1</v>
      </c>
      <c r="AK135" s="22" t="e">
        <f t="shared" ca="1" si="20"/>
        <v>#DIV/0!</v>
      </c>
    </row>
    <row r="136" spans="18:37" ht="13.2">
      <c r="R136" s="21">
        <f ca="1">IFERROR(__xludf.DUMMYFUNCTION("GOOGLEFINANCE(""JPYUSD"")*B133"),0)</f>
        <v>0</v>
      </c>
      <c r="S136" s="20">
        <v>9</v>
      </c>
      <c r="T136" s="22"/>
      <c r="U136" s="22"/>
      <c r="V136" s="22">
        <f t="shared" si="11"/>
        <v>1</v>
      </c>
      <c r="W136" s="23"/>
      <c r="X136" s="23"/>
      <c r="Y136" s="23"/>
      <c r="Z136" s="23">
        <f t="shared" si="12"/>
        <v>0</v>
      </c>
      <c r="AA136" s="23">
        <f t="shared" si="13"/>
        <v>0</v>
      </c>
      <c r="AB136" s="23">
        <f t="shared" ca="1" si="14"/>
        <v>-9</v>
      </c>
      <c r="AC136" s="23"/>
      <c r="AD136" s="23"/>
      <c r="AE136" s="23">
        <f t="shared" si="15"/>
        <v>0</v>
      </c>
      <c r="AF136" s="23">
        <f t="shared" si="16"/>
        <v>0</v>
      </c>
      <c r="AG136" s="23">
        <f t="shared" si="17"/>
        <v>0</v>
      </c>
      <c r="AH136" s="23">
        <f t="shared" ca="1" si="18"/>
        <v>0</v>
      </c>
      <c r="AI136" s="24">
        <f ca="1">IFERROR(__xludf.DUMMYFUNCTION("GOOGLEFINANCE(""USDJPY"")*S133"),0)</f>
        <v>0</v>
      </c>
      <c r="AJ136" s="22">
        <f t="shared" ca="1" si="19"/>
        <v>-1</v>
      </c>
      <c r="AK136" s="22" t="e">
        <f t="shared" ca="1" si="20"/>
        <v>#DIV/0!</v>
      </c>
    </row>
    <row r="137" spans="18:37" ht="13.2">
      <c r="R137" s="21">
        <f ca="1">IFERROR(__xludf.DUMMYFUNCTION("GOOGLEFINANCE(""JPYUSD"")*B134"),0)</f>
        <v>0</v>
      </c>
      <c r="S137" s="20">
        <v>9</v>
      </c>
      <c r="T137" s="22"/>
      <c r="U137" s="22"/>
      <c r="V137" s="22">
        <f t="shared" si="11"/>
        <v>1</v>
      </c>
      <c r="W137" s="23"/>
      <c r="X137" s="23"/>
      <c r="Y137" s="23"/>
      <c r="Z137" s="23">
        <f t="shared" si="12"/>
        <v>0</v>
      </c>
      <c r="AA137" s="23">
        <f t="shared" si="13"/>
        <v>0</v>
      </c>
      <c r="AB137" s="23">
        <f t="shared" ca="1" si="14"/>
        <v>-9</v>
      </c>
      <c r="AC137" s="23"/>
      <c r="AD137" s="23"/>
      <c r="AE137" s="23">
        <f t="shared" si="15"/>
        <v>0</v>
      </c>
      <c r="AF137" s="23">
        <f t="shared" si="16"/>
        <v>0</v>
      </c>
      <c r="AG137" s="23">
        <f t="shared" si="17"/>
        <v>0</v>
      </c>
      <c r="AH137" s="23">
        <f t="shared" ca="1" si="18"/>
        <v>0</v>
      </c>
      <c r="AI137" s="24">
        <f ca="1">IFERROR(__xludf.DUMMYFUNCTION("GOOGLEFINANCE(""USDJPY"")*S134"),0)</f>
        <v>0</v>
      </c>
      <c r="AJ137" s="22">
        <f t="shared" ca="1" si="19"/>
        <v>-1</v>
      </c>
      <c r="AK137" s="22" t="e">
        <f t="shared" ca="1" si="20"/>
        <v>#DIV/0!</v>
      </c>
    </row>
    <row r="138" spans="18:37" ht="13.2">
      <c r="R138" s="23"/>
      <c r="S138" s="20">
        <v>9</v>
      </c>
      <c r="T138" s="22"/>
      <c r="U138" s="22"/>
      <c r="V138" s="22"/>
      <c r="W138" s="23"/>
      <c r="X138" s="23"/>
      <c r="Y138" s="23"/>
      <c r="Z138" s="23">
        <f t="shared" si="12"/>
        <v>0</v>
      </c>
      <c r="AA138" s="23">
        <f t="shared" si="13"/>
        <v>0</v>
      </c>
      <c r="AB138" s="23">
        <f t="shared" si="14"/>
        <v>-9</v>
      </c>
      <c r="AC138" s="23"/>
      <c r="AD138" s="23"/>
      <c r="AE138" s="23"/>
      <c r="AF138" s="23"/>
      <c r="AG138" s="23"/>
      <c r="AH138" s="23"/>
      <c r="AI138" s="23"/>
      <c r="AJ138" s="22"/>
      <c r="AK138" s="22"/>
    </row>
    <row r="139" spans="18:37" ht="13.2">
      <c r="R139" s="23"/>
      <c r="S139" s="20">
        <v>9</v>
      </c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2"/>
      <c r="AK139" s="22"/>
    </row>
    <row r="140" spans="18:37" ht="13.2">
      <c r="R140" s="23"/>
      <c r="S140" s="20">
        <v>9</v>
      </c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2"/>
      <c r="AK140" s="22"/>
    </row>
    <row r="141" spans="18:37" ht="13.2">
      <c r="R141" s="23"/>
      <c r="S141" s="20">
        <v>9</v>
      </c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2"/>
      <c r="AK141" s="22"/>
    </row>
    <row r="142" spans="18:37" ht="13.2">
      <c r="R142" s="23"/>
      <c r="S142" s="20">
        <v>9</v>
      </c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2"/>
      <c r="AK142" s="22"/>
    </row>
    <row r="143" spans="18:37" ht="13.2">
      <c r="R143" s="23"/>
      <c r="S143" s="20">
        <v>9</v>
      </c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2"/>
      <c r="AK143" s="22"/>
    </row>
    <row r="144" spans="18:37" ht="13.2">
      <c r="R144" s="23"/>
      <c r="S144" s="20">
        <v>9</v>
      </c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2"/>
      <c r="AK144" s="22"/>
    </row>
    <row r="145" spans="18:37" ht="13.2">
      <c r="R145" s="23"/>
      <c r="S145" s="20">
        <v>9</v>
      </c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2"/>
      <c r="AK145" s="22"/>
    </row>
    <row r="146" spans="18:37" ht="13.2">
      <c r="R146" s="23"/>
      <c r="S146" s="20">
        <v>9</v>
      </c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2"/>
      <c r="AK146" s="22"/>
    </row>
    <row r="147" spans="18:37" ht="13.2">
      <c r="R147" s="23"/>
      <c r="S147" s="20">
        <v>9</v>
      </c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2"/>
      <c r="AK147" s="22"/>
    </row>
    <row r="148" spans="18:37" ht="13.2">
      <c r="R148" s="23"/>
      <c r="S148" s="20">
        <v>9</v>
      </c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2"/>
      <c r="AK148" s="22"/>
    </row>
    <row r="149" spans="18:37" ht="13.2">
      <c r="R149" s="23"/>
      <c r="S149" s="20">
        <v>9</v>
      </c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2"/>
      <c r="AK149" s="22"/>
    </row>
    <row r="150" spans="18:37" ht="13.2">
      <c r="R150" s="23"/>
      <c r="S150" s="20">
        <v>9</v>
      </c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2"/>
      <c r="AK150" s="22"/>
    </row>
    <row r="151" spans="18:37" ht="13.2">
      <c r="R151" s="23"/>
      <c r="S151" s="20">
        <v>9</v>
      </c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2"/>
      <c r="AK151" s="22"/>
    </row>
    <row r="152" spans="18:37" ht="13.2">
      <c r="R152" s="23"/>
      <c r="S152" s="20">
        <v>9</v>
      </c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2"/>
      <c r="AK152" s="22"/>
    </row>
    <row r="153" spans="18:37" ht="13.2">
      <c r="R153" s="23"/>
      <c r="S153" s="20">
        <v>9</v>
      </c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2"/>
      <c r="AK153" s="22"/>
    </row>
    <row r="154" spans="18:37" ht="13.2">
      <c r="R154" s="23"/>
      <c r="S154" s="20">
        <v>9</v>
      </c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2"/>
      <c r="AK154" s="22"/>
    </row>
    <row r="155" spans="18:37" ht="13.2">
      <c r="R155" s="23"/>
      <c r="S155" s="20">
        <v>9</v>
      </c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2"/>
      <c r="AK155" s="22"/>
    </row>
    <row r="156" spans="18:37" ht="13.2">
      <c r="R156" s="23"/>
      <c r="S156" s="20">
        <v>9</v>
      </c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2"/>
      <c r="AK156" s="22"/>
    </row>
    <row r="157" spans="18:37" ht="13.2">
      <c r="R157" s="23"/>
      <c r="S157" s="20">
        <v>9</v>
      </c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2"/>
      <c r="AK157" s="22"/>
    </row>
    <row r="158" spans="18:37" ht="13.2">
      <c r="R158" s="23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2"/>
      <c r="AK158" s="22"/>
    </row>
    <row r="159" spans="18:37" ht="13.2">
      <c r="R159" s="23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2"/>
      <c r="AK159" s="22"/>
    </row>
    <row r="160" spans="18:37" ht="13.2">
      <c r="R160" s="23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2"/>
      <c r="AK160" s="22"/>
    </row>
    <row r="161" spans="18:37" ht="13.2">
      <c r="R161" s="23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2"/>
      <c r="AK161" s="22"/>
    </row>
    <row r="162" spans="18:37" ht="13.2">
      <c r="R162" s="23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2"/>
      <c r="AK162" s="22"/>
    </row>
    <row r="163" spans="18:37" ht="13.2">
      <c r="R163" s="23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2"/>
      <c r="AK163" s="22"/>
    </row>
    <row r="164" spans="18:37" ht="13.2">
      <c r="R164" s="23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2"/>
      <c r="AK164" s="22"/>
    </row>
    <row r="165" spans="18:37" ht="13.2">
      <c r="R165" s="23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2"/>
      <c r="AK165" s="22"/>
    </row>
    <row r="166" spans="18:37" ht="13.2">
      <c r="R166" s="23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2"/>
      <c r="AK166" s="22"/>
    </row>
    <row r="167" spans="18:37" ht="13.2">
      <c r="R167" s="23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2"/>
      <c r="AK167" s="22"/>
    </row>
    <row r="168" spans="18:37" ht="13.2">
      <c r="R168" s="23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2"/>
      <c r="AK168" s="22"/>
    </row>
    <row r="169" spans="18:37" ht="13.2">
      <c r="R169" s="23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2"/>
      <c r="AK169" s="22"/>
    </row>
    <row r="170" spans="18:37" ht="13.2">
      <c r="R170" s="23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2"/>
      <c r="AK170" s="22"/>
    </row>
    <row r="171" spans="18:37" ht="13.2">
      <c r="R171" s="23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2"/>
      <c r="AK171" s="22"/>
    </row>
    <row r="172" spans="18:37" ht="13.2">
      <c r="R172" s="23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2"/>
      <c r="AK172" s="22"/>
    </row>
    <row r="173" spans="18:37" ht="13.2">
      <c r="R173" s="23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2"/>
      <c r="AK173" s="22"/>
    </row>
    <row r="174" spans="18:37" ht="13.2">
      <c r="R174" s="23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2"/>
      <c r="AK174" s="22"/>
    </row>
    <row r="175" spans="18:37" ht="13.2">
      <c r="R175" s="23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2"/>
      <c r="AK175" s="22"/>
    </row>
    <row r="176" spans="18:37" ht="13.2">
      <c r="R176" s="23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2"/>
      <c r="AK176" s="22"/>
    </row>
    <row r="177" spans="18:37" ht="13.2">
      <c r="R177" s="23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2"/>
      <c r="AK177" s="22"/>
    </row>
    <row r="178" spans="18:37" ht="13.2">
      <c r="R178" s="23"/>
      <c r="T178" s="22"/>
      <c r="U178" s="22"/>
      <c r="V178" s="22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2"/>
      <c r="AK178" s="22"/>
    </row>
    <row r="179" spans="18:37" ht="13.2">
      <c r="R179" s="23"/>
      <c r="T179" s="22"/>
      <c r="U179" s="22"/>
      <c r="V179" s="22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2"/>
      <c r="AK179" s="22"/>
    </row>
    <row r="180" spans="18:37" ht="13.2">
      <c r="R180" s="23"/>
      <c r="T180" s="22"/>
      <c r="U180" s="22"/>
      <c r="V180" s="22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2"/>
      <c r="AK180" s="22"/>
    </row>
    <row r="181" spans="18:37" ht="13.2">
      <c r="R181" s="23"/>
      <c r="T181" s="22"/>
      <c r="U181" s="22"/>
      <c r="V181" s="22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2"/>
      <c r="AK181" s="22"/>
    </row>
    <row r="182" spans="18:37" ht="13.2">
      <c r="R182" s="23"/>
      <c r="T182" s="22"/>
      <c r="U182" s="22"/>
      <c r="V182" s="22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2"/>
      <c r="AK182" s="22"/>
    </row>
    <row r="183" spans="18:37" ht="13.2">
      <c r="R183" s="23"/>
      <c r="T183" s="22"/>
      <c r="U183" s="22"/>
      <c r="V183" s="22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2"/>
      <c r="AK183" s="22"/>
    </row>
    <row r="184" spans="18:37" ht="13.2">
      <c r="R184" s="23"/>
      <c r="T184" s="22"/>
      <c r="U184" s="22"/>
      <c r="V184" s="22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2"/>
      <c r="AK184" s="22"/>
    </row>
    <row r="185" spans="18:37" ht="13.2">
      <c r="R185" s="23"/>
      <c r="T185" s="22"/>
      <c r="U185" s="22"/>
      <c r="V185" s="22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2"/>
      <c r="AK185" s="22"/>
    </row>
    <row r="186" spans="18:37" ht="13.2">
      <c r="R186" s="23"/>
      <c r="T186" s="22"/>
      <c r="U186" s="22"/>
      <c r="V186" s="22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2"/>
      <c r="AK186" s="22"/>
    </row>
    <row r="187" spans="18:37" ht="13.2">
      <c r="R187" s="23"/>
      <c r="T187" s="22"/>
      <c r="U187" s="22"/>
      <c r="V187" s="22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2"/>
      <c r="AK187" s="22"/>
    </row>
    <row r="188" spans="18:37" ht="13.2">
      <c r="R188" s="23"/>
      <c r="T188" s="22"/>
      <c r="U188" s="22"/>
      <c r="V188" s="22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2"/>
      <c r="AK188" s="22"/>
    </row>
    <row r="189" spans="18:37" ht="13.2">
      <c r="R189" s="23"/>
      <c r="T189" s="22"/>
      <c r="U189" s="22"/>
      <c r="V189" s="22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2"/>
      <c r="AK189" s="22"/>
    </row>
    <row r="190" spans="18:37" ht="13.2">
      <c r="R190" s="23"/>
      <c r="T190" s="22"/>
      <c r="U190" s="22"/>
      <c r="V190" s="22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2"/>
      <c r="AK190" s="22"/>
    </row>
    <row r="191" spans="18:37" ht="13.2">
      <c r="R191" s="23"/>
      <c r="T191" s="22"/>
      <c r="U191" s="22"/>
      <c r="V191" s="22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2"/>
      <c r="AK191" s="22"/>
    </row>
    <row r="192" spans="18:37" ht="13.2">
      <c r="R192" s="23"/>
      <c r="T192" s="22"/>
      <c r="U192" s="22"/>
      <c r="V192" s="22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2"/>
      <c r="AK192" s="22"/>
    </row>
    <row r="193" spans="18:37" ht="13.2">
      <c r="R193" s="23"/>
      <c r="T193" s="22"/>
      <c r="U193" s="22"/>
      <c r="V193" s="22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2"/>
      <c r="AK193" s="22"/>
    </row>
    <row r="194" spans="18:37" ht="13.2">
      <c r="R194" s="23"/>
      <c r="T194" s="22"/>
      <c r="U194" s="22"/>
      <c r="V194" s="22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2"/>
      <c r="AK194" s="22"/>
    </row>
    <row r="195" spans="18:37" ht="13.2">
      <c r="R195" s="23"/>
      <c r="T195" s="22"/>
      <c r="U195" s="22"/>
      <c r="V195" s="22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2"/>
      <c r="AK195" s="22"/>
    </row>
    <row r="196" spans="18:37" ht="13.2">
      <c r="R196" s="23"/>
      <c r="T196" s="22"/>
      <c r="U196" s="22"/>
      <c r="V196" s="22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2"/>
      <c r="AK196" s="22"/>
    </row>
    <row r="197" spans="18:37" ht="13.2">
      <c r="R197" s="23"/>
      <c r="T197" s="22"/>
      <c r="U197" s="22"/>
      <c r="V197" s="22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2"/>
      <c r="AK197" s="22"/>
    </row>
    <row r="198" spans="18:37" ht="13.2">
      <c r="R198" s="23"/>
      <c r="T198" s="22"/>
      <c r="U198" s="22"/>
      <c r="V198" s="22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2"/>
      <c r="AK198" s="22"/>
    </row>
    <row r="199" spans="18:37" ht="13.2">
      <c r="R199" s="23"/>
      <c r="T199" s="22"/>
      <c r="U199" s="22"/>
      <c r="V199" s="22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2"/>
      <c r="AK199" s="22"/>
    </row>
    <row r="200" spans="18:37" ht="13.2">
      <c r="R200" s="23"/>
      <c r="T200" s="22"/>
      <c r="U200" s="22"/>
      <c r="V200" s="22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2"/>
      <c r="AK200" s="22"/>
    </row>
    <row r="201" spans="18:37" ht="13.2">
      <c r="R201" s="23"/>
      <c r="T201" s="22"/>
      <c r="U201" s="22"/>
      <c r="V201" s="22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2"/>
      <c r="AK201" s="22"/>
    </row>
    <row r="202" spans="18:37" ht="13.2">
      <c r="R202" s="23"/>
      <c r="T202" s="22"/>
      <c r="U202" s="22"/>
      <c r="V202" s="22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2"/>
      <c r="AK202" s="22"/>
    </row>
    <row r="203" spans="18:37" ht="13.2">
      <c r="R203" s="23"/>
      <c r="T203" s="22"/>
      <c r="U203" s="22"/>
      <c r="V203" s="22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2"/>
      <c r="AK203" s="22"/>
    </row>
    <row r="204" spans="18:37" ht="13.2">
      <c r="R204" s="23"/>
      <c r="T204" s="22"/>
      <c r="U204" s="22"/>
      <c r="V204" s="22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2"/>
      <c r="AK204" s="22"/>
    </row>
    <row r="205" spans="18:37" ht="13.2">
      <c r="R205" s="23"/>
      <c r="T205" s="22"/>
      <c r="U205" s="22"/>
      <c r="V205" s="22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2"/>
      <c r="AK205" s="22"/>
    </row>
    <row r="206" spans="18:37" ht="13.2">
      <c r="R206" s="23"/>
      <c r="T206" s="22"/>
      <c r="U206" s="22"/>
      <c r="V206" s="22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2"/>
      <c r="AK206" s="22"/>
    </row>
    <row r="207" spans="18:37" ht="13.2">
      <c r="R207" s="23"/>
      <c r="T207" s="22"/>
      <c r="U207" s="22"/>
      <c r="V207" s="22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2"/>
      <c r="AK207" s="22"/>
    </row>
    <row r="208" spans="18:37" ht="13.2">
      <c r="R208" s="23"/>
      <c r="T208" s="22"/>
      <c r="U208" s="22"/>
      <c r="V208" s="22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2"/>
      <c r="AK208" s="22"/>
    </row>
    <row r="209" spans="18:37" ht="13.2">
      <c r="R209" s="23"/>
      <c r="T209" s="22"/>
      <c r="U209" s="22"/>
      <c r="V209" s="22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2"/>
      <c r="AK209" s="22"/>
    </row>
    <row r="210" spans="18:37" ht="13.2">
      <c r="R210" s="23"/>
      <c r="T210" s="22"/>
      <c r="U210" s="22"/>
      <c r="V210" s="22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2"/>
      <c r="AK210" s="22"/>
    </row>
    <row r="211" spans="18:37" ht="13.2">
      <c r="R211" s="23"/>
      <c r="T211" s="22"/>
      <c r="U211" s="22"/>
      <c r="V211" s="22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2"/>
      <c r="AK211" s="22"/>
    </row>
    <row r="212" spans="18:37" ht="13.2">
      <c r="R212" s="23"/>
      <c r="T212" s="22"/>
      <c r="U212" s="22"/>
      <c r="V212" s="22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2"/>
      <c r="AK212" s="22"/>
    </row>
    <row r="213" spans="18:37" ht="13.2">
      <c r="R213" s="23"/>
      <c r="T213" s="22"/>
      <c r="U213" s="22"/>
      <c r="V213" s="22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2"/>
      <c r="AK213" s="22"/>
    </row>
    <row r="214" spans="18:37" ht="13.2">
      <c r="R214" s="23"/>
      <c r="T214" s="22"/>
      <c r="U214" s="22"/>
      <c r="V214" s="22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2"/>
      <c r="AK214" s="22"/>
    </row>
    <row r="215" spans="18:37" ht="13.2">
      <c r="R215" s="23"/>
      <c r="T215" s="22"/>
      <c r="U215" s="22"/>
      <c r="V215" s="22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2"/>
      <c r="AK215" s="22"/>
    </row>
    <row r="216" spans="18:37" ht="13.2">
      <c r="R216" s="23"/>
      <c r="T216" s="22"/>
      <c r="U216" s="22"/>
      <c r="V216" s="22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2"/>
      <c r="AK216" s="22"/>
    </row>
    <row r="217" spans="18:37" ht="13.2">
      <c r="R217" s="23"/>
      <c r="T217" s="22"/>
      <c r="U217" s="22"/>
      <c r="V217" s="22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2"/>
      <c r="AK217" s="22"/>
    </row>
    <row r="218" spans="18:37" ht="13.2">
      <c r="R218" s="23"/>
      <c r="T218" s="22"/>
      <c r="U218" s="22"/>
      <c r="V218" s="22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2"/>
      <c r="AK218" s="22"/>
    </row>
    <row r="219" spans="18:37" ht="13.2">
      <c r="R219" s="23"/>
      <c r="T219" s="22"/>
      <c r="U219" s="22"/>
      <c r="V219" s="22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2"/>
      <c r="AK219" s="22"/>
    </row>
    <row r="220" spans="18:37" ht="13.2">
      <c r="R220" s="23"/>
      <c r="T220" s="22"/>
      <c r="U220" s="22"/>
      <c r="V220" s="22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2"/>
      <c r="AK220" s="22"/>
    </row>
    <row r="221" spans="18:37" ht="13.2">
      <c r="R221" s="23"/>
      <c r="T221" s="22"/>
      <c r="U221" s="22"/>
      <c r="V221" s="22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2"/>
      <c r="AK221" s="22"/>
    </row>
    <row r="222" spans="18:37" ht="13.2">
      <c r="R222" s="23"/>
      <c r="T222" s="22"/>
      <c r="U222" s="22"/>
      <c r="V222" s="22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2"/>
      <c r="AK222" s="22"/>
    </row>
    <row r="223" spans="18:37" ht="13.2">
      <c r="R223" s="23"/>
      <c r="T223" s="22"/>
      <c r="U223" s="22"/>
      <c r="V223" s="22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2"/>
      <c r="AK223" s="22"/>
    </row>
    <row r="224" spans="18:37" ht="13.2">
      <c r="R224" s="23"/>
      <c r="T224" s="22"/>
      <c r="U224" s="22"/>
      <c r="V224" s="22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2"/>
      <c r="AK224" s="22"/>
    </row>
    <row r="225" spans="18:37" ht="13.2">
      <c r="R225" s="23"/>
      <c r="T225" s="22"/>
      <c r="U225" s="22"/>
      <c r="V225" s="22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2"/>
      <c r="AK225" s="22"/>
    </row>
    <row r="226" spans="18:37" ht="13.2">
      <c r="R226" s="23"/>
      <c r="T226" s="22"/>
      <c r="U226" s="22"/>
      <c r="V226" s="22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2"/>
      <c r="AK226" s="22"/>
    </row>
    <row r="227" spans="18:37" ht="13.2">
      <c r="R227" s="23"/>
      <c r="T227" s="22"/>
      <c r="U227" s="22"/>
      <c r="V227" s="22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2"/>
      <c r="AK227" s="22"/>
    </row>
    <row r="228" spans="18:37" ht="13.2">
      <c r="R228" s="23"/>
      <c r="T228" s="22"/>
      <c r="U228" s="22"/>
      <c r="V228" s="22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2"/>
      <c r="AK228" s="22"/>
    </row>
    <row r="229" spans="18:37" ht="13.2">
      <c r="R229" s="23"/>
      <c r="T229" s="22"/>
      <c r="U229" s="22"/>
      <c r="V229" s="22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2"/>
      <c r="AK229" s="22"/>
    </row>
    <row r="230" spans="18:37" ht="13.2">
      <c r="R230" s="23"/>
      <c r="T230" s="22"/>
      <c r="U230" s="22"/>
      <c r="V230" s="22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2"/>
      <c r="AK230" s="22"/>
    </row>
    <row r="231" spans="18:37" ht="13.2">
      <c r="R231" s="23"/>
      <c r="T231" s="22"/>
      <c r="U231" s="22"/>
      <c r="V231" s="22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2"/>
      <c r="AK231" s="22"/>
    </row>
    <row r="232" spans="18:37" ht="13.2">
      <c r="R232" s="23"/>
      <c r="T232" s="22"/>
      <c r="U232" s="22"/>
      <c r="V232" s="22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2"/>
      <c r="AK232" s="22"/>
    </row>
    <row r="233" spans="18:37" ht="13.2">
      <c r="R233" s="23"/>
      <c r="T233" s="22"/>
      <c r="U233" s="22"/>
      <c r="V233" s="22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2"/>
      <c r="AK233" s="22"/>
    </row>
    <row r="234" spans="18:37" ht="13.2">
      <c r="R234" s="23"/>
      <c r="T234" s="22"/>
      <c r="U234" s="22"/>
      <c r="V234" s="22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2"/>
      <c r="AK234" s="22"/>
    </row>
    <row r="235" spans="18:37" ht="13.2">
      <c r="R235" s="23"/>
      <c r="T235" s="22"/>
      <c r="U235" s="22"/>
      <c r="V235" s="22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2"/>
      <c r="AK235" s="22"/>
    </row>
    <row r="236" spans="18:37" ht="13.2">
      <c r="R236" s="23"/>
      <c r="T236" s="22"/>
      <c r="U236" s="22"/>
      <c r="V236" s="22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2"/>
      <c r="AK236" s="22"/>
    </row>
    <row r="237" spans="18:37" ht="13.2">
      <c r="R237" s="23"/>
      <c r="T237" s="22"/>
      <c r="U237" s="22"/>
      <c r="V237" s="22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2"/>
      <c r="AK237" s="22"/>
    </row>
    <row r="238" spans="18:37" ht="13.2">
      <c r="R238" s="23"/>
      <c r="T238" s="22"/>
      <c r="U238" s="22"/>
      <c r="V238" s="22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2"/>
      <c r="AK238" s="22"/>
    </row>
    <row r="239" spans="18:37" ht="13.2">
      <c r="R239" s="23"/>
      <c r="T239" s="22"/>
      <c r="U239" s="22"/>
      <c r="V239" s="22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2"/>
      <c r="AK239" s="22"/>
    </row>
    <row r="240" spans="18:37" ht="13.2">
      <c r="R240" s="23"/>
      <c r="T240" s="22"/>
      <c r="U240" s="22"/>
      <c r="V240" s="22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2"/>
      <c r="AK240" s="22"/>
    </row>
    <row r="241" spans="18:37" ht="13.2">
      <c r="R241" s="23"/>
      <c r="T241" s="22"/>
      <c r="U241" s="22"/>
      <c r="V241" s="22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2"/>
      <c r="AK241" s="22"/>
    </row>
    <row r="242" spans="18:37" ht="13.2">
      <c r="R242" s="23"/>
      <c r="T242" s="22"/>
      <c r="U242" s="22"/>
      <c r="V242" s="22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2"/>
      <c r="AK242" s="22"/>
    </row>
    <row r="243" spans="18:37" ht="13.2">
      <c r="R243" s="23"/>
      <c r="T243" s="22"/>
      <c r="U243" s="22"/>
      <c r="V243" s="22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2"/>
      <c r="AK243" s="22"/>
    </row>
    <row r="244" spans="18:37" ht="13.2">
      <c r="R244" s="23"/>
      <c r="T244" s="22"/>
      <c r="U244" s="22"/>
      <c r="V244" s="22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2"/>
      <c r="AK244" s="22"/>
    </row>
    <row r="245" spans="18:37" ht="13.2">
      <c r="R245" s="23"/>
      <c r="T245" s="22"/>
      <c r="U245" s="22"/>
      <c r="V245" s="22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2"/>
      <c r="AK245" s="22"/>
    </row>
    <row r="246" spans="18:37" ht="13.2">
      <c r="R246" s="23"/>
      <c r="T246" s="22"/>
      <c r="U246" s="22"/>
      <c r="V246" s="22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2"/>
      <c r="AK246" s="22"/>
    </row>
    <row r="247" spans="18:37" ht="13.2">
      <c r="R247" s="23"/>
      <c r="T247" s="22"/>
      <c r="U247" s="22"/>
      <c r="V247" s="22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2"/>
      <c r="AK247" s="22"/>
    </row>
    <row r="248" spans="18:37" ht="13.2">
      <c r="R248" s="23"/>
      <c r="T248" s="22"/>
      <c r="U248" s="22"/>
      <c r="V248" s="22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2"/>
      <c r="AK248" s="22"/>
    </row>
    <row r="249" spans="18:37" ht="13.2">
      <c r="R249" s="23"/>
      <c r="T249" s="22"/>
      <c r="U249" s="22"/>
      <c r="V249" s="22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2"/>
      <c r="AK249" s="22"/>
    </row>
    <row r="250" spans="18:37" ht="13.2">
      <c r="R250" s="23"/>
      <c r="T250" s="22"/>
      <c r="U250" s="22"/>
      <c r="V250" s="22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2"/>
      <c r="AK250" s="22"/>
    </row>
    <row r="251" spans="18:37" ht="13.2">
      <c r="R251" s="23"/>
      <c r="T251" s="22"/>
      <c r="U251" s="22"/>
      <c r="V251" s="22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2"/>
      <c r="AK251" s="22"/>
    </row>
    <row r="252" spans="18:37" ht="13.2">
      <c r="R252" s="23"/>
      <c r="T252" s="22"/>
      <c r="U252" s="22"/>
      <c r="V252" s="22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2"/>
      <c r="AK252" s="22"/>
    </row>
    <row r="253" spans="18:37" ht="13.2">
      <c r="R253" s="23"/>
      <c r="T253" s="22"/>
      <c r="U253" s="22"/>
      <c r="V253" s="22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2"/>
      <c r="AK253" s="22"/>
    </row>
    <row r="254" spans="18:37" ht="13.2">
      <c r="R254" s="23"/>
      <c r="T254" s="22"/>
      <c r="U254" s="22"/>
      <c r="V254" s="22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2"/>
      <c r="AK254" s="22"/>
    </row>
    <row r="255" spans="18:37" ht="13.2">
      <c r="R255" s="23"/>
      <c r="T255" s="22"/>
      <c r="U255" s="22"/>
      <c r="V255" s="22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2"/>
      <c r="AK255" s="22"/>
    </row>
    <row r="256" spans="18:37" ht="13.2">
      <c r="R256" s="23"/>
      <c r="T256" s="22"/>
      <c r="U256" s="22"/>
      <c r="V256" s="22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2"/>
      <c r="AK256" s="22"/>
    </row>
    <row r="257" spans="18:37" ht="13.2">
      <c r="R257" s="23"/>
      <c r="T257" s="22"/>
      <c r="U257" s="22"/>
      <c r="V257" s="22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2"/>
      <c r="AK257" s="22"/>
    </row>
    <row r="258" spans="18:37" ht="13.2">
      <c r="R258" s="23"/>
      <c r="T258" s="22"/>
      <c r="U258" s="22"/>
      <c r="V258" s="22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2"/>
      <c r="AK258" s="22"/>
    </row>
    <row r="259" spans="18:37" ht="13.2">
      <c r="R259" s="23"/>
      <c r="T259" s="22"/>
      <c r="U259" s="22"/>
      <c r="V259" s="22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2"/>
      <c r="AK259" s="22"/>
    </row>
    <row r="260" spans="18:37" ht="13.2">
      <c r="R260" s="23"/>
      <c r="T260" s="22"/>
      <c r="U260" s="22"/>
      <c r="V260" s="22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2"/>
      <c r="AK260" s="22"/>
    </row>
    <row r="261" spans="18:37" ht="13.2">
      <c r="R261" s="23"/>
      <c r="T261" s="22"/>
      <c r="U261" s="22"/>
      <c r="V261" s="22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2"/>
      <c r="AK261" s="22"/>
    </row>
    <row r="262" spans="18:37" ht="13.2">
      <c r="R262" s="23"/>
      <c r="T262" s="22"/>
      <c r="U262" s="22"/>
      <c r="V262" s="22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2"/>
      <c r="AK262" s="22"/>
    </row>
    <row r="263" spans="18:37" ht="13.2">
      <c r="R263" s="23"/>
      <c r="T263" s="22"/>
      <c r="U263" s="22"/>
      <c r="V263" s="22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2"/>
      <c r="AK263" s="22"/>
    </row>
    <row r="264" spans="18:37" ht="13.2">
      <c r="R264" s="23"/>
      <c r="T264" s="22"/>
      <c r="U264" s="22"/>
      <c r="V264" s="22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2"/>
      <c r="AK264" s="22"/>
    </row>
    <row r="265" spans="18:37" ht="13.2">
      <c r="R265" s="23"/>
      <c r="T265" s="22"/>
      <c r="U265" s="22"/>
      <c r="V265" s="22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2"/>
      <c r="AK265" s="22"/>
    </row>
    <row r="266" spans="18:37" ht="13.2">
      <c r="R266" s="23"/>
      <c r="T266" s="22"/>
      <c r="U266" s="22"/>
      <c r="V266" s="22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2"/>
      <c r="AK266" s="22"/>
    </row>
    <row r="267" spans="18:37" ht="13.2">
      <c r="R267" s="23"/>
      <c r="T267" s="22"/>
      <c r="U267" s="22"/>
      <c r="V267" s="22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2"/>
      <c r="AK267" s="22"/>
    </row>
    <row r="268" spans="18:37" ht="13.2">
      <c r="R268" s="23"/>
      <c r="T268" s="22"/>
      <c r="U268" s="22"/>
      <c r="V268" s="22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2"/>
      <c r="AK268" s="22"/>
    </row>
    <row r="269" spans="18:37" ht="13.2">
      <c r="R269" s="23"/>
      <c r="T269" s="22"/>
      <c r="U269" s="22"/>
      <c r="V269" s="22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2"/>
      <c r="AK269" s="22"/>
    </row>
    <row r="270" spans="18:37" ht="13.2">
      <c r="R270" s="23"/>
      <c r="T270" s="22"/>
      <c r="U270" s="22"/>
      <c r="V270" s="22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2"/>
      <c r="AK270" s="22"/>
    </row>
    <row r="271" spans="18:37" ht="13.2">
      <c r="R271" s="23"/>
      <c r="T271" s="22"/>
      <c r="U271" s="22"/>
      <c r="V271" s="22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2"/>
      <c r="AK271" s="22"/>
    </row>
    <row r="272" spans="18:37" ht="13.2">
      <c r="R272" s="23"/>
      <c r="T272" s="22"/>
      <c r="U272" s="22"/>
      <c r="V272" s="22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2"/>
      <c r="AK272" s="22"/>
    </row>
    <row r="273" spans="18:37" ht="13.2">
      <c r="R273" s="23"/>
      <c r="T273" s="22"/>
      <c r="U273" s="22"/>
      <c r="V273" s="22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2"/>
      <c r="AK273" s="22"/>
    </row>
    <row r="274" spans="18:37" ht="13.2">
      <c r="R274" s="23"/>
      <c r="T274" s="22"/>
      <c r="U274" s="22"/>
      <c r="V274" s="22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2"/>
      <c r="AK274" s="22"/>
    </row>
    <row r="275" spans="18:37" ht="13.2">
      <c r="R275" s="23"/>
      <c r="T275" s="22"/>
      <c r="U275" s="22"/>
      <c r="V275" s="22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2"/>
      <c r="AK275" s="22"/>
    </row>
    <row r="276" spans="18:37" ht="13.2">
      <c r="R276" s="23"/>
      <c r="T276" s="22"/>
      <c r="U276" s="22"/>
      <c r="V276" s="22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2"/>
      <c r="AK276" s="22"/>
    </row>
    <row r="277" spans="18:37" ht="13.2">
      <c r="R277" s="23"/>
      <c r="T277" s="22"/>
      <c r="U277" s="22"/>
      <c r="V277" s="22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2"/>
      <c r="AK277" s="22"/>
    </row>
    <row r="278" spans="18:37" ht="13.2">
      <c r="R278" s="23"/>
      <c r="T278" s="22"/>
      <c r="U278" s="22"/>
      <c r="V278" s="22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2"/>
      <c r="AK278" s="22"/>
    </row>
    <row r="279" spans="18:37" ht="13.2">
      <c r="R279" s="23"/>
      <c r="T279" s="22"/>
      <c r="U279" s="22"/>
      <c r="V279" s="22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2"/>
      <c r="AK279" s="22"/>
    </row>
    <row r="280" spans="18:37" ht="13.2">
      <c r="R280" s="23"/>
      <c r="T280" s="22"/>
      <c r="U280" s="22"/>
      <c r="V280" s="22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2"/>
      <c r="AK280" s="22"/>
    </row>
    <row r="281" spans="18:37" ht="13.2">
      <c r="R281" s="23"/>
      <c r="T281" s="22"/>
      <c r="U281" s="22"/>
      <c r="V281" s="22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2"/>
      <c r="AK281" s="22"/>
    </row>
    <row r="282" spans="18:37" ht="13.2">
      <c r="R282" s="23"/>
      <c r="T282" s="22"/>
      <c r="U282" s="22"/>
      <c r="V282" s="22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2"/>
      <c r="AK282" s="22"/>
    </row>
    <row r="283" spans="18:37" ht="13.2">
      <c r="R283" s="23"/>
      <c r="T283" s="22"/>
      <c r="U283" s="22"/>
      <c r="V283" s="22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2"/>
      <c r="AK283" s="22"/>
    </row>
    <row r="284" spans="18:37" ht="13.2">
      <c r="R284" s="23"/>
      <c r="T284" s="22"/>
      <c r="U284" s="22"/>
      <c r="V284" s="22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2"/>
      <c r="AK284" s="22"/>
    </row>
    <row r="285" spans="18:37" ht="13.2">
      <c r="R285" s="23"/>
      <c r="T285" s="22"/>
      <c r="U285" s="22"/>
      <c r="V285" s="22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2"/>
      <c r="AK285" s="22"/>
    </row>
    <row r="286" spans="18:37" ht="13.2">
      <c r="R286" s="23"/>
      <c r="T286" s="22"/>
      <c r="U286" s="22"/>
      <c r="V286" s="22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2"/>
      <c r="AK286" s="22"/>
    </row>
    <row r="287" spans="18:37" ht="13.2">
      <c r="R287" s="23"/>
      <c r="T287" s="22"/>
      <c r="U287" s="22"/>
      <c r="V287" s="22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2"/>
      <c r="AK287" s="22"/>
    </row>
    <row r="288" spans="18:37" ht="13.2">
      <c r="R288" s="23"/>
      <c r="T288" s="22"/>
      <c r="U288" s="22"/>
      <c r="V288" s="22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2"/>
      <c r="AK288" s="22"/>
    </row>
    <row r="289" spans="18:37" ht="13.2">
      <c r="R289" s="23"/>
      <c r="T289" s="22"/>
      <c r="U289" s="22"/>
      <c r="V289" s="22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2"/>
      <c r="AK289" s="22"/>
    </row>
    <row r="290" spans="18:37" ht="13.2">
      <c r="R290" s="23"/>
      <c r="T290" s="22"/>
      <c r="U290" s="22"/>
      <c r="V290" s="22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2"/>
      <c r="AK290" s="22"/>
    </row>
    <row r="291" spans="18:37" ht="13.2">
      <c r="R291" s="23"/>
      <c r="T291" s="22"/>
      <c r="U291" s="22"/>
      <c r="V291" s="22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2"/>
      <c r="AK291" s="22"/>
    </row>
    <row r="292" spans="18:37" ht="13.2">
      <c r="R292" s="23"/>
      <c r="T292" s="22"/>
      <c r="U292" s="22"/>
      <c r="V292" s="22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2"/>
      <c r="AK292" s="22"/>
    </row>
    <row r="293" spans="18:37" ht="13.2">
      <c r="R293" s="23"/>
      <c r="T293" s="22"/>
      <c r="U293" s="22"/>
      <c r="V293" s="22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2"/>
      <c r="AK293" s="22"/>
    </row>
    <row r="294" spans="18:37" ht="13.2">
      <c r="R294" s="23"/>
      <c r="T294" s="22"/>
      <c r="U294" s="22"/>
      <c r="V294" s="22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2"/>
      <c r="AK294" s="22"/>
    </row>
    <row r="295" spans="18:37" ht="13.2">
      <c r="R295" s="23"/>
      <c r="T295" s="22"/>
      <c r="U295" s="22"/>
      <c r="V295" s="22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2"/>
      <c r="AK295" s="22"/>
    </row>
    <row r="296" spans="18:37" ht="13.2">
      <c r="R296" s="23"/>
      <c r="T296" s="22"/>
      <c r="U296" s="22"/>
      <c r="V296" s="22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2"/>
      <c r="AK296" s="22"/>
    </row>
    <row r="297" spans="18:37" ht="13.2">
      <c r="R297" s="23"/>
      <c r="T297" s="22"/>
      <c r="U297" s="22"/>
      <c r="V297" s="22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2"/>
      <c r="AK297" s="22"/>
    </row>
    <row r="298" spans="18:37" ht="13.2">
      <c r="R298" s="23"/>
      <c r="T298" s="22"/>
      <c r="U298" s="22"/>
      <c r="V298" s="22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2"/>
      <c r="AK298" s="22"/>
    </row>
    <row r="299" spans="18:37" ht="13.2">
      <c r="R299" s="23"/>
      <c r="T299" s="22"/>
      <c r="U299" s="22"/>
      <c r="V299" s="22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2"/>
      <c r="AK299" s="22"/>
    </row>
    <row r="300" spans="18:37" ht="13.2">
      <c r="R300" s="23"/>
      <c r="T300" s="22"/>
      <c r="U300" s="22"/>
      <c r="V300" s="22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2"/>
      <c r="AK300" s="22"/>
    </row>
    <row r="301" spans="18:37" ht="13.2">
      <c r="R301" s="23"/>
      <c r="T301" s="22"/>
      <c r="U301" s="22"/>
      <c r="V301" s="22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2"/>
      <c r="AK301" s="22"/>
    </row>
    <row r="302" spans="18:37" ht="13.2">
      <c r="R302" s="23"/>
      <c r="T302" s="22"/>
      <c r="U302" s="22"/>
      <c r="V302" s="22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2"/>
      <c r="AK302" s="22"/>
    </row>
    <row r="303" spans="18:37" ht="13.2">
      <c r="R303" s="23"/>
      <c r="T303" s="22"/>
      <c r="U303" s="22"/>
      <c r="V303" s="22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2"/>
      <c r="AK303" s="22"/>
    </row>
    <row r="304" spans="18:37" ht="13.2">
      <c r="R304" s="23"/>
      <c r="T304" s="22"/>
      <c r="U304" s="22"/>
      <c r="V304" s="22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2"/>
      <c r="AK304" s="22"/>
    </row>
    <row r="305" spans="18:37" ht="13.2">
      <c r="R305" s="23"/>
      <c r="T305" s="22"/>
      <c r="U305" s="22"/>
      <c r="V305" s="22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2"/>
      <c r="AK305" s="22"/>
    </row>
    <row r="306" spans="18:37" ht="13.2">
      <c r="R306" s="23"/>
      <c r="T306" s="22"/>
      <c r="U306" s="22"/>
      <c r="V306" s="22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2"/>
      <c r="AK306" s="22"/>
    </row>
    <row r="307" spans="18:37" ht="13.2">
      <c r="R307" s="23"/>
      <c r="T307" s="22"/>
      <c r="U307" s="22"/>
      <c r="V307" s="22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2"/>
      <c r="AK307" s="22"/>
    </row>
    <row r="308" spans="18:37" ht="13.2">
      <c r="R308" s="23"/>
      <c r="T308" s="22"/>
      <c r="U308" s="22"/>
      <c r="V308" s="22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2"/>
      <c r="AK308" s="22"/>
    </row>
    <row r="309" spans="18:37" ht="13.2">
      <c r="R309" s="23"/>
      <c r="T309" s="22"/>
      <c r="U309" s="22"/>
      <c r="V309" s="22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2"/>
      <c r="AK309" s="22"/>
    </row>
    <row r="310" spans="18:37" ht="13.2">
      <c r="R310" s="23"/>
      <c r="T310" s="22"/>
      <c r="U310" s="22"/>
      <c r="V310" s="22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2"/>
      <c r="AK310" s="22"/>
    </row>
    <row r="311" spans="18:37" ht="13.2">
      <c r="R311" s="23"/>
      <c r="T311" s="22"/>
      <c r="U311" s="22"/>
      <c r="V311" s="22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2"/>
      <c r="AK311" s="22"/>
    </row>
    <row r="312" spans="18:37" ht="13.2">
      <c r="R312" s="23"/>
      <c r="T312" s="22"/>
      <c r="U312" s="22"/>
      <c r="V312" s="22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2"/>
      <c r="AK312" s="22"/>
    </row>
    <row r="313" spans="18:37" ht="13.2">
      <c r="R313" s="23"/>
      <c r="T313" s="22"/>
      <c r="U313" s="22"/>
      <c r="V313" s="22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2"/>
      <c r="AK313" s="22"/>
    </row>
    <row r="314" spans="18:37" ht="13.2">
      <c r="R314" s="23"/>
      <c r="T314" s="22"/>
      <c r="U314" s="22"/>
      <c r="V314" s="22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2"/>
      <c r="AK314" s="22"/>
    </row>
    <row r="315" spans="18:37" ht="13.2">
      <c r="R315" s="23"/>
      <c r="T315" s="22"/>
      <c r="U315" s="22"/>
      <c r="V315" s="22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2"/>
      <c r="AK315" s="22"/>
    </row>
    <row r="316" spans="18:37" ht="13.2">
      <c r="R316" s="23"/>
      <c r="T316" s="22"/>
      <c r="U316" s="22"/>
      <c r="V316" s="22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2"/>
      <c r="AK316" s="22"/>
    </row>
    <row r="317" spans="18:37" ht="13.2">
      <c r="R317" s="23"/>
      <c r="T317" s="22"/>
      <c r="U317" s="22"/>
      <c r="V317" s="22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2"/>
      <c r="AK317" s="22"/>
    </row>
    <row r="318" spans="18:37" ht="13.2">
      <c r="R318" s="23"/>
      <c r="T318" s="22"/>
      <c r="U318" s="22"/>
      <c r="V318" s="22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2"/>
      <c r="AK318" s="22"/>
    </row>
    <row r="319" spans="18:37" ht="13.2">
      <c r="R319" s="23"/>
      <c r="T319" s="22"/>
      <c r="U319" s="22"/>
      <c r="V319" s="22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2"/>
      <c r="AK319" s="22"/>
    </row>
    <row r="320" spans="18:37" ht="13.2">
      <c r="R320" s="23"/>
      <c r="T320" s="22"/>
      <c r="U320" s="22"/>
      <c r="V320" s="22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2"/>
      <c r="AK320" s="22"/>
    </row>
    <row r="321" spans="18:37" ht="13.2">
      <c r="R321" s="23"/>
      <c r="T321" s="22"/>
      <c r="U321" s="22"/>
      <c r="V321" s="22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2"/>
      <c r="AK321" s="22"/>
    </row>
    <row r="322" spans="18:37" ht="13.2">
      <c r="R322" s="23"/>
      <c r="T322" s="22"/>
      <c r="U322" s="22"/>
      <c r="V322" s="22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2"/>
      <c r="AK322" s="22"/>
    </row>
    <row r="323" spans="18:37" ht="13.2">
      <c r="R323" s="23"/>
      <c r="T323" s="22"/>
      <c r="U323" s="22"/>
      <c r="V323" s="22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2"/>
      <c r="AK323" s="22"/>
    </row>
    <row r="324" spans="18:37" ht="13.2">
      <c r="R324" s="23"/>
      <c r="T324" s="22"/>
      <c r="U324" s="22"/>
      <c r="V324" s="22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2"/>
      <c r="AK324" s="22"/>
    </row>
    <row r="325" spans="18:37" ht="13.2">
      <c r="R325" s="23"/>
      <c r="T325" s="22"/>
      <c r="U325" s="22"/>
      <c r="V325" s="22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2"/>
      <c r="AK325" s="22"/>
    </row>
    <row r="326" spans="18:37" ht="13.2">
      <c r="R326" s="23"/>
      <c r="T326" s="22"/>
      <c r="U326" s="22"/>
      <c r="V326" s="22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2"/>
      <c r="AK326" s="22"/>
    </row>
    <row r="327" spans="18:37" ht="13.2">
      <c r="R327" s="23"/>
      <c r="T327" s="22"/>
      <c r="U327" s="22"/>
      <c r="V327" s="22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2"/>
      <c r="AK327" s="22"/>
    </row>
    <row r="328" spans="18:37" ht="13.2">
      <c r="R328" s="23"/>
      <c r="T328" s="22"/>
      <c r="U328" s="22"/>
      <c r="V328" s="22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2"/>
      <c r="AK328" s="22"/>
    </row>
    <row r="329" spans="18:37" ht="13.2">
      <c r="R329" s="23"/>
      <c r="T329" s="22"/>
      <c r="U329" s="22"/>
      <c r="V329" s="22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2"/>
      <c r="AK329" s="22"/>
    </row>
    <row r="330" spans="18:37" ht="13.2">
      <c r="R330" s="23"/>
      <c r="T330" s="22"/>
      <c r="U330" s="22"/>
      <c r="V330" s="22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2"/>
      <c r="AK330" s="22"/>
    </row>
    <row r="331" spans="18:37" ht="13.2">
      <c r="R331" s="23"/>
      <c r="T331" s="22"/>
      <c r="U331" s="22"/>
      <c r="V331" s="22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2"/>
      <c r="AK331" s="22"/>
    </row>
    <row r="332" spans="18:37" ht="13.2">
      <c r="R332" s="23"/>
      <c r="T332" s="22"/>
      <c r="U332" s="22"/>
      <c r="V332" s="22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2"/>
      <c r="AK332" s="22"/>
    </row>
    <row r="333" spans="18:37" ht="13.2">
      <c r="R333" s="23"/>
      <c r="T333" s="22"/>
      <c r="U333" s="22"/>
      <c r="V333" s="22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2"/>
      <c r="AK333" s="22"/>
    </row>
    <row r="334" spans="18:37" ht="13.2">
      <c r="R334" s="23"/>
      <c r="T334" s="22"/>
      <c r="U334" s="22"/>
      <c r="V334" s="22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2"/>
      <c r="AK334" s="22"/>
    </row>
    <row r="335" spans="18:37" ht="13.2">
      <c r="R335" s="23"/>
      <c r="T335" s="22"/>
      <c r="U335" s="22"/>
      <c r="V335" s="22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2"/>
      <c r="AK335" s="22"/>
    </row>
    <row r="336" spans="18:37" ht="13.2">
      <c r="R336" s="23"/>
      <c r="T336" s="22"/>
      <c r="U336" s="22"/>
      <c r="V336" s="22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2"/>
      <c r="AK336" s="22"/>
    </row>
    <row r="337" spans="18:37" ht="13.2">
      <c r="R337" s="23"/>
      <c r="T337" s="22"/>
      <c r="U337" s="22"/>
      <c r="V337" s="22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2"/>
      <c r="AK337" s="22"/>
    </row>
    <row r="338" spans="18:37" ht="13.2">
      <c r="R338" s="23"/>
      <c r="T338" s="22"/>
      <c r="U338" s="22"/>
      <c r="V338" s="22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2"/>
      <c r="AK338" s="22"/>
    </row>
    <row r="339" spans="18:37" ht="13.2">
      <c r="R339" s="23"/>
      <c r="T339" s="22"/>
      <c r="U339" s="22"/>
      <c r="V339" s="22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2"/>
      <c r="AK339" s="22"/>
    </row>
    <row r="340" spans="18:37" ht="13.2">
      <c r="R340" s="23"/>
      <c r="T340" s="22"/>
      <c r="U340" s="22"/>
      <c r="V340" s="22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2"/>
      <c r="AK340" s="22"/>
    </row>
    <row r="341" spans="18:37" ht="13.2">
      <c r="R341" s="23"/>
      <c r="T341" s="22"/>
      <c r="U341" s="22"/>
      <c r="V341" s="22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2"/>
      <c r="AK341" s="22"/>
    </row>
    <row r="342" spans="18:37" ht="13.2">
      <c r="R342" s="23"/>
      <c r="T342" s="22"/>
      <c r="U342" s="22"/>
      <c r="V342" s="22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2"/>
      <c r="AK342" s="22"/>
    </row>
    <row r="343" spans="18:37" ht="13.2">
      <c r="R343" s="23"/>
      <c r="T343" s="22"/>
      <c r="U343" s="22"/>
      <c r="V343" s="22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2"/>
      <c r="AK343" s="22"/>
    </row>
    <row r="344" spans="18:37" ht="13.2">
      <c r="R344" s="23"/>
      <c r="T344" s="22"/>
      <c r="U344" s="22"/>
      <c r="V344" s="22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2"/>
      <c r="AK344" s="22"/>
    </row>
    <row r="345" spans="18:37" ht="13.2">
      <c r="R345" s="23"/>
      <c r="T345" s="22"/>
      <c r="U345" s="22"/>
      <c r="V345" s="22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2"/>
      <c r="AK345" s="22"/>
    </row>
    <row r="346" spans="18:37" ht="13.2">
      <c r="R346" s="23"/>
      <c r="T346" s="22"/>
      <c r="U346" s="22"/>
      <c r="V346" s="22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2"/>
      <c r="AK346" s="22"/>
    </row>
    <row r="347" spans="18:37" ht="13.2">
      <c r="R347" s="23"/>
      <c r="T347" s="22"/>
      <c r="U347" s="22"/>
      <c r="V347" s="22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2"/>
      <c r="AK347" s="22"/>
    </row>
    <row r="348" spans="18:37" ht="13.2">
      <c r="R348" s="23"/>
      <c r="T348" s="22"/>
      <c r="U348" s="22"/>
      <c r="V348" s="22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2"/>
      <c r="AK348" s="22"/>
    </row>
    <row r="349" spans="18:37" ht="13.2">
      <c r="R349" s="23"/>
      <c r="T349" s="22"/>
      <c r="U349" s="22"/>
      <c r="V349" s="22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2"/>
      <c r="AK349" s="22"/>
    </row>
    <row r="350" spans="18:37" ht="13.2">
      <c r="R350" s="23"/>
      <c r="T350" s="22"/>
      <c r="U350" s="22"/>
      <c r="V350" s="22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2"/>
      <c r="AK350" s="22"/>
    </row>
    <row r="351" spans="18:37" ht="13.2">
      <c r="R351" s="23"/>
      <c r="T351" s="22"/>
      <c r="U351" s="22"/>
      <c r="V351" s="22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2"/>
      <c r="AK351" s="22"/>
    </row>
    <row r="352" spans="18:37" ht="13.2">
      <c r="R352" s="23"/>
      <c r="T352" s="22"/>
      <c r="U352" s="22"/>
      <c r="V352" s="22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2"/>
      <c r="AK352" s="22"/>
    </row>
    <row r="353" spans="18:37" ht="13.2">
      <c r="R353" s="23"/>
      <c r="T353" s="22"/>
      <c r="U353" s="22"/>
      <c r="V353" s="22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2"/>
      <c r="AK353" s="22"/>
    </row>
    <row r="354" spans="18:37" ht="13.2">
      <c r="R354" s="23"/>
      <c r="T354" s="22"/>
      <c r="U354" s="22"/>
      <c r="V354" s="22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2"/>
      <c r="AK354" s="22"/>
    </row>
    <row r="355" spans="18:37" ht="13.2">
      <c r="R355" s="23"/>
      <c r="T355" s="22"/>
      <c r="U355" s="22"/>
      <c r="V355" s="22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2"/>
      <c r="AK355" s="22"/>
    </row>
    <row r="356" spans="18:37" ht="13.2">
      <c r="R356" s="23"/>
      <c r="T356" s="22"/>
      <c r="U356" s="22"/>
      <c r="V356" s="22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2"/>
      <c r="AK356" s="22"/>
    </row>
    <row r="357" spans="18:37" ht="13.2">
      <c r="R357" s="23"/>
      <c r="T357" s="22"/>
      <c r="U357" s="22"/>
      <c r="V357" s="22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2"/>
      <c r="AK357" s="22"/>
    </row>
    <row r="358" spans="18:37" ht="13.2">
      <c r="R358" s="23"/>
      <c r="T358" s="22"/>
      <c r="U358" s="22"/>
      <c r="V358" s="22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2"/>
      <c r="AK358" s="22"/>
    </row>
    <row r="359" spans="18:37" ht="13.2">
      <c r="R359" s="23"/>
      <c r="T359" s="22"/>
      <c r="U359" s="22"/>
      <c r="V359" s="22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2"/>
      <c r="AK359" s="22"/>
    </row>
    <row r="360" spans="18:37" ht="13.2">
      <c r="R360" s="23"/>
      <c r="T360" s="22"/>
      <c r="U360" s="22"/>
      <c r="V360" s="22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2"/>
      <c r="AK360" s="22"/>
    </row>
    <row r="361" spans="18:37" ht="13.2">
      <c r="R361" s="23"/>
      <c r="T361" s="22"/>
      <c r="U361" s="22"/>
      <c r="V361" s="22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2"/>
      <c r="AK361" s="22"/>
    </row>
    <row r="362" spans="18:37" ht="13.2">
      <c r="R362" s="23"/>
      <c r="T362" s="22"/>
      <c r="U362" s="22"/>
      <c r="V362" s="22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2"/>
      <c r="AK362" s="22"/>
    </row>
    <row r="363" spans="18:37" ht="13.2">
      <c r="R363" s="23"/>
      <c r="T363" s="22"/>
      <c r="U363" s="22"/>
      <c r="V363" s="22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2"/>
      <c r="AK363" s="22"/>
    </row>
    <row r="364" spans="18:37" ht="13.2">
      <c r="R364" s="23"/>
      <c r="T364" s="22"/>
      <c r="U364" s="22"/>
      <c r="V364" s="22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2"/>
      <c r="AK364" s="22"/>
    </row>
    <row r="365" spans="18:37" ht="13.2">
      <c r="R365" s="23"/>
      <c r="T365" s="22"/>
      <c r="U365" s="22"/>
      <c r="V365" s="22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2"/>
      <c r="AK365" s="22"/>
    </row>
    <row r="366" spans="18:37" ht="13.2">
      <c r="R366" s="23"/>
      <c r="T366" s="22"/>
      <c r="U366" s="22"/>
      <c r="V366" s="22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2"/>
      <c r="AK366" s="22"/>
    </row>
    <row r="367" spans="18:37" ht="13.2">
      <c r="R367" s="23"/>
      <c r="T367" s="22"/>
      <c r="U367" s="22"/>
      <c r="V367" s="22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2"/>
      <c r="AK367" s="22"/>
    </row>
    <row r="368" spans="18:37" ht="13.2">
      <c r="R368" s="23"/>
      <c r="T368" s="22"/>
      <c r="U368" s="22"/>
      <c r="V368" s="22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2"/>
      <c r="AK368" s="22"/>
    </row>
    <row r="369" spans="18:37" ht="13.2">
      <c r="R369" s="23"/>
      <c r="T369" s="22"/>
      <c r="U369" s="22"/>
      <c r="V369" s="22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2"/>
      <c r="AK369" s="22"/>
    </row>
    <row r="370" spans="18:37" ht="13.2">
      <c r="R370" s="23"/>
      <c r="T370" s="22"/>
      <c r="U370" s="22"/>
      <c r="V370" s="22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2"/>
      <c r="AK370" s="22"/>
    </row>
    <row r="371" spans="18:37" ht="13.2">
      <c r="R371" s="23"/>
      <c r="T371" s="22"/>
      <c r="U371" s="22"/>
      <c r="V371" s="22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2"/>
      <c r="AK371" s="22"/>
    </row>
    <row r="372" spans="18:37" ht="13.2">
      <c r="R372" s="23"/>
      <c r="T372" s="22"/>
      <c r="U372" s="22"/>
      <c r="V372" s="22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2"/>
      <c r="AK372" s="22"/>
    </row>
    <row r="373" spans="18:37" ht="13.2">
      <c r="R373" s="23"/>
      <c r="T373" s="22"/>
      <c r="U373" s="22"/>
      <c r="V373" s="22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2"/>
      <c r="AK373" s="22"/>
    </row>
    <row r="374" spans="18:37" ht="13.2">
      <c r="R374" s="23"/>
      <c r="T374" s="22"/>
      <c r="U374" s="22"/>
      <c r="V374" s="22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2"/>
      <c r="AK374" s="22"/>
    </row>
    <row r="375" spans="18:37" ht="13.2">
      <c r="R375" s="23"/>
      <c r="T375" s="22"/>
      <c r="U375" s="22"/>
      <c r="V375" s="22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2"/>
      <c r="AK375" s="22"/>
    </row>
    <row r="376" spans="18:37" ht="13.2">
      <c r="R376" s="23"/>
      <c r="T376" s="22"/>
      <c r="U376" s="22"/>
      <c r="V376" s="22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2"/>
      <c r="AK376" s="22"/>
    </row>
    <row r="377" spans="18:37" ht="13.2">
      <c r="R377" s="23"/>
      <c r="T377" s="22"/>
      <c r="U377" s="22"/>
      <c r="V377" s="22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2"/>
      <c r="AK377" s="22"/>
    </row>
    <row r="378" spans="18:37" ht="13.2">
      <c r="R378" s="23"/>
      <c r="T378" s="22"/>
      <c r="U378" s="22"/>
      <c r="V378" s="22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2"/>
      <c r="AK378" s="22"/>
    </row>
    <row r="379" spans="18:37" ht="13.2">
      <c r="R379" s="23"/>
      <c r="T379" s="22"/>
      <c r="U379" s="22"/>
      <c r="V379" s="22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2"/>
      <c r="AK379" s="22"/>
    </row>
    <row r="380" spans="18:37" ht="13.2">
      <c r="R380" s="23"/>
      <c r="T380" s="22"/>
      <c r="U380" s="22"/>
      <c r="V380" s="22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2"/>
      <c r="AK380" s="22"/>
    </row>
    <row r="381" spans="18:37" ht="13.2">
      <c r="R381" s="23"/>
      <c r="T381" s="22"/>
      <c r="U381" s="22"/>
      <c r="V381" s="22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2"/>
      <c r="AK381" s="22"/>
    </row>
    <row r="382" spans="18:37" ht="13.2">
      <c r="R382" s="23"/>
      <c r="T382" s="22"/>
      <c r="U382" s="22"/>
      <c r="V382" s="22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2"/>
      <c r="AK382" s="22"/>
    </row>
    <row r="383" spans="18:37" ht="13.2">
      <c r="R383" s="23"/>
      <c r="T383" s="22"/>
      <c r="U383" s="22"/>
      <c r="V383" s="22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2"/>
      <c r="AK383" s="22"/>
    </row>
    <row r="384" spans="18:37" ht="13.2">
      <c r="R384" s="23"/>
      <c r="T384" s="22"/>
      <c r="U384" s="22"/>
      <c r="V384" s="22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2"/>
      <c r="AK384" s="22"/>
    </row>
    <row r="385" spans="18:37" ht="13.2">
      <c r="R385" s="23"/>
      <c r="T385" s="22"/>
      <c r="U385" s="22"/>
      <c r="V385" s="22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2"/>
      <c r="AK385" s="22"/>
    </row>
    <row r="386" spans="18:37" ht="13.2">
      <c r="R386" s="23"/>
      <c r="T386" s="22"/>
      <c r="U386" s="22"/>
      <c r="V386" s="22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2"/>
      <c r="AK386" s="22"/>
    </row>
    <row r="387" spans="18:37" ht="13.2">
      <c r="R387" s="23"/>
      <c r="T387" s="22"/>
      <c r="U387" s="22"/>
      <c r="V387" s="22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2"/>
      <c r="AK387" s="22"/>
    </row>
    <row r="388" spans="18:37" ht="13.2">
      <c r="R388" s="23"/>
      <c r="T388" s="22"/>
      <c r="U388" s="22"/>
      <c r="V388" s="22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2"/>
      <c r="AK388" s="22"/>
    </row>
    <row r="389" spans="18:37" ht="13.2">
      <c r="R389" s="23"/>
      <c r="T389" s="22"/>
      <c r="U389" s="22"/>
      <c r="V389" s="22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2"/>
      <c r="AK389" s="22"/>
    </row>
    <row r="390" spans="18:37" ht="13.2">
      <c r="R390" s="23"/>
      <c r="T390" s="22"/>
      <c r="U390" s="22"/>
      <c r="V390" s="22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2"/>
      <c r="AK390" s="22"/>
    </row>
    <row r="391" spans="18:37" ht="13.2">
      <c r="R391" s="23"/>
      <c r="T391" s="22"/>
      <c r="U391" s="22"/>
      <c r="V391" s="22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2"/>
      <c r="AK391" s="22"/>
    </row>
    <row r="392" spans="18:37" ht="13.2">
      <c r="R392" s="23"/>
      <c r="T392" s="22"/>
      <c r="U392" s="22"/>
      <c r="V392" s="22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2"/>
      <c r="AK392" s="22"/>
    </row>
    <row r="393" spans="18:37" ht="13.2">
      <c r="R393" s="23"/>
      <c r="T393" s="22"/>
      <c r="U393" s="22"/>
      <c r="V393" s="22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2"/>
      <c r="AK393" s="22"/>
    </row>
    <row r="394" spans="18:37" ht="13.2">
      <c r="R394" s="23"/>
      <c r="T394" s="22"/>
      <c r="U394" s="22"/>
      <c r="V394" s="22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2"/>
      <c r="AK394" s="22"/>
    </row>
    <row r="395" spans="18:37" ht="13.2">
      <c r="R395" s="23"/>
      <c r="T395" s="22"/>
      <c r="U395" s="22"/>
      <c r="V395" s="22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2"/>
      <c r="AK395" s="22"/>
    </row>
    <row r="396" spans="18:37" ht="13.2">
      <c r="R396" s="23"/>
      <c r="T396" s="22"/>
      <c r="U396" s="22"/>
      <c r="V396" s="22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2"/>
      <c r="AK396" s="22"/>
    </row>
    <row r="397" spans="18:37" ht="13.2">
      <c r="R397" s="23"/>
      <c r="T397" s="22"/>
      <c r="U397" s="22"/>
      <c r="V397" s="22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2"/>
      <c r="AK397" s="22"/>
    </row>
    <row r="398" spans="18:37" ht="13.2">
      <c r="R398" s="23"/>
      <c r="T398" s="22"/>
      <c r="U398" s="22"/>
      <c r="V398" s="22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2"/>
      <c r="AK398" s="22"/>
    </row>
    <row r="399" spans="18:37" ht="13.2">
      <c r="R399" s="23"/>
      <c r="T399" s="22"/>
      <c r="U399" s="22"/>
      <c r="V399" s="22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2"/>
      <c r="AK399" s="22"/>
    </row>
    <row r="400" spans="18:37" ht="13.2">
      <c r="R400" s="23"/>
      <c r="T400" s="22"/>
      <c r="U400" s="22"/>
      <c r="V400" s="22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2"/>
      <c r="AK400" s="22"/>
    </row>
    <row r="401" spans="18:37" ht="13.2">
      <c r="R401" s="23"/>
      <c r="T401" s="22"/>
      <c r="U401" s="22"/>
      <c r="V401" s="22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2"/>
      <c r="AK401" s="22"/>
    </row>
    <row r="402" spans="18:37" ht="13.2">
      <c r="R402" s="23"/>
      <c r="T402" s="22"/>
      <c r="U402" s="22"/>
      <c r="V402" s="22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2"/>
      <c r="AK402" s="22"/>
    </row>
    <row r="403" spans="18:37" ht="13.2">
      <c r="R403" s="23"/>
      <c r="T403" s="22"/>
      <c r="U403" s="22"/>
      <c r="V403" s="22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2"/>
      <c r="AK403" s="22"/>
    </row>
    <row r="404" spans="18:37" ht="13.2">
      <c r="R404" s="23"/>
      <c r="T404" s="22"/>
      <c r="U404" s="22"/>
      <c r="V404" s="22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2"/>
      <c r="AK404" s="22"/>
    </row>
    <row r="405" spans="18:37" ht="13.2">
      <c r="R405" s="23"/>
      <c r="T405" s="22"/>
      <c r="U405" s="22"/>
      <c r="V405" s="22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2"/>
      <c r="AK405" s="22"/>
    </row>
    <row r="406" spans="18:37" ht="13.2">
      <c r="R406" s="23"/>
      <c r="T406" s="22"/>
      <c r="U406" s="22"/>
      <c r="V406" s="22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2"/>
      <c r="AK406" s="22"/>
    </row>
    <row r="407" spans="18:37" ht="13.2">
      <c r="R407" s="23"/>
      <c r="T407" s="22"/>
      <c r="U407" s="22"/>
      <c r="V407" s="22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2"/>
      <c r="AK407" s="22"/>
    </row>
    <row r="408" spans="18:37" ht="13.2">
      <c r="R408" s="23"/>
      <c r="T408" s="22"/>
      <c r="U408" s="22"/>
      <c r="V408" s="22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2"/>
      <c r="AK408" s="22"/>
    </row>
    <row r="409" spans="18:37" ht="13.2">
      <c r="R409" s="23"/>
      <c r="T409" s="22"/>
      <c r="U409" s="22"/>
      <c r="V409" s="22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2"/>
      <c r="AK409" s="22"/>
    </row>
    <row r="410" spans="18:37" ht="13.2">
      <c r="R410" s="23"/>
      <c r="T410" s="22"/>
      <c r="U410" s="22"/>
      <c r="V410" s="22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2"/>
      <c r="AK410" s="22"/>
    </row>
    <row r="411" spans="18:37" ht="13.2">
      <c r="R411" s="23"/>
      <c r="T411" s="22"/>
      <c r="U411" s="22"/>
      <c r="V411" s="22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2"/>
      <c r="AK411" s="22"/>
    </row>
    <row r="412" spans="18:37" ht="13.2">
      <c r="R412" s="23"/>
      <c r="T412" s="22"/>
      <c r="U412" s="22"/>
      <c r="V412" s="22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2"/>
      <c r="AK412" s="22"/>
    </row>
    <row r="413" spans="18:37" ht="13.2">
      <c r="R413" s="23"/>
      <c r="T413" s="22"/>
      <c r="U413" s="22"/>
      <c r="V413" s="22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2"/>
      <c r="AK413" s="22"/>
    </row>
    <row r="414" spans="18:37" ht="13.2">
      <c r="R414" s="23"/>
      <c r="T414" s="22"/>
      <c r="U414" s="22"/>
      <c r="V414" s="22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2"/>
      <c r="AK414" s="22"/>
    </row>
    <row r="415" spans="18:37" ht="13.2">
      <c r="R415" s="23"/>
      <c r="T415" s="22"/>
      <c r="U415" s="22"/>
      <c r="V415" s="22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2"/>
      <c r="AK415" s="22"/>
    </row>
    <row r="416" spans="18:37" ht="13.2">
      <c r="R416" s="23"/>
      <c r="T416" s="22"/>
      <c r="U416" s="22"/>
      <c r="V416" s="22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2"/>
      <c r="AK416" s="22"/>
    </row>
    <row r="417" spans="18:37" ht="13.2">
      <c r="R417" s="23"/>
      <c r="T417" s="22"/>
      <c r="U417" s="22"/>
      <c r="V417" s="22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2"/>
      <c r="AK417" s="22"/>
    </row>
    <row r="418" spans="18:37" ht="13.2">
      <c r="R418" s="23"/>
      <c r="T418" s="22"/>
      <c r="U418" s="22"/>
      <c r="V418" s="22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2"/>
      <c r="AK418" s="22"/>
    </row>
    <row r="419" spans="18:37" ht="13.2">
      <c r="R419" s="23"/>
      <c r="T419" s="22"/>
      <c r="U419" s="22"/>
      <c r="V419" s="22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2"/>
      <c r="AK419" s="22"/>
    </row>
    <row r="420" spans="18:37" ht="13.2">
      <c r="R420" s="23"/>
      <c r="T420" s="22"/>
      <c r="U420" s="22"/>
      <c r="V420" s="22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2"/>
      <c r="AK420" s="22"/>
    </row>
    <row r="421" spans="18:37" ht="13.2">
      <c r="R421" s="23"/>
      <c r="T421" s="22"/>
      <c r="U421" s="22"/>
      <c r="V421" s="22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2"/>
      <c r="AK421" s="22"/>
    </row>
    <row r="422" spans="18:37" ht="13.2">
      <c r="R422" s="23"/>
      <c r="T422" s="22"/>
      <c r="U422" s="22"/>
      <c r="V422" s="22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2"/>
      <c r="AK422" s="22"/>
    </row>
    <row r="423" spans="18:37" ht="13.2">
      <c r="R423" s="23"/>
      <c r="T423" s="22"/>
      <c r="U423" s="22"/>
      <c r="V423" s="22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2"/>
      <c r="AK423" s="22"/>
    </row>
    <row r="424" spans="18:37" ht="13.2">
      <c r="R424" s="23"/>
      <c r="T424" s="22"/>
      <c r="U424" s="22"/>
      <c r="V424" s="22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2"/>
      <c r="AK424" s="22"/>
    </row>
    <row r="425" spans="18:37" ht="13.2">
      <c r="R425" s="23"/>
      <c r="T425" s="22"/>
      <c r="U425" s="22"/>
      <c r="V425" s="22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2"/>
      <c r="AK425" s="22"/>
    </row>
    <row r="426" spans="18:37" ht="13.2">
      <c r="R426" s="23"/>
      <c r="T426" s="22"/>
      <c r="U426" s="22"/>
      <c r="V426" s="22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2"/>
      <c r="AK426" s="22"/>
    </row>
    <row r="427" spans="18:37" ht="13.2">
      <c r="R427" s="23"/>
      <c r="T427" s="22"/>
      <c r="U427" s="22"/>
      <c r="V427" s="22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2"/>
      <c r="AK427" s="22"/>
    </row>
    <row r="428" spans="18:37" ht="13.2">
      <c r="R428" s="23"/>
      <c r="T428" s="22"/>
      <c r="U428" s="22"/>
      <c r="V428" s="22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2"/>
      <c r="AK428" s="22"/>
    </row>
    <row r="429" spans="18:37" ht="13.2">
      <c r="R429" s="23"/>
      <c r="T429" s="22"/>
      <c r="U429" s="22"/>
      <c r="V429" s="22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2"/>
      <c r="AK429" s="22"/>
    </row>
    <row r="430" spans="18:37" ht="13.2">
      <c r="R430" s="23"/>
      <c r="T430" s="22"/>
      <c r="U430" s="22"/>
      <c r="V430" s="22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2"/>
      <c r="AK430" s="22"/>
    </row>
    <row r="431" spans="18:37" ht="13.2">
      <c r="R431" s="23"/>
      <c r="T431" s="22"/>
      <c r="U431" s="22"/>
      <c r="V431" s="22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2"/>
      <c r="AK431" s="22"/>
    </row>
    <row r="432" spans="18:37" ht="13.2">
      <c r="R432" s="23"/>
      <c r="T432" s="22"/>
      <c r="U432" s="22"/>
      <c r="V432" s="22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2"/>
      <c r="AK432" s="22"/>
    </row>
    <row r="433" spans="18:37" ht="13.2">
      <c r="R433" s="23"/>
      <c r="T433" s="22"/>
      <c r="U433" s="22"/>
      <c r="V433" s="22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2"/>
      <c r="AK433" s="22"/>
    </row>
    <row r="434" spans="18:37" ht="13.2">
      <c r="R434" s="23"/>
      <c r="T434" s="22"/>
      <c r="U434" s="22"/>
      <c r="V434" s="22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2"/>
      <c r="AK434" s="22"/>
    </row>
    <row r="435" spans="18:37" ht="13.2">
      <c r="R435" s="23"/>
      <c r="T435" s="22"/>
      <c r="U435" s="22"/>
      <c r="V435" s="22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2"/>
      <c r="AK435" s="22"/>
    </row>
    <row r="436" spans="18:37" ht="13.2">
      <c r="R436" s="23"/>
      <c r="T436" s="22"/>
      <c r="U436" s="22"/>
      <c r="V436" s="22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2"/>
      <c r="AK436" s="22"/>
    </row>
    <row r="437" spans="18:37" ht="13.2">
      <c r="R437" s="23"/>
      <c r="T437" s="22"/>
      <c r="U437" s="22"/>
      <c r="V437" s="22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2"/>
      <c r="AK437" s="22"/>
    </row>
    <row r="438" spans="18:37" ht="13.2">
      <c r="R438" s="23"/>
      <c r="T438" s="22"/>
      <c r="U438" s="22"/>
      <c r="V438" s="22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2"/>
      <c r="AK438" s="22"/>
    </row>
    <row r="439" spans="18:37" ht="13.2">
      <c r="R439" s="23"/>
      <c r="T439" s="22"/>
      <c r="U439" s="22"/>
      <c r="V439" s="22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2"/>
      <c r="AK439" s="22"/>
    </row>
    <row r="440" spans="18:37" ht="13.2">
      <c r="R440" s="23"/>
      <c r="T440" s="22"/>
      <c r="U440" s="22"/>
      <c r="V440" s="22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2"/>
      <c r="AK440" s="22"/>
    </row>
    <row r="441" spans="18:37" ht="13.2">
      <c r="R441" s="23"/>
      <c r="T441" s="22"/>
      <c r="U441" s="22"/>
      <c r="V441" s="22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2"/>
      <c r="AK441" s="22"/>
    </row>
    <row r="442" spans="18:37" ht="13.2">
      <c r="R442" s="23"/>
      <c r="T442" s="22"/>
      <c r="U442" s="22"/>
      <c r="V442" s="22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2"/>
      <c r="AK442" s="22"/>
    </row>
    <row r="443" spans="18:37" ht="13.2">
      <c r="R443" s="23"/>
      <c r="T443" s="22"/>
      <c r="U443" s="22"/>
      <c r="V443" s="22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2"/>
      <c r="AK443" s="22"/>
    </row>
    <row r="444" spans="18:37" ht="13.2">
      <c r="R444" s="23"/>
      <c r="T444" s="22"/>
      <c r="U444" s="22"/>
      <c r="V444" s="22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2"/>
      <c r="AK444" s="22"/>
    </row>
    <row r="445" spans="18:37" ht="13.2">
      <c r="R445" s="23"/>
      <c r="T445" s="22"/>
      <c r="U445" s="22"/>
      <c r="V445" s="22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2"/>
      <c r="AK445" s="22"/>
    </row>
    <row r="446" spans="18:37" ht="13.2">
      <c r="R446" s="23"/>
      <c r="T446" s="22"/>
      <c r="U446" s="22"/>
      <c r="V446" s="22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2"/>
      <c r="AK446" s="22"/>
    </row>
    <row r="447" spans="18:37" ht="13.2">
      <c r="R447" s="23"/>
      <c r="T447" s="22"/>
      <c r="U447" s="22"/>
      <c r="V447" s="22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2"/>
      <c r="AK447" s="22"/>
    </row>
    <row r="448" spans="18:37" ht="13.2">
      <c r="R448" s="23"/>
      <c r="T448" s="22"/>
      <c r="U448" s="22"/>
      <c r="V448" s="22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2"/>
      <c r="AK448" s="22"/>
    </row>
    <row r="449" spans="18:37" ht="13.2">
      <c r="R449" s="23"/>
      <c r="T449" s="22"/>
      <c r="U449" s="22"/>
      <c r="V449" s="22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2"/>
      <c r="AK449" s="22"/>
    </row>
    <row r="450" spans="18:37" ht="13.2">
      <c r="R450" s="23"/>
      <c r="T450" s="22"/>
      <c r="U450" s="22"/>
      <c r="V450" s="22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2"/>
      <c r="AK450" s="22"/>
    </row>
    <row r="451" spans="18:37" ht="13.2">
      <c r="R451" s="23"/>
      <c r="T451" s="22"/>
      <c r="U451" s="22"/>
      <c r="V451" s="22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2"/>
      <c r="AK451" s="22"/>
    </row>
    <row r="452" spans="18:37" ht="13.2">
      <c r="R452" s="23"/>
      <c r="T452" s="22"/>
      <c r="U452" s="22"/>
      <c r="V452" s="22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2"/>
      <c r="AK452" s="22"/>
    </row>
    <row r="453" spans="18:37" ht="13.2">
      <c r="R453" s="23"/>
      <c r="T453" s="22"/>
      <c r="U453" s="22"/>
      <c r="V453" s="22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2"/>
      <c r="AK453" s="22"/>
    </row>
    <row r="454" spans="18:37" ht="13.2">
      <c r="R454" s="23"/>
      <c r="T454" s="22"/>
      <c r="U454" s="22"/>
      <c r="V454" s="22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2"/>
      <c r="AK454" s="22"/>
    </row>
    <row r="455" spans="18:37" ht="13.2">
      <c r="R455" s="23"/>
      <c r="T455" s="22"/>
      <c r="U455" s="22"/>
      <c r="V455" s="22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2"/>
      <c r="AK455" s="22"/>
    </row>
    <row r="456" spans="18:37" ht="13.2">
      <c r="R456" s="23"/>
      <c r="T456" s="22"/>
      <c r="U456" s="22"/>
      <c r="V456" s="22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2"/>
      <c r="AK456" s="22"/>
    </row>
    <row r="457" spans="18:37" ht="13.2">
      <c r="R457" s="23"/>
      <c r="T457" s="22"/>
      <c r="U457" s="22"/>
      <c r="V457" s="22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2"/>
      <c r="AK457" s="22"/>
    </row>
    <row r="458" spans="18:37" ht="13.2">
      <c r="R458" s="23"/>
      <c r="T458" s="22"/>
      <c r="U458" s="22"/>
      <c r="V458" s="22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2"/>
      <c r="AK458" s="22"/>
    </row>
    <row r="459" spans="18:37" ht="13.2">
      <c r="R459" s="23"/>
      <c r="T459" s="22"/>
      <c r="U459" s="22"/>
      <c r="V459" s="22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2"/>
      <c r="AK459" s="22"/>
    </row>
    <row r="460" spans="18:37" ht="13.2">
      <c r="R460" s="23"/>
      <c r="T460" s="22"/>
      <c r="U460" s="22"/>
      <c r="V460" s="22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2"/>
      <c r="AK460" s="22"/>
    </row>
    <row r="461" spans="18:37" ht="13.2">
      <c r="R461" s="23"/>
      <c r="T461" s="22"/>
      <c r="U461" s="22"/>
      <c r="V461" s="22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2"/>
      <c r="AK461" s="22"/>
    </row>
    <row r="462" spans="18:37" ht="13.2">
      <c r="R462" s="23"/>
      <c r="T462" s="22"/>
      <c r="U462" s="22"/>
      <c r="V462" s="22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2"/>
      <c r="AK462" s="22"/>
    </row>
    <row r="463" spans="18:37" ht="13.2">
      <c r="R463" s="23"/>
      <c r="T463" s="22"/>
      <c r="U463" s="22"/>
      <c r="V463" s="22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2"/>
      <c r="AK463" s="22"/>
    </row>
    <row r="464" spans="18:37" ht="13.2">
      <c r="R464" s="23"/>
      <c r="T464" s="22"/>
      <c r="U464" s="22"/>
      <c r="V464" s="22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2"/>
      <c r="AK464" s="22"/>
    </row>
    <row r="465" spans="18:37" ht="13.2">
      <c r="R465" s="23"/>
      <c r="T465" s="22"/>
      <c r="U465" s="22"/>
      <c r="V465" s="22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2"/>
      <c r="AK465" s="22"/>
    </row>
    <row r="466" spans="18:37" ht="13.2">
      <c r="R466" s="23"/>
      <c r="T466" s="22"/>
      <c r="U466" s="22"/>
      <c r="V466" s="22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2"/>
      <c r="AK466" s="22"/>
    </row>
    <row r="467" spans="18:37" ht="13.2">
      <c r="R467" s="23"/>
      <c r="T467" s="22"/>
      <c r="U467" s="22"/>
      <c r="V467" s="22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2"/>
      <c r="AK467" s="22"/>
    </row>
    <row r="468" spans="18:37" ht="13.2">
      <c r="R468" s="23"/>
      <c r="T468" s="22"/>
      <c r="U468" s="22"/>
      <c r="V468" s="22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2"/>
      <c r="AK468" s="22"/>
    </row>
    <row r="469" spans="18:37" ht="13.2">
      <c r="R469" s="23"/>
      <c r="T469" s="22"/>
      <c r="U469" s="22"/>
      <c r="V469" s="22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2"/>
      <c r="AK469" s="22"/>
    </row>
    <row r="470" spans="18:37" ht="13.2">
      <c r="R470" s="23"/>
      <c r="T470" s="22"/>
      <c r="U470" s="22"/>
      <c r="V470" s="22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2"/>
      <c r="AK470" s="22"/>
    </row>
    <row r="471" spans="18:37" ht="13.2">
      <c r="R471" s="23"/>
      <c r="T471" s="22"/>
      <c r="U471" s="22"/>
      <c r="V471" s="22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2"/>
      <c r="AK471" s="22"/>
    </row>
    <row r="472" spans="18:37" ht="13.2">
      <c r="R472" s="23"/>
      <c r="T472" s="22"/>
      <c r="U472" s="22"/>
      <c r="V472" s="22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2"/>
      <c r="AK472" s="22"/>
    </row>
    <row r="473" spans="18:37" ht="13.2">
      <c r="R473" s="23"/>
      <c r="T473" s="22"/>
      <c r="U473" s="22"/>
      <c r="V473" s="22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2"/>
      <c r="AK473" s="22"/>
    </row>
    <row r="474" spans="18:37" ht="13.2">
      <c r="R474" s="23"/>
      <c r="T474" s="22"/>
      <c r="U474" s="22"/>
      <c r="V474" s="22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2"/>
      <c r="AK474" s="22"/>
    </row>
    <row r="475" spans="18:37" ht="13.2">
      <c r="R475" s="23"/>
      <c r="T475" s="22"/>
      <c r="U475" s="22"/>
      <c r="V475" s="22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2"/>
      <c r="AK475" s="22"/>
    </row>
    <row r="476" spans="18:37" ht="13.2">
      <c r="R476" s="23"/>
      <c r="T476" s="22"/>
      <c r="U476" s="22"/>
      <c r="V476" s="22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2"/>
      <c r="AK476" s="22"/>
    </row>
    <row r="477" spans="18:37" ht="13.2">
      <c r="R477" s="23"/>
      <c r="T477" s="22"/>
      <c r="U477" s="22"/>
      <c r="V477" s="22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2"/>
      <c r="AK477" s="22"/>
    </row>
    <row r="478" spans="18:37" ht="13.2">
      <c r="R478" s="23"/>
      <c r="T478" s="22"/>
      <c r="U478" s="22"/>
      <c r="V478" s="22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2"/>
      <c r="AK478" s="22"/>
    </row>
    <row r="479" spans="18:37" ht="13.2">
      <c r="R479" s="23"/>
      <c r="T479" s="22"/>
      <c r="U479" s="22"/>
      <c r="V479" s="22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2"/>
      <c r="AK479" s="22"/>
    </row>
    <row r="480" spans="18:37" ht="13.2">
      <c r="R480" s="23"/>
      <c r="T480" s="22"/>
      <c r="U480" s="22"/>
      <c r="V480" s="22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2"/>
      <c r="AK480" s="22"/>
    </row>
    <row r="481" spans="18:37" ht="13.2">
      <c r="R481" s="23"/>
      <c r="T481" s="22"/>
      <c r="U481" s="22"/>
      <c r="V481" s="22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2"/>
      <c r="AK481" s="22"/>
    </row>
    <row r="482" spans="18:37" ht="13.2">
      <c r="R482" s="23"/>
      <c r="T482" s="22"/>
      <c r="U482" s="22"/>
      <c r="V482" s="22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2"/>
      <c r="AK482" s="22"/>
    </row>
    <row r="483" spans="18:37" ht="13.2">
      <c r="R483" s="23"/>
      <c r="T483" s="22"/>
      <c r="U483" s="22"/>
      <c r="V483" s="22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2"/>
      <c r="AK483" s="22"/>
    </row>
    <row r="484" spans="18:37" ht="13.2">
      <c r="R484" s="23"/>
      <c r="T484" s="22"/>
      <c r="U484" s="22"/>
      <c r="V484" s="22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2"/>
      <c r="AK484" s="22"/>
    </row>
    <row r="485" spans="18:37" ht="13.2">
      <c r="R485" s="23"/>
      <c r="T485" s="22"/>
      <c r="U485" s="22"/>
      <c r="V485" s="22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2"/>
      <c r="AK485" s="22"/>
    </row>
    <row r="486" spans="18:37" ht="13.2">
      <c r="R486" s="23"/>
      <c r="T486" s="22"/>
      <c r="U486" s="22"/>
      <c r="V486" s="22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2"/>
      <c r="AK486" s="22"/>
    </row>
    <row r="487" spans="18:37" ht="13.2">
      <c r="R487" s="23"/>
      <c r="T487" s="22"/>
      <c r="U487" s="22"/>
      <c r="V487" s="22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2"/>
      <c r="AK487" s="22"/>
    </row>
    <row r="488" spans="18:37" ht="13.2">
      <c r="R488" s="23"/>
      <c r="T488" s="22"/>
      <c r="U488" s="22"/>
      <c r="V488" s="22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2"/>
      <c r="AK488" s="22"/>
    </row>
    <row r="489" spans="18:37" ht="13.2">
      <c r="R489" s="23"/>
      <c r="T489" s="22"/>
      <c r="U489" s="22"/>
      <c r="V489" s="22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2"/>
      <c r="AK489" s="22"/>
    </row>
    <row r="490" spans="18:37" ht="13.2">
      <c r="R490" s="23"/>
      <c r="T490" s="22"/>
      <c r="U490" s="22"/>
      <c r="V490" s="22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2"/>
      <c r="AK490" s="22"/>
    </row>
    <row r="491" spans="18:37" ht="13.2">
      <c r="R491" s="23"/>
      <c r="T491" s="22"/>
      <c r="U491" s="22"/>
      <c r="V491" s="22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2"/>
      <c r="AK491" s="22"/>
    </row>
    <row r="492" spans="18:37" ht="13.2">
      <c r="R492" s="23"/>
      <c r="T492" s="22"/>
      <c r="U492" s="22"/>
      <c r="V492" s="22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2"/>
      <c r="AK492" s="22"/>
    </row>
    <row r="493" spans="18:37" ht="13.2">
      <c r="R493" s="23"/>
      <c r="T493" s="22"/>
      <c r="U493" s="22"/>
      <c r="V493" s="22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2"/>
      <c r="AK493" s="22"/>
    </row>
    <row r="494" spans="18:37" ht="13.2">
      <c r="R494" s="23"/>
      <c r="T494" s="22"/>
      <c r="U494" s="22"/>
      <c r="V494" s="22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2"/>
      <c r="AK494" s="22"/>
    </row>
    <row r="495" spans="18:37" ht="13.2">
      <c r="R495" s="23"/>
      <c r="T495" s="22"/>
      <c r="U495" s="22"/>
      <c r="V495" s="22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2"/>
      <c r="AK495" s="22"/>
    </row>
    <row r="496" spans="18:37" ht="13.2">
      <c r="R496" s="23"/>
      <c r="T496" s="22"/>
      <c r="U496" s="22"/>
      <c r="V496" s="22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2"/>
      <c r="AK496" s="22"/>
    </row>
    <row r="497" spans="18:37" ht="13.2">
      <c r="R497" s="23"/>
      <c r="T497" s="22"/>
      <c r="U497" s="22"/>
      <c r="V497" s="22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2"/>
      <c r="AK497" s="22"/>
    </row>
    <row r="498" spans="18:37" ht="13.2">
      <c r="R498" s="23"/>
      <c r="T498" s="22"/>
      <c r="U498" s="22"/>
      <c r="V498" s="22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2"/>
      <c r="AK498" s="22"/>
    </row>
    <row r="499" spans="18:37" ht="13.2">
      <c r="R499" s="23"/>
      <c r="T499" s="22"/>
      <c r="U499" s="22"/>
      <c r="V499" s="22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2"/>
      <c r="AK499" s="22"/>
    </row>
    <row r="500" spans="18:37" ht="13.2">
      <c r="R500" s="23"/>
      <c r="T500" s="22"/>
      <c r="U500" s="22"/>
      <c r="V500" s="22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2"/>
      <c r="AK500" s="22"/>
    </row>
    <row r="501" spans="18:37" ht="13.2">
      <c r="R501" s="23"/>
      <c r="T501" s="22"/>
      <c r="U501" s="22"/>
      <c r="V501" s="22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2"/>
      <c r="AK501" s="22"/>
    </row>
    <row r="502" spans="18:37" ht="13.2">
      <c r="R502" s="23"/>
      <c r="T502" s="22"/>
      <c r="U502" s="22"/>
      <c r="V502" s="22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2"/>
      <c r="AK502" s="22"/>
    </row>
    <row r="503" spans="18:37" ht="13.2">
      <c r="R503" s="23"/>
      <c r="T503" s="22"/>
      <c r="U503" s="22"/>
      <c r="V503" s="22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2"/>
      <c r="AK503" s="22"/>
    </row>
    <row r="504" spans="18:37" ht="13.2">
      <c r="R504" s="23"/>
      <c r="T504" s="22"/>
      <c r="U504" s="22"/>
      <c r="V504" s="22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2"/>
      <c r="AK504" s="22"/>
    </row>
    <row r="505" spans="18:37" ht="13.2">
      <c r="R505" s="23"/>
      <c r="T505" s="22"/>
      <c r="U505" s="22"/>
      <c r="V505" s="22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2"/>
      <c r="AK505" s="22"/>
    </row>
    <row r="506" spans="18:37" ht="13.2">
      <c r="R506" s="23"/>
      <c r="T506" s="22"/>
      <c r="U506" s="22"/>
      <c r="V506" s="22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2"/>
      <c r="AK506" s="22"/>
    </row>
    <row r="507" spans="18:37" ht="13.2">
      <c r="R507" s="23"/>
      <c r="T507" s="22"/>
      <c r="U507" s="22"/>
      <c r="V507" s="22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2"/>
      <c r="AK507" s="22"/>
    </row>
    <row r="508" spans="18:37" ht="13.2">
      <c r="R508" s="23"/>
      <c r="T508" s="22"/>
      <c r="U508" s="22"/>
      <c r="V508" s="22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2"/>
      <c r="AK508" s="22"/>
    </row>
    <row r="509" spans="18:37" ht="13.2">
      <c r="R509" s="23"/>
      <c r="T509" s="22"/>
      <c r="U509" s="22"/>
      <c r="V509" s="22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2"/>
      <c r="AK509" s="22"/>
    </row>
    <row r="510" spans="18:37" ht="13.2">
      <c r="R510" s="23"/>
      <c r="T510" s="22"/>
      <c r="U510" s="22"/>
      <c r="V510" s="22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2"/>
      <c r="AK510" s="22"/>
    </row>
    <row r="511" spans="18:37" ht="13.2">
      <c r="R511" s="23"/>
      <c r="T511" s="22"/>
      <c r="U511" s="22"/>
      <c r="V511" s="22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2"/>
      <c r="AK511" s="22"/>
    </row>
    <row r="512" spans="18:37" ht="13.2">
      <c r="R512" s="23"/>
      <c r="T512" s="22"/>
      <c r="U512" s="22"/>
      <c r="V512" s="22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2"/>
      <c r="AK512" s="22"/>
    </row>
    <row r="513" spans="18:37" ht="13.2">
      <c r="R513" s="23"/>
      <c r="T513" s="22"/>
      <c r="U513" s="22"/>
      <c r="V513" s="22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2"/>
      <c r="AK513" s="22"/>
    </row>
    <row r="514" spans="18:37" ht="13.2">
      <c r="R514" s="23"/>
      <c r="T514" s="22"/>
      <c r="U514" s="22"/>
      <c r="V514" s="22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2"/>
      <c r="AK514" s="22"/>
    </row>
    <row r="515" spans="18:37" ht="13.2">
      <c r="R515" s="23"/>
      <c r="T515" s="22"/>
      <c r="U515" s="22"/>
      <c r="V515" s="22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2"/>
      <c r="AK515" s="22"/>
    </row>
    <row r="516" spans="18:37" ht="13.2">
      <c r="R516" s="23"/>
      <c r="T516" s="22"/>
      <c r="U516" s="22"/>
      <c r="V516" s="22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2"/>
      <c r="AK516" s="22"/>
    </row>
    <row r="517" spans="18:37" ht="13.2">
      <c r="R517" s="23"/>
      <c r="T517" s="22"/>
      <c r="U517" s="22"/>
      <c r="V517" s="22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2"/>
      <c r="AK517" s="22"/>
    </row>
    <row r="518" spans="18:37" ht="13.2">
      <c r="R518" s="23"/>
      <c r="T518" s="22"/>
      <c r="U518" s="22"/>
      <c r="V518" s="22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2"/>
      <c r="AK518" s="22"/>
    </row>
    <row r="519" spans="18:37" ht="13.2">
      <c r="R519" s="23"/>
      <c r="T519" s="22"/>
      <c r="U519" s="22"/>
      <c r="V519" s="22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2"/>
      <c r="AK519" s="22"/>
    </row>
    <row r="520" spans="18:37" ht="13.2">
      <c r="R520" s="23"/>
      <c r="T520" s="22"/>
      <c r="U520" s="22"/>
      <c r="V520" s="22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2"/>
      <c r="AK520" s="22"/>
    </row>
    <row r="521" spans="18:37" ht="13.2">
      <c r="R521" s="23"/>
      <c r="T521" s="22"/>
      <c r="U521" s="22"/>
      <c r="V521" s="22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2"/>
      <c r="AK521" s="22"/>
    </row>
    <row r="522" spans="18:37" ht="13.2">
      <c r="R522" s="23"/>
      <c r="T522" s="22"/>
      <c r="U522" s="22"/>
      <c r="V522" s="22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2"/>
      <c r="AK522" s="22"/>
    </row>
    <row r="523" spans="18:37" ht="13.2">
      <c r="R523" s="23"/>
      <c r="T523" s="22"/>
      <c r="U523" s="22"/>
      <c r="V523" s="22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2"/>
      <c r="AK523" s="22"/>
    </row>
    <row r="524" spans="18:37" ht="13.2">
      <c r="R524" s="23"/>
      <c r="T524" s="22"/>
      <c r="U524" s="22"/>
      <c r="V524" s="22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2"/>
      <c r="AK524" s="22"/>
    </row>
    <row r="525" spans="18:37" ht="13.2">
      <c r="R525" s="23"/>
      <c r="T525" s="22"/>
      <c r="U525" s="22"/>
      <c r="V525" s="22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2"/>
      <c r="AK525" s="22"/>
    </row>
    <row r="526" spans="18:37" ht="13.2">
      <c r="R526" s="23"/>
      <c r="T526" s="22"/>
      <c r="U526" s="22"/>
      <c r="V526" s="22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2"/>
      <c r="AK526" s="22"/>
    </row>
    <row r="527" spans="18:37" ht="13.2">
      <c r="R527" s="23"/>
      <c r="T527" s="22"/>
      <c r="U527" s="22"/>
      <c r="V527" s="22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2"/>
      <c r="AK527" s="22"/>
    </row>
    <row r="528" spans="18:37" ht="13.2">
      <c r="R528" s="23"/>
      <c r="T528" s="22"/>
      <c r="U528" s="22"/>
      <c r="V528" s="22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2"/>
      <c r="AK528" s="22"/>
    </row>
    <row r="529" spans="18:37" ht="13.2">
      <c r="R529" s="23"/>
      <c r="T529" s="22"/>
      <c r="U529" s="22"/>
      <c r="V529" s="22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2"/>
      <c r="AK529" s="22"/>
    </row>
    <row r="530" spans="18:37" ht="13.2">
      <c r="R530" s="23"/>
      <c r="T530" s="22"/>
      <c r="U530" s="22"/>
      <c r="V530" s="22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2"/>
      <c r="AK530" s="22"/>
    </row>
    <row r="531" spans="18:37" ht="13.2">
      <c r="R531" s="23"/>
      <c r="T531" s="22"/>
      <c r="U531" s="22"/>
      <c r="V531" s="22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2"/>
      <c r="AK531" s="22"/>
    </row>
    <row r="532" spans="18:37" ht="13.2">
      <c r="R532" s="23"/>
      <c r="T532" s="22"/>
      <c r="U532" s="22"/>
      <c r="V532" s="22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2"/>
      <c r="AK532" s="22"/>
    </row>
    <row r="533" spans="18:37" ht="13.2">
      <c r="R533" s="23"/>
      <c r="T533" s="22"/>
      <c r="U533" s="22"/>
      <c r="V533" s="22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2"/>
      <c r="AK533" s="22"/>
    </row>
    <row r="534" spans="18:37" ht="13.2">
      <c r="R534" s="23"/>
      <c r="T534" s="22"/>
      <c r="U534" s="22"/>
      <c r="V534" s="22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2"/>
      <c r="AK534" s="22"/>
    </row>
    <row r="535" spans="18:37" ht="13.2">
      <c r="R535" s="23"/>
      <c r="T535" s="22"/>
      <c r="U535" s="22"/>
      <c r="V535" s="22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2"/>
      <c r="AK535" s="22"/>
    </row>
    <row r="536" spans="18:37" ht="13.2">
      <c r="R536" s="23"/>
      <c r="T536" s="22"/>
      <c r="U536" s="22"/>
      <c r="V536" s="22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2"/>
      <c r="AK536" s="22"/>
    </row>
    <row r="537" spans="18:37" ht="13.2">
      <c r="R537" s="23"/>
      <c r="T537" s="22"/>
      <c r="U537" s="22"/>
      <c r="V537" s="22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2"/>
      <c r="AK537" s="22"/>
    </row>
    <row r="538" spans="18:37" ht="13.2">
      <c r="R538" s="23"/>
      <c r="T538" s="22"/>
      <c r="U538" s="22"/>
      <c r="V538" s="22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2"/>
      <c r="AK538" s="22"/>
    </row>
    <row r="539" spans="18:37" ht="13.2">
      <c r="R539" s="23"/>
      <c r="T539" s="22"/>
      <c r="U539" s="22"/>
      <c r="V539" s="22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2"/>
      <c r="AK539" s="22"/>
    </row>
    <row r="540" spans="18:37" ht="13.2">
      <c r="R540" s="23"/>
      <c r="T540" s="22"/>
      <c r="U540" s="22"/>
      <c r="V540" s="22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2"/>
      <c r="AK540" s="22"/>
    </row>
    <row r="541" spans="18:37" ht="13.2">
      <c r="R541" s="23"/>
      <c r="T541" s="22"/>
      <c r="U541" s="22"/>
      <c r="V541" s="22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2"/>
      <c r="AK541" s="22"/>
    </row>
    <row r="542" spans="18:37" ht="13.2">
      <c r="R542" s="23"/>
      <c r="T542" s="22"/>
      <c r="U542" s="22"/>
      <c r="V542" s="22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2"/>
      <c r="AK542" s="22"/>
    </row>
    <row r="543" spans="18:37" ht="13.2">
      <c r="R543" s="23"/>
      <c r="T543" s="22"/>
      <c r="U543" s="22"/>
      <c r="V543" s="22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2"/>
      <c r="AK543" s="22"/>
    </row>
    <row r="544" spans="18:37" ht="13.2">
      <c r="R544" s="23"/>
      <c r="T544" s="22"/>
      <c r="U544" s="22"/>
      <c r="V544" s="22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2"/>
      <c r="AK544" s="22"/>
    </row>
    <row r="545" spans="18:37" ht="13.2">
      <c r="R545" s="23"/>
      <c r="T545" s="22"/>
      <c r="U545" s="22"/>
      <c r="V545" s="22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2"/>
      <c r="AK545" s="22"/>
    </row>
    <row r="546" spans="18:37" ht="13.2">
      <c r="R546" s="23"/>
      <c r="T546" s="22"/>
      <c r="U546" s="22"/>
      <c r="V546" s="22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2"/>
      <c r="AK546" s="22"/>
    </row>
    <row r="547" spans="18:37" ht="13.2">
      <c r="R547" s="23"/>
      <c r="T547" s="22"/>
      <c r="U547" s="22"/>
      <c r="V547" s="22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2"/>
      <c r="AK547" s="22"/>
    </row>
    <row r="548" spans="18:37" ht="13.2">
      <c r="R548" s="23"/>
      <c r="T548" s="22"/>
      <c r="U548" s="22"/>
      <c r="V548" s="22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2"/>
      <c r="AK548" s="22"/>
    </row>
    <row r="549" spans="18:37" ht="13.2">
      <c r="R549" s="23"/>
      <c r="T549" s="22"/>
      <c r="U549" s="22"/>
      <c r="V549" s="22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2"/>
      <c r="AK549" s="22"/>
    </row>
    <row r="550" spans="18:37" ht="13.2">
      <c r="R550" s="23"/>
      <c r="T550" s="22"/>
      <c r="U550" s="22"/>
      <c r="V550" s="22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2"/>
      <c r="AK550" s="22"/>
    </row>
    <row r="551" spans="18:37" ht="13.2">
      <c r="R551" s="23"/>
      <c r="T551" s="22"/>
      <c r="U551" s="22"/>
      <c r="V551" s="22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2"/>
      <c r="AK551" s="22"/>
    </row>
    <row r="552" spans="18:37" ht="13.2">
      <c r="R552" s="23"/>
      <c r="T552" s="22"/>
      <c r="U552" s="22"/>
      <c r="V552" s="22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2"/>
      <c r="AK552" s="22"/>
    </row>
    <row r="553" spans="18:37" ht="13.2">
      <c r="R553" s="23"/>
      <c r="T553" s="22"/>
      <c r="U553" s="22"/>
      <c r="V553" s="22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2"/>
      <c r="AK553" s="22"/>
    </row>
    <row r="554" spans="18:37" ht="13.2">
      <c r="R554" s="23"/>
      <c r="T554" s="22"/>
      <c r="U554" s="22"/>
      <c r="V554" s="22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2"/>
      <c r="AK554" s="22"/>
    </row>
    <row r="555" spans="18:37" ht="13.2">
      <c r="R555" s="23"/>
      <c r="T555" s="22"/>
      <c r="U555" s="22"/>
      <c r="V555" s="22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2"/>
      <c r="AK555" s="22"/>
    </row>
    <row r="556" spans="18:37" ht="13.2">
      <c r="R556" s="23"/>
      <c r="T556" s="22"/>
      <c r="U556" s="22"/>
      <c r="V556" s="22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2"/>
      <c r="AK556" s="22"/>
    </row>
    <row r="557" spans="18:37" ht="13.2">
      <c r="R557" s="23"/>
      <c r="T557" s="22"/>
      <c r="U557" s="22"/>
      <c r="V557" s="22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2"/>
      <c r="AK557" s="22"/>
    </row>
    <row r="558" spans="18:37" ht="13.2">
      <c r="R558" s="23"/>
      <c r="T558" s="22"/>
      <c r="U558" s="22"/>
      <c r="V558" s="22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2"/>
      <c r="AK558" s="22"/>
    </row>
    <row r="559" spans="18:37" ht="13.2">
      <c r="R559" s="23"/>
      <c r="T559" s="22"/>
      <c r="U559" s="22"/>
      <c r="V559" s="22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2"/>
      <c r="AK559" s="22"/>
    </row>
    <row r="560" spans="18:37" ht="13.2">
      <c r="R560" s="23"/>
      <c r="T560" s="22"/>
      <c r="U560" s="22"/>
      <c r="V560" s="22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2"/>
      <c r="AK560" s="22"/>
    </row>
    <row r="561" spans="18:37" ht="13.2">
      <c r="R561" s="23"/>
      <c r="T561" s="22"/>
      <c r="U561" s="22"/>
      <c r="V561" s="22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2"/>
      <c r="AK561" s="22"/>
    </row>
    <row r="562" spans="18:37" ht="13.2">
      <c r="R562" s="23"/>
      <c r="T562" s="22"/>
      <c r="U562" s="22"/>
      <c r="V562" s="22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2"/>
      <c r="AK562" s="22"/>
    </row>
    <row r="563" spans="18:37" ht="13.2">
      <c r="R563" s="23"/>
      <c r="T563" s="22"/>
      <c r="U563" s="22"/>
      <c r="V563" s="22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2"/>
      <c r="AK563" s="22"/>
    </row>
    <row r="564" spans="18:37" ht="13.2">
      <c r="R564" s="23"/>
      <c r="T564" s="22"/>
      <c r="U564" s="22"/>
      <c r="V564" s="22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2"/>
      <c r="AK564" s="22"/>
    </row>
    <row r="565" spans="18:37" ht="13.2">
      <c r="R565" s="23"/>
      <c r="T565" s="22"/>
      <c r="U565" s="22"/>
      <c r="V565" s="22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2"/>
      <c r="AK565" s="22"/>
    </row>
    <row r="566" spans="18:37" ht="13.2">
      <c r="R566" s="23"/>
      <c r="T566" s="22"/>
      <c r="U566" s="22"/>
      <c r="V566" s="22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2"/>
      <c r="AK566" s="22"/>
    </row>
    <row r="567" spans="18:37" ht="13.2">
      <c r="R567" s="23"/>
      <c r="T567" s="22"/>
      <c r="U567" s="22"/>
      <c r="V567" s="22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2"/>
      <c r="AK567" s="22"/>
    </row>
    <row r="568" spans="18:37" ht="13.2">
      <c r="R568" s="23"/>
      <c r="T568" s="22"/>
      <c r="U568" s="22"/>
      <c r="V568" s="22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2"/>
      <c r="AK568" s="22"/>
    </row>
    <row r="569" spans="18:37" ht="13.2">
      <c r="R569" s="23"/>
      <c r="T569" s="22"/>
      <c r="U569" s="22"/>
      <c r="V569" s="22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2"/>
      <c r="AK569" s="22"/>
    </row>
    <row r="570" spans="18:37" ht="13.2">
      <c r="R570" s="23"/>
      <c r="T570" s="22"/>
      <c r="U570" s="22"/>
      <c r="V570" s="22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2"/>
      <c r="AK570" s="22"/>
    </row>
    <row r="571" spans="18:37" ht="13.2">
      <c r="R571" s="23"/>
      <c r="T571" s="22"/>
      <c r="U571" s="22"/>
      <c r="V571" s="22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2"/>
      <c r="AK571" s="22"/>
    </row>
    <row r="572" spans="18:37" ht="13.2">
      <c r="R572" s="23"/>
      <c r="T572" s="22"/>
      <c r="U572" s="22"/>
      <c r="V572" s="22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2"/>
      <c r="AK572" s="22"/>
    </row>
    <row r="573" spans="18:37" ht="13.2">
      <c r="R573" s="23"/>
      <c r="T573" s="22"/>
      <c r="U573" s="22"/>
      <c r="V573" s="22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2"/>
      <c r="AK573" s="22"/>
    </row>
    <row r="574" spans="18:37" ht="13.2">
      <c r="R574" s="23"/>
      <c r="T574" s="22"/>
      <c r="U574" s="22"/>
      <c r="V574" s="22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2"/>
      <c r="AK574" s="22"/>
    </row>
    <row r="575" spans="18:37" ht="13.2">
      <c r="R575" s="23"/>
      <c r="T575" s="22"/>
      <c r="U575" s="22"/>
      <c r="V575" s="22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2"/>
      <c r="AK575" s="22"/>
    </row>
    <row r="576" spans="18:37" ht="13.2">
      <c r="R576" s="23"/>
      <c r="T576" s="22"/>
      <c r="U576" s="22"/>
      <c r="V576" s="22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2"/>
      <c r="AK576" s="22"/>
    </row>
    <row r="577" spans="18:37" ht="13.2">
      <c r="R577" s="23"/>
      <c r="T577" s="22"/>
      <c r="U577" s="22"/>
      <c r="V577" s="22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2"/>
      <c r="AK577" s="22"/>
    </row>
    <row r="578" spans="18:37" ht="13.2">
      <c r="R578" s="23"/>
      <c r="T578" s="22"/>
      <c r="U578" s="22"/>
      <c r="V578" s="22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2"/>
      <c r="AK578" s="22"/>
    </row>
    <row r="579" spans="18:37" ht="13.2">
      <c r="R579" s="23"/>
      <c r="T579" s="22"/>
      <c r="U579" s="22"/>
      <c r="V579" s="22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2"/>
      <c r="AK579" s="22"/>
    </row>
    <row r="580" spans="18:37" ht="13.2">
      <c r="R580" s="23"/>
      <c r="T580" s="22"/>
      <c r="U580" s="22"/>
      <c r="V580" s="22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2"/>
      <c r="AK580" s="22"/>
    </row>
    <row r="581" spans="18:37" ht="13.2">
      <c r="R581" s="23"/>
      <c r="T581" s="22"/>
      <c r="U581" s="22"/>
      <c r="V581" s="22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2"/>
      <c r="AK581" s="22"/>
    </row>
    <row r="582" spans="18:37" ht="13.2">
      <c r="R582" s="23"/>
      <c r="T582" s="22"/>
      <c r="U582" s="22"/>
      <c r="V582" s="22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2"/>
      <c r="AK582" s="22"/>
    </row>
    <row r="583" spans="18:37" ht="13.2">
      <c r="R583" s="23"/>
      <c r="T583" s="22"/>
      <c r="U583" s="22"/>
      <c r="V583" s="22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2"/>
      <c r="AK583" s="22"/>
    </row>
    <row r="584" spans="18:37" ht="13.2">
      <c r="R584" s="23"/>
      <c r="T584" s="22"/>
      <c r="U584" s="22"/>
      <c r="V584" s="22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2"/>
      <c r="AK584" s="22"/>
    </row>
    <row r="585" spans="18:37" ht="13.2">
      <c r="R585" s="23"/>
      <c r="T585" s="22"/>
      <c r="U585" s="22"/>
      <c r="V585" s="22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2"/>
      <c r="AK585" s="22"/>
    </row>
    <row r="586" spans="18:37" ht="13.2">
      <c r="R586" s="23"/>
      <c r="T586" s="22"/>
      <c r="U586" s="22"/>
      <c r="V586" s="22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2"/>
      <c r="AK586" s="22"/>
    </row>
    <row r="587" spans="18:37" ht="13.2">
      <c r="R587" s="23"/>
      <c r="T587" s="22"/>
      <c r="U587" s="22"/>
      <c r="V587" s="22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2"/>
      <c r="AK587" s="22"/>
    </row>
    <row r="588" spans="18:37" ht="13.2">
      <c r="R588" s="23"/>
      <c r="T588" s="22"/>
      <c r="U588" s="22"/>
      <c r="V588" s="22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2"/>
      <c r="AK588" s="22"/>
    </row>
    <row r="589" spans="18:37" ht="13.2">
      <c r="R589" s="23"/>
      <c r="T589" s="22"/>
      <c r="U589" s="22"/>
      <c r="V589" s="22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2"/>
      <c r="AK589" s="22"/>
    </row>
    <row r="590" spans="18:37" ht="13.2">
      <c r="R590" s="23"/>
      <c r="T590" s="22"/>
      <c r="U590" s="22"/>
      <c r="V590" s="22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2"/>
      <c r="AK590" s="22"/>
    </row>
    <row r="591" spans="18:37" ht="13.2">
      <c r="R591" s="23"/>
      <c r="T591" s="22"/>
      <c r="U591" s="22"/>
      <c r="V591" s="22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2"/>
      <c r="AK591" s="22"/>
    </row>
    <row r="592" spans="18:37" ht="13.2">
      <c r="R592" s="23"/>
      <c r="T592" s="22"/>
      <c r="U592" s="22"/>
      <c r="V592" s="22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2"/>
      <c r="AK592" s="22"/>
    </row>
    <row r="593" spans="18:37" ht="13.2">
      <c r="R593" s="23"/>
      <c r="T593" s="22"/>
      <c r="U593" s="22"/>
      <c r="V593" s="22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2"/>
      <c r="AK593" s="22"/>
    </row>
    <row r="594" spans="18:37" ht="13.2">
      <c r="R594" s="23"/>
      <c r="T594" s="22"/>
      <c r="U594" s="22"/>
      <c r="V594" s="22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2"/>
      <c r="AK594" s="22"/>
    </row>
    <row r="595" spans="18:37" ht="13.2">
      <c r="R595" s="23"/>
      <c r="T595" s="22"/>
      <c r="U595" s="22"/>
      <c r="V595" s="22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2"/>
      <c r="AK595" s="22"/>
    </row>
    <row r="596" spans="18:37" ht="13.2">
      <c r="R596" s="23"/>
      <c r="T596" s="22"/>
      <c r="U596" s="22"/>
      <c r="V596" s="22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2"/>
      <c r="AK596" s="22"/>
    </row>
    <row r="597" spans="18:37" ht="13.2">
      <c r="R597" s="23"/>
      <c r="T597" s="22"/>
      <c r="U597" s="22"/>
      <c r="V597" s="22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2"/>
      <c r="AK597" s="22"/>
    </row>
    <row r="598" spans="18:37" ht="13.2">
      <c r="R598" s="23"/>
      <c r="T598" s="22"/>
      <c r="U598" s="22"/>
      <c r="V598" s="22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2"/>
      <c r="AK598" s="22"/>
    </row>
    <row r="599" spans="18:37" ht="13.2">
      <c r="R599" s="23"/>
      <c r="T599" s="22"/>
      <c r="U599" s="22"/>
      <c r="V599" s="22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2"/>
      <c r="AK599" s="22"/>
    </row>
    <row r="600" spans="18:37" ht="13.2">
      <c r="R600" s="23"/>
      <c r="T600" s="22"/>
      <c r="U600" s="22"/>
      <c r="V600" s="22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2"/>
      <c r="AK600" s="22"/>
    </row>
    <row r="601" spans="18:37" ht="13.2">
      <c r="R601" s="23"/>
      <c r="T601" s="22"/>
      <c r="U601" s="22"/>
      <c r="V601" s="22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2"/>
      <c r="AK601" s="22"/>
    </row>
    <row r="602" spans="18:37" ht="13.2">
      <c r="R602" s="23"/>
      <c r="T602" s="22"/>
      <c r="U602" s="22"/>
      <c r="V602" s="22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2"/>
      <c r="AK602" s="22"/>
    </row>
    <row r="603" spans="18:37" ht="13.2">
      <c r="R603" s="23"/>
      <c r="T603" s="22"/>
      <c r="U603" s="22"/>
      <c r="V603" s="22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2"/>
      <c r="AK603" s="22"/>
    </row>
    <row r="604" spans="18:37" ht="13.2">
      <c r="R604" s="23"/>
      <c r="T604" s="22"/>
      <c r="U604" s="22"/>
      <c r="V604" s="22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2"/>
      <c r="AK604" s="22"/>
    </row>
    <row r="605" spans="18:37" ht="13.2">
      <c r="R605" s="23"/>
      <c r="T605" s="22"/>
      <c r="U605" s="22"/>
      <c r="V605" s="22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2"/>
      <c r="AK605" s="22"/>
    </row>
    <row r="606" spans="18:37" ht="13.2">
      <c r="R606" s="23"/>
      <c r="T606" s="22"/>
      <c r="U606" s="22"/>
      <c r="V606" s="22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2"/>
      <c r="AK606" s="22"/>
    </row>
    <row r="607" spans="18:37" ht="13.2">
      <c r="R607" s="23"/>
      <c r="T607" s="22"/>
      <c r="U607" s="22"/>
      <c r="V607" s="22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2"/>
      <c r="AK607" s="22"/>
    </row>
    <row r="608" spans="18:37" ht="13.2">
      <c r="R608" s="23"/>
      <c r="T608" s="22"/>
      <c r="U608" s="22"/>
      <c r="V608" s="22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2"/>
      <c r="AK608" s="22"/>
    </row>
    <row r="609" spans="18:37" ht="13.2">
      <c r="R609" s="23"/>
      <c r="T609" s="22"/>
      <c r="U609" s="22"/>
      <c r="V609" s="22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2"/>
      <c r="AK609" s="22"/>
    </row>
    <row r="610" spans="18:37" ht="13.2">
      <c r="R610" s="23"/>
      <c r="T610" s="22"/>
      <c r="U610" s="22"/>
      <c r="V610" s="22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2"/>
      <c r="AK610" s="22"/>
    </row>
    <row r="611" spans="18:37" ht="13.2">
      <c r="R611" s="23"/>
      <c r="T611" s="22"/>
      <c r="U611" s="22"/>
      <c r="V611" s="22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2"/>
      <c r="AK611" s="22"/>
    </row>
    <row r="612" spans="18:37" ht="13.2">
      <c r="R612" s="23"/>
      <c r="T612" s="22"/>
      <c r="U612" s="22"/>
      <c r="V612" s="22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2"/>
      <c r="AK612" s="22"/>
    </row>
    <row r="613" spans="18:37" ht="13.2">
      <c r="R613" s="23"/>
      <c r="T613" s="22"/>
      <c r="U613" s="22"/>
      <c r="V613" s="22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2"/>
      <c r="AK613" s="22"/>
    </row>
    <row r="614" spans="18:37" ht="13.2">
      <c r="R614" s="23"/>
      <c r="T614" s="22"/>
      <c r="U614" s="22"/>
      <c r="V614" s="22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2"/>
      <c r="AK614" s="22"/>
    </row>
    <row r="615" spans="18:37" ht="13.2">
      <c r="R615" s="23"/>
      <c r="T615" s="22"/>
      <c r="U615" s="22"/>
      <c r="V615" s="22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2"/>
      <c r="AK615" s="22"/>
    </row>
    <row r="616" spans="18:37" ht="13.2">
      <c r="R616" s="23"/>
      <c r="T616" s="22"/>
      <c r="U616" s="22"/>
      <c r="V616" s="22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2"/>
      <c r="AK616" s="22"/>
    </row>
    <row r="617" spans="18:37" ht="13.2">
      <c r="R617" s="23"/>
      <c r="T617" s="22"/>
      <c r="U617" s="22"/>
      <c r="V617" s="22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2"/>
      <c r="AK617" s="22"/>
    </row>
    <row r="618" spans="18:37" ht="13.2">
      <c r="R618" s="23"/>
      <c r="T618" s="22"/>
      <c r="U618" s="22"/>
      <c r="V618" s="22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2"/>
      <c r="AK618" s="22"/>
    </row>
    <row r="619" spans="18:37" ht="13.2">
      <c r="R619" s="23"/>
      <c r="T619" s="22"/>
      <c r="U619" s="22"/>
      <c r="V619" s="22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2"/>
      <c r="AK619" s="22"/>
    </row>
    <row r="620" spans="18:37" ht="13.2">
      <c r="R620" s="23"/>
      <c r="T620" s="22"/>
      <c r="U620" s="22"/>
      <c r="V620" s="22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2"/>
      <c r="AK620" s="22"/>
    </row>
    <row r="621" spans="18:37" ht="13.2">
      <c r="R621" s="23"/>
      <c r="T621" s="22"/>
      <c r="U621" s="22"/>
      <c r="V621" s="22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2"/>
      <c r="AK621" s="22"/>
    </row>
    <row r="622" spans="18:37" ht="13.2">
      <c r="R622" s="23"/>
      <c r="T622" s="22"/>
      <c r="U622" s="22"/>
      <c r="V622" s="22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2"/>
      <c r="AK622" s="22"/>
    </row>
    <row r="623" spans="18:37" ht="13.2">
      <c r="R623" s="23"/>
      <c r="T623" s="22"/>
      <c r="U623" s="22"/>
      <c r="V623" s="22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2"/>
      <c r="AK623" s="22"/>
    </row>
    <row r="624" spans="18:37" ht="13.2">
      <c r="R624" s="23"/>
      <c r="T624" s="22"/>
      <c r="U624" s="22"/>
      <c r="V624" s="22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2"/>
      <c r="AK624" s="22"/>
    </row>
    <row r="625" spans="18:37" ht="13.2">
      <c r="R625" s="23"/>
      <c r="T625" s="22"/>
      <c r="U625" s="22"/>
      <c r="V625" s="22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2"/>
      <c r="AK625" s="22"/>
    </row>
    <row r="626" spans="18:37" ht="13.2">
      <c r="R626" s="23"/>
      <c r="T626" s="22"/>
      <c r="U626" s="22"/>
      <c r="V626" s="22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2"/>
      <c r="AK626" s="22"/>
    </row>
    <row r="627" spans="18:37" ht="13.2">
      <c r="R627" s="23"/>
      <c r="T627" s="22"/>
      <c r="U627" s="22"/>
      <c r="V627" s="22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2"/>
      <c r="AK627" s="22"/>
    </row>
    <row r="628" spans="18:37" ht="13.2">
      <c r="R628" s="23"/>
      <c r="T628" s="22"/>
      <c r="U628" s="22"/>
      <c r="V628" s="22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2"/>
      <c r="AK628" s="22"/>
    </row>
    <row r="629" spans="18:37" ht="13.2">
      <c r="R629" s="23"/>
      <c r="T629" s="22"/>
      <c r="U629" s="22"/>
      <c r="V629" s="22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2"/>
      <c r="AK629" s="22"/>
    </row>
    <row r="630" spans="18:37" ht="13.2">
      <c r="R630" s="23"/>
      <c r="T630" s="22"/>
      <c r="U630" s="22"/>
      <c r="V630" s="22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2"/>
      <c r="AK630" s="22"/>
    </row>
    <row r="631" spans="18:37" ht="13.2">
      <c r="R631" s="23"/>
      <c r="T631" s="22"/>
      <c r="U631" s="22"/>
      <c r="V631" s="22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2"/>
      <c r="AK631" s="22"/>
    </row>
    <row r="632" spans="18:37" ht="13.2">
      <c r="R632" s="23"/>
      <c r="T632" s="22"/>
      <c r="U632" s="22"/>
      <c r="V632" s="22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2"/>
      <c r="AK632" s="22"/>
    </row>
    <row r="633" spans="18:37" ht="13.2">
      <c r="R633" s="23"/>
      <c r="T633" s="22"/>
      <c r="U633" s="22"/>
      <c r="V633" s="22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2"/>
      <c r="AK633" s="22"/>
    </row>
    <row r="634" spans="18:37" ht="13.2">
      <c r="R634" s="23"/>
      <c r="T634" s="22"/>
      <c r="U634" s="22"/>
      <c r="V634" s="22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2"/>
      <c r="AK634" s="22"/>
    </row>
    <row r="635" spans="18:37" ht="13.2">
      <c r="R635" s="23"/>
      <c r="T635" s="22"/>
      <c r="U635" s="22"/>
      <c r="V635" s="22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2"/>
      <c r="AK635" s="22"/>
    </row>
    <row r="636" spans="18:37" ht="13.2">
      <c r="R636" s="23"/>
      <c r="T636" s="22"/>
      <c r="U636" s="22"/>
      <c r="V636" s="22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2"/>
      <c r="AK636" s="22"/>
    </row>
    <row r="637" spans="18:37" ht="13.2">
      <c r="R637" s="23"/>
      <c r="T637" s="22"/>
      <c r="U637" s="22"/>
      <c r="V637" s="22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2"/>
      <c r="AK637" s="22"/>
    </row>
    <row r="638" spans="18:37" ht="13.2">
      <c r="R638" s="23"/>
      <c r="T638" s="22"/>
      <c r="U638" s="22"/>
      <c r="V638" s="22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2"/>
      <c r="AK638" s="22"/>
    </row>
    <row r="639" spans="18:37" ht="13.2">
      <c r="R639" s="23"/>
      <c r="T639" s="22"/>
      <c r="U639" s="22"/>
      <c r="V639" s="22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2"/>
      <c r="AK639" s="22"/>
    </row>
    <row r="640" spans="18:37" ht="13.2">
      <c r="R640" s="23"/>
      <c r="T640" s="22"/>
      <c r="U640" s="22"/>
      <c r="V640" s="22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2"/>
      <c r="AK640" s="22"/>
    </row>
    <row r="641" spans="18:37" ht="13.2">
      <c r="R641" s="23"/>
      <c r="T641" s="22"/>
      <c r="U641" s="22"/>
      <c r="V641" s="22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2"/>
      <c r="AK641" s="22"/>
    </row>
    <row r="642" spans="18:37" ht="13.2">
      <c r="R642" s="23"/>
      <c r="T642" s="22"/>
      <c r="U642" s="22"/>
      <c r="V642" s="22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2"/>
      <c r="AK642" s="22"/>
    </row>
    <row r="643" spans="18:37" ht="13.2">
      <c r="R643" s="23"/>
      <c r="T643" s="22"/>
      <c r="U643" s="22"/>
      <c r="V643" s="22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2"/>
      <c r="AK643" s="22"/>
    </row>
    <row r="644" spans="18:37" ht="13.2">
      <c r="R644" s="23"/>
      <c r="T644" s="22"/>
      <c r="U644" s="22"/>
      <c r="V644" s="22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2"/>
      <c r="AK644" s="22"/>
    </row>
    <row r="645" spans="18:37" ht="13.2">
      <c r="R645" s="23"/>
      <c r="T645" s="22"/>
      <c r="U645" s="22"/>
      <c r="V645" s="22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2"/>
      <c r="AK645" s="22"/>
    </row>
    <row r="646" spans="18:37" ht="13.2">
      <c r="R646" s="23"/>
      <c r="T646" s="22"/>
      <c r="U646" s="22"/>
      <c r="V646" s="22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2"/>
      <c r="AK646" s="22"/>
    </row>
    <row r="647" spans="18:37" ht="13.2">
      <c r="R647" s="23"/>
      <c r="T647" s="22"/>
      <c r="U647" s="22"/>
      <c r="V647" s="22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2"/>
      <c r="AK647" s="22"/>
    </row>
    <row r="648" spans="18:37" ht="13.2">
      <c r="R648" s="23"/>
      <c r="T648" s="22"/>
      <c r="U648" s="22"/>
      <c r="V648" s="22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2"/>
      <c r="AK648" s="22"/>
    </row>
    <row r="649" spans="18:37" ht="13.2">
      <c r="R649" s="23"/>
      <c r="T649" s="22"/>
      <c r="U649" s="22"/>
      <c r="V649" s="22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2"/>
      <c r="AK649" s="22"/>
    </row>
    <row r="650" spans="18:37" ht="13.2">
      <c r="R650" s="23"/>
      <c r="T650" s="22"/>
      <c r="U650" s="22"/>
      <c r="V650" s="22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2"/>
      <c r="AK650" s="22"/>
    </row>
    <row r="651" spans="18:37" ht="13.2">
      <c r="R651" s="23"/>
      <c r="T651" s="22"/>
      <c r="U651" s="22"/>
      <c r="V651" s="22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2"/>
      <c r="AK651" s="22"/>
    </row>
    <row r="652" spans="18:37" ht="13.2">
      <c r="R652" s="23"/>
      <c r="T652" s="22"/>
      <c r="U652" s="22"/>
      <c r="V652" s="22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2"/>
      <c r="AK652" s="22"/>
    </row>
    <row r="653" spans="18:37" ht="13.2">
      <c r="R653" s="23"/>
      <c r="T653" s="22"/>
      <c r="U653" s="22"/>
      <c r="V653" s="22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2"/>
      <c r="AK653" s="22"/>
    </row>
    <row r="654" spans="18:37" ht="13.2">
      <c r="R654" s="23"/>
      <c r="T654" s="22"/>
      <c r="U654" s="22"/>
      <c r="V654" s="22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2"/>
      <c r="AK654" s="22"/>
    </row>
    <row r="655" spans="18:37" ht="13.2">
      <c r="R655" s="23"/>
      <c r="T655" s="22"/>
      <c r="U655" s="22"/>
      <c r="V655" s="22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2"/>
      <c r="AK655" s="22"/>
    </row>
    <row r="656" spans="18:37" ht="13.2">
      <c r="R656" s="23"/>
      <c r="T656" s="22"/>
      <c r="U656" s="22"/>
      <c r="V656" s="22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2"/>
      <c r="AK656" s="22"/>
    </row>
    <row r="657" spans="18:37" ht="13.2">
      <c r="R657" s="23"/>
      <c r="T657" s="22"/>
      <c r="U657" s="22"/>
      <c r="V657" s="22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2"/>
      <c r="AK657" s="22"/>
    </row>
    <row r="658" spans="18:37" ht="13.2">
      <c r="R658" s="23"/>
      <c r="T658" s="22"/>
      <c r="U658" s="22"/>
      <c r="V658" s="22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2"/>
      <c r="AK658" s="22"/>
    </row>
    <row r="659" spans="18:37" ht="13.2">
      <c r="R659" s="23"/>
      <c r="T659" s="22"/>
      <c r="U659" s="22"/>
      <c r="V659" s="22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2"/>
      <c r="AK659" s="22"/>
    </row>
    <row r="660" spans="18:37" ht="13.2">
      <c r="R660" s="23"/>
      <c r="T660" s="22"/>
      <c r="U660" s="22"/>
      <c r="V660" s="22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2"/>
      <c r="AK660" s="22"/>
    </row>
    <row r="661" spans="18:37" ht="13.2">
      <c r="R661" s="23"/>
      <c r="T661" s="22"/>
      <c r="U661" s="22"/>
      <c r="V661" s="22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2"/>
      <c r="AK661" s="22"/>
    </row>
    <row r="662" spans="18:37" ht="13.2">
      <c r="R662" s="23"/>
      <c r="T662" s="22"/>
      <c r="U662" s="22"/>
      <c r="V662" s="22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2"/>
      <c r="AK662" s="22"/>
    </row>
    <row r="663" spans="18:37" ht="13.2">
      <c r="R663" s="23"/>
      <c r="T663" s="22"/>
      <c r="U663" s="22"/>
      <c r="V663" s="22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2"/>
      <c r="AK663" s="22"/>
    </row>
    <row r="664" spans="18:37" ht="13.2">
      <c r="R664" s="23"/>
      <c r="T664" s="22"/>
      <c r="U664" s="22"/>
      <c r="V664" s="22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2"/>
      <c r="AK664" s="22"/>
    </row>
    <row r="665" spans="18:37" ht="13.2">
      <c r="R665" s="23"/>
      <c r="T665" s="22"/>
      <c r="U665" s="22"/>
      <c r="V665" s="22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2"/>
      <c r="AK665" s="22"/>
    </row>
    <row r="666" spans="18:37" ht="13.2">
      <c r="R666" s="23"/>
      <c r="T666" s="22"/>
      <c r="U666" s="22"/>
      <c r="V666" s="22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2"/>
      <c r="AK666" s="22"/>
    </row>
    <row r="667" spans="18:37" ht="13.2">
      <c r="R667" s="23"/>
      <c r="T667" s="22"/>
      <c r="U667" s="22"/>
      <c r="V667" s="22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2"/>
      <c r="AK667" s="22"/>
    </row>
    <row r="668" spans="18:37" ht="13.2">
      <c r="R668" s="23"/>
      <c r="T668" s="22"/>
      <c r="U668" s="22"/>
      <c r="V668" s="22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2"/>
      <c r="AK668" s="22"/>
    </row>
    <row r="669" spans="18:37" ht="13.2">
      <c r="R669" s="23"/>
      <c r="T669" s="22"/>
      <c r="U669" s="22"/>
      <c r="V669" s="22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2"/>
      <c r="AK669" s="22"/>
    </row>
    <row r="670" spans="18:37" ht="13.2">
      <c r="R670" s="23"/>
      <c r="T670" s="22"/>
      <c r="U670" s="22"/>
      <c r="V670" s="22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2"/>
      <c r="AK670" s="22"/>
    </row>
    <row r="671" spans="18:37" ht="13.2">
      <c r="R671" s="23"/>
      <c r="T671" s="22"/>
      <c r="U671" s="22"/>
      <c r="V671" s="22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2"/>
      <c r="AK671" s="22"/>
    </row>
    <row r="672" spans="18:37" ht="13.2">
      <c r="R672" s="23"/>
      <c r="T672" s="22"/>
      <c r="U672" s="22"/>
      <c r="V672" s="22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2"/>
      <c r="AK672" s="22"/>
    </row>
    <row r="673" spans="18:37" ht="13.2">
      <c r="R673" s="23"/>
      <c r="T673" s="22"/>
      <c r="U673" s="22"/>
      <c r="V673" s="22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2"/>
      <c r="AK673" s="22"/>
    </row>
    <row r="674" spans="18:37" ht="13.2">
      <c r="R674" s="23"/>
      <c r="T674" s="22"/>
      <c r="U674" s="22"/>
      <c r="V674" s="22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2"/>
      <c r="AK674" s="22"/>
    </row>
    <row r="675" spans="18:37" ht="13.2">
      <c r="R675" s="23"/>
      <c r="T675" s="22"/>
      <c r="U675" s="22"/>
      <c r="V675" s="22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2"/>
      <c r="AK675" s="22"/>
    </row>
    <row r="676" spans="18:37" ht="13.2">
      <c r="R676" s="23"/>
      <c r="T676" s="22"/>
      <c r="U676" s="22"/>
      <c r="V676" s="22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2"/>
      <c r="AK676" s="22"/>
    </row>
    <row r="677" spans="18:37" ht="13.2">
      <c r="R677" s="23"/>
      <c r="T677" s="22"/>
      <c r="U677" s="22"/>
      <c r="V677" s="22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2"/>
      <c r="AK677" s="22"/>
    </row>
    <row r="678" spans="18:37" ht="13.2">
      <c r="R678" s="23"/>
      <c r="T678" s="22"/>
      <c r="U678" s="22"/>
      <c r="V678" s="22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2"/>
      <c r="AK678" s="22"/>
    </row>
    <row r="679" spans="18:37" ht="13.2">
      <c r="R679" s="23"/>
      <c r="T679" s="22"/>
      <c r="U679" s="22"/>
      <c r="V679" s="22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2"/>
      <c r="AK679" s="22"/>
    </row>
    <row r="680" spans="18:37" ht="13.2">
      <c r="R680" s="23"/>
      <c r="T680" s="22"/>
      <c r="U680" s="22"/>
      <c r="V680" s="22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2"/>
      <c r="AK680" s="22"/>
    </row>
    <row r="681" spans="18:37" ht="13.2">
      <c r="R681" s="23"/>
      <c r="T681" s="22"/>
      <c r="U681" s="22"/>
      <c r="V681" s="22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2"/>
      <c r="AK681" s="22"/>
    </row>
    <row r="682" spans="18:37" ht="13.2">
      <c r="R682" s="23"/>
      <c r="T682" s="22"/>
      <c r="U682" s="22"/>
      <c r="V682" s="22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2"/>
      <c r="AK682" s="22"/>
    </row>
    <row r="683" spans="18:37" ht="13.2">
      <c r="R683" s="23"/>
      <c r="T683" s="22"/>
      <c r="U683" s="22"/>
      <c r="V683" s="22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2"/>
      <c r="AK683" s="22"/>
    </row>
    <row r="684" spans="18:37" ht="13.2">
      <c r="R684" s="23"/>
      <c r="T684" s="22"/>
      <c r="U684" s="22"/>
      <c r="V684" s="22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2"/>
      <c r="AK684" s="22"/>
    </row>
    <row r="685" spans="18:37" ht="13.2">
      <c r="R685" s="23"/>
      <c r="T685" s="22"/>
      <c r="U685" s="22"/>
      <c r="V685" s="22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2"/>
      <c r="AK685" s="22"/>
    </row>
    <row r="686" spans="18:37" ht="13.2">
      <c r="R686" s="23"/>
      <c r="T686" s="22"/>
      <c r="U686" s="22"/>
      <c r="V686" s="22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2"/>
      <c r="AK686" s="22"/>
    </row>
    <row r="687" spans="18:37" ht="13.2">
      <c r="R687" s="23"/>
      <c r="T687" s="22"/>
      <c r="U687" s="22"/>
      <c r="V687" s="22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2"/>
      <c r="AK687" s="22"/>
    </row>
    <row r="688" spans="18:37" ht="13.2">
      <c r="R688" s="23"/>
      <c r="T688" s="22"/>
      <c r="U688" s="22"/>
      <c r="V688" s="22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2"/>
      <c r="AK688" s="22"/>
    </row>
    <row r="689" spans="18:37" ht="13.2">
      <c r="R689" s="23"/>
      <c r="T689" s="22"/>
      <c r="U689" s="22"/>
      <c r="V689" s="22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2"/>
      <c r="AK689" s="22"/>
    </row>
    <row r="690" spans="18:37" ht="13.2">
      <c r="R690" s="23"/>
      <c r="T690" s="22"/>
      <c r="U690" s="22"/>
      <c r="V690" s="22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2"/>
      <c r="AK690" s="22"/>
    </row>
    <row r="691" spans="18:37" ht="13.2">
      <c r="R691" s="23"/>
      <c r="T691" s="22"/>
      <c r="U691" s="22"/>
      <c r="V691" s="22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2"/>
      <c r="AK691" s="22"/>
    </row>
    <row r="692" spans="18:37" ht="13.2">
      <c r="R692" s="23"/>
      <c r="T692" s="22"/>
      <c r="U692" s="22"/>
      <c r="V692" s="22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2"/>
      <c r="AK692" s="22"/>
    </row>
    <row r="693" spans="18:37" ht="13.2">
      <c r="R693" s="23"/>
      <c r="T693" s="22"/>
      <c r="U693" s="22"/>
      <c r="V693" s="22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2"/>
      <c r="AK693" s="22"/>
    </row>
    <row r="694" spans="18:37" ht="13.2">
      <c r="R694" s="23"/>
      <c r="T694" s="22"/>
      <c r="U694" s="22"/>
      <c r="V694" s="22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2"/>
      <c r="AK694" s="22"/>
    </row>
    <row r="695" spans="18:37" ht="13.2">
      <c r="R695" s="23"/>
      <c r="T695" s="22"/>
      <c r="U695" s="22"/>
      <c r="V695" s="22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2"/>
      <c r="AK695" s="22"/>
    </row>
    <row r="696" spans="18:37" ht="13.2">
      <c r="R696" s="23"/>
      <c r="T696" s="22"/>
      <c r="U696" s="22"/>
      <c r="V696" s="22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2"/>
      <c r="AK696" s="22"/>
    </row>
    <row r="697" spans="18:37" ht="13.2">
      <c r="R697" s="23"/>
      <c r="T697" s="22"/>
      <c r="U697" s="22"/>
      <c r="V697" s="22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2"/>
      <c r="AK697" s="22"/>
    </row>
    <row r="698" spans="18:37" ht="13.2">
      <c r="R698" s="23"/>
      <c r="T698" s="22"/>
      <c r="U698" s="22"/>
      <c r="V698" s="22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2"/>
      <c r="AK698" s="22"/>
    </row>
    <row r="699" spans="18:37" ht="13.2">
      <c r="R699" s="23"/>
      <c r="T699" s="22"/>
      <c r="U699" s="22"/>
      <c r="V699" s="22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2"/>
      <c r="AK699" s="22"/>
    </row>
    <row r="700" spans="18:37" ht="13.2">
      <c r="R700" s="23"/>
      <c r="T700" s="22"/>
      <c r="U700" s="22"/>
      <c r="V700" s="22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2"/>
      <c r="AK700" s="22"/>
    </row>
    <row r="701" spans="18:37" ht="13.2">
      <c r="R701" s="23"/>
      <c r="T701" s="22"/>
      <c r="U701" s="22"/>
      <c r="V701" s="22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2"/>
      <c r="AK701" s="22"/>
    </row>
    <row r="702" spans="18:37" ht="13.2">
      <c r="R702" s="23"/>
      <c r="T702" s="22"/>
      <c r="U702" s="22"/>
      <c r="V702" s="22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2"/>
      <c r="AK702" s="22"/>
    </row>
    <row r="703" spans="18:37" ht="13.2">
      <c r="R703" s="23"/>
      <c r="T703" s="22"/>
      <c r="U703" s="22"/>
      <c r="V703" s="22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2"/>
      <c r="AK703" s="22"/>
    </row>
    <row r="704" spans="18:37" ht="13.2">
      <c r="R704" s="23"/>
      <c r="T704" s="22"/>
      <c r="U704" s="22"/>
      <c r="V704" s="22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2"/>
      <c r="AK704" s="22"/>
    </row>
    <row r="705" spans="18:37" ht="13.2">
      <c r="R705" s="23"/>
      <c r="T705" s="22"/>
      <c r="U705" s="22"/>
      <c r="V705" s="22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2"/>
      <c r="AK705" s="22"/>
    </row>
    <row r="706" spans="18:37" ht="13.2">
      <c r="R706" s="23"/>
      <c r="T706" s="22"/>
      <c r="U706" s="22"/>
      <c r="V706" s="22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2"/>
      <c r="AK706" s="22"/>
    </row>
    <row r="707" spans="18:37" ht="13.2">
      <c r="R707" s="23"/>
      <c r="T707" s="22"/>
      <c r="U707" s="22"/>
      <c r="V707" s="22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2"/>
      <c r="AK707" s="22"/>
    </row>
    <row r="708" spans="18:37" ht="13.2">
      <c r="R708" s="23"/>
      <c r="T708" s="22"/>
      <c r="U708" s="22"/>
      <c r="V708" s="22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2"/>
      <c r="AK708" s="22"/>
    </row>
    <row r="709" spans="18:37" ht="13.2">
      <c r="R709" s="23"/>
      <c r="T709" s="22"/>
      <c r="U709" s="22"/>
      <c r="V709" s="22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2"/>
      <c r="AK709" s="22"/>
    </row>
    <row r="710" spans="18:37" ht="13.2">
      <c r="R710" s="23"/>
      <c r="T710" s="22"/>
      <c r="U710" s="22"/>
      <c r="V710" s="22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2"/>
      <c r="AK710" s="22"/>
    </row>
    <row r="711" spans="18:37" ht="13.2">
      <c r="R711" s="23"/>
      <c r="T711" s="22"/>
      <c r="U711" s="22"/>
      <c r="V711" s="22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2"/>
      <c r="AK711" s="22"/>
    </row>
    <row r="712" spans="18:37" ht="13.2">
      <c r="R712" s="23"/>
      <c r="T712" s="22"/>
      <c r="U712" s="22"/>
      <c r="V712" s="22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2"/>
      <c r="AK712" s="22"/>
    </row>
    <row r="713" spans="18:37" ht="13.2">
      <c r="R713" s="23"/>
      <c r="T713" s="22"/>
      <c r="U713" s="22"/>
      <c r="V713" s="22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2"/>
      <c r="AK713" s="22"/>
    </row>
    <row r="714" spans="18:37" ht="13.2">
      <c r="R714" s="23"/>
      <c r="T714" s="22"/>
      <c r="U714" s="22"/>
      <c r="V714" s="22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2"/>
      <c r="AK714" s="22"/>
    </row>
    <row r="715" spans="18:37" ht="13.2">
      <c r="R715" s="23"/>
      <c r="T715" s="22"/>
      <c r="U715" s="22"/>
      <c r="V715" s="22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2"/>
      <c r="AK715" s="22"/>
    </row>
    <row r="716" spans="18:37" ht="13.2">
      <c r="R716" s="23"/>
      <c r="T716" s="22"/>
      <c r="U716" s="22"/>
      <c r="V716" s="22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2"/>
      <c r="AK716" s="22"/>
    </row>
    <row r="717" spans="18:37" ht="13.2">
      <c r="R717" s="23"/>
      <c r="T717" s="22"/>
      <c r="U717" s="22"/>
      <c r="V717" s="22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2"/>
      <c r="AK717" s="22"/>
    </row>
    <row r="718" spans="18:37" ht="13.2">
      <c r="R718" s="23"/>
      <c r="T718" s="22"/>
      <c r="U718" s="22"/>
      <c r="V718" s="22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2"/>
      <c r="AK718" s="22"/>
    </row>
    <row r="719" spans="18:37" ht="13.2">
      <c r="R719" s="23"/>
      <c r="T719" s="22"/>
      <c r="U719" s="22"/>
      <c r="V719" s="22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2"/>
      <c r="AK719" s="22"/>
    </row>
    <row r="720" spans="18:37" ht="13.2">
      <c r="R720" s="23"/>
      <c r="T720" s="22"/>
      <c r="U720" s="22"/>
      <c r="V720" s="22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2"/>
      <c r="AK720" s="22"/>
    </row>
    <row r="721" spans="18:37" ht="13.2">
      <c r="R721" s="23"/>
      <c r="T721" s="22"/>
      <c r="U721" s="22"/>
      <c r="V721" s="22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2"/>
      <c r="AK721" s="22"/>
    </row>
    <row r="722" spans="18:37" ht="13.2">
      <c r="R722" s="23"/>
      <c r="T722" s="22"/>
      <c r="U722" s="22"/>
      <c r="V722" s="22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2"/>
      <c r="AK722" s="22"/>
    </row>
    <row r="723" spans="18:37" ht="13.2">
      <c r="R723" s="23"/>
      <c r="T723" s="22"/>
      <c r="U723" s="22"/>
      <c r="V723" s="22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2"/>
      <c r="AK723" s="22"/>
    </row>
    <row r="724" spans="18:37" ht="13.2">
      <c r="R724" s="23"/>
      <c r="T724" s="22"/>
      <c r="U724" s="22"/>
      <c r="V724" s="22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2"/>
      <c r="AK724" s="22"/>
    </row>
    <row r="725" spans="18:37" ht="13.2">
      <c r="R725" s="23"/>
      <c r="T725" s="22"/>
      <c r="U725" s="22"/>
      <c r="V725" s="22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2"/>
      <c r="AK725" s="22"/>
    </row>
    <row r="726" spans="18:37" ht="13.2">
      <c r="R726" s="23"/>
      <c r="T726" s="22"/>
      <c r="U726" s="22"/>
      <c r="V726" s="22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2"/>
      <c r="AK726" s="22"/>
    </row>
    <row r="727" spans="18:37" ht="13.2">
      <c r="R727" s="23"/>
      <c r="T727" s="22"/>
      <c r="U727" s="22"/>
      <c r="V727" s="22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2"/>
      <c r="AK727" s="22"/>
    </row>
    <row r="728" spans="18:37" ht="13.2">
      <c r="R728" s="23"/>
      <c r="T728" s="22"/>
      <c r="U728" s="22"/>
      <c r="V728" s="22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2"/>
      <c r="AK728" s="22"/>
    </row>
    <row r="729" spans="18:37" ht="13.2">
      <c r="R729" s="23"/>
      <c r="T729" s="22"/>
      <c r="U729" s="22"/>
      <c r="V729" s="22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2"/>
      <c r="AK729" s="22"/>
    </row>
    <row r="730" spans="18:37" ht="13.2">
      <c r="R730" s="23"/>
      <c r="T730" s="22"/>
      <c r="U730" s="22"/>
      <c r="V730" s="22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2"/>
      <c r="AK730" s="22"/>
    </row>
    <row r="731" spans="18:37" ht="13.2">
      <c r="R731" s="23"/>
      <c r="T731" s="22"/>
      <c r="U731" s="22"/>
      <c r="V731" s="22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2"/>
      <c r="AK731" s="22"/>
    </row>
    <row r="732" spans="18:37" ht="13.2">
      <c r="R732" s="23"/>
      <c r="T732" s="22"/>
      <c r="U732" s="22"/>
      <c r="V732" s="22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2"/>
      <c r="AK732" s="22"/>
    </row>
    <row r="733" spans="18:37" ht="13.2">
      <c r="R733" s="23"/>
      <c r="T733" s="22"/>
      <c r="U733" s="22"/>
      <c r="V733" s="22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2"/>
      <c r="AK733" s="22"/>
    </row>
    <row r="734" spans="18:37" ht="13.2">
      <c r="R734" s="23"/>
      <c r="T734" s="22"/>
      <c r="U734" s="22"/>
      <c r="V734" s="22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2"/>
      <c r="AK734" s="22"/>
    </row>
    <row r="735" spans="18:37" ht="13.2">
      <c r="R735" s="23"/>
      <c r="T735" s="22"/>
      <c r="U735" s="22"/>
      <c r="V735" s="22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2"/>
      <c r="AK735" s="22"/>
    </row>
    <row r="736" spans="18:37" ht="13.2">
      <c r="R736" s="23"/>
      <c r="T736" s="22"/>
      <c r="U736" s="22"/>
      <c r="V736" s="22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2"/>
      <c r="AK736" s="22"/>
    </row>
    <row r="737" spans="18:37" ht="13.2">
      <c r="R737" s="23"/>
      <c r="T737" s="22"/>
      <c r="U737" s="22"/>
      <c r="V737" s="22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2"/>
      <c r="AK737" s="22"/>
    </row>
    <row r="738" spans="18:37" ht="13.2">
      <c r="R738" s="23"/>
      <c r="T738" s="22"/>
      <c r="U738" s="22"/>
      <c r="V738" s="22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2"/>
      <c r="AK738" s="22"/>
    </row>
    <row r="739" spans="18:37" ht="13.2">
      <c r="R739" s="23"/>
      <c r="T739" s="22"/>
      <c r="U739" s="22"/>
      <c r="V739" s="22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2"/>
      <c r="AK739" s="22"/>
    </row>
    <row r="740" spans="18:37" ht="13.2">
      <c r="R740" s="23"/>
      <c r="T740" s="22"/>
      <c r="U740" s="22"/>
      <c r="V740" s="22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2"/>
      <c r="AK740" s="22"/>
    </row>
    <row r="741" spans="18:37" ht="13.2">
      <c r="R741" s="23"/>
      <c r="T741" s="22"/>
      <c r="U741" s="22"/>
      <c r="V741" s="22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2"/>
      <c r="AK741" s="22"/>
    </row>
    <row r="742" spans="18:37" ht="13.2">
      <c r="R742" s="23"/>
      <c r="T742" s="22"/>
      <c r="U742" s="22"/>
      <c r="V742" s="22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2"/>
      <c r="AK742" s="22"/>
    </row>
    <row r="743" spans="18:37" ht="13.2">
      <c r="R743" s="23"/>
      <c r="T743" s="22"/>
      <c r="U743" s="22"/>
      <c r="V743" s="22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2"/>
      <c r="AK743" s="22"/>
    </row>
    <row r="744" spans="18:37" ht="13.2">
      <c r="R744" s="23"/>
      <c r="T744" s="22"/>
      <c r="U744" s="22"/>
      <c r="V744" s="22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2"/>
      <c r="AK744" s="22"/>
    </row>
    <row r="745" spans="18:37" ht="13.2">
      <c r="R745" s="23"/>
      <c r="T745" s="22"/>
      <c r="U745" s="22"/>
      <c r="V745" s="22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2"/>
      <c r="AK745" s="22"/>
    </row>
    <row r="746" spans="18:37" ht="13.2">
      <c r="R746" s="23"/>
      <c r="T746" s="22"/>
      <c r="U746" s="22"/>
      <c r="V746" s="22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2"/>
      <c r="AK746" s="22"/>
    </row>
    <row r="747" spans="18:37" ht="13.2">
      <c r="R747" s="23"/>
      <c r="T747" s="22"/>
      <c r="U747" s="22"/>
      <c r="V747" s="22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2"/>
      <c r="AK747" s="22"/>
    </row>
    <row r="748" spans="18:37" ht="13.2">
      <c r="R748" s="23"/>
      <c r="T748" s="22"/>
      <c r="U748" s="22"/>
      <c r="V748" s="22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2"/>
      <c r="AK748" s="22"/>
    </row>
    <row r="749" spans="18:37" ht="13.2">
      <c r="R749" s="23"/>
      <c r="T749" s="22"/>
      <c r="U749" s="22"/>
      <c r="V749" s="22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2"/>
      <c r="AK749" s="22"/>
    </row>
    <row r="750" spans="18:37" ht="13.2">
      <c r="R750" s="23"/>
      <c r="T750" s="22"/>
      <c r="U750" s="22"/>
      <c r="V750" s="22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2"/>
      <c r="AK750" s="22"/>
    </row>
    <row r="751" spans="18:37" ht="13.2">
      <c r="R751" s="23"/>
      <c r="T751" s="22"/>
      <c r="U751" s="22"/>
      <c r="V751" s="22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2"/>
      <c r="AK751" s="22"/>
    </row>
    <row r="752" spans="18:37" ht="13.2">
      <c r="R752" s="23"/>
      <c r="T752" s="22"/>
      <c r="U752" s="22"/>
      <c r="V752" s="22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2"/>
      <c r="AK752" s="22"/>
    </row>
    <row r="753" spans="18:37" ht="13.2">
      <c r="R753" s="23"/>
      <c r="T753" s="22"/>
      <c r="U753" s="22"/>
      <c r="V753" s="22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2"/>
      <c r="AK753" s="22"/>
    </row>
    <row r="754" spans="18:37" ht="13.2">
      <c r="R754" s="23"/>
      <c r="T754" s="22"/>
      <c r="U754" s="22"/>
      <c r="V754" s="22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2"/>
      <c r="AK754" s="22"/>
    </row>
    <row r="755" spans="18:37" ht="13.2">
      <c r="R755" s="23"/>
      <c r="T755" s="22"/>
      <c r="U755" s="22"/>
      <c r="V755" s="22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2"/>
      <c r="AK755" s="22"/>
    </row>
    <row r="756" spans="18:37" ht="13.2">
      <c r="R756" s="23"/>
      <c r="T756" s="22"/>
      <c r="U756" s="22"/>
      <c r="V756" s="22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2"/>
      <c r="AK756" s="22"/>
    </row>
    <row r="757" spans="18:37" ht="15.75" customHeight="1">
      <c r="R757" s="23"/>
      <c r="T757" s="22"/>
      <c r="U757" s="22"/>
      <c r="V757" s="22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2"/>
      <c r="AK757" s="22"/>
    </row>
    <row r="758" spans="18:37" ht="15.75" customHeight="1">
      <c r="R758" s="23"/>
      <c r="T758" s="22"/>
      <c r="U758" s="22"/>
      <c r="V758" s="22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2"/>
      <c r="AK758" s="22"/>
    </row>
    <row r="759" spans="18:37" ht="15.75" customHeight="1">
      <c r="R759" s="23"/>
      <c r="T759" s="22"/>
      <c r="U759" s="22"/>
      <c r="V759" s="22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2"/>
      <c r="AK759" s="22"/>
    </row>
    <row r="760" spans="18:37" ht="15.75" customHeight="1">
      <c r="R760" s="23"/>
      <c r="T760" s="22"/>
      <c r="U760" s="22"/>
      <c r="V760" s="22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2"/>
      <c r="AK760" s="22"/>
    </row>
    <row r="761" spans="18:37" ht="15.75" customHeight="1">
      <c r="R761" s="23"/>
      <c r="T761" s="22"/>
      <c r="U761" s="22"/>
      <c r="V761" s="22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2"/>
      <c r="AK761" s="22"/>
    </row>
    <row r="762" spans="18:37" ht="15.75" customHeight="1">
      <c r="R762" s="23"/>
      <c r="T762" s="22"/>
      <c r="U762" s="22"/>
      <c r="V762" s="22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2"/>
      <c r="AK762" s="22"/>
    </row>
    <row r="763" spans="18:37" ht="15.75" customHeight="1">
      <c r="R763" s="23"/>
      <c r="T763" s="22"/>
      <c r="U763" s="22"/>
      <c r="V763" s="22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2"/>
      <c r="AK763" s="22"/>
    </row>
    <row r="764" spans="18:37" ht="15.75" customHeight="1">
      <c r="R764" s="23"/>
      <c r="T764" s="22"/>
      <c r="U764" s="22"/>
      <c r="V764" s="22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2"/>
      <c r="AK764" s="22"/>
    </row>
    <row r="765" spans="18:37" ht="15.75" customHeight="1">
      <c r="R765" s="23"/>
      <c r="T765" s="22"/>
      <c r="U765" s="22"/>
      <c r="V765" s="22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2"/>
      <c r="AK765" s="22"/>
    </row>
    <row r="766" spans="18:37" ht="15.75" customHeight="1">
      <c r="R766" s="23"/>
      <c r="T766" s="22"/>
      <c r="U766" s="22"/>
      <c r="V766" s="22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2"/>
      <c r="AK766" s="22"/>
    </row>
    <row r="767" spans="18:37" ht="15.75" customHeight="1">
      <c r="R767" s="23"/>
      <c r="T767" s="22"/>
      <c r="U767" s="22"/>
      <c r="V767" s="22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2"/>
      <c r="AK767" s="22"/>
    </row>
    <row r="768" spans="18:37" ht="15.75" customHeight="1">
      <c r="R768" s="23"/>
      <c r="T768" s="22"/>
      <c r="U768" s="22"/>
      <c r="V768" s="22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2"/>
      <c r="AK768" s="22"/>
    </row>
    <row r="769" spans="18:37" ht="15.75" customHeight="1">
      <c r="R769" s="23"/>
      <c r="T769" s="22"/>
      <c r="U769" s="22"/>
      <c r="V769" s="22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2"/>
      <c r="AK769" s="22"/>
    </row>
    <row r="770" spans="18:37" ht="15.75" customHeight="1">
      <c r="R770" s="23"/>
      <c r="T770" s="22"/>
      <c r="U770" s="22"/>
      <c r="V770" s="22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2"/>
      <c r="AK770" s="22"/>
    </row>
    <row r="771" spans="18:37" ht="15.75" customHeight="1">
      <c r="R771" s="23"/>
      <c r="T771" s="22"/>
      <c r="U771" s="22"/>
      <c r="V771" s="22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2"/>
      <c r="AK771" s="22"/>
    </row>
    <row r="772" spans="18:37" ht="15.75" customHeight="1">
      <c r="R772" s="23"/>
      <c r="T772" s="22"/>
      <c r="U772" s="22"/>
      <c r="V772" s="22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2"/>
      <c r="AK772" s="22"/>
    </row>
    <row r="773" spans="18:37" ht="15.75" customHeight="1">
      <c r="R773" s="23"/>
      <c r="T773" s="22"/>
      <c r="U773" s="22"/>
      <c r="V773" s="22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2"/>
      <c r="AK773" s="22"/>
    </row>
    <row r="774" spans="18:37" ht="15.75" customHeight="1">
      <c r="R774" s="23"/>
      <c r="T774" s="22"/>
      <c r="U774" s="22"/>
      <c r="V774" s="22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2"/>
      <c r="AK774" s="22"/>
    </row>
    <row r="775" spans="18:37" ht="15.75" customHeight="1">
      <c r="R775" s="23"/>
      <c r="T775" s="22"/>
      <c r="U775" s="22"/>
      <c r="V775" s="22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2"/>
      <c r="AK775" s="22"/>
    </row>
    <row r="776" spans="18:37" ht="15.75" customHeight="1">
      <c r="R776" s="23"/>
      <c r="T776" s="22"/>
      <c r="U776" s="22"/>
      <c r="V776" s="22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2"/>
      <c r="AK776" s="22"/>
    </row>
    <row r="777" spans="18:37" ht="15.75" customHeight="1">
      <c r="R777" s="23"/>
      <c r="T777" s="22"/>
      <c r="U777" s="22"/>
      <c r="V777" s="22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2"/>
      <c r="AK777" s="22"/>
    </row>
    <row r="778" spans="18:37" ht="15.75" customHeight="1">
      <c r="R778" s="23"/>
      <c r="T778" s="22"/>
      <c r="U778" s="22"/>
      <c r="V778" s="22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2"/>
      <c r="AK778" s="22"/>
    </row>
    <row r="779" spans="18:37" ht="15.75" customHeight="1">
      <c r="R779" s="23"/>
      <c r="T779" s="22"/>
      <c r="U779" s="22"/>
      <c r="V779" s="22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2"/>
      <c r="AK779" s="22"/>
    </row>
    <row r="780" spans="18:37" ht="15.75" customHeight="1">
      <c r="R780" s="23"/>
      <c r="T780" s="22"/>
      <c r="U780" s="22"/>
      <c r="V780" s="22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2"/>
      <c r="AK780" s="22"/>
    </row>
    <row r="781" spans="18:37" ht="15.75" customHeight="1">
      <c r="R781" s="23"/>
      <c r="T781" s="22"/>
      <c r="U781" s="22"/>
      <c r="V781" s="22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2"/>
      <c r="AK781" s="22"/>
    </row>
    <row r="782" spans="18:37" ht="15.75" customHeight="1">
      <c r="R782" s="23"/>
      <c r="T782" s="22"/>
      <c r="U782" s="22"/>
      <c r="V782" s="22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2"/>
      <c r="AK782" s="22"/>
    </row>
    <row r="783" spans="18:37" ht="15.75" customHeight="1">
      <c r="R783" s="23"/>
      <c r="T783" s="22"/>
      <c r="U783" s="22"/>
      <c r="V783" s="22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2"/>
      <c r="AK783" s="22"/>
    </row>
    <row r="784" spans="18:37" ht="15.75" customHeight="1">
      <c r="R784" s="23"/>
      <c r="T784" s="22"/>
      <c r="U784" s="22"/>
      <c r="V784" s="22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2"/>
      <c r="AK784" s="22"/>
    </row>
    <row r="785" spans="18:37" ht="15.75" customHeight="1">
      <c r="R785" s="23"/>
      <c r="T785" s="22"/>
      <c r="U785" s="22"/>
      <c r="V785" s="22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2"/>
      <c r="AK785" s="22"/>
    </row>
    <row r="786" spans="18:37" ht="15.75" customHeight="1">
      <c r="R786" s="23"/>
      <c r="T786" s="22"/>
      <c r="U786" s="22"/>
      <c r="V786" s="22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2"/>
      <c r="AK786" s="22"/>
    </row>
    <row r="787" spans="18:37" ht="15.75" customHeight="1">
      <c r="R787" s="23"/>
      <c r="T787" s="22"/>
      <c r="U787" s="22"/>
      <c r="V787" s="22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2"/>
      <c r="AK787" s="22"/>
    </row>
    <row r="788" spans="18:37" ht="15.75" customHeight="1">
      <c r="R788" s="23"/>
      <c r="T788" s="22"/>
      <c r="U788" s="22"/>
      <c r="V788" s="22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2"/>
      <c r="AK788" s="22"/>
    </row>
    <row r="789" spans="18:37" ht="15.75" customHeight="1">
      <c r="R789" s="23"/>
      <c r="T789" s="22"/>
      <c r="U789" s="22"/>
      <c r="V789" s="22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2"/>
      <c r="AK789" s="22"/>
    </row>
    <row r="790" spans="18:37" ht="15.75" customHeight="1">
      <c r="R790" s="23"/>
      <c r="T790" s="22"/>
      <c r="U790" s="22"/>
      <c r="V790" s="22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2"/>
      <c r="AK790" s="22"/>
    </row>
    <row r="791" spans="18:37" ht="15.75" customHeight="1">
      <c r="R791" s="23"/>
      <c r="T791" s="22"/>
      <c r="U791" s="22"/>
      <c r="V791" s="22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2"/>
      <c r="AK791" s="22"/>
    </row>
    <row r="792" spans="18:37" ht="15.75" customHeight="1">
      <c r="R792" s="23"/>
      <c r="T792" s="22"/>
      <c r="U792" s="22"/>
      <c r="V792" s="22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2"/>
      <c r="AK792" s="22"/>
    </row>
    <row r="793" spans="18:37" ht="15.75" customHeight="1">
      <c r="R793" s="23"/>
      <c r="T793" s="22"/>
      <c r="U793" s="22"/>
      <c r="V793" s="22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2"/>
      <c r="AK793" s="22"/>
    </row>
    <row r="794" spans="18:37" ht="15.75" customHeight="1">
      <c r="R794" s="23"/>
      <c r="T794" s="22"/>
      <c r="U794" s="22"/>
      <c r="V794" s="22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2"/>
      <c r="AK794" s="22"/>
    </row>
    <row r="795" spans="18:37" ht="15.75" customHeight="1">
      <c r="R795" s="23"/>
      <c r="T795" s="22"/>
      <c r="U795" s="22"/>
      <c r="V795" s="22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2"/>
      <c r="AK795" s="22"/>
    </row>
    <row r="796" spans="18:37" ht="15.75" customHeight="1">
      <c r="R796" s="23"/>
      <c r="T796" s="22"/>
      <c r="U796" s="22"/>
      <c r="V796" s="22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2"/>
      <c r="AK796" s="22"/>
    </row>
    <row r="797" spans="18:37" ht="15.75" customHeight="1">
      <c r="R797" s="23"/>
      <c r="T797" s="22"/>
      <c r="U797" s="22"/>
      <c r="V797" s="22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2"/>
      <c r="AK797" s="22"/>
    </row>
    <row r="798" spans="18:37" ht="15.75" customHeight="1">
      <c r="R798" s="23"/>
      <c r="T798" s="22"/>
      <c r="U798" s="22"/>
      <c r="V798" s="22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2"/>
      <c r="AK798" s="22"/>
    </row>
    <row r="799" spans="18:37" ht="15.75" customHeight="1">
      <c r="R799" s="23"/>
      <c r="T799" s="22"/>
      <c r="U799" s="22"/>
      <c r="V799" s="22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2"/>
      <c r="AK799" s="22"/>
    </row>
    <row r="800" spans="18:37" ht="15.75" customHeight="1">
      <c r="R800" s="23"/>
      <c r="T800" s="22"/>
      <c r="U800" s="22"/>
      <c r="V800" s="22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2"/>
      <c r="AK800" s="22"/>
    </row>
    <row r="801" spans="18:37" ht="15.75" customHeight="1">
      <c r="R801" s="23"/>
      <c r="T801" s="22"/>
      <c r="U801" s="22"/>
      <c r="V801" s="22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2"/>
      <c r="AK801" s="22"/>
    </row>
    <row r="802" spans="18:37" ht="15.75" customHeight="1">
      <c r="R802" s="23"/>
      <c r="T802" s="22"/>
      <c r="U802" s="22"/>
      <c r="V802" s="22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2"/>
      <c r="AK802" s="22"/>
    </row>
    <row r="803" spans="18:37" ht="15.75" customHeight="1">
      <c r="R803" s="23"/>
      <c r="T803" s="22"/>
      <c r="U803" s="22"/>
      <c r="V803" s="22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2"/>
      <c r="AK803" s="22"/>
    </row>
    <row r="804" spans="18:37" ht="15.75" customHeight="1">
      <c r="R804" s="23"/>
      <c r="T804" s="22"/>
      <c r="U804" s="22"/>
      <c r="V804" s="22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2"/>
      <c r="AK804" s="22"/>
    </row>
    <row r="805" spans="18:37" ht="15.75" customHeight="1">
      <c r="R805" s="23"/>
      <c r="T805" s="22"/>
      <c r="U805" s="22"/>
      <c r="V805" s="22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2"/>
      <c r="AK805" s="22"/>
    </row>
    <row r="806" spans="18:37" ht="15.75" customHeight="1">
      <c r="R806" s="23"/>
      <c r="T806" s="22"/>
      <c r="U806" s="22"/>
      <c r="V806" s="22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2"/>
      <c r="AK806" s="22"/>
    </row>
    <row r="807" spans="18:37" ht="15.75" customHeight="1">
      <c r="R807" s="23"/>
      <c r="T807" s="22"/>
      <c r="U807" s="22"/>
      <c r="V807" s="22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2"/>
      <c r="AK807" s="22"/>
    </row>
    <row r="808" spans="18:37" ht="15.75" customHeight="1">
      <c r="R808" s="23"/>
      <c r="T808" s="22"/>
      <c r="U808" s="22"/>
      <c r="V808" s="22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2"/>
      <c r="AK808" s="22"/>
    </row>
    <row r="809" spans="18:37" ht="15.75" customHeight="1">
      <c r="R809" s="23"/>
      <c r="T809" s="22"/>
      <c r="U809" s="22"/>
      <c r="V809" s="22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2"/>
      <c r="AK809" s="22"/>
    </row>
    <row r="810" spans="18:37" ht="15.75" customHeight="1">
      <c r="R810" s="23"/>
      <c r="T810" s="22"/>
      <c r="U810" s="22"/>
      <c r="V810" s="22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2"/>
      <c r="AK810" s="22"/>
    </row>
    <row r="811" spans="18:37" ht="15.75" customHeight="1">
      <c r="R811" s="23"/>
      <c r="T811" s="22"/>
      <c r="U811" s="22"/>
      <c r="V811" s="22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2"/>
      <c r="AK811" s="22"/>
    </row>
    <row r="812" spans="18:37" ht="15.75" customHeight="1">
      <c r="R812" s="23"/>
      <c r="T812" s="22"/>
      <c r="U812" s="22"/>
      <c r="V812" s="22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2"/>
      <c r="AK812" s="22"/>
    </row>
    <row r="813" spans="18:37" ht="15.75" customHeight="1">
      <c r="R813" s="23"/>
      <c r="T813" s="22"/>
      <c r="U813" s="22"/>
      <c r="V813" s="22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2"/>
      <c r="AK813" s="22"/>
    </row>
    <row r="814" spans="18:37" ht="15.75" customHeight="1">
      <c r="R814" s="23"/>
      <c r="T814" s="22"/>
      <c r="U814" s="22"/>
      <c r="V814" s="22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2"/>
      <c r="AK814" s="22"/>
    </row>
    <row r="815" spans="18:37" ht="15.75" customHeight="1">
      <c r="R815" s="23"/>
      <c r="T815" s="22"/>
      <c r="U815" s="22"/>
      <c r="V815" s="22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2"/>
      <c r="AK815" s="22"/>
    </row>
    <row r="816" spans="18:37" ht="15.75" customHeight="1">
      <c r="R816" s="23"/>
      <c r="T816" s="22"/>
      <c r="U816" s="22"/>
      <c r="V816" s="22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2"/>
      <c r="AK816" s="22"/>
    </row>
    <row r="817" spans="18:37" ht="15.75" customHeight="1">
      <c r="R817" s="23"/>
      <c r="T817" s="22"/>
      <c r="U817" s="22"/>
      <c r="V817" s="22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2"/>
      <c r="AK817" s="22"/>
    </row>
    <row r="818" spans="18:37" ht="15.75" customHeight="1">
      <c r="R818" s="23"/>
      <c r="T818" s="22"/>
      <c r="U818" s="22"/>
      <c r="V818" s="22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2"/>
      <c r="AK818" s="22"/>
    </row>
    <row r="819" spans="18:37" ht="15.75" customHeight="1">
      <c r="R819" s="23"/>
      <c r="T819" s="22"/>
      <c r="U819" s="22"/>
      <c r="V819" s="22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2"/>
      <c r="AK819" s="22"/>
    </row>
    <row r="820" spans="18:37" ht="15.75" customHeight="1">
      <c r="R820" s="23"/>
      <c r="T820" s="22"/>
      <c r="U820" s="22"/>
      <c r="V820" s="22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2"/>
      <c r="AK820" s="22"/>
    </row>
    <row r="821" spans="18:37" ht="15.75" customHeight="1">
      <c r="R821" s="23"/>
      <c r="T821" s="22"/>
      <c r="U821" s="22"/>
      <c r="V821" s="22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2"/>
      <c r="AK821" s="22"/>
    </row>
    <row r="822" spans="18:37" ht="15.75" customHeight="1">
      <c r="R822" s="23"/>
      <c r="T822" s="22"/>
      <c r="U822" s="22"/>
      <c r="V822" s="22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2"/>
      <c r="AK822" s="22"/>
    </row>
    <row r="823" spans="18:37" ht="15.75" customHeight="1">
      <c r="R823" s="23"/>
      <c r="T823" s="22"/>
      <c r="U823" s="22"/>
      <c r="V823" s="22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2"/>
      <c r="AK823" s="22"/>
    </row>
    <row r="824" spans="18:37" ht="15.75" customHeight="1">
      <c r="R824" s="23"/>
      <c r="T824" s="22"/>
      <c r="U824" s="22"/>
      <c r="V824" s="22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2"/>
      <c r="AK824" s="22"/>
    </row>
    <row r="825" spans="18:37" ht="15.75" customHeight="1">
      <c r="R825" s="23"/>
      <c r="T825" s="22"/>
      <c r="U825" s="22"/>
      <c r="V825" s="22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2"/>
      <c r="AK825" s="22"/>
    </row>
    <row r="826" spans="18:37" ht="15.75" customHeight="1">
      <c r="R826" s="23"/>
      <c r="T826" s="22"/>
      <c r="U826" s="22"/>
      <c r="V826" s="22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2"/>
      <c r="AK826" s="22"/>
    </row>
    <row r="827" spans="18:37" ht="15.75" customHeight="1">
      <c r="R827" s="23"/>
      <c r="T827" s="22"/>
      <c r="U827" s="22"/>
      <c r="V827" s="22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2"/>
      <c r="AK827" s="22"/>
    </row>
    <row r="828" spans="18:37" ht="15.75" customHeight="1">
      <c r="R828" s="23"/>
      <c r="T828" s="22"/>
      <c r="U828" s="22"/>
      <c r="V828" s="22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2"/>
      <c r="AK828" s="22"/>
    </row>
    <row r="829" spans="18:37" ht="15.75" customHeight="1">
      <c r="R829" s="23"/>
      <c r="T829" s="22"/>
      <c r="U829" s="22"/>
      <c r="V829" s="22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2"/>
      <c r="AK829" s="22"/>
    </row>
    <row r="830" spans="18:37" ht="15.75" customHeight="1">
      <c r="R830" s="23"/>
      <c r="T830" s="22"/>
      <c r="U830" s="22"/>
      <c r="V830" s="22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2"/>
      <c r="AK830" s="22"/>
    </row>
    <row r="831" spans="18:37" ht="15.75" customHeight="1">
      <c r="R831" s="23"/>
      <c r="T831" s="22"/>
      <c r="U831" s="22"/>
      <c r="V831" s="22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2"/>
      <c r="AK831" s="22"/>
    </row>
    <row r="832" spans="18:37" ht="15.75" customHeight="1">
      <c r="R832" s="23"/>
      <c r="T832" s="22"/>
      <c r="U832" s="22"/>
      <c r="V832" s="22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2"/>
      <c r="AK832" s="22"/>
    </row>
    <row r="833" spans="18:37" ht="15.75" customHeight="1">
      <c r="R833" s="23"/>
      <c r="T833" s="22"/>
      <c r="U833" s="22"/>
      <c r="V833" s="22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2"/>
      <c r="AK833" s="22"/>
    </row>
    <row r="834" spans="18:37" ht="15.75" customHeight="1">
      <c r="R834" s="23"/>
      <c r="T834" s="22"/>
      <c r="U834" s="22"/>
      <c r="V834" s="22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2"/>
      <c r="AK834" s="22"/>
    </row>
    <row r="835" spans="18:37" ht="15.75" customHeight="1">
      <c r="R835" s="23"/>
      <c r="T835" s="22"/>
      <c r="U835" s="22"/>
      <c r="V835" s="22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2"/>
      <c r="AK835" s="22"/>
    </row>
    <row r="836" spans="18:37" ht="15.75" customHeight="1">
      <c r="R836" s="23"/>
      <c r="T836" s="22"/>
      <c r="U836" s="22"/>
      <c r="V836" s="22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2"/>
      <c r="AK836" s="22"/>
    </row>
    <row r="837" spans="18:37" ht="15.75" customHeight="1">
      <c r="R837" s="23"/>
      <c r="T837" s="22"/>
      <c r="U837" s="22"/>
      <c r="V837" s="22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2"/>
      <c r="AK837" s="22"/>
    </row>
    <row r="838" spans="18:37" ht="15.75" customHeight="1">
      <c r="R838" s="23"/>
      <c r="T838" s="22"/>
      <c r="U838" s="22"/>
      <c r="V838" s="22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2"/>
      <c r="AK838" s="22"/>
    </row>
    <row r="839" spans="18:37" ht="15.75" customHeight="1">
      <c r="R839" s="23"/>
      <c r="T839" s="22"/>
      <c r="U839" s="22"/>
      <c r="V839" s="22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2"/>
      <c r="AK839" s="22"/>
    </row>
    <row r="840" spans="18:37" ht="15.75" customHeight="1">
      <c r="R840" s="23"/>
      <c r="T840" s="22"/>
      <c r="U840" s="22"/>
      <c r="V840" s="22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2"/>
      <c r="AK840" s="22"/>
    </row>
    <row r="841" spans="18:37" ht="15.75" customHeight="1">
      <c r="R841" s="23"/>
      <c r="T841" s="22"/>
      <c r="U841" s="22"/>
      <c r="V841" s="22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2"/>
      <c r="AK841" s="22"/>
    </row>
    <row r="842" spans="18:37" ht="15.75" customHeight="1">
      <c r="R842" s="23"/>
      <c r="T842" s="22"/>
      <c r="U842" s="22"/>
      <c r="V842" s="22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2"/>
      <c r="AK842" s="22"/>
    </row>
    <row r="843" spans="18:37" ht="15.75" customHeight="1">
      <c r="R843" s="23"/>
      <c r="T843" s="22"/>
      <c r="U843" s="22"/>
      <c r="V843" s="22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2"/>
      <c r="AK843" s="22"/>
    </row>
    <row r="844" spans="18:37" ht="15.75" customHeight="1">
      <c r="R844" s="23"/>
      <c r="T844" s="22"/>
      <c r="U844" s="22"/>
      <c r="V844" s="22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2"/>
      <c r="AK844" s="22"/>
    </row>
    <row r="845" spans="18:37" ht="15.75" customHeight="1">
      <c r="R845" s="23"/>
      <c r="T845" s="22"/>
      <c r="U845" s="22"/>
      <c r="V845" s="22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2"/>
      <c r="AK845" s="22"/>
    </row>
    <row r="846" spans="18:37" ht="15.75" customHeight="1">
      <c r="R846" s="23"/>
      <c r="T846" s="22"/>
      <c r="U846" s="22"/>
      <c r="V846" s="22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2"/>
      <c r="AK846" s="22"/>
    </row>
    <row r="847" spans="18:37" ht="15.75" customHeight="1">
      <c r="R847" s="23"/>
      <c r="T847" s="22"/>
      <c r="U847" s="22"/>
      <c r="V847" s="22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2"/>
      <c r="AK847" s="22"/>
    </row>
    <row r="848" spans="18:37" ht="15.75" customHeight="1">
      <c r="R848" s="23"/>
      <c r="T848" s="22"/>
      <c r="U848" s="22"/>
      <c r="V848" s="22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2"/>
      <c r="AK848" s="22"/>
    </row>
    <row r="849" spans="18:37" ht="15.75" customHeight="1">
      <c r="R849" s="23"/>
      <c r="T849" s="22"/>
      <c r="U849" s="22"/>
      <c r="V849" s="22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2"/>
      <c r="AK849" s="22"/>
    </row>
    <row r="850" spans="18:37" ht="15.75" customHeight="1">
      <c r="R850" s="23"/>
      <c r="T850" s="22"/>
      <c r="U850" s="22"/>
      <c r="V850" s="22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2"/>
      <c r="AK850" s="22"/>
    </row>
    <row r="851" spans="18:37" ht="15.75" customHeight="1">
      <c r="R851" s="23"/>
      <c r="T851" s="22"/>
      <c r="U851" s="22"/>
      <c r="V851" s="22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2"/>
      <c r="AK851" s="22"/>
    </row>
    <row r="852" spans="18:37" ht="15.75" customHeight="1">
      <c r="R852" s="23"/>
      <c r="T852" s="22"/>
      <c r="U852" s="22"/>
      <c r="V852" s="22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2"/>
      <c r="AK852" s="22"/>
    </row>
    <row r="853" spans="18:37" ht="15.75" customHeight="1">
      <c r="R853" s="23"/>
      <c r="T853" s="22"/>
      <c r="U853" s="22"/>
      <c r="V853" s="22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2"/>
      <c r="AK853" s="22"/>
    </row>
    <row r="854" spans="18:37" ht="15.75" customHeight="1">
      <c r="R854" s="23"/>
      <c r="T854" s="22"/>
      <c r="U854" s="22"/>
      <c r="V854" s="22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2"/>
      <c r="AK854" s="22"/>
    </row>
    <row r="855" spans="18:37" ht="15.75" customHeight="1">
      <c r="R855" s="23"/>
      <c r="T855" s="22"/>
      <c r="U855" s="22"/>
      <c r="V855" s="22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2"/>
      <c r="AK855" s="22"/>
    </row>
    <row r="856" spans="18:37" ht="15.75" customHeight="1">
      <c r="R856" s="23"/>
      <c r="T856" s="22"/>
      <c r="U856" s="22"/>
      <c r="V856" s="22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2"/>
      <c r="AK856" s="22"/>
    </row>
    <row r="857" spans="18:37" ht="15.75" customHeight="1">
      <c r="R857" s="23"/>
      <c r="T857" s="22"/>
      <c r="U857" s="22"/>
      <c r="V857" s="22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2"/>
      <c r="AK857" s="22"/>
    </row>
    <row r="858" spans="18:37" ht="15.75" customHeight="1">
      <c r="R858" s="23"/>
      <c r="T858" s="22"/>
      <c r="U858" s="22"/>
      <c r="V858" s="22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2"/>
      <c r="AK858" s="22"/>
    </row>
    <row r="859" spans="18:37" ht="15.75" customHeight="1">
      <c r="R859" s="23"/>
      <c r="T859" s="22"/>
      <c r="U859" s="22"/>
      <c r="V859" s="22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2"/>
      <c r="AK859" s="22"/>
    </row>
    <row r="860" spans="18:37" ht="15.75" customHeight="1">
      <c r="R860" s="23"/>
      <c r="T860" s="22"/>
      <c r="U860" s="22"/>
      <c r="V860" s="22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2"/>
      <c r="AK860" s="22"/>
    </row>
    <row r="861" spans="18:37" ht="15.75" customHeight="1">
      <c r="R861" s="23"/>
      <c r="T861" s="22"/>
      <c r="U861" s="22"/>
      <c r="V861" s="22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2"/>
      <c r="AK861" s="22"/>
    </row>
    <row r="862" spans="18:37" ht="15.75" customHeight="1">
      <c r="R862" s="23"/>
      <c r="T862" s="22"/>
      <c r="U862" s="22"/>
      <c r="V862" s="22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2"/>
      <c r="AK862" s="22"/>
    </row>
    <row r="863" spans="18:37" ht="15.75" customHeight="1">
      <c r="R863" s="23"/>
      <c r="T863" s="22"/>
      <c r="U863" s="22"/>
      <c r="V863" s="22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2"/>
      <c r="AK863" s="22"/>
    </row>
    <row r="864" spans="18:37" ht="15.75" customHeight="1">
      <c r="R864" s="23"/>
      <c r="T864" s="22"/>
      <c r="U864" s="22"/>
      <c r="V864" s="22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2"/>
      <c r="AK864" s="22"/>
    </row>
    <row r="865" spans="18:37" ht="15.75" customHeight="1">
      <c r="R865" s="23"/>
      <c r="T865" s="22"/>
      <c r="U865" s="22"/>
      <c r="V865" s="22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2"/>
      <c r="AK865" s="22"/>
    </row>
    <row r="866" spans="18:37" ht="15.75" customHeight="1">
      <c r="R866" s="23"/>
      <c r="T866" s="22"/>
      <c r="U866" s="22"/>
      <c r="V866" s="22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2"/>
      <c r="AK866" s="22"/>
    </row>
    <row r="867" spans="18:37" ht="15.75" customHeight="1">
      <c r="R867" s="23"/>
      <c r="T867" s="22"/>
      <c r="U867" s="22"/>
      <c r="V867" s="22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2"/>
      <c r="AK867" s="22"/>
    </row>
    <row r="868" spans="18:37" ht="15.75" customHeight="1">
      <c r="R868" s="23"/>
      <c r="T868" s="22"/>
      <c r="U868" s="22"/>
      <c r="V868" s="22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2"/>
      <c r="AK868" s="22"/>
    </row>
    <row r="869" spans="18:37" ht="15.75" customHeight="1">
      <c r="R869" s="23"/>
      <c r="T869" s="22"/>
      <c r="U869" s="22"/>
      <c r="V869" s="22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2"/>
      <c r="AK869" s="22"/>
    </row>
    <row r="870" spans="18:37" ht="15.75" customHeight="1">
      <c r="R870" s="23"/>
      <c r="T870" s="22"/>
      <c r="U870" s="22"/>
      <c r="V870" s="22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2"/>
      <c r="AK870" s="22"/>
    </row>
    <row r="871" spans="18:37" ht="15.75" customHeight="1">
      <c r="R871" s="23"/>
      <c r="T871" s="22"/>
      <c r="U871" s="22"/>
      <c r="V871" s="22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2"/>
      <c r="AK871" s="22"/>
    </row>
    <row r="872" spans="18:37" ht="15.75" customHeight="1">
      <c r="R872" s="23"/>
      <c r="T872" s="22"/>
      <c r="U872" s="22"/>
      <c r="V872" s="22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2"/>
      <c r="AK872" s="22"/>
    </row>
    <row r="873" spans="18:37" ht="15.75" customHeight="1">
      <c r="R873" s="23"/>
      <c r="T873" s="22"/>
      <c r="U873" s="22"/>
      <c r="V873" s="22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2"/>
      <c r="AK873" s="22"/>
    </row>
    <row r="874" spans="18:37" ht="15.75" customHeight="1">
      <c r="R874" s="23"/>
      <c r="T874" s="22"/>
      <c r="U874" s="22"/>
      <c r="V874" s="22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2"/>
      <c r="AK874" s="22"/>
    </row>
    <row r="875" spans="18:37" ht="15.75" customHeight="1">
      <c r="R875" s="23"/>
      <c r="T875" s="22"/>
      <c r="U875" s="22"/>
      <c r="V875" s="22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2"/>
      <c r="AK875" s="22"/>
    </row>
    <row r="876" spans="18:37" ht="15.75" customHeight="1">
      <c r="R876" s="23"/>
      <c r="T876" s="22"/>
      <c r="U876" s="22"/>
      <c r="V876" s="22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2"/>
      <c r="AK876" s="22"/>
    </row>
    <row r="877" spans="18:37" ht="15.75" customHeight="1">
      <c r="R877" s="23"/>
      <c r="T877" s="22"/>
      <c r="U877" s="22"/>
      <c r="V877" s="22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2"/>
      <c r="AK877" s="22"/>
    </row>
    <row r="878" spans="18:37" ht="15.75" customHeight="1">
      <c r="R878" s="23"/>
      <c r="T878" s="22"/>
      <c r="U878" s="22"/>
      <c r="V878" s="22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2"/>
      <c r="AK878" s="22"/>
    </row>
    <row r="879" spans="18:37" ht="15.75" customHeight="1">
      <c r="R879" s="23"/>
      <c r="T879" s="22"/>
      <c r="U879" s="22"/>
      <c r="V879" s="22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2"/>
      <c r="AK879" s="22"/>
    </row>
    <row r="880" spans="18:37" ht="15.75" customHeight="1">
      <c r="R880" s="23"/>
      <c r="T880" s="22"/>
      <c r="U880" s="22"/>
      <c r="V880" s="22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2"/>
      <c r="AK880" s="22"/>
    </row>
    <row r="881" spans="18:37" ht="15.75" customHeight="1">
      <c r="R881" s="23"/>
      <c r="T881" s="22"/>
      <c r="U881" s="22"/>
      <c r="V881" s="22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2"/>
      <c r="AK881" s="22"/>
    </row>
    <row r="882" spans="18:37" ht="15.75" customHeight="1">
      <c r="R882" s="23"/>
      <c r="T882" s="22"/>
      <c r="U882" s="22"/>
      <c r="V882" s="22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2"/>
      <c r="AK882" s="22"/>
    </row>
    <row r="883" spans="18:37" ht="15.75" customHeight="1">
      <c r="R883" s="23"/>
      <c r="T883" s="22"/>
      <c r="U883" s="22"/>
      <c r="V883" s="22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2"/>
      <c r="AK883" s="22"/>
    </row>
    <row r="884" spans="18:37" ht="15.75" customHeight="1">
      <c r="R884" s="23"/>
      <c r="T884" s="22"/>
      <c r="U884" s="22"/>
      <c r="V884" s="22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2"/>
      <c r="AK884" s="22"/>
    </row>
    <row r="885" spans="18:37" ht="15.75" customHeight="1">
      <c r="R885" s="23"/>
      <c r="T885" s="22"/>
      <c r="U885" s="22"/>
      <c r="V885" s="22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2"/>
      <c r="AK885" s="22"/>
    </row>
    <row r="886" spans="18:37" ht="15.75" customHeight="1">
      <c r="R886" s="23"/>
      <c r="T886" s="22"/>
      <c r="U886" s="22"/>
      <c r="V886" s="22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2"/>
      <c r="AK886" s="22"/>
    </row>
    <row r="887" spans="18:37" ht="15.75" customHeight="1">
      <c r="R887" s="23"/>
      <c r="T887" s="22"/>
      <c r="U887" s="22"/>
      <c r="V887" s="22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2"/>
      <c r="AK887" s="22"/>
    </row>
    <row r="888" spans="18:37" ht="15.75" customHeight="1">
      <c r="R888" s="23"/>
      <c r="T888" s="22"/>
      <c r="U888" s="22"/>
      <c r="V888" s="22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2"/>
      <c r="AK888" s="22"/>
    </row>
    <row r="889" spans="18:37" ht="15.75" customHeight="1">
      <c r="R889" s="23"/>
      <c r="T889" s="22"/>
      <c r="U889" s="22"/>
      <c r="V889" s="22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2"/>
      <c r="AK889" s="22"/>
    </row>
    <row r="890" spans="18:37" ht="15.75" customHeight="1">
      <c r="R890" s="23"/>
      <c r="T890" s="22"/>
      <c r="U890" s="22"/>
      <c r="V890" s="22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2"/>
      <c r="AK890" s="22"/>
    </row>
    <row r="891" spans="18:37" ht="15.75" customHeight="1">
      <c r="R891" s="23"/>
      <c r="T891" s="22"/>
      <c r="U891" s="22"/>
      <c r="V891" s="22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2"/>
      <c r="AK891" s="22"/>
    </row>
    <row r="892" spans="18:37" ht="15.75" customHeight="1">
      <c r="R892" s="23"/>
      <c r="T892" s="22"/>
      <c r="U892" s="22"/>
      <c r="V892" s="22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2"/>
      <c r="AK892" s="22"/>
    </row>
    <row r="893" spans="18:37" ht="15.75" customHeight="1">
      <c r="R893" s="23"/>
      <c r="T893" s="22"/>
      <c r="U893" s="22"/>
      <c r="V893" s="22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2"/>
      <c r="AK893" s="22"/>
    </row>
    <row r="894" spans="18:37" ht="15.75" customHeight="1">
      <c r="R894" s="23"/>
      <c r="T894" s="22"/>
      <c r="U894" s="22"/>
      <c r="V894" s="22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2"/>
      <c r="AK894" s="22"/>
    </row>
    <row r="895" spans="18:37" ht="15.75" customHeight="1">
      <c r="R895" s="23"/>
      <c r="T895" s="22"/>
      <c r="U895" s="22"/>
      <c r="V895" s="22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2"/>
      <c r="AK895" s="22"/>
    </row>
    <row r="896" spans="18:37" ht="15.75" customHeight="1">
      <c r="R896" s="23"/>
      <c r="T896" s="22"/>
      <c r="U896" s="22"/>
      <c r="V896" s="22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2"/>
      <c r="AK896" s="22"/>
    </row>
    <row r="897" spans="18:37" ht="15.75" customHeight="1">
      <c r="R897" s="23"/>
      <c r="T897" s="22"/>
      <c r="U897" s="22"/>
      <c r="V897" s="22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2"/>
      <c r="AK897" s="22"/>
    </row>
    <row r="898" spans="18:37" ht="15.75" customHeight="1">
      <c r="R898" s="23"/>
      <c r="T898" s="22"/>
      <c r="U898" s="22"/>
      <c r="V898" s="22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2"/>
      <c r="AK898" s="22"/>
    </row>
    <row r="899" spans="18:37" ht="15.75" customHeight="1">
      <c r="R899" s="23"/>
      <c r="T899" s="22"/>
      <c r="U899" s="22"/>
      <c r="V899" s="22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2"/>
      <c r="AK899" s="22"/>
    </row>
    <row r="900" spans="18:37" ht="15.75" customHeight="1">
      <c r="R900" s="23"/>
      <c r="T900" s="22"/>
      <c r="U900" s="22"/>
      <c r="V900" s="22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2"/>
      <c r="AK900" s="22"/>
    </row>
    <row r="901" spans="18:37" ht="15.75" customHeight="1">
      <c r="R901" s="23"/>
      <c r="T901" s="22"/>
      <c r="U901" s="22"/>
      <c r="V901" s="22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2"/>
      <c r="AK901" s="22"/>
    </row>
    <row r="902" spans="18:37" ht="15.75" customHeight="1">
      <c r="R902" s="23"/>
      <c r="T902" s="22"/>
      <c r="U902" s="22"/>
      <c r="V902" s="22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2"/>
      <c r="AK902" s="22"/>
    </row>
    <row r="903" spans="18:37" ht="15.75" customHeight="1">
      <c r="R903" s="23"/>
      <c r="T903" s="22"/>
      <c r="U903" s="22"/>
      <c r="V903" s="22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2"/>
      <c r="AK903" s="22"/>
    </row>
    <row r="904" spans="18:37" ht="15.75" customHeight="1">
      <c r="R904" s="23"/>
      <c r="T904" s="22"/>
      <c r="U904" s="22"/>
      <c r="V904" s="22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2"/>
      <c r="AK904" s="22"/>
    </row>
    <row r="905" spans="18:37" ht="15.75" customHeight="1">
      <c r="R905" s="23"/>
      <c r="T905" s="22"/>
      <c r="U905" s="22"/>
      <c r="V905" s="22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2"/>
      <c r="AK905" s="22"/>
    </row>
    <row r="906" spans="18:37" ht="15.75" customHeight="1">
      <c r="R906" s="23"/>
      <c r="T906" s="22"/>
      <c r="U906" s="22"/>
      <c r="V906" s="22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2"/>
      <c r="AK906" s="22"/>
    </row>
    <row r="907" spans="18:37" ht="15.75" customHeight="1">
      <c r="R907" s="23"/>
      <c r="T907" s="22"/>
      <c r="U907" s="22"/>
      <c r="V907" s="22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2"/>
      <c r="AK907" s="22"/>
    </row>
    <row r="908" spans="18:37" ht="15.75" customHeight="1">
      <c r="R908" s="23"/>
      <c r="T908" s="22"/>
      <c r="U908" s="22"/>
      <c r="V908" s="22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2"/>
      <c r="AK908" s="22"/>
    </row>
    <row r="909" spans="18:37" ht="15.75" customHeight="1">
      <c r="R909" s="23"/>
      <c r="T909" s="22"/>
      <c r="U909" s="22"/>
      <c r="V909" s="22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2"/>
      <c r="AK909" s="22"/>
    </row>
    <row r="910" spans="18:37" ht="15.75" customHeight="1">
      <c r="R910" s="23"/>
      <c r="T910" s="22"/>
      <c r="U910" s="22"/>
      <c r="V910" s="22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2"/>
      <c r="AK910" s="22"/>
    </row>
    <row r="911" spans="18:37" ht="15.75" customHeight="1">
      <c r="R911" s="23"/>
      <c r="T911" s="22"/>
      <c r="U911" s="22"/>
      <c r="V911" s="22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2"/>
      <c r="AK911" s="22"/>
    </row>
    <row r="912" spans="18:37" ht="15.75" customHeight="1">
      <c r="R912" s="23"/>
      <c r="T912" s="22"/>
      <c r="U912" s="22"/>
      <c r="V912" s="22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2"/>
      <c r="AK912" s="22"/>
    </row>
    <row r="913" spans="18:37" ht="15.75" customHeight="1">
      <c r="R913" s="23"/>
      <c r="T913" s="22"/>
      <c r="U913" s="22"/>
      <c r="V913" s="22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2"/>
      <c r="AK913" s="22"/>
    </row>
    <row r="914" spans="18:37" ht="15.75" customHeight="1">
      <c r="R914" s="23"/>
      <c r="T914" s="22"/>
      <c r="U914" s="22"/>
      <c r="V914" s="22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2"/>
      <c r="AK914" s="22"/>
    </row>
    <row r="915" spans="18:37" ht="15.75" customHeight="1">
      <c r="R915" s="23"/>
      <c r="T915" s="22"/>
      <c r="U915" s="22"/>
      <c r="V915" s="22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2"/>
      <c r="AK915" s="22"/>
    </row>
    <row r="916" spans="18:37" ht="15.75" customHeight="1">
      <c r="R916" s="23"/>
      <c r="T916" s="22"/>
      <c r="U916" s="22"/>
      <c r="V916" s="22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2"/>
      <c r="AK916" s="22"/>
    </row>
    <row r="917" spans="18:37" ht="15.75" customHeight="1">
      <c r="R917" s="23"/>
      <c r="T917" s="22"/>
      <c r="U917" s="22"/>
      <c r="V917" s="22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2"/>
      <c r="AK917" s="22"/>
    </row>
    <row r="918" spans="18:37" ht="15.75" customHeight="1">
      <c r="R918" s="23"/>
      <c r="T918" s="22"/>
      <c r="U918" s="22"/>
      <c r="V918" s="22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2"/>
      <c r="AK918" s="22"/>
    </row>
    <row r="919" spans="18:37" ht="15.75" customHeight="1">
      <c r="R919" s="23"/>
      <c r="T919" s="22"/>
      <c r="U919" s="22"/>
      <c r="V919" s="22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2"/>
      <c r="AK919" s="22"/>
    </row>
    <row r="920" spans="18:37" ht="15.75" customHeight="1">
      <c r="R920" s="23"/>
      <c r="T920" s="22"/>
      <c r="U920" s="22"/>
      <c r="V920" s="22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2"/>
      <c r="AK920" s="22"/>
    </row>
    <row r="921" spans="18:37" ht="15.75" customHeight="1">
      <c r="R921" s="23"/>
      <c r="T921" s="22"/>
      <c r="U921" s="22"/>
      <c r="V921" s="22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2"/>
      <c r="AK921" s="22"/>
    </row>
    <row r="922" spans="18:37" ht="15.75" customHeight="1">
      <c r="R922" s="23"/>
      <c r="T922" s="22"/>
      <c r="U922" s="22"/>
      <c r="V922" s="22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2"/>
      <c r="AK922" s="22"/>
    </row>
    <row r="923" spans="18:37" ht="15.75" customHeight="1">
      <c r="R923" s="23"/>
      <c r="T923" s="22"/>
      <c r="U923" s="22"/>
      <c r="V923" s="22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2"/>
      <c r="AK923" s="22"/>
    </row>
    <row r="924" spans="18:37" ht="15.75" customHeight="1">
      <c r="R924" s="23"/>
      <c r="T924" s="22"/>
      <c r="U924" s="22"/>
      <c r="V924" s="22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2"/>
      <c r="AK924" s="22"/>
    </row>
    <row r="925" spans="18:37" ht="15.75" customHeight="1">
      <c r="R925" s="23"/>
      <c r="T925" s="22"/>
      <c r="U925" s="22"/>
      <c r="V925" s="22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2"/>
      <c r="AK925" s="22"/>
    </row>
    <row r="926" spans="18:37" ht="15.75" customHeight="1">
      <c r="R926" s="23"/>
      <c r="T926" s="22"/>
      <c r="U926" s="22"/>
      <c r="V926" s="22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2"/>
      <c r="AK926" s="22"/>
    </row>
    <row r="927" spans="18:37" ht="15.75" customHeight="1">
      <c r="R927" s="23"/>
      <c r="T927" s="22"/>
      <c r="U927" s="22"/>
      <c r="V927" s="22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2"/>
      <c r="AK927" s="22"/>
    </row>
    <row r="928" spans="18:37" ht="15.75" customHeight="1">
      <c r="R928" s="23"/>
      <c r="T928" s="22"/>
      <c r="U928" s="22"/>
      <c r="V928" s="22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2"/>
      <c r="AK928" s="22"/>
    </row>
    <row r="929" spans="18:37" ht="15.75" customHeight="1">
      <c r="R929" s="23"/>
      <c r="T929" s="22"/>
      <c r="U929" s="22"/>
      <c r="V929" s="22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2"/>
      <c r="AK929" s="22"/>
    </row>
    <row r="930" spans="18:37" ht="15.75" customHeight="1">
      <c r="R930" s="23"/>
      <c r="T930" s="22"/>
      <c r="U930" s="22"/>
      <c r="V930" s="22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2"/>
      <c r="AK930" s="22"/>
    </row>
    <row r="931" spans="18:37" ht="15.75" customHeight="1">
      <c r="R931" s="23"/>
      <c r="T931" s="22"/>
      <c r="U931" s="22"/>
      <c r="V931" s="22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2"/>
      <c r="AK931" s="22"/>
    </row>
    <row r="932" spans="18:37" ht="15.75" customHeight="1">
      <c r="R932" s="23"/>
      <c r="T932" s="22"/>
      <c r="U932" s="22"/>
      <c r="V932" s="22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2"/>
      <c r="AK932" s="22"/>
    </row>
    <row r="933" spans="18:37" ht="15.75" customHeight="1">
      <c r="R933" s="23"/>
      <c r="T933" s="22"/>
      <c r="U933" s="22"/>
      <c r="V933" s="22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2"/>
      <c r="AK933" s="22"/>
    </row>
    <row r="934" spans="18:37" ht="15.75" customHeight="1">
      <c r="R934" s="23"/>
      <c r="T934" s="22"/>
      <c r="U934" s="22"/>
      <c r="V934" s="22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2"/>
      <c r="AK934" s="22"/>
    </row>
    <row r="935" spans="18:37" ht="15.75" customHeight="1">
      <c r="R935" s="23"/>
      <c r="T935" s="22"/>
      <c r="U935" s="22"/>
      <c r="V935" s="22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2"/>
      <c r="AK935" s="22"/>
    </row>
    <row r="936" spans="18:37" ht="15.75" customHeight="1">
      <c r="R936" s="23"/>
      <c r="T936" s="22"/>
      <c r="U936" s="22"/>
      <c r="V936" s="22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2"/>
      <c r="AK936" s="22"/>
    </row>
    <row r="937" spans="18:37" ht="15.75" customHeight="1">
      <c r="R937" s="23"/>
      <c r="T937" s="22"/>
      <c r="U937" s="22"/>
      <c r="V937" s="22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2"/>
      <c r="AK937" s="22"/>
    </row>
    <row r="938" spans="18:37" ht="15.75" customHeight="1">
      <c r="R938" s="23"/>
      <c r="T938" s="22"/>
      <c r="U938" s="22"/>
      <c r="V938" s="22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2"/>
      <c r="AK938" s="22"/>
    </row>
    <row r="939" spans="18:37" ht="15.75" customHeight="1">
      <c r="R939" s="23"/>
      <c r="T939" s="22"/>
      <c r="U939" s="22"/>
      <c r="V939" s="22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2"/>
      <c r="AK939" s="22"/>
    </row>
    <row r="940" spans="18:37" ht="15.75" customHeight="1">
      <c r="R940" s="23"/>
      <c r="T940" s="22"/>
      <c r="U940" s="22"/>
      <c r="V940" s="22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2"/>
      <c r="AK940" s="22"/>
    </row>
    <row r="941" spans="18:37" ht="15.75" customHeight="1">
      <c r="R941" s="23"/>
      <c r="T941" s="22"/>
      <c r="U941" s="22"/>
      <c r="V941" s="22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2"/>
      <c r="AK941" s="22"/>
    </row>
    <row r="942" spans="18:37" ht="15.75" customHeight="1">
      <c r="R942" s="23"/>
      <c r="T942" s="22"/>
      <c r="U942" s="22"/>
      <c r="V942" s="22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2"/>
      <c r="AK942" s="22"/>
    </row>
    <row r="943" spans="18:37" ht="15.75" customHeight="1">
      <c r="R943" s="23"/>
      <c r="T943" s="22"/>
      <c r="U943" s="22"/>
      <c r="V943" s="22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2"/>
      <c r="AK943" s="22"/>
    </row>
    <row r="944" spans="18:37" ht="15.75" customHeight="1">
      <c r="R944" s="23"/>
      <c r="T944" s="22"/>
      <c r="U944" s="22"/>
      <c r="V944" s="22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2"/>
      <c r="AK944" s="22"/>
    </row>
    <row r="945" spans="18:37" ht="15.75" customHeight="1">
      <c r="R945" s="23"/>
      <c r="T945" s="22"/>
      <c r="U945" s="22"/>
      <c r="V945" s="22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2"/>
      <c r="AK945" s="22"/>
    </row>
    <row r="946" spans="18:37" ht="15.75" customHeight="1">
      <c r="R946" s="23"/>
      <c r="T946" s="22"/>
      <c r="U946" s="22"/>
      <c r="V946" s="22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2"/>
      <c r="AK946" s="22"/>
    </row>
    <row r="947" spans="18:37" ht="15.75" customHeight="1">
      <c r="R947" s="23"/>
      <c r="T947" s="22"/>
      <c r="U947" s="22"/>
      <c r="V947" s="22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2"/>
      <c r="AK947" s="22"/>
    </row>
    <row r="948" spans="18:37" ht="15.75" customHeight="1">
      <c r="R948" s="23"/>
      <c r="T948" s="22"/>
      <c r="U948" s="22"/>
      <c r="V948" s="22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2"/>
      <c r="AK948" s="22"/>
    </row>
    <row r="949" spans="18:37" ht="15.75" customHeight="1">
      <c r="R949" s="23"/>
      <c r="T949" s="22"/>
      <c r="U949" s="22"/>
      <c r="V949" s="22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2"/>
      <c r="AK949" s="22"/>
    </row>
    <row r="950" spans="18:37" ht="15.75" customHeight="1">
      <c r="R950" s="23"/>
      <c r="T950" s="22"/>
      <c r="U950" s="22"/>
      <c r="V950" s="22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2"/>
      <c r="AK950" s="22"/>
    </row>
    <row r="951" spans="18:37" ht="15.75" customHeight="1">
      <c r="R951" s="23"/>
      <c r="T951" s="22"/>
      <c r="U951" s="22"/>
      <c r="V951" s="22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2"/>
      <c r="AK951" s="22"/>
    </row>
    <row r="952" spans="18:37" ht="15.75" customHeight="1">
      <c r="R952" s="23"/>
      <c r="T952" s="22"/>
      <c r="U952" s="22"/>
      <c r="V952" s="22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2"/>
      <c r="AK952" s="22"/>
    </row>
    <row r="953" spans="18:37" ht="15.75" customHeight="1">
      <c r="R953" s="23"/>
      <c r="T953" s="22"/>
      <c r="U953" s="22"/>
      <c r="V953" s="22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2"/>
      <c r="AK953" s="22"/>
    </row>
    <row r="954" spans="18:37" ht="15.75" customHeight="1">
      <c r="R954" s="23"/>
      <c r="T954" s="22"/>
      <c r="U954" s="22"/>
      <c r="V954" s="22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2"/>
      <c r="AK954" s="22"/>
    </row>
    <row r="955" spans="18:37" ht="15.75" customHeight="1">
      <c r="R955" s="23"/>
      <c r="T955" s="22"/>
      <c r="U955" s="22"/>
      <c r="V955" s="22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2"/>
      <c r="AK955" s="22"/>
    </row>
    <row r="956" spans="18:37" ht="15.75" customHeight="1">
      <c r="R956" s="23"/>
      <c r="T956" s="22"/>
      <c r="U956" s="22"/>
      <c r="V956" s="22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2"/>
      <c r="AK956" s="22"/>
    </row>
    <row r="957" spans="18:37" ht="15.75" customHeight="1">
      <c r="R957" s="23"/>
      <c r="T957" s="22"/>
      <c r="U957" s="22"/>
      <c r="V957" s="22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2"/>
      <c r="AK957" s="22"/>
    </row>
    <row r="958" spans="18:37" ht="15.75" customHeight="1">
      <c r="R958" s="23"/>
      <c r="T958" s="22"/>
      <c r="U958" s="22"/>
      <c r="V958" s="22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2"/>
      <c r="AK958" s="22"/>
    </row>
    <row r="959" spans="18:37" ht="15.75" customHeight="1">
      <c r="R959" s="23"/>
      <c r="T959" s="22"/>
      <c r="U959" s="22"/>
      <c r="V959" s="22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2"/>
      <c r="AK959" s="22"/>
    </row>
    <row r="960" spans="18:37" ht="15.75" customHeight="1">
      <c r="R960" s="23"/>
      <c r="T960" s="22"/>
      <c r="U960" s="22"/>
      <c r="V960" s="22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2"/>
      <c r="AK960" s="22"/>
    </row>
    <row r="961" spans="18:37" ht="15.75" customHeight="1">
      <c r="R961" s="23"/>
      <c r="T961" s="22"/>
      <c r="U961" s="22"/>
      <c r="V961" s="22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2"/>
      <c r="AK961" s="22"/>
    </row>
    <row r="962" spans="18:37" ht="15.75" customHeight="1">
      <c r="R962" s="23"/>
      <c r="T962" s="22"/>
      <c r="U962" s="22"/>
      <c r="V962" s="22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2"/>
      <c r="AK962" s="22"/>
    </row>
    <row r="963" spans="18:37" ht="15.75" customHeight="1">
      <c r="R963" s="23"/>
      <c r="T963" s="22"/>
      <c r="U963" s="22"/>
      <c r="V963" s="22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2"/>
      <c r="AK963" s="22"/>
    </row>
    <row r="964" spans="18:37" ht="15.75" customHeight="1">
      <c r="R964" s="23"/>
      <c r="T964" s="22"/>
      <c r="U964" s="22"/>
      <c r="V964" s="22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2"/>
      <c r="AK964" s="22"/>
    </row>
    <row r="965" spans="18:37" ht="15.75" customHeight="1">
      <c r="R965" s="23"/>
      <c r="T965" s="22"/>
      <c r="U965" s="22"/>
      <c r="V965" s="22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2"/>
      <c r="AK965" s="22"/>
    </row>
    <row r="966" spans="18:37" ht="15.75" customHeight="1">
      <c r="R966" s="23"/>
      <c r="T966" s="22"/>
      <c r="U966" s="22"/>
      <c r="V966" s="22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2"/>
      <c r="AK966" s="22"/>
    </row>
    <row r="967" spans="18:37" ht="15.75" customHeight="1">
      <c r="R967" s="23"/>
      <c r="T967" s="22"/>
      <c r="U967" s="22"/>
      <c r="V967" s="22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2"/>
      <c r="AK967" s="22"/>
    </row>
    <row r="968" spans="18:37" ht="15.75" customHeight="1">
      <c r="R968" s="23"/>
      <c r="T968" s="22"/>
      <c r="U968" s="22"/>
      <c r="V968" s="22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2"/>
      <c r="AK968" s="22"/>
    </row>
    <row r="969" spans="18:37" ht="15.75" customHeight="1">
      <c r="R969" s="23"/>
      <c r="T969" s="22"/>
      <c r="U969" s="22"/>
      <c r="V969" s="22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2"/>
      <c r="AK969" s="22"/>
    </row>
    <row r="970" spans="18:37" ht="15.75" customHeight="1">
      <c r="R970" s="23"/>
      <c r="T970" s="22"/>
      <c r="U970" s="22"/>
      <c r="V970" s="22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2"/>
      <c r="AK970" s="22"/>
    </row>
    <row r="971" spans="18:37" ht="15.75" customHeight="1">
      <c r="R971" s="23"/>
      <c r="T971" s="22"/>
      <c r="U971" s="22"/>
      <c r="V971" s="22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2"/>
      <c r="AK971" s="22"/>
    </row>
    <row r="972" spans="18:37" ht="15.75" customHeight="1">
      <c r="R972" s="23"/>
      <c r="T972" s="22"/>
      <c r="U972" s="22"/>
      <c r="V972" s="22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2"/>
      <c r="AK972" s="22"/>
    </row>
    <row r="973" spans="18:37" ht="15.75" customHeight="1">
      <c r="R973" s="23"/>
      <c r="T973" s="22"/>
      <c r="U973" s="22"/>
      <c r="V973" s="22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2"/>
      <c r="AK973" s="22"/>
    </row>
    <row r="974" spans="18:37" ht="15.75" customHeight="1">
      <c r="R974" s="23"/>
      <c r="T974" s="22"/>
      <c r="U974" s="22"/>
      <c r="V974" s="22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2"/>
      <c r="AK974" s="22"/>
    </row>
    <row r="975" spans="18:37" ht="15.75" customHeight="1">
      <c r="R975" s="23"/>
      <c r="T975" s="22"/>
      <c r="U975" s="22"/>
      <c r="V975" s="22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2"/>
      <c r="AK975" s="22"/>
    </row>
    <row r="976" spans="18:37" ht="15.75" customHeight="1">
      <c r="R976" s="23"/>
      <c r="T976" s="22"/>
      <c r="U976" s="22"/>
      <c r="V976" s="22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2"/>
      <c r="AK976" s="22"/>
    </row>
    <row r="977" spans="18:37" ht="15.75" customHeight="1">
      <c r="R977" s="23"/>
      <c r="T977" s="22"/>
      <c r="U977" s="22"/>
      <c r="V977" s="22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2"/>
      <c r="AK977" s="22"/>
    </row>
    <row r="978" spans="18:37" ht="15.75" customHeight="1">
      <c r="R978" s="23"/>
      <c r="T978" s="22"/>
      <c r="U978" s="22"/>
      <c r="V978" s="22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2"/>
      <c r="AK978" s="22"/>
    </row>
    <row r="979" spans="18:37" ht="15.75" customHeight="1">
      <c r="R979" s="23"/>
      <c r="T979" s="22"/>
      <c r="U979" s="22"/>
      <c r="V979" s="22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2"/>
      <c r="AK979" s="22"/>
    </row>
    <row r="980" spans="18:37" ht="15.75" customHeight="1">
      <c r="R980" s="23"/>
      <c r="T980" s="22"/>
      <c r="U980" s="22"/>
      <c r="V980" s="22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2"/>
      <c r="AK980" s="22"/>
    </row>
    <row r="981" spans="18:37" ht="15.75" customHeight="1">
      <c r="R981" s="23"/>
      <c r="T981" s="22"/>
      <c r="U981" s="22"/>
      <c r="V981" s="22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2"/>
      <c r="AK981" s="22"/>
    </row>
    <row r="982" spans="18:37" ht="15.75" customHeight="1">
      <c r="R982" s="23"/>
      <c r="T982" s="22"/>
      <c r="U982" s="22"/>
      <c r="V982" s="22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2"/>
      <c r="AK982" s="22"/>
    </row>
    <row r="983" spans="18:37" ht="15.75" customHeight="1">
      <c r="R983" s="23"/>
      <c r="T983" s="22"/>
      <c r="U983" s="22"/>
      <c r="V983" s="22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2"/>
      <c r="AK983" s="22"/>
    </row>
    <row r="984" spans="18:37" ht="15.75" customHeight="1">
      <c r="R984" s="23"/>
      <c r="T984" s="22"/>
      <c r="U984" s="22"/>
      <c r="V984" s="22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2"/>
      <c r="AK984" s="22"/>
    </row>
    <row r="985" spans="18:37" ht="15.75" customHeight="1">
      <c r="R985" s="23"/>
      <c r="T985" s="22"/>
      <c r="U985" s="22"/>
      <c r="V985" s="22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2"/>
      <c r="AK985" s="22"/>
    </row>
    <row r="986" spans="18:37" ht="15.75" customHeight="1">
      <c r="R986" s="23"/>
      <c r="T986" s="22"/>
      <c r="U986" s="22"/>
      <c r="V986" s="22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2"/>
      <c r="AK986" s="22"/>
    </row>
    <row r="987" spans="18:37" ht="15.75" customHeight="1">
      <c r="R987" s="23"/>
      <c r="T987" s="22"/>
      <c r="U987" s="22"/>
      <c r="V987" s="22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2"/>
      <c r="AK987" s="22"/>
    </row>
    <row r="988" spans="18:37" ht="15.75" customHeight="1">
      <c r="R988" s="23"/>
      <c r="T988" s="22"/>
      <c r="U988" s="22"/>
      <c r="V988" s="22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2"/>
      <c r="AK988" s="22"/>
    </row>
    <row r="989" spans="18:37" ht="15.75" customHeight="1">
      <c r="R989" s="23"/>
      <c r="T989" s="22"/>
      <c r="U989" s="22"/>
      <c r="V989" s="22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2"/>
      <c r="AK989" s="22"/>
    </row>
    <row r="990" spans="18:37" ht="15.75" customHeight="1">
      <c r="R990" s="23"/>
      <c r="T990" s="22"/>
      <c r="U990" s="22"/>
      <c r="V990" s="22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2"/>
      <c r="AK990" s="22"/>
    </row>
    <row r="991" spans="18:37" ht="15.75" customHeight="1">
      <c r="R991" s="23"/>
      <c r="T991" s="22"/>
      <c r="U991" s="22"/>
      <c r="V991" s="22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2"/>
      <c r="AK991" s="22"/>
    </row>
    <row r="992" spans="18:37" ht="15.75" customHeight="1">
      <c r="R992" s="23"/>
      <c r="T992" s="22"/>
      <c r="U992" s="22"/>
      <c r="V992" s="22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2"/>
      <c r="AK992" s="22"/>
    </row>
    <row r="993" spans="18:37" ht="15.75" customHeight="1">
      <c r="R993" s="23"/>
      <c r="T993" s="22"/>
      <c r="U993" s="22"/>
      <c r="V993" s="22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2"/>
      <c r="AK993" s="22"/>
    </row>
    <row r="994" spans="18:37" ht="15.75" customHeight="1">
      <c r="R994" s="23"/>
      <c r="T994" s="22"/>
      <c r="U994" s="22"/>
      <c r="V994" s="22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2"/>
      <c r="AK994" s="22"/>
    </row>
    <row r="995" spans="18:37" ht="15.75" customHeight="1">
      <c r="R995" s="23"/>
      <c r="T995" s="22"/>
      <c r="U995" s="22"/>
      <c r="V995" s="22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2"/>
      <c r="AK995" s="22"/>
    </row>
    <row r="996" spans="18:37" ht="15.75" customHeight="1">
      <c r="R996" s="23"/>
      <c r="T996" s="22"/>
      <c r="U996" s="22"/>
      <c r="V996" s="22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2"/>
      <c r="AK996" s="22"/>
    </row>
    <row r="997" spans="18:37" ht="15.75" customHeight="1">
      <c r="R997" s="23"/>
      <c r="T997" s="22"/>
      <c r="U997" s="22"/>
      <c r="V997" s="22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2"/>
      <c r="AK997" s="22"/>
    </row>
    <row r="998" spans="18:37" ht="15.75" customHeight="1">
      <c r="R998" s="23"/>
      <c r="T998" s="22"/>
      <c r="U998" s="22"/>
      <c r="V998" s="22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2"/>
      <c r="AK998" s="22"/>
    </row>
    <row r="999" spans="18:37" ht="15.75" customHeight="1">
      <c r="R999" s="23"/>
      <c r="T999" s="22"/>
      <c r="U999" s="22"/>
      <c r="V999" s="22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2"/>
      <c r="AK999" s="22"/>
    </row>
    <row r="1000" spans="18:37" ht="15.75" customHeight="1">
      <c r="R1000" s="23"/>
      <c r="T1000" s="22"/>
      <c r="U1000" s="22"/>
      <c r="V1000" s="22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2"/>
      <c r="AK1000" s="22"/>
    </row>
    <row r="1001" spans="18:37" ht="15.75" customHeight="1">
      <c r="R1001" s="23"/>
      <c r="T1001" s="22"/>
      <c r="U1001" s="22"/>
      <c r="V1001" s="22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2"/>
      <c r="AK1001" s="22"/>
    </row>
    <row r="1002" spans="18:37" ht="15.75" customHeight="1">
      <c r="R1002" s="23"/>
      <c r="T1002" s="22"/>
      <c r="U1002" s="22"/>
      <c r="V1002" s="22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2"/>
      <c r="AK1002" s="22"/>
    </row>
  </sheetData>
  <phoneticPr fontId="3"/>
  <hyperlinks>
    <hyperlink ref="A2" r:id="rId1" xr:uid="{92BD8D04-2244-47D6-8C83-C27E8A1686A3}"/>
    <hyperlink ref="B2" r:id="rId2" xr:uid="{3EC201BE-10DE-466D-BE31-C7A186A7B604}"/>
    <hyperlink ref="B3" r:id="rId3" xr:uid="{0894DE99-6890-41D2-B87A-AB41B7BEB86E}"/>
    <hyperlink ref="B4" r:id="rId4" xr:uid="{F140F53E-D072-4E25-AAF8-DE56AEA0DB7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裕子 ホシナマイ</cp:lastModifiedBy>
  <dcterms:created xsi:type="dcterms:W3CDTF">2024-11-20T14:43:35Z</dcterms:created>
  <dcterms:modified xsi:type="dcterms:W3CDTF">2024-11-21T06:16:07Z</dcterms:modified>
</cp:coreProperties>
</file>