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ropbox\THOOR\"/>
    </mc:Choice>
  </mc:AlternateContent>
  <xr:revisionPtr revIDLastSave="0" documentId="13_ncr:1_{F6D27CB4-7C51-4807-B23C-C73556B0E720}" xr6:coauthVersionLast="45" xr6:coauthVersionMax="45" xr10:uidLastSave="{00000000-0000-0000-0000-000000000000}"/>
  <bookViews>
    <workbookView xWindow="20370" yWindow="-120" windowWidth="29040" windowHeight="15840" tabRatio="839" activeTab="13" xr2:uid="{00000000-000D-0000-FFFF-FFFF00000000}"/>
  </bookViews>
  <sheets>
    <sheet name="JANEIRO " sheetId="12" r:id="rId1"/>
    <sheet name="BASE_JANEIRO" sheetId="11" state="hidden" r:id="rId2"/>
    <sheet name="FEVERERIO " sheetId="14" r:id="rId3"/>
    <sheet name="BASE COMISSÃO FEVEREIRO" sheetId="15" state="hidden" r:id="rId4"/>
    <sheet name="BASE COMISSÃO MARÇO" sheetId="19" state="hidden" r:id="rId5"/>
    <sheet name="FEVEREIRO BASE" sheetId="13" state="hidden" r:id="rId6"/>
    <sheet name="MARÇO" sheetId="18" r:id="rId7"/>
    <sheet name="ABRIL" sheetId="22" r:id="rId8"/>
    <sheet name="ABRIL BASE" sheetId="21" state="hidden" r:id="rId9"/>
    <sheet name="BASE COMISSÃO ABRIL" sheetId="23" state="hidden" r:id="rId10"/>
    <sheet name="BASE MAIO" sheetId="24" state="hidden" r:id="rId11"/>
    <sheet name="MAIO" sheetId="25" r:id="rId12"/>
    <sheet name="BASE COMISSÃO MAIO" sheetId="26" state="hidden" r:id="rId13"/>
    <sheet name="Planilha2" sheetId="28" r:id="rId14"/>
    <sheet name="JUNHO" sheetId="27" r:id="rId15"/>
    <sheet name="MARÇO BASE" sheetId="17" state="hidden" r:id="rId16"/>
  </sheets>
  <calcPr calcId="181029"/>
  <pivotCaches>
    <pivotCache cacheId="0" r:id="rId17"/>
    <pivotCache cacheId="1" r:id="rId18"/>
    <pivotCache cacheId="2" r:id="rId19"/>
    <pivotCache cacheId="3" r:id="rId20"/>
    <pivotCache cacheId="4" r:id="rId21"/>
    <pivotCache cacheId="8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2" i="27"/>
  <c r="C14" i="26" l="1"/>
  <c r="D14" i="26" s="1"/>
  <c r="F14" i="26" s="1"/>
  <c r="D15" i="26"/>
  <c r="F15" i="26" s="1"/>
  <c r="C9" i="26"/>
  <c r="D9" i="26" s="1"/>
  <c r="F9" i="26" s="1"/>
  <c r="D6" i="26"/>
  <c r="D2" i="26"/>
  <c r="F2" i="26" s="1"/>
  <c r="D16" i="26"/>
  <c r="F16" i="26" s="1"/>
  <c r="D13" i="26"/>
  <c r="F13" i="26" s="1"/>
  <c r="D12" i="26"/>
  <c r="F12" i="26" s="1"/>
  <c r="D11" i="26"/>
  <c r="F11" i="26" s="1"/>
  <c r="D10" i="26"/>
  <c r="F10" i="26" s="1"/>
  <c r="D8" i="26"/>
  <c r="F8" i="26" s="1"/>
  <c r="D7" i="26"/>
  <c r="F7" i="26" s="1"/>
  <c r="F6" i="26"/>
  <c r="D5" i="26"/>
  <c r="F5" i="26" s="1"/>
  <c r="D4" i="26"/>
  <c r="F4" i="26" s="1"/>
  <c r="D3" i="26"/>
  <c r="F3" i="26" s="1"/>
  <c r="F16" i="24" l="1"/>
  <c r="G18" i="24" l="1"/>
  <c r="G17" i="24"/>
  <c r="G3" i="24" l="1"/>
  <c r="C3" i="24" s="1"/>
  <c r="G4" i="24"/>
  <c r="C4" i="24" s="1"/>
  <c r="G5" i="24"/>
  <c r="C5" i="24" s="1"/>
  <c r="G6" i="24"/>
  <c r="C6" i="24" s="1"/>
  <c r="G7" i="24"/>
  <c r="C7" i="24" s="1"/>
  <c r="G8" i="24"/>
  <c r="C8" i="24" s="1"/>
  <c r="G9" i="24"/>
  <c r="C9" i="24" s="1"/>
  <c r="G10" i="24"/>
  <c r="G11" i="24"/>
  <c r="C11" i="24" s="1"/>
  <c r="G12" i="24"/>
  <c r="G13" i="24"/>
  <c r="G14" i="24"/>
  <c r="G15" i="24"/>
  <c r="C18" i="24" s="1"/>
  <c r="G16" i="24"/>
  <c r="G2" i="24"/>
  <c r="C2" i="24" s="1"/>
  <c r="C12" i="24" l="1"/>
  <c r="C10" i="24"/>
  <c r="C16" i="24"/>
  <c r="C14" i="24"/>
  <c r="C13" i="24"/>
  <c r="C15" i="24"/>
  <c r="C17" i="24"/>
  <c r="F6" i="23"/>
  <c r="D12" i="23"/>
  <c r="F12" i="23" s="1"/>
  <c r="C17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3" i="21"/>
  <c r="C2" i="21"/>
  <c r="K9" i="21"/>
  <c r="K10" i="21"/>
  <c r="K11" i="21"/>
  <c r="K12" i="21"/>
  <c r="K13" i="21"/>
  <c r="K14" i="21"/>
  <c r="K15" i="21"/>
  <c r="K16" i="21"/>
  <c r="K17" i="21"/>
  <c r="K3" i="21"/>
  <c r="K4" i="21"/>
  <c r="K5" i="21"/>
  <c r="K6" i="21"/>
  <c r="K7" i="21"/>
  <c r="K8" i="21"/>
  <c r="K2" i="21"/>
  <c r="D16" i="19" l="1"/>
  <c r="F16" i="19" s="1"/>
  <c r="D10" i="19"/>
  <c r="F10" i="19" s="1"/>
  <c r="D9" i="19"/>
  <c r="F9" i="19" s="1"/>
  <c r="D17" i="19"/>
  <c r="F17" i="19" s="1"/>
  <c r="D15" i="19"/>
  <c r="F15" i="19" s="1"/>
  <c r="D14" i="19"/>
  <c r="F14" i="19" s="1"/>
  <c r="D13" i="19"/>
  <c r="F13" i="19" s="1"/>
  <c r="D12" i="19"/>
  <c r="F12" i="19" s="1"/>
  <c r="D11" i="19"/>
  <c r="F11" i="19" s="1"/>
  <c r="D8" i="19"/>
  <c r="F8" i="19" s="1"/>
  <c r="F7" i="19"/>
  <c r="D7" i="19"/>
  <c r="D6" i="19"/>
  <c r="F6" i="19" s="1"/>
  <c r="D5" i="19"/>
  <c r="F5" i="19" s="1"/>
  <c r="D4" i="19"/>
  <c r="F4" i="19" s="1"/>
  <c r="D2" i="19"/>
  <c r="F2" i="19" s="1"/>
  <c r="D3" i="19"/>
  <c r="F3" i="19" s="1"/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2" i="17"/>
  <c r="M3" i="17"/>
  <c r="G4" i="17" l="1"/>
  <c r="G5" i="17"/>
  <c r="G6" i="17"/>
  <c r="G7" i="17"/>
  <c r="G8" i="17"/>
  <c r="G9" i="17"/>
  <c r="G10" i="17"/>
  <c r="G13" i="17"/>
  <c r="G14" i="17"/>
  <c r="G15" i="17"/>
  <c r="G16" i="17"/>
  <c r="G17" i="17"/>
  <c r="G2" i="17"/>
  <c r="E12" i="17" l="1"/>
  <c r="G12" i="17" s="1"/>
  <c r="E11" i="17"/>
  <c r="G11" i="17" s="1"/>
  <c r="E3" i="17" l="1"/>
  <c r="G3" i="17" s="1"/>
  <c r="D2" i="15" l="1"/>
  <c r="F2" i="15"/>
  <c r="D3" i="15"/>
  <c r="F3" i="15"/>
  <c r="D4" i="15"/>
  <c r="F4" i="15"/>
  <c r="D5" i="15"/>
  <c r="F5" i="15"/>
  <c r="D6" i="15"/>
  <c r="F6" i="15"/>
  <c r="F7" i="15"/>
  <c r="D8" i="15"/>
  <c r="F8" i="15"/>
  <c r="D9" i="15"/>
  <c r="F9" i="15"/>
  <c r="D10" i="15"/>
  <c r="F10" i="15"/>
  <c r="D11" i="15"/>
  <c r="F11" i="15"/>
  <c r="D12" i="15"/>
  <c r="F12" i="15"/>
  <c r="D13" i="15"/>
  <c r="F13" i="15"/>
  <c r="D14" i="15"/>
  <c r="F14" i="15"/>
  <c r="D15" i="15"/>
  <c r="F15" i="15"/>
  <c r="D7" i="15"/>
  <c r="G3" i="13"/>
  <c r="G4" i="13"/>
  <c r="G5" i="13"/>
  <c r="G6" i="13"/>
  <c r="G7" i="13"/>
  <c r="G8" i="13"/>
  <c r="G9" i="13"/>
  <c r="G10" i="13"/>
  <c r="G11" i="13"/>
  <c r="G12" i="13"/>
  <c r="G13" i="13"/>
  <c r="G14" i="13"/>
  <c r="G2" i="13"/>
  <c r="C2" i="11"/>
  <c r="E2" i="11"/>
  <c r="C3" i="1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  <c r="C11" i="11"/>
  <c r="E11" i="11"/>
  <c r="C12" i="11"/>
  <c r="E12" i="11"/>
  <c r="C13" i="11"/>
  <c r="E13" i="11"/>
  <c r="C14" i="11"/>
  <c r="E14" i="11"/>
  <c r="D9" i="23" l="1"/>
  <c r="F9" i="23" s="1"/>
  <c r="D3" i="23"/>
  <c r="F3" i="23" s="1"/>
  <c r="D4" i="23"/>
  <c r="F4" i="23" s="1"/>
  <c r="D11" i="23"/>
  <c r="F11" i="23" s="1"/>
  <c r="D15" i="23"/>
  <c r="F15" i="23" s="1"/>
  <c r="D16" i="23"/>
  <c r="F16" i="23" s="1"/>
  <c r="D2" i="23"/>
  <c r="F2" i="23" s="1"/>
  <c r="D14" i="23"/>
  <c r="F14" i="23" s="1"/>
  <c r="D10" i="23"/>
  <c r="F10" i="23" s="1"/>
  <c r="D17" i="23"/>
  <c r="F17" i="23" s="1"/>
  <c r="D5" i="23"/>
  <c r="F5" i="23" s="1"/>
  <c r="D7" i="23"/>
  <c r="F7" i="23" s="1"/>
  <c r="D13" i="23"/>
  <c r="F13" i="23" s="1"/>
  <c r="D6" i="23"/>
  <c r="D8" i="23"/>
  <c r="F8" i="23" s="1"/>
</calcChain>
</file>

<file path=xl/sharedStrings.xml><?xml version="1.0" encoding="utf-8"?>
<sst xmlns="http://schemas.openxmlformats.org/spreadsheetml/2006/main" count="623" uniqueCount="63">
  <si>
    <t>PAULO CESAR</t>
  </si>
  <si>
    <t>MOTORISTA</t>
  </si>
  <si>
    <t>RECEITA</t>
  </si>
  <si>
    <t xml:space="preserve">CRISTIANO CARLOS </t>
  </si>
  <si>
    <t xml:space="preserve">DANIEL ANTÔNIO </t>
  </si>
  <si>
    <t>DEIVID MACHADO</t>
  </si>
  <si>
    <t xml:space="preserve">EDUARDO HENRIQUE </t>
  </si>
  <si>
    <t>FRANCISCO CHAGAS</t>
  </si>
  <si>
    <t xml:space="preserve">PAULO ALEXANDRE </t>
  </si>
  <si>
    <t>WEDER ALVES</t>
  </si>
  <si>
    <t>QTN-7740</t>
  </si>
  <si>
    <t>PRD-9480</t>
  </si>
  <si>
    <t>PQT-2870</t>
  </si>
  <si>
    <t>PQT-2860</t>
  </si>
  <si>
    <t>PQT-7568</t>
  </si>
  <si>
    <t>PRT-7820</t>
  </si>
  <si>
    <t>PRR-9470</t>
  </si>
  <si>
    <t>PLACA</t>
  </si>
  <si>
    <t>PRT-7940</t>
  </si>
  <si>
    <t>Soma de RECEITA</t>
  </si>
  <si>
    <t>Rótulos de Linha</t>
  </si>
  <si>
    <t>Total Geral</t>
  </si>
  <si>
    <t>RODRIGO MESSIAS</t>
  </si>
  <si>
    <t>MESSIAS</t>
  </si>
  <si>
    <t>BEGUEM</t>
  </si>
  <si>
    <t>QTP-4170</t>
  </si>
  <si>
    <t>QTP-4270</t>
  </si>
  <si>
    <t>QTO-0360</t>
  </si>
  <si>
    <t>QTO-0370</t>
  </si>
  <si>
    <t>DIVINO FERNANDES</t>
  </si>
  <si>
    <t>PRT-6530</t>
  </si>
  <si>
    <t>EDSON LÚCIO</t>
  </si>
  <si>
    <t>ok</t>
  </si>
  <si>
    <t>Coluna1</t>
  </si>
  <si>
    <t>Comissão</t>
  </si>
  <si>
    <t>ROGERIO RODRIGUES</t>
  </si>
  <si>
    <t>BEGUEM CORDIERO</t>
  </si>
  <si>
    <t>MESSIAS FERNANDES</t>
  </si>
  <si>
    <t>Atualizado até:</t>
  </si>
  <si>
    <t>MOTORISTAS</t>
  </si>
  <si>
    <t>-</t>
  </si>
  <si>
    <t>DDD</t>
  </si>
  <si>
    <t xml:space="preserve">RECEITA </t>
  </si>
  <si>
    <t xml:space="preserve">BASE DA COMISSÃO </t>
  </si>
  <si>
    <t>ADAIR</t>
  </si>
  <si>
    <t>WALDIR DE OLIVEIRA</t>
  </si>
  <si>
    <t>MARCOS ROBERTO</t>
  </si>
  <si>
    <t>THOOR</t>
  </si>
  <si>
    <t>FORZA</t>
  </si>
  <si>
    <t xml:space="preserve">JOSE LUIZ </t>
  </si>
  <si>
    <t>thoor</t>
  </si>
  <si>
    <t>forza</t>
  </si>
  <si>
    <t>JOSE LUIZ</t>
  </si>
  <si>
    <t>MIKCHAEL</t>
  </si>
  <si>
    <t>NEURI</t>
  </si>
  <si>
    <t>EQU-7403</t>
  </si>
  <si>
    <t>ONU-1725</t>
  </si>
  <si>
    <t>MOTOTISTA</t>
  </si>
  <si>
    <t>FCF-8347</t>
  </si>
  <si>
    <t>BEGUEM CORDEIRO</t>
  </si>
  <si>
    <t>TOTAL</t>
  </si>
  <si>
    <t xml:space="preserve">BRUNO </t>
  </si>
  <si>
    <t>YGOR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</si>
</sst>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5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/>
    <xf numFmtId="44" fontId="0" fillId="0" borderId="8" xfId="0" applyNumberFormat="1" applyBorder="1"/>
    <xf numFmtId="0" fontId="0" fillId="0" borderId="1" xfId="0" applyBorder="1"/>
    <xf numFmtId="44" fontId="0" fillId="0" borderId="9" xfId="0" applyNumberFormat="1" applyBorder="1"/>
    <xf numFmtId="44" fontId="0" fillId="2" borderId="7" xfId="0" applyNumberFormat="1" applyFill="1" applyBorder="1"/>
    <xf numFmtId="0" fontId="0" fillId="2" borderId="6" xfId="0" applyFill="1" applyBorder="1"/>
    <xf numFmtId="0" fontId="0" fillId="0" borderId="6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 applyAlignment="1">
      <alignment horizontal="left" indent="1"/>
    </xf>
    <xf numFmtId="44" fontId="0" fillId="0" borderId="0" xfId="1" applyFont="1"/>
    <xf numFmtId="14" fontId="0" fillId="0" borderId="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14" fontId="2" fillId="3" borderId="11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 applyAlignment="1">
      <alignment horizontal="center"/>
    </xf>
    <xf numFmtId="0" fontId="0" fillId="4" borderId="0" xfId="0" applyFill="1"/>
    <xf numFmtId="44" fontId="0" fillId="4" borderId="0" xfId="0" applyNumberFormat="1" applyFill="1" applyAlignment="1">
      <alignment horizontal="center"/>
    </xf>
    <xf numFmtId="44" fontId="0" fillId="0" borderId="0" xfId="1" applyNumberFormat="1" applyFont="1" applyAlignment="1">
      <alignment horizontal="center"/>
    </xf>
    <xf numFmtId="0" fontId="0" fillId="4" borderId="0" xfId="0" applyFill="1" applyAlignment="1">
      <alignment horizontal="left"/>
    </xf>
    <xf numFmtId="44" fontId="0" fillId="4" borderId="0" xfId="0" applyNumberFormat="1" applyFill="1"/>
    <xf numFmtId="44" fontId="0" fillId="0" borderId="15" xfId="1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6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0" applyNumberFormat="1" applyFont="1" applyFill="1" applyAlignment="1">
      <alignment horizontal="center"/>
    </xf>
    <xf numFmtId="44" fontId="0" fillId="0" borderId="0" xfId="1" applyNumberFormat="1" applyFont="1"/>
    <xf numFmtId="16" fontId="0" fillId="0" borderId="0" xfId="0" applyNumberFormat="1"/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44" fontId="0" fillId="0" borderId="0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139">
    <dxf>
      <numFmt numFmtId="34" formatCode="_-&quot;R$&quot;\ * #,##0.00_-;\-&quot;R$&quot;\ * #,##0.00_-;_-&quot;R$&quot;\ * &quot;-&quot;??_-;_-@_-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0872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[FATURAMENTO FROTA.xlsx]JANEIRO !Tabela dinâmica1</c:name>
    <c:fmtId val="2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'JANEIRO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'JANEIRO '!$A$4:$A$30</c:f>
              <c:multiLvlStrCache>
                <c:ptCount val="13"/>
                <c:lvl>
                  <c:pt idx="0">
                    <c:v>PRD-9480</c:v>
                  </c:pt>
                  <c:pt idx="1">
                    <c:v>QTO-0370</c:v>
                  </c:pt>
                  <c:pt idx="2">
                    <c:v>PRT-7940</c:v>
                  </c:pt>
                  <c:pt idx="3">
                    <c:v>PQT-7568</c:v>
                  </c:pt>
                  <c:pt idx="4">
                    <c:v>PQT-2860</c:v>
                  </c:pt>
                  <c:pt idx="5">
                    <c:v>QTP-4170</c:v>
                  </c:pt>
                  <c:pt idx="6">
                    <c:v>QTO-0360</c:v>
                  </c:pt>
                  <c:pt idx="7">
                    <c:v>PRT-6530</c:v>
                  </c:pt>
                  <c:pt idx="8">
                    <c:v>PRR-9470</c:v>
                  </c:pt>
                  <c:pt idx="9">
                    <c:v>PRT-7820</c:v>
                  </c:pt>
                  <c:pt idx="10">
                    <c:v>PQT-2870</c:v>
                  </c:pt>
                  <c:pt idx="11">
                    <c:v>QTP-4270</c:v>
                  </c:pt>
                  <c:pt idx="12">
                    <c:v>QTN-7740</c:v>
                  </c:pt>
                </c:lvl>
                <c:lvl>
                  <c:pt idx="0">
                    <c:v>FRANCISCO CHAGAS</c:v>
                  </c:pt>
                  <c:pt idx="1">
                    <c:v>RODRIGO MESSIAS</c:v>
                  </c:pt>
                  <c:pt idx="2">
                    <c:v>CRISTIANO CARLOS </c:v>
                  </c:pt>
                  <c:pt idx="3">
                    <c:v>EDSON LÚCIO</c:v>
                  </c:pt>
                  <c:pt idx="4">
                    <c:v>DANIEL ANTÔNIO </c:v>
                  </c:pt>
                  <c:pt idx="5">
                    <c:v>PAULO CESAR</c:v>
                  </c:pt>
                  <c:pt idx="6">
                    <c:v>MESSIAS</c:v>
                  </c:pt>
                  <c:pt idx="7">
                    <c:v>DIVINO FERNANDES</c:v>
                  </c:pt>
                  <c:pt idx="8">
                    <c:v>DEIVID MACHADO</c:v>
                  </c:pt>
                  <c:pt idx="9">
                    <c:v>WEDER ALVES</c:v>
                  </c:pt>
                  <c:pt idx="10">
                    <c:v>PAULO ALEXANDRE </c:v>
                  </c:pt>
                  <c:pt idx="11">
                    <c:v>BEGUEM</c:v>
                  </c:pt>
                  <c:pt idx="12">
                    <c:v>EDUARDO HENRIQUE </c:v>
                  </c:pt>
                </c:lvl>
              </c:multiLvlStrCache>
            </c:multiLvlStrRef>
          </c:cat>
          <c:val>
            <c:numRef>
              <c:f>'JANEIRO '!$B$4:$B$30</c:f>
              <c:numCache>
                <c:formatCode>_("R$"* #,##0.00_);_("R$"* \(#,##0.00\);_("R$"* "-"??_);_(@_)</c:formatCode>
                <c:ptCount val="13"/>
                <c:pt idx="0">
                  <c:v>35664.019999999997</c:v>
                </c:pt>
                <c:pt idx="1">
                  <c:v>35742.01</c:v>
                </c:pt>
                <c:pt idx="2">
                  <c:v>40548.9</c:v>
                </c:pt>
                <c:pt idx="3">
                  <c:v>42820.899999999994</c:v>
                </c:pt>
                <c:pt idx="4">
                  <c:v>44938.46</c:v>
                </c:pt>
                <c:pt idx="5">
                  <c:v>50967.280000000006</c:v>
                </c:pt>
                <c:pt idx="6">
                  <c:v>54851.420000000006</c:v>
                </c:pt>
                <c:pt idx="7">
                  <c:v>54871.34</c:v>
                </c:pt>
                <c:pt idx="8">
                  <c:v>55590.53</c:v>
                </c:pt>
                <c:pt idx="9">
                  <c:v>59219.26</c:v>
                </c:pt>
                <c:pt idx="10">
                  <c:v>61620.68</c:v>
                </c:pt>
                <c:pt idx="11">
                  <c:v>61645.21</c:v>
                </c:pt>
                <c:pt idx="12">
                  <c:v>98282.939999999988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F-4ECE-9ED6-2B95826E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23284184"/>
        <c:axId val="623284840"/>
      </c:barChart>
      <c:catAx>
        <c:axId val="6232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284840"/>
        <c:crosses val="autoZero"/>
        <c:auto val="1"/>
        <c:lblAlgn val="ctr"/>
        <c:lblOffset val="100"/>
        <c:noMultiLvlLbl val="0"/>
      </c:catAx>
      <c:valAx>
        <c:axId val="623284840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28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[FATURAMENTO FROTA.xlsx]FEVERERIO !Tabela dinâmica1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'FEVERERIO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'FEVERERIO '!$A$4:$A$31</c:f>
              <c:multiLvlStrCache>
                <c:ptCount val="14"/>
                <c:lvl>
                  <c:pt idx="0">
                    <c:v>PRD-9480</c:v>
                  </c:pt>
                  <c:pt idx="1">
                    <c:v>PQT-2860</c:v>
                  </c:pt>
                  <c:pt idx="2">
                    <c:v>PQT-2870</c:v>
                  </c:pt>
                  <c:pt idx="3">
                    <c:v>PRT-7820</c:v>
                  </c:pt>
                  <c:pt idx="4">
                    <c:v>QTO-0360</c:v>
                  </c:pt>
                  <c:pt idx="5">
                    <c:v>QTP-4170</c:v>
                  </c:pt>
                  <c:pt idx="6">
                    <c:v>QTO-0370</c:v>
                  </c:pt>
                  <c:pt idx="7">
                    <c:v>QTP-4270</c:v>
                  </c:pt>
                  <c:pt idx="8">
                    <c:v>PRT-6530</c:v>
                  </c:pt>
                  <c:pt idx="9">
                    <c:v>PQT-7568</c:v>
                  </c:pt>
                  <c:pt idx="10">
                    <c:v>PRR-9470</c:v>
                  </c:pt>
                  <c:pt idx="11">
                    <c:v>QTO-0360</c:v>
                  </c:pt>
                  <c:pt idx="12">
                    <c:v>PRT-7940</c:v>
                  </c:pt>
                  <c:pt idx="13">
                    <c:v>QTN-7740</c:v>
                  </c:pt>
                </c:lvl>
                <c:lvl>
                  <c:pt idx="0">
                    <c:v>FRANCISCO CHAGAS</c:v>
                  </c:pt>
                  <c:pt idx="1">
                    <c:v>DANIEL ANTÔNIO </c:v>
                  </c:pt>
                  <c:pt idx="2">
                    <c:v>PAULO ALEXANDRE </c:v>
                  </c:pt>
                  <c:pt idx="3">
                    <c:v>WEDER ALVES</c:v>
                  </c:pt>
                  <c:pt idx="4">
                    <c:v>MESSIAS FERNANDES</c:v>
                  </c:pt>
                  <c:pt idx="5">
                    <c:v>PAULO CESAR</c:v>
                  </c:pt>
                  <c:pt idx="6">
                    <c:v>RODRIGO MESSIAS</c:v>
                  </c:pt>
                  <c:pt idx="7">
                    <c:v>BEGUEM CORDIERO</c:v>
                  </c:pt>
                  <c:pt idx="8">
                    <c:v>DIVINO FERNANDES</c:v>
                  </c:pt>
                  <c:pt idx="9">
                    <c:v>EDSON LÚCIO</c:v>
                  </c:pt>
                  <c:pt idx="10">
                    <c:v>DEIVID MACHADO</c:v>
                  </c:pt>
                  <c:pt idx="12">
                    <c:v>ROGERIO RODRIGUES</c:v>
                  </c:pt>
                  <c:pt idx="13">
                    <c:v>EDUARDO HENRIQUE </c:v>
                  </c:pt>
                </c:lvl>
              </c:multiLvlStrCache>
            </c:multiLvlStrRef>
          </c:cat>
          <c:val>
            <c:numRef>
              <c:f>'FEVERERIO '!$B$4:$B$31</c:f>
              <c:numCache>
                <c:formatCode>_("R$"* #,##0.00_);_("R$"* \(#,##0.00\);_("R$"* "-"??_);_(@_)</c:formatCode>
                <c:ptCount val="14"/>
                <c:pt idx="0">
                  <c:v>19352.689999999999</c:v>
                </c:pt>
                <c:pt idx="1">
                  <c:v>41518.43</c:v>
                </c:pt>
                <c:pt idx="2">
                  <c:v>42094.86</c:v>
                </c:pt>
                <c:pt idx="3">
                  <c:v>43035.69</c:v>
                </c:pt>
                <c:pt idx="4">
                  <c:v>46650.36</c:v>
                </c:pt>
                <c:pt idx="5">
                  <c:v>48245.72</c:v>
                </c:pt>
                <c:pt idx="6">
                  <c:v>51112.53</c:v>
                </c:pt>
                <c:pt idx="7">
                  <c:v>59196.74</c:v>
                </c:pt>
                <c:pt idx="8">
                  <c:v>60362.01</c:v>
                </c:pt>
                <c:pt idx="9">
                  <c:v>60443.07</c:v>
                </c:pt>
                <c:pt idx="10">
                  <c:v>57323.95</c:v>
                </c:pt>
                <c:pt idx="11">
                  <c:v>4307.03</c:v>
                </c:pt>
                <c:pt idx="12">
                  <c:v>80236.42</c:v>
                </c:pt>
                <c:pt idx="13">
                  <c:v>80663.350000000006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3-4B97-9DCA-C43E861A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7013672"/>
        <c:axId val="507018592"/>
      </c:barChart>
      <c:catAx>
        <c:axId val="50701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18592"/>
        <c:crosses val="autoZero"/>
        <c:auto val="1"/>
        <c:lblAlgn val="ctr"/>
        <c:lblOffset val="100"/>
        <c:noMultiLvlLbl val="0"/>
      </c:catAx>
      <c:valAx>
        <c:axId val="50701859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13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[FATURAMENTO FROTA.xlsx]MARÇO!Tabela dinâmica1</c:name>
    <c:fmtId val="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MARÇO!$B$3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MARÇO!$A$4:$A$34</c:f>
              <c:multiLvlStrCache>
                <c:ptCount val="17"/>
                <c:lvl>
                  <c:pt idx="0">
                    <c:v>FRANCISCO CHAGAS</c:v>
                  </c:pt>
                  <c:pt idx="1">
                    <c:v>WALDIR DE OLIVEIRA</c:v>
                  </c:pt>
                  <c:pt idx="2">
                    <c:v>JOSE LUIZ </c:v>
                  </c:pt>
                  <c:pt idx="3">
                    <c:v>DEIVID MACHADO</c:v>
                  </c:pt>
                  <c:pt idx="4">
                    <c:v>WEDER ALVES</c:v>
                  </c:pt>
                  <c:pt idx="5">
                    <c:v>ROGERIO RODRIGUES</c:v>
                  </c:pt>
                  <c:pt idx="6">
                    <c:v>MARCOS ROBERTO</c:v>
                  </c:pt>
                  <c:pt idx="7">
                    <c:v>BEGUEM CORDIERO</c:v>
                  </c:pt>
                  <c:pt idx="8">
                    <c:v>MESSIAS FERNANDES</c:v>
                  </c:pt>
                  <c:pt idx="9">
                    <c:v>DIVINO FERNANDES</c:v>
                  </c:pt>
                  <c:pt idx="10">
                    <c:v>ADAIR</c:v>
                  </c:pt>
                  <c:pt idx="11">
                    <c:v>ROGERIO RODRIGUES</c:v>
                  </c:pt>
                  <c:pt idx="12">
                    <c:v>RODRIGO MESSIAS</c:v>
                  </c:pt>
                  <c:pt idx="13">
                    <c:v>PAULO CESAR</c:v>
                  </c:pt>
                  <c:pt idx="14">
                    <c:v>PAULO ALEXANDRE </c:v>
                  </c:pt>
                  <c:pt idx="15">
                    <c:v>EDUARDO HENRIQUE </c:v>
                  </c:pt>
                  <c:pt idx="16">
                    <c:v>EDSON LÚCIO</c:v>
                  </c:pt>
                </c:lvl>
                <c:lvl>
                  <c:pt idx="0">
                    <c:v>PRD-9480</c:v>
                  </c:pt>
                  <c:pt idx="3">
                    <c:v>PRR-9470</c:v>
                  </c:pt>
                  <c:pt idx="4">
                    <c:v>PRT-7820</c:v>
                  </c:pt>
                  <c:pt idx="5">
                    <c:v>PRT-7940</c:v>
                  </c:pt>
                  <c:pt idx="7">
                    <c:v>QTP-4270</c:v>
                  </c:pt>
                  <c:pt idx="8">
                    <c:v>QTO-0360</c:v>
                  </c:pt>
                  <c:pt idx="9">
                    <c:v>PRT-6530</c:v>
                  </c:pt>
                  <c:pt idx="10">
                    <c:v>PQT-2860</c:v>
                  </c:pt>
                  <c:pt idx="12">
                    <c:v>QTO-0370</c:v>
                  </c:pt>
                  <c:pt idx="13">
                    <c:v>QTP-4170</c:v>
                  </c:pt>
                  <c:pt idx="14">
                    <c:v>PQT-2870</c:v>
                  </c:pt>
                  <c:pt idx="15">
                    <c:v>QTN-7740</c:v>
                  </c:pt>
                  <c:pt idx="16">
                    <c:v>PQT-7568</c:v>
                  </c:pt>
                </c:lvl>
              </c:multiLvlStrCache>
            </c:multiLvlStrRef>
          </c:cat>
          <c:val>
            <c:numRef>
              <c:f>MARÇO!$B$4:$B$34</c:f>
              <c:numCache>
                <c:formatCode>_("R$"* #,##0.00_);_("R$"* \(#,##0.00\);_("R$"* "-"??_);_(@_)</c:formatCode>
                <c:ptCount val="17"/>
                <c:pt idx="0">
                  <c:v>10131.1</c:v>
                </c:pt>
                <c:pt idx="1">
                  <c:v>7880.37</c:v>
                </c:pt>
                <c:pt idx="2">
                  <c:v>6840.33</c:v>
                </c:pt>
                <c:pt idx="3">
                  <c:v>49722.61</c:v>
                </c:pt>
                <c:pt idx="4">
                  <c:v>53837</c:v>
                </c:pt>
                <c:pt idx="5">
                  <c:v>49095.14</c:v>
                </c:pt>
                <c:pt idx="6">
                  <c:v>9062.4599999999991</c:v>
                </c:pt>
                <c:pt idx="7">
                  <c:v>60167.7</c:v>
                </c:pt>
                <c:pt idx="8">
                  <c:v>63349.46</c:v>
                </c:pt>
                <c:pt idx="9">
                  <c:v>63913.73</c:v>
                </c:pt>
                <c:pt idx="10">
                  <c:v>38674.480000000003</c:v>
                </c:pt>
                <c:pt idx="11">
                  <c:v>26222.44</c:v>
                </c:pt>
                <c:pt idx="12">
                  <c:v>69598.2</c:v>
                </c:pt>
                <c:pt idx="13">
                  <c:v>69633.3</c:v>
                </c:pt>
                <c:pt idx="14">
                  <c:v>73571.3</c:v>
                </c:pt>
                <c:pt idx="15">
                  <c:v>80316.09</c:v>
                </c:pt>
                <c:pt idx="16">
                  <c:v>80847.600000000006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3-4FB1-B6DC-DDD43D74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48263000"/>
        <c:axId val="548263656"/>
      </c:barChart>
      <c:catAx>
        <c:axId val="5482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63656"/>
        <c:crosses val="autoZero"/>
        <c:auto val="1"/>
        <c:lblAlgn val="ctr"/>
        <c:lblOffset val="100"/>
        <c:noMultiLvlLbl val="0"/>
      </c:catAx>
      <c:valAx>
        <c:axId val="54826365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63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[FATURAMENTO FROTA.xlsx]ABRIL!Tabela dinâmica5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ABRIL!$B$3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ABRIL!$A$4:$A$38</c:f>
              <c:multiLvlStrCache>
                <c:ptCount val="18"/>
                <c:lvl>
                  <c:pt idx="0">
                    <c:v>EQU-7403</c:v>
                  </c:pt>
                  <c:pt idx="1">
                    <c:v>PRT-7940</c:v>
                  </c:pt>
                  <c:pt idx="2">
                    <c:v>QTO-0360</c:v>
                  </c:pt>
                  <c:pt idx="3">
                    <c:v>ONU-1725</c:v>
                  </c:pt>
                  <c:pt idx="4">
                    <c:v>QTO-0360</c:v>
                  </c:pt>
                  <c:pt idx="5">
                    <c:v>PRD-9480</c:v>
                  </c:pt>
                  <c:pt idx="6">
                    <c:v>PRT-7820</c:v>
                  </c:pt>
                  <c:pt idx="7">
                    <c:v>PRD-9480</c:v>
                  </c:pt>
                  <c:pt idx="8">
                    <c:v>PRT-7940</c:v>
                  </c:pt>
                  <c:pt idx="9">
                    <c:v>QTO-0370</c:v>
                  </c:pt>
                  <c:pt idx="10">
                    <c:v>QTP-4170</c:v>
                  </c:pt>
                  <c:pt idx="11">
                    <c:v>PQT-2860</c:v>
                  </c:pt>
                  <c:pt idx="12">
                    <c:v>PRT-6530</c:v>
                  </c:pt>
                  <c:pt idx="13">
                    <c:v>PQT-7568</c:v>
                  </c:pt>
                  <c:pt idx="14">
                    <c:v>QTP-4270</c:v>
                  </c:pt>
                  <c:pt idx="15">
                    <c:v>PQT-2870</c:v>
                  </c:pt>
                  <c:pt idx="16">
                    <c:v>PRR-9470</c:v>
                  </c:pt>
                  <c:pt idx="17">
                    <c:v>QTN-7740</c:v>
                  </c:pt>
                </c:lvl>
                <c:lvl>
                  <c:pt idx="0">
                    <c:v>NEURI</c:v>
                  </c:pt>
                  <c:pt idx="1">
                    <c:v>MARCOS ROBERTO</c:v>
                  </c:pt>
                  <c:pt idx="2">
                    <c:v>MIKCHAEL</c:v>
                  </c:pt>
                  <c:pt idx="4">
                    <c:v>MESSIAS FERNANDES</c:v>
                  </c:pt>
                  <c:pt idx="5">
                    <c:v>FRANCISCO CHAGAS</c:v>
                  </c:pt>
                  <c:pt idx="6">
                    <c:v>WEDER ALVES</c:v>
                  </c:pt>
                  <c:pt idx="7">
                    <c:v>JOSE LUIZ</c:v>
                  </c:pt>
                  <c:pt idx="9">
                    <c:v>RODRIGO MESSIAS</c:v>
                  </c:pt>
                  <c:pt idx="10">
                    <c:v>PAULO CESAR</c:v>
                  </c:pt>
                  <c:pt idx="11">
                    <c:v>ROGERIO RODRIGUES</c:v>
                  </c:pt>
                  <c:pt idx="12">
                    <c:v>DIVINO FERNANDES</c:v>
                  </c:pt>
                  <c:pt idx="13">
                    <c:v>EDSON LÚCIO</c:v>
                  </c:pt>
                  <c:pt idx="14">
                    <c:v>BEGUEM CORDIERO</c:v>
                  </c:pt>
                  <c:pt idx="15">
                    <c:v>PAULO ALEXANDRE </c:v>
                  </c:pt>
                  <c:pt idx="16">
                    <c:v>DEIVID MACHADO</c:v>
                  </c:pt>
                  <c:pt idx="17">
                    <c:v>EDUARDO HENRIQUE </c:v>
                  </c:pt>
                </c:lvl>
              </c:multiLvlStrCache>
            </c:multiLvlStrRef>
          </c:cat>
          <c:val>
            <c:numRef>
              <c:f>ABRIL!$B$4:$B$38</c:f>
              <c:numCache>
                <c:formatCode>_("R$"* #,##0.00_);_("R$"* \(#,##0.00\);_("R$"* "-"??_);_(@_)</c:formatCode>
                <c:ptCount val="18"/>
                <c:pt idx="0">
                  <c:v>7778.04</c:v>
                </c:pt>
                <c:pt idx="1">
                  <c:v>22785.7</c:v>
                </c:pt>
                <c:pt idx="2">
                  <c:v>22182.34</c:v>
                </c:pt>
                <c:pt idx="3">
                  <c:v>793.68</c:v>
                </c:pt>
                <c:pt idx="4">
                  <c:v>52695.4</c:v>
                </c:pt>
                <c:pt idx="5">
                  <c:v>53605.929999999993</c:v>
                </c:pt>
                <c:pt idx="6">
                  <c:v>72354.010000000009</c:v>
                </c:pt>
                <c:pt idx="7">
                  <c:v>26806.400000000001</c:v>
                </c:pt>
                <c:pt idx="8">
                  <c:v>46098.899999999994</c:v>
                </c:pt>
                <c:pt idx="9">
                  <c:v>75516.760000000009</c:v>
                </c:pt>
                <c:pt idx="10">
                  <c:v>76602.8</c:v>
                </c:pt>
                <c:pt idx="11">
                  <c:v>77207.670000000013</c:v>
                </c:pt>
                <c:pt idx="12">
                  <c:v>79038.06</c:v>
                </c:pt>
                <c:pt idx="13">
                  <c:v>79299.199999999997</c:v>
                </c:pt>
                <c:pt idx="14">
                  <c:v>80480.2</c:v>
                </c:pt>
                <c:pt idx="15">
                  <c:v>86872.13</c:v>
                </c:pt>
                <c:pt idx="16">
                  <c:v>87816.6</c:v>
                </c:pt>
                <c:pt idx="17">
                  <c:v>89291.459999999992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2-475B-A5EC-1A254000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13930168"/>
        <c:axId val="421785224"/>
      </c:barChart>
      <c:catAx>
        <c:axId val="5139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785224"/>
        <c:crosses val="autoZero"/>
        <c:auto val="1"/>
        <c:lblAlgn val="ctr"/>
        <c:lblOffset val="100"/>
        <c:noMultiLvlLbl val="0"/>
      </c:catAx>
      <c:valAx>
        <c:axId val="42178522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930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[FATURAMENTO FROTA.xlsx]MAIO!Tabela dinâmica1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MAIO!$A$4:$A$36</c:f>
              <c:multiLvlStrCache>
                <c:ptCount val="17"/>
                <c:lvl>
                  <c:pt idx="0">
                    <c:v>EQU-7403</c:v>
                  </c:pt>
                  <c:pt idx="1">
                    <c:v>FCF-8347</c:v>
                  </c:pt>
                  <c:pt idx="2">
                    <c:v>QTO-0370</c:v>
                  </c:pt>
                  <c:pt idx="3">
                    <c:v>PRT-7940</c:v>
                  </c:pt>
                  <c:pt idx="4">
                    <c:v>PRR-9470</c:v>
                  </c:pt>
                  <c:pt idx="5">
                    <c:v>QTO-0360</c:v>
                  </c:pt>
                  <c:pt idx="6">
                    <c:v>PQT-2870</c:v>
                  </c:pt>
                  <c:pt idx="7">
                    <c:v>PRD-9480</c:v>
                  </c:pt>
                  <c:pt idx="8">
                    <c:v>PQT-7568</c:v>
                  </c:pt>
                  <c:pt idx="9">
                    <c:v>FCF-8347</c:v>
                  </c:pt>
                  <c:pt idx="10">
                    <c:v>QTO-0370</c:v>
                  </c:pt>
                  <c:pt idx="11">
                    <c:v>PRT-6530</c:v>
                  </c:pt>
                  <c:pt idx="12">
                    <c:v>PQT-2860</c:v>
                  </c:pt>
                  <c:pt idx="13">
                    <c:v>PRT-7820</c:v>
                  </c:pt>
                  <c:pt idx="14">
                    <c:v>QTP-4270</c:v>
                  </c:pt>
                  <c:pt idx="15">
                    <c:v>QTP-4170</c:v>
                  </c:pt>
                  <c:pt idx="16">
                    <c:v>QTN-7740</c:v>
                  </c:pt>
                </c:lvl>
                <c:lvl>
                  <c:pt idx="0">
                    <c:v>NEURI</c:v>
                  </c:pt>
                  <c:pt idx="1">
                    <c:v>MESSIAS FERNANDES</c:v>
                  </c:pt>
                  <c:pt idx="3">
                    <c:v>JOSE LUIZ</c:v>
                  </c:pt>
                  <c:pt idx="4">
                    <c:v>DEIVID MACHADO</c:v>
                  </c:pt>
                  <c:pt idx="5">
                    <c:v>MIKCHAEL</c:v>
                  </c:pt>
                  <c:pt idx="6">
                    <c:v>PAULO ALEXANDRE </c:v>
                  </c:pt>
                  <c:pt idx="7">
                    <c:v>FRANCISCO CHAGAS</c:v>
                  </c:pt>
                  <c:pt idx="8">
                    <c:v>EDSON LÚCIO</c:v>
                  </c:pt>
                  <c:pt idx="9">
                    <c:v>RODRIGO MESSIAS</c:v>
                  </c:pt>
                  <c:pt idx="11">
                    <c:v>DIVINO FERNANDES</c:v>
                  </c:pt>
                  <c:pt idx="12">
                    <c:v>ROGERIO RODRIGUES</c:v>
                  </c:pt>
                  <c:pt idx="13">
                    <c:v>WEDER ALVES</c:v>
                  </c:pt>
                  <c:pt idx="14">
                    <c:v>BEGUEM CORDEIRO</c:v>
                  </c:pt>
                  <c:pt idx="15">
                    <c:v>PAULO CESAR</c:v>
                  </c:pt>
                  <c:pt idx="16">
                    <c:v>EDUARDO HENRIQUE </c:v>
                  </c:pt>
                </c:lvl>
              </c:multiLvlStrCache>
            </c:multiLvlStrRef>
          </c:cat>
          <c:val>
            <c:numRef>
              <c:f>MAIO!$B$4:$B$36</c:f>
              <c:numCache>
                <c:formatCode>_("R$"* #,##0.00_);_("R$"* \(#,##0.00\);_("R$"* "-"??_);_(@_)</c:formatCode>
                <c:ptCount val="17"/>
                <c:pt idx="0">
                  <c:v>30471.5</c:v>
                </c:pt>
                <c:pt idx="1">
                  <c:v>21341.699999999997</c:v>
                </c:pt>
                <c:pt idx="2">
                  <c:v>17102.599999999999</c:v>
                </c:pt>
                <c:pt idx="3">
                  <c:v>40804.579999999994</c:v>
                </c:pt>
                <c:pt idx="4">
                  <c:v>48187.5</c:v>
                </c:pt>
                <c:pt idx="5">
                  <c:v>55510</c:v>
                </c:pt>
                <c:pt idx="6">
                  <c:v>59433.899999999994</c:v>
                </c:pt>
                <c:pt idx="7">
                  <c:v>59925.729999999996</c:v>
                </c:pt>
                <c:pt idx="8">
                  <c:v>63860.12</c:v>
                </c:pt>
                <c:pt idx="9">
                  <c:v>3761.35</c:v>
                </c:pt>
                <c:pt idx="10">
                  <c:v>60290.100000000006</c:v>
                </c:pt>
                <c:pt idx="11">
                  <c:v>66417.11</c:v>
                </c:pt>
                <c:pt idx="12">
                  <c:v>67211.92</c:v>
                </c:pt>
                <c:pt idx="13">
                  <c:v>69643.42</c:v>
                </c:pt>
                <c:pt idx="14">
                  <c:v>80865.5</c:v>
                </c:pt>
                <c:pt idx="15">
                  <c:v>81013.7</c:v>
                </c:pt>
                <c:pt idx="16">
                  <c:v>106520.4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6-4974-98B8-E15B1A9F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26447480"/>
        <c:axId val="526447808"/>
      </c:barChart>
      <c:catAx>
        <c:axId val="5264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447808"/>
        <c:crosses val="autoZero"/>
        <c:auto val="1"/>
        <c:lblAlgn val="ctr"/>
        <c:lblOffset val="100"/>
        <c:noMultiLvlLbl val="0"/>
      </c:catAx>
      <c:valAx>
        <c:axId val="52644780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447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[FATURAMENTO FROTA.xlsx]Planilha2!Tabela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FATURAMENTO</a:t>
            </a:r>
            <a:r>
              <a:rPr lang="en-US" sz="1600" b="1" baseline="0">
                <a:solidFill>
                  <a:sysClr val="windowText" lastClr="000000"/>
                </a:solidFill>
              </a:rPr>
              <a:t> JUNHO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Planilha2!$A$4:$A$36</c:f>
              <c:multiLvlStrCache>
                <c:ptCount val="16"/>
                <c:lvl>
                  <c:pt idx="0">
                    <c:v>PRR-9470</c:v>
                  </c:pt>
                  <c:pt idx="1">
                    <c:v>QTO-0370</c:v>
                  </c:pt>
                  <c:pt idx="2">
                    <c:v>PRR-9470</c:v>
                  </c:pt>
                  <c:pt idx="3">
                    <c:v>QTP-4170</c:v>
                  </c:pt>
                  <c:pt idx="4">
                    <c:v>FCF-8347</c:v>
                  </c:pt>
                  <c:pt idx="5">
                    <c:v>QTO-0360</c:v>
                  </c:pt>
                  <c:pt idx="6">
                    <c:v>PRT-6530</c:v>
                  </c:pt>
                  <c:pt idx="7">
                    <c:v>QTP-4270</c:v>
                  </c:pt>
                  <c:pt idx="8">
                    <c:v>EQU-7403</c:v>
                  </c:pt>
                  <c:pt idx="9">
                    <c:v>PRT-7820</c:v>
                  </c:pt>
                  <c:pt idx="10">
                    <c:v>PQT-2870</c:v>
                  </c:pt>
                  <c:pt idx="11">
                    <c:v>PQT-7568</c:v>
                  </c:pt>
                  <c:pt idx="12">
                    <c:v>PRT-7940</c:v>
                  </c:pt>
                  <c:pt idx="13">
                    <c:v>PRD-9480</c:v>
                  </c:pt>
                  <c:pt idx="14">
                    <c:v>PQT-2860</c:v>
                  </c:pt>
                  <c:pt idx="15">
                    <c:v>QTN-7740</c:v>
                  </c:pt>
                </c:lvl>
                <c:lvl>
                  <c:pt idx="0">
                    <c:v>YGOR</c:v>
                  </c:pt>
                  <c:pt idx="1">
                    <c:v>RODRIGO MESSIAS</c:v>
                  </c:pt>
                  <c:pt idx="2">
                    <c:v>DEIVID MACHADO</c:v>
                  </c:pt>
                  <c:pt idx="3">
                    <c:v>PAULO CESAR</c:v>
                  </c:pt>
                  <c:pt idx="4">
                    <c:v>MESSIAS FERNANDES</c:v>
                  </c:pt>
                  <c:pt idx="5">
                    <c:v>MIKCHAEL</c:v>
                  </c:pt>
                  <c:pt idx="6">
                    <c:v>DIVINO FERNANDES</c:v>
                  </c:pt>
                  <c:pt idx="7">
                    <c:v>BEGUEM CORDEIRO</c:v>
                  </c:pt>
                  <c:pt idx="8">
                    <c:v>NEURI</c:v>
                  </c:pt>
                  <c:pt idx="9">
                    <c:v>WEDER ALVES</c:v>
                  </c:pt>
                  <c:pt idx="10">
                    <c:v>PAULO ALEXANDRE </c:v>
                  </c:pt>
                  <c:pt idx="11">
                    <c:v>EDSON LÚCIO</c:v>
                  </c:pt>
                  <c:pt idx="12">
                    <c:v>BRUNO </c:v>
                  </c:pt>
                  <c:pt idx="13">
                    <c:v>FRANCISCO CHAGAS</c:v>
                  </c:pt>
                  <c:pt idx="14">
                    <c:v>ROGERIO RODRIGUES</c:v>
                  </c:pt>
                  <c:pt idx="15">
                    <c:v>EDUARDO HENRIQUE </c:v>
                  </c:pt>
                </c:lvl>
              </c:multiLvlStrCache>
            </c:multiLvlStrRef>
          </c:cat>
          <c:val>
            <c:numRef>
              <c:f>Planilha2!$B$4:$B$36</c:f>
              <c:numCache>
                <c:formatCode>_("R$"* #,##0.00_);_("R$"* \(#,##0.00\);_("R$"* "-"??_);_(@_)</c:formatCode>
                <c:ptCount val="16"/>
                <c:pt idx="0">
                  <c:v>4899.91</c:v>
                </c:pt>
                <c:pt idx="1">
                  <c:v>18014.2</c:v>
                </c:pt>
                <c:pt idx="2">
                  <c:v>18082.330000000002</c:v>
                </c:pt>
                <c:pt idx="3">
                  <c:v>18662.47</c:v>
                </c:pt>
                <c:pt idx="4">
                  <c:v>19008.510000000002</c:v>
                </c:pt>
                <c:pt idx="5">
                  <c:v>20339.27</c:v>
                </c:pt>
                <c:pt idx="6">
                  <c:v>20972.14</c:v>
                </c:pt>
                <c:pt idx="7">
                  <c:v>21000.37</c:v>
                </c:pt>
                <c:pt idx="8">
                  <c:v>21028.760000000002</c:v>
                </c:pt>
                <c:pt idx="9">
                  <c:v>21516.2</c:v>
                </c:pt>
                <c:pt idx="10">
                  <c:v>21531.4</c:v>
                </c:pt>
                <c:pt idx="11">
                  <c:v>22357.599999999999</c:v>
                </c:pt>
                <c:pt idx="12">
                  <c:v>24076.400000000001</c:v>
                </c:pt>
                <c:pt idx="13">
                  <c:v>26881.5</c:v>
                </c:pt>
                <c:pt idx="14">
                  <c:v>28258.1</c:v>
                </c:pt>
                <c:pt idx="15">
                  <c:v>43955.199999999997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4-48C6-8049-40C63926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21896640"/>
        <c:axId val="421898936"/>
      </c:barChart>
      <c:catAx>
        <c:axId val="4218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8936"/>
        <c:crosses val="autoZero"/>
        <c:auto val="1"/>
        <c:lblAlgn val="ctr"/>
        <c:lblOffset val="100"/>
        <c:noMultiLvlLbl val="0"/>
      </c:catAx>
      <c:valAx>
        <c:axId val="42189893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6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9522</xdr:colOff>
      <xdr:row>2</xdr:row>
      <xdr:rowOff>4761</xdr:rowOff>
    </xdr:from>
    <xdr:to>
      <xdr:col>14</xdr:col>
      <xdr:colOff>920750</xdr:colOff>
      <xdr:row>29</xdr:row>
      <xdr:rowOff>182563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920401-8532-482D-B6D8-E7BFF18D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7813</xdr:colOff>
      <xdr:row>2</xdr:row>
      <xdr:rowOff>9525</xdr:rowOff>
    </xdr:from>
    <xdr:to>
      <xdr:col>19</xdr:col>
      <xdr:colOff>590551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08FE85-B184-4B44-AC5F-808E7EF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9524</xdr:rowOff>
    </xdr:from>
    <xdr:to>
      <xdr:col>20</xdr:col>
      <xdr:colOff>495300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058E7B-05AE-4E12-ACF2-AA196D2D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2</xdr:row>
      <xdr:rowOff>4761</xdr:rowOff>
    </xdr:from>
    <xdr:to>
      <xdr:col>22</xdr:col>
      <xdr:colOff>559592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7C0FF9-3B50-4E2D-8B96-EF0A1855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2</xdr:row>
      <xdr:rowOff>4762</xdr:rowOff>
    </xdr:from>
    <xdr:to>
      <xdr:col>24</xdr:col>
      <xdr:colOff>409575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0A03D8-ED7C-4C1B-9125-5313FCEAE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</xdr:row>
      <xdr:rowOff>4762</xdr:rowOff>
    </xdr:from>
    <xdr:to>
      <xdr:col>21</xdr:col>
      <xdr:colOff>561975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FB674D-1D63-47B2-82F2-52F483DF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Pinheiro" refreshedDate="43992.412264583334" createdVersion="6" refreshedVersion="6" minRefreshableVersion="3" recordCount="17" xr:uid="{22A42FB7-CF9E-43E1-ACF1-9B2D2C3D7F4C}">
  <cacheSource type="worksheet">
    <worksheetSource name="Tabela8"/>
  </cacheSource>
  <cacheFields count="3">
    <cacheField name="MOTOTISTA" numFmtId="0">
      <sharedItems count="16">
        <s v="BEGUEM CORDEIRO"/>
        <s v="DEIVID MACHADO"/>
        <s v="DIVINO FERNANDES"/>
        <s v="EDSON LÚCIO"/>
        <s v="EDUARDO HENRIQUE "/>
        <s v="FRANCISCO CHAGAS"/>
        <s v="JOSE LUIZ"/>
        <s v="MESSIAS FERNANDES"/>
        <s v="MIKCHAEL"/>
        <s v="NEURI"/>
        <s v="PAULO ALEXANDRE "/>
        <s v="PAULO CESAR"/>
        <s v="RODRIGO MESSIAS"/>
        <s v="ROGERIO RODRIGUES"/>
        <s v="WEDER ALVES"/>
        <s v="BEGUEM CORDIERO" u="1"/>
      </sharedItems>
    </cacheField>
    <cacheField name="PLACA" numFmtId="0">
      <sharedItems count="15">
        <s v="QTP-4270"/>
        <s v="PRR-9470"/>
        <s v="PRT-6530"/>
        <s v="PQT-7568"/>
        <s v="QTN-7740"/>
        <s v="PRD-9480"/>
        <s v="PRT-7940"/>
        <s v="QTO-0370"/>
        <s v="FCF-8347"/>
        <s v="QTO-0360"/>
        <s v="EQU-7403"/>
        <s v="PQT-2870"/>
        <s v="QTP-4170"/>
        <s v="PQT-2860"/>
        <s v="PRT-7820"/>
      </sharedItems>
    </cacheField>
    <cacheField name="RECEITA" numFmtId="44">
      <sharedItems containsSemiMixedTypes="0" containsString="0" containsNumber="1" minValue="3761.35" maxValue="10652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Pinheiro" refreshedDate="43992.412264583334" createdVersion="6" refreshedVersion="6" minRefreshableVersion="3" recordCount="18" xr:uid="{4B7E75FD-968D-44CC-B195-CB6038419542}">
  <cacheSource type="worksheet">
    <worksheetSource name="Tabela22547"/>
  </cacheSource>
  <cacheFields count="3">
    <cacheField name="MOTORISTA" numFmtId="0">
      <sharedItems count="17">
        <s v="BEGUEM CORDIERO"/>
        <s v="DEIVID MACHADO"/>
        <s v="DIVINO FERNANDES"/>
        <s v="EDSON LÚCIO"/>
        <s v="EDUARDO HENRIQUE "/>
        <s v="FRANCISCO CHAGAS"/>
        <s v="JOSE LUIZ"/>
        <s v="MESSIAS FERNANDES"/>
        <s v="PAULO ALEXANDRE "/>
        <s v="PAULO CESAR"/>
        <s v="RODRIGO MESSIAS"/>
        <s v="ROGERIO RODRIGUES"/>
        <s v="WEDER ALVES"/>
        <s v="MARCOS ROBERTO"/>
        <s v="MIKCHAEL"/>
        <s v="NEURI"/>
        <s v="JOSE LUIZ " u="1"/>
      </sharedItems>
    </cacheField>
    <cacheField name="PLACA" numFmtId="0">
      <sharedItems count="15">
        <s v="QTP-4270"/>
        <s v="PRR-9470"/>
        <s v="PRT-6530"/>
        <s v="PQT-7568"/>
        <s v="QTN-7740"/>
        <s v="PRD-9480"/>
        <s v="PRT-7940"/>
        <s v="QTO-0360"/>
        <s v="PQT-2870"/>
        <s v="QTP-4170"/>
        <s v="QTO-0370"/>
        <s v="PQT-2860"/>
        <s v="PRT-7820"/>
        <s v="EQU-7403"/>
        <s v="ONU-1725"/>
      </sharedItems>
    </cacheField>
    <cacheField name="RECEITA" numFmtId="44">
      <sharedItems containsSemiMixedTypes="0" containsString="0" containsNumber="1" minValue="793.68" maxValue="89291.45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Pinheiro" refreshedDate="43992.412264699073" createdVersion="6" refreshedVersion="6" minRefreshableVersion="3" recordCount="17" xr:uid="{8AE9953E-D45F-4679-90C8-85A08B2A77B9}">
  <cacheSource type="worksheet">
    <worksheetSource name="Tabela2254"/>
  </cacheSource>
  <cacheFields count="3">
    <cacheField name="MOTORISTA" numFmtId="0">
      <sharedItems containsBlank="1" count="17">
        <s v="BEGUEM CORDIERO"/>
        <s v="ADAIR"/>
        <s v="DEIVID MACHADO"/>
        <s v="DIVINO FERNANDES"/>
        <s v="EDSON LÚCIO"/>
        <s v="EDUARDO HENRIQUE "/>
        <s v="FRANCISCO CHAGAS"/>
        <s v="MESSIAS FERNANDES"/>
        <s v="PAULO ALEXANDRE "/>
        <s v="PAULO CESAR"/>
        <s v="RODRIGO MESSIAS"/>
        <s v="ROGERIO RODRIGUES"/>
        <s v="WEDER ALVES"/>
        <s v="WALDIR DE OLIVEIRA"/>
        <s v="MARCOS ROBERTO"/>
        <s v="JOSE LUIZ "/>
        <m u="1"/>
      </sharedItems>
    </cacheField>
    <cacheField name="PLACA" numFmtId="0">
      <sharedItems containsBlank="1" count="14">
        <s v="QTP-4270"/>
        <s v="PQT-2860"/>
        <s v="PRR-9470"/>
        <s v="PRT-6530"/>
        <s v="PQT-7568"/>
        <s v="QTN-7740"/>
        <s v="PRD-9480"/>
        <s v="QTO-0360"/>
        <s v="PQT-2870"/>
        <s v="QTP-4170"/>
        <s v="QTO-0370"/>
        <s v="PRT-7940"/>
        <s v="PRT-7820"/>
        <m u="1"/>
      </sharedItems>
    </cacheField>
    <cacheField name="RECEITA" numFmtId="44">
      <sharedItems containsSemiMixedTypes="0" containsString="0" containsNumber="1" minValue="6840.33" maxValue="80847.6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Pinheiro" refreshedDate="43992.412264699073" createdVersion="6" refreshedVersion="6" minRefreshableVersion="3" recordCount="13" xr:uid="{3FF5EE6F-5D85-4165-ADF6-EF3835F429D5}">
  <cacheSource type="worksheet">
    <worksheetSource name="Tabela22"/>
  </cacheSource>
  <cacheFields count="5">
    <cacheField name="MOTORISTA" numFmtId="0">
      <sharedItems count="14">
        <s v="DANIEL ANTÔNIO "/>
        <s v="PAULO ALEXANDRE "/>
        <s v="EDSON LÚCIO"/>
        <s v="FRANCISCO CHAGAS"/>
        <s v="DEIVID MACHADO"/>
        <s v="DIVINO FERNANDES"/>
        <s v="WEDER ALVES"/>
        <s v="CRISTIANO CARLOS "/>
        <s v="EDUARDO HENRIQUE "/>
        <s v="MESSIAS"/>
        <s v="RODRIGO MESSIAS"/>
        <s v="PAULO CESAR"/>
        <s v="BEGUEM"/>
        <s v="VALDIR PEREIRA" u="1"/>
      </sharedItems>
    </cacheField>
    <cacheField name="PLACA" numFmtId="0">
      <sharedItems count="13">
        <s v="PQT-2860"/>
        <s v="PQT-2870"/>
        <s v="PQT-7568"/>
        <s v="PRD-9480"/>
        <s v="PRR-9470"/>
        <s v="PRT-6530"/>
        <s v="PRT-7820"/>
        <s v="PRT-7940"/>
        <s v="QTN-7740"/>
        <s v="QTO-0360"/>
        <s v="QTO-0370"/>
        <s v="QTP-4170"/>
        <s v="QTP-4270"/>
      </sharedItems>
    </cacheField>
    <cacheField name="RECEITA" numFmtId="44">
      <sharedItems containsSemiMixedTypes="0" containsString="0" containsNumber="1" minValue="35664.019999999997" maxValue="98282.939999999988"/>
    </cacheField>
    <cacheField name="Coluna1" numFmtId="0">
      <sharedItems containsBlank="1"/>
    </cacheField>
    <cacheField name="Comissão" numFmtId="44">
      <sharedItems containsMixedTypes="1" containsNumber="1" minValue="509.67280000000005" maxValue="1965.6587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Pinheiro" refreshedDate="43992.412264930557" createdVersion="6" refreshedVersion="6" minRefreshableVersion="3" recordCount="14" xr:uid="{4F0DE276-ADEB-45D0-8B35-1E679F322343}">
  <cacheSource type="worksheet">
    <worksheetSource name="Tabela225"/>
  </cacheSource>
  <cacheFields count="3">
    <cacheField name="MOTORISTA" numFmtId="0">
      <sharedItems count="14">
        <s v="BEGUEM CORDIERO"/>
        <s v="DANIEL ANTÔNIO "/>
        <s v="DEIVID MACHADO"/>
        <s v="DIVINO FERNANDES"/>
        <s v="EDSON LÚCIO"/>
        <s v="EDUARDO HENRIQUE "/>
        <s v="FRANCISCO CHAGAS"/>
        <s v="MESSIAS FERNANDES"/>
        <s v="PAULO ALEXANDRE "/>
        <s v="PAULO CESAR"/>
        <s v="RODRIGO MESSIAS"/>
        <s v="ROGERIO RODRIGUES"/>
        <s v="WEDER ALVES"/>
        <s v="MARCOS ROBERTO" u="1"/>
      </sharedItems>
    </cacheField>
    <cacheField name="PLACA" numFmtId="0">
      <sharedItems count="13">
        <s v="QTP-4270"/>
        <s v="PQT-2860"/>
        <s v="PRR-9470"/>
        <s v="PRT-6530"/>
        <s v="PQT-7568"/>
        <s v="QTN-7740"/>
        <s v="PRD-9480"/>
        <s v="QTO-0360"/>
        <s v="PQT-2870"/>
        <s v="QTP-4170"/>
        <s v="QTO-0370"/>
        <s v="PRT-7940"/>
        <s v="PRT-7820"/>
      </sharedItems>
    </cacheField>
    <cacheField name="RECEITA" numFmtId="44">
      <sharedItems containsSemiMixedTypes="0" containsString="0" containsNumber="1" minValue="4307.03" maxValue="80663.3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Albernaz" refreshedDate="43994.641775115742" createdVersion="6" refreshedVersion="6" minRefreshableVersion="3" recordCount="16" xr:uid="{12CAB01F-9402-418C-BC32-908584AB40F8}">
  <cacheSource type="worksheet">
    <worksheetSource ref="A1:C17" sheet="JUNHO"/>
  </cacheSource>
  <cacheFields count="3">
    <cacheField name="MOTORISTA" numFmtId="0">
      <sharedItems count="16">
        <s v="BEGUEM CORDEIRO"/>
        <s v="DEIVID MACHADO"/>
        <s v="DIVINO FERNANDES"/>
        <s v="EDSON LÚCIO"/>
        <s v="EDUARDO HENRIQUE "/>
        <s v="FRANCISCO CHAGAS"/>
        <s v="BRUNO "/>
        <s v="MESSIAS FERNANDES"/>
        <s v="MIKCHAEL"/>
        <s v="NEURI"/>
        <s v="PAULO ALEXANDRE "/>
        <s v="PAULO CESAR"/>
        <s v="RODRIGO MESSIAS"/>
        <s v="ROGERIO RODRIGUES"/>
        <s v="WEDER ALVES"/>
        <s v="YGOR"/>
      </sharedItems>
    </cacheField>
    <cacheField name="PLACA" numFmtId="0">
      <sharedItems count="15">
        <s v="QTP-4270"/>
        <s v="PRR-9470"/>
        <s v="PRT-6530"/>
        <s v="PQT-7568"/>
        <s v="QTN-7740"/>
        <s v="PRD-9480"/>
        <s v="PRT-7940"/>
        <s v="FCF-8347"/>
        <s v="QTO-0360"/>
        <s v="EQU-7403"/>
        <s v="PQT-2870"/>
        <s v="QTP-4170"/>
        <s v="QTO-0370"/>
        <s v="PQT-2860"/>
        <s v="PRT-7820"/>
      </sharedItems>
    </cacheField>
    <cacheField name="RECEITA" numFmtId="44">
      <sharedItems containsSemiMixedTypes="0" containsString="0" containsNumber="1" minValue="4899.91" maxValue="43955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80865.5"/>
  </r>
  <r>
    <x v="1"/>
    <x v="1"/>
    <n v="48187.5"/>
  </r>
  <r>
    <x v="2"/>
    <x v="2"/>
    <n v="66417.11"/>
  </r>
  <r>
    <x v="3"/>
    <x v="3"/>
    <n v="63860.12"/>
  </r>
  <r>
    <x v="4"/>
    <x v="4"/>
    <n v="106520.4"/>
  </r>
  <r>
    <x v="5"/>
    <x v="5"/>
    <n v="59925.729999999996"/>
  </r>
  <r>
    <x v="6"/>
    <x v="6"/>
    <n v="40804.579999999994"/>
  </r>
  <r>
    <x v="7"/>
    <x v="7"/>
    <n v="17102.599999999999"/>
  </r>
  <r>
    <x v="7"/>
    <x v="8"/>
    <n v="21341.699999999997"/>
  </r>
  <r>
    <x v="8"/>
    <x v="9"/>
    <n v="55510"/>
  </r>
  <r>
    <x v="9"/>
    <x v="10"/>
    <n v="30471.5"/>
  </r>
  <r>
    <x v="10"/>
    <x v="11"/>
    <n v="59433.899999999994"/>
  </r>
  <r>
    <x v="11"/>
    <x v="12"/>
    <n v="81013.7"/>
  </r>
  <r>
    <x v="12"/>
    <x v="8"/>
    <n v="3761.35"/>
  </r>
  <r>
    <x v="12"/>
    <x v="7"/>
    <n v="60290.100000000006"/>
  </r>
  <r>
    <x v="13"/>
    <x v="13"/>
    <n v="67211.92"/>
  </r>
  <r>
    <x v="14"/>
    <x v="14"/>
    <n v="69643.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80480.2"/>
  </r>
  <r>
    <x v="1"/>
    <x v="1"/>
    <n v="87816.6"/>
  </r>
  <r>
    <x v="2"/>
    <x v="2"/>
    <n v="79038.06"/>
  </r>
  <r>
    <x v="3"/>
    <x v="3"/>
    <n v="79299.199999999997"/>
  </r>
  <r>
    <x v="4"/>
    <x v="4"/>
    <n v="89291.459999999992"/>
  </r>
  <r>
    <x v="5"/>
    <x v="5"/>
    <n v="53605.929999999993"/>
  </r>
  <r>
    <x v="6"/>
    <x v="6"/>
    <n v="46098.899999999994"/>
  </r>
  <r>
    <x v="7"/>
    <x v="7"/>
    <n v="52695.4"/>
  </r>
  <r>
    <x v="8"/>
    <x v="8"/>
    <n v="86872.13"/>
  </r>
  <r>
    <x v="9"/>
    <x v="9"/>
    <n v="76602.8"/>
  </r>
  <r>
    <x v="10"/>
    <x v="10"/>
    <n v="75516.760000000009"/>
  </r>
  <r>
    <x v="11"/>
    <x v="11"/>
    <n v="77207.670000000013"/>
  </r>
  <r>
    <x v="12"/>
    <x v="12"/>
    <n v="72354.010000000009"/>
  </r>
  <r>
    <x v="6"/>
    <x v="5"/>
    <n v="26806.400000000001"/>
  </r>
  <r>
    <x v="13"/>
    <x v="6"/>
    <n v="22785.7"/>
  </r>
  <r>
    <x v="14"/>
    <x v="7"/>
    <n v="22182.34"/>
  </r>
  <r>
    <x v="15"/>
    <x v="13"/>
    <n v="7778.04"/>
  </r>
  <r>
    <x v="14"/>
    <x v="14"/>
    <n v="793.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60167.7"/>
  </r>
  <r>
    <x v="1"/>
    <x v="1"/>
    <n v="38674.480000000003"/>
  </r>
  <r>
    <x v="2"/>
    <x v="2"/>
    <n v="49722.61"/>
  </r>
  <r>
    <x v="3"/>
    <x v="3"/>
    <n v="63913.73"/>
  </r>
  <r>
    <x v="4"/>
    <x v="4"/>
    <n v="80847.600000000006"/>
  </r>
  <r>
    <x v="5"/>
    <x v="5"/>
    <n v="80316.09"/>
  </r>
  <r>
    <x v="6"/>
    <x v="6"/>
    <n v="10131.1"/>
  </r>
  <r>
    <x v="7"/>
    <x v="7"/>
    <n v="63349.46"/>
  </r>
  <r>
    <x v="8"/>
    <x v="8"/>
    <n v="73571.3"/>
  </r>
  <r>
    <x v="9"/>
    <x v="9"/>
    <n v="69633.3"/>
  </r>
  <r>
    <x v="10"/>
    <x v="10"/>
    <n v="69598.2"/>
  </r>
  <r>
    <x v="11"/>
    <x v="11"/>
    <n v="49095.14"/>
  </r>
  <r>
    <x v="12"/>
    <x v="12"/>
    <n v="53837"/>
  </r>
  <r>
    <x v="11"/>
    <x v="1"/>
    <n v="26222.44"/>
  </r>
  <r>
    <x v="13"/>
    <x v="6"/>
    <n v="7880.37"/>
  </r>
  <r>
    <x v="14"/>
    <x v="11"/>
    <n v="9062.4599999999991"/>
  </r>
  <r>
    <x v="15"/>
    <x v="6"/>
    <n v="6840.3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44938.46"/>
    <s v="ok"/>
    <s v="SEM PREMIO"/>
  </r>
  <r>
    <x v="1"/>
    <x v="1"/>
    <n v="61620.68"/>
    <s v="ok"/>
    <n v="924.31020000000001"/>
  </r>
  <r>
    <x v="2"/>
    <x v="2"/>
    <n v="42820.899999999994"/>
    <s v="ok"/>
    <s v="SEM PREMIO"/>
  </r>
  <r>
    <x v="3"/>
    <x v="3"/>
    <n v="35664.019999999997"/>
    <s v="ok"/>
    <s v="SEM PREMIO"/>
  </r>
  <r>
    <x v="4"/>
    <x v="4"/>
    <n v="55590.53"/>
    <s v="ok"/>
    <n v="555.90530000000001"/>
  </r>
  <r>
    <x v="5"/>
    <x v="5"/>
    <n v="54871.34"/>
    <s v="ok"/>
    <n v="548.71339999999998"/>
  </r>
  <r>
    <x v="6"/>
    <x v="6"/>
    <n v="59219.26"/>
    <s v="ok"/>
    <n v="592.19260000000008"/>
  </r>
  <r>
    <x v="7"/>
    <x v="7"/>
    <n v="40548.9"/>
    <s v="ok"/>
    <s v="SEM PREMIO"/>
  </r>
  <r>
    <x v="8"/>
    <x v="8"/>
    <n v="98282.939999999988"/>
    <s v="ok"/>
    <n v="1965.6587999999997"/>
  </r>
  <r>
    <x v="9"/>
    <x v="9"/>
    <n v="54851.420000000006"/>
    <m/>
    <n v="548.51420000000007"/>
  </r>
  <r>
    <x v="10"/>
    <x v="10"/>
    <n v="35742.01"/>
    <m/>
    <s v="SEM PREMIO"/>
  </r>
  <r>
    <x v="11"/>
    <x v="11"/>
    <n v="50967.280000000006"/>
    <s v="ok"/>
    <n v="509.67280000000005"/>
  </r>
  <r>
    <x v="12"/>
    <x v="12"/>
    <n v="61645.21"/>
    <s v="ok"/>
    <n v="924.67814999999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59196.74"/>
  </r>
  <r>
    <x v="1"/>
    <x v="1"/>
    <n v="41518.43"/>
  </r>
  <r>
    <x v="2"/>
    <x v="2"/>
    <n v="57323.95"/>
  </r>
  <r>
    <x v="3"/>
    <x v="3"/>
    <n v="60362.01"/>
  </r>
  <r>
    <x v="4"/>
    <x v="4"/>
    <n v="60443.07"/>
  </r>
  <r>
    <x v="5"/>
    <x v="5"/>
    <n v="80663.350000000006"/>
  </r>
  <r>
    <x v="6"/>
    <x v="6"/>
    <n v="19352.689999999999"/>
  </r>
  <r>
    <x v="7"/>
    <x v="7"/>
    <n v="46650.36"/>
  </r>
  <r>
    <x v="8"/>
    <x v="8"/>
    <n v="42094.86"/>
  </r>
  <r>
    <x v="9"/>
    <x v="9"/>
    <n v="48245.72"/>
  </r>
  <r>
    <x v="10"/>
    <x v="10"/>
    <n v="51112.53"/>
  </r>
  <r>
    <x v="11"/>
    <x v="11"/>
    <n v="80236.42"/>
  </r>
  <r>
    <x v="12"/>
    <x v="12"/>
    <n v="43035.69"/>
  </r>
  <r>
    <x v="2"/>
    <x v="7"/>
    <n v="4307.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21000.37"/>
  </r>
  <r>
    <x v="1"/>
    <x v="1"/>
    <n v="18082.330000000002"/>
  </r>
  <r>
    <x v="2"/>
    <x v="2"/>
    <n v="20972.14"/>
  </r>
  <r>
    <x v="3"/>
    <x v="3"/>
    <n v="22357.599999999999"/>
  </r>
  <r>
    <x v="4"/>
    <x v="4"/>
    <n v="43955.199999999997"/>
  </r>
  <r>
    <x v="5"/>
    <x v="5"/>
    <n v="26881.5"/>
  </r>
  <r>
    <x v="6"/>
    <x v="6"/>
    <n v="24076.400000000001"/>
  </r>
  <r>
    <x v="7"/>
    <x v="7"/>
    <n v="19008.510000000002"/>
  </r>
  <r>
    <x v="8"/>
    <x v="8"/>
    <n v="20339.27"/>
  </r>
  <r>
    <x v="9"/>
    <x v="9"/>
    <n v="21028.760000000002"/>
  </r>
  <r>
    <x v="10"/>
    <x v="10"/>
    <n v="21531.4"/>
  </r>
  <r>
    <x v="11"/>
    <x v="11"/>
    <n v="18662.47"/>
  </r>
  <r>
    <x v="12"/>
    <x v="12"/>
    <n v="18014.2"/>
  </r>
  <r>
    <x v="13"/>
    <x v="13"/>
    <n v="28258.1"/>
  </r>
  <r>
    <x v="14"/>
    <x v="14"/>
    <n v="21516.2"/>
  </r>
  <r>
    <x v="15"/>
    <x v="1"/>
    <n v="4899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7BFF6-99C0-4CDD-BC33-CC90F80F21EE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A3:B30" firstHeaderRow="1" firstDataRow="1" firstDataCol="1"/>
  <pivotFields count="5">
    <pivotField axis="axisRow" showAll="0" sortType="ascending">
      <items count="15">
        <item x="12"/>
        <item x="7"/>
        <item x="0"/>
        <item x="4"/>
        <item x="5"/>
        <item x="8"/>
        <item x="3"/>
        <item x="9"/>
        <item x="1"/>
        <item x="11"/>
        <item x="10"/>
        <item m="1" x="13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x="0"/>
        <item x="1"/>
        <item x="2"/>
        <item x="3"/>
        <item x="4"/>
        <item x="6"/>
        <item x="7"/>
        <item x="8"/>
        <item x="11"/>
        <item x="10"/>
        <item x="9"/>
        <item x="12"/>
        <item x="5"/>
        <item t="default"/>
      </items>
    </pivotField>
    <pivotField dataField="1" numFmtId="44" showAll="0"/>
    <pivotField showAll="0"/>
    <pivotField showAll="0"/>
  </pivotFields>
  <rowFields count="2">
    <field x="0"/>
    <field x="1"/>
  </rowFields>
  <rowItems count="27">
    <i>
      <x v="6"/>
    </i>
    <i r="1">
      <x v="3"/>
    </i>
    <i>
      <x v="10"/>
    </i>
    <i r="1">
      <x v="9"/>
    </i>
    <i>
      <x v="1"/>
    </i>
    <i r="1">
      <x v="6"/>
    </i>
    <i>
      <x v="13"/>
    </i>
    <i r="1">
      <x v="2"/>
    </i>
    <i>
      <x v="2"/>
    </i>
    <i r="1">
      <x/>
    </i>
    <i>
      <x v="9"/>
    </i>
    <i r="1">
      <x v="8"/>
    </i>
    <i>
      <x v="7"/>
    </i>
    <i r="1">
      <x v="10"/>
    </i>
    <i>
      <x v="4"/>
    </i>
    <i r="1">
      <x v="12"/>
    </i>
    <i>
      <x v="3"/>
    </i>
    <i r="1">
      <x v="4"/>
    </i>
    <i>
      <x v="12"/>
    </i>
    <i r="1">
      <x v="5"/>
    </i>
    <i>
      <x v="8"/>
    </i>
    <i r="1">
      <x v="1"/>
    </i>
    <i>
      <x/>
    </i>
    <i r="1">
      <x v="11"/>
    </i>
    <i>
      <x v="5"/>
    </i>
    <i r="1">
      <x v="7"/>
    </i>
    <i t="grand">
      <x/>
    </i>
  </rowItems>
  <colItems count="1">
    <i/>
  </colItems>
  <dataFields count="1">
    <dataField name="Soma de RECEITA" fld="2" baseField="0" baseItem="0"/>
  </dataFields>
  <formats count="24">
    <format dxfId="138">
      <pivotArea outline="0" collapsedLevelsAreSubtotals="1" fieldPosition="0"/>
    </format>
    <format dxfId="137">
      <pivotArea grandRow="1" outline="0" collapsedLevelsAreSubtotals="1" fieldPosition="0"/>
    </format>
    <format dxfId="136">
      <pivotArea dataOnly="0" labelOnly="1" grandRow="1" outline="0" fieldPosition="0"/>
    </format>
    <format dxfId="135">
      <pivotArea field="0" type="button" dataOnly="0" labelOnly="1" outline="0" axis="axisRow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0" count="1" selected="0">
            <x v="6"/>
          </reference>
          <reference field="1" count="1">
            <x v="3"/>
          </reference>
        </references>
      </pivotArea>
    </format>
    <format dxfId="127">
      <pivotArea dataOnly="0" labelOnly="1" fieldPosition="0">
        <references count="2">
          <reference field="0" count="1" selected="0">
            <x v="10"/>
          </reference>
          <reference field="1" count="1">
            <x v="9"/>
          </reference>
        </references>
      </pivotArea>
    </format>
    <format dxfId="126">
      <pivotArea dataOnly="0" labelOnly="1" fieldPosition="0">
        <references count="2">
          <reference field="0" count="1" selected="0">
            <x v="13"/>
          </reference>
          <reference field="1" count="1">
            <x v="2"/>
          </reference>
        </references>
      </pivotArea>
    </format>
    <format dxfId="125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24">
      <pivotArea dataOnly="0" labelOnly="1" fieldPosition="0">
        <references count="2">
          <reference field="0" count="1" selected="0">
            <x v="4"/>
          </reference>
          <reference field="1" count="1">
            <x v="12"/>
          </reference>
        </references>
      </pivotArea>
    </format>
    <format dxfId="123">
      <pivotArea dataOnly="0" labelOnly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122">
      <pivotArea dataOnly="0" labelOnly="1" fieldPosition="0">
        <references count="2">
          <reference field="0" count="1" selected="0">
            <x v="9"/>
          </reference>
          <reference field="1" count="1">
            <x v="8"/>
          </reference>
        </references>
      </pivotArea>
    </format>
    <format dxfId="121">
      <pivotArea dataOnly="0" labelOnly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120">
      <pivotArea dataOnly="0" labelOnly="1" fieldPosition="0">
        <references count="2">
          <reference field="0" count="1" selected="0">
            <x v="12"/>
          </reference>
          <reference field="1" count="1">
            <x v="5"/>
          </reference>
        </references>
      </pivotArea>
    </format>
    <format dxfId="119">
      <pivotArea dataOnly="0" labelOnly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118">
      <pivotArea dataOnly="0" labelOnly="1" fieldPosition="0">
        <references count="2">
          <reference field="0" count="1" selected="0">
            <x v="7"/>
          </reference>
          <reference field="1" count="1">
            <x v="10"/>
          </reference>
        </references>
      </pivotArea>
    </format>
    <format dxfId="117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6">
      <pivotArea dataOnly="0" labelOnly="1" fieldPosition="0">
        <references count="2">
          <reference field="0" count="1" selected="0">
            <x v="5"/>
          </reference>
          <reference field="1" count="1">
            <x v="7"/>
          </reference>
        </references>
      </pivotArea>
    </format>
    <format dxfId="115">
      <pivotArea dataOnly="0" labelOnly="1" outline="0" axis="axisValues" fieldPosition="0"/>
    </format>
  </formats>
  <chartFormats count="1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15180-F49F-438D-8991-6895268B4161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MOTORISTAS">
  <location ref="A3:B31" firstHeaderRow="1" firstDataRow="1" firstDataCol="1"/>
  <pivotFields count="3">
    <pivotField axis="axisRow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x="1"/>
        <item x="8"/>
        <item x="4"/>
        <item x="6"/>
        <item x="2"/>
        <item x="3"/>
        <item x="12"/>
        <item x="11"/>
        <item x="5"/>
        <item x="7"/>
        <item x="10"/>
        <item x="9"/>
        <item x="0"/>
        <item t="default"/>
      </items>
    </pivotField>
    <pivotField dataField="1" numFmtId="44" showAll="0"/>
  </pivotFields>
  <rowFields count="2">
    <field x="0"/>
    <field x="1"/>
  </rowFields>
  <rowItems count="28">
    <i>
      <x v="6"/>
    </i>
    <i r="1">
      <x v="3"/>
    </i>
    <i>
      <x v="1"/>
    </i>
    <i r="1">
      <x/>
    </i>
    <i>
      <x v="8"/>
    </i>
    <i r="1">
      <x v="1"/>
    </i>
    <i>
      <x v="12"/>
    </i>
    <i r="1">
      <x v="6"/>
    </i>
    <i>
      <x v="7"/>
    </i>
    <i r="1">
      <x v="9"/>
    </i>
    <i>
      <x v="9"/>
    </i>
    <i r="1">
      <x v="11"/>
    </i>
    <i>
      <x v="10"/>
    </i>
    <i r="1">
      <x v="10"/>
    </i>
    <i>
      <x/>
    </i>
    <i r="1">
      <x v="12"/>
    </i>
    <i>
      <x v="3"/>
    </i>
    <i r="1">
      <x v="5"/>
    </i>
    <i>
      <x v="4"/>
    </i>
    <i r="1">
      <x v="2"/>
    </i>
    <i>
      <x v="2"/>
    </i>
    <i r="1">
      <x v="4"/>
    </i>
    <i r="1">
      <x v="9"/>
    </i>
    <i>
      <x v="11"/>
    </i>
    <i r="1">
      <x v="7"/>
    </i>
    <i>
      <x v="5"/>
    </i>
    <i r="1">
      <x v="8"/>
    </i>
    <i t="grand">
      <x/>
    </i>
  </rowItems>
  <colItems count="1">
    <i/>
  </colItems>
  <dataFields count="1">
    <dataField name="Soma de RECEITA" fld="2" baseField="0" baseItem="0" numFmtId="44"/>
  </dataFields>
  <formats count="10">
    <format dxfId="107">
      <pivotArea outline="0" collapsedLevelsAreSubtotals="1" fieldPosition="0"/>
    </format>
    <format dxfId="106">
      <pivotArea field="0" type="button" dataOnly="0" labelOnly="1" outline="0" axis="axisRow" fieldPosition="0"/>
    </format>
    <format dxfId="105">
      <pivotArea field="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field="0" type="button" dataOnly="0" labelOnly="1" outline="0" axis="axisRow" fieldPosition="0"/>
    </format>
    <format dxfId="102">
      <pivotArea dataOnly="0" labelOnly="1" outline="0" axis="axisValues" fieldPosition="0"/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grandRow="1" outline="0" collapsedLevelsAreSubtotals="1" fieldPosition="0"/>
    </format>
    <format dxfId="98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CED15-8B9F-48F4-841C-6187D7E6FAFE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34" firstHeaderRow="1" firstDataRow="1" firstDataCol="1"/>
  <pivotFields count="3">
    <pivotField axis="axisRow" showAll="0">
      <items count="18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6"/>
        <item x="15"/>
        <item t="default"/>
      </items>
    </pivotField>
    <pivotField axis="axisRow" showAll="0" sortType="ascending">
      <items count="15">
        <item x="1"/>
        <item x="8"/>
        <item x="4"/>
        <item x="6"/>
        <item x="2"/>
        <item x="3"/>
        <item x="12"/>
        <item x="11"/>
        <item x="5"/>
        <item x="7"/>
        <item x="10"/>
        <item x="9"/>
        <item x="0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2">
    <field x="1"/>
    <field x="0"/>
  </rowFields>
  <rowItems count="31">
    <i>
      <x v="3"/>
    </i>
    <i r="1">
      <x v="6"/>
    </i>
    <i r="1">
      <x v="13"/>
    </i>
    <i r="1">
      <x v="16"/>
    </i>
    <i>
      <x v="4"/>
    </i>
    <i r="1">
      <x v="2"/>
    </i>
    <i>
      <x v="6"/>
    </i>
    <i r="1">
      <x v="12"/>
    </i>
    <i>
      <x v="7"/>
    </i>
    <i r="1">
      <x v="11"/>
    </i>
    <i r="1">
      <x v="14"/>
    </i>
    <i>
      <x v="12"/>
    </i>
    <i r="1">
      <x v="1"/>
    </i>
    <i>
      <x v="9"/>
    </i>
    <i r="1">
      <x v="7"/>
    </i>
    <i>
      <x v="5"/>
    </i>
    <i r="1">
      <x v="3"/>
    </i>
    <i>
      <x/>
    </i>
    <i r="1">
      <x/>
    </i>
    <i r="1">
      <x v="11"/>
    </i>
    <i>
      <x v="10"/>
    </i>
    <i r="1">
      <x v="10"/>
    </i>
    <i>
      <x v="11"/>
    </i>
    <i r="1">
      <x v="9"/>
    </i>
    <i>
      <x v="1"/>
    </i>
    <i r="1">
      <x v="8"/>
    </i>
    <i>
      <x v="8"/>
    </i>
    <i r="1">
      <x v="5"/>
    </i>
    <i>
      <x v="2"/>
    </i>
    <i r="1">
      <x v="4"/>
    </i>
    <i t="grand">
      <x/>
    </i>
  </rowItems>
  <colItems count="1">
    <i/>
  </colItems>
  <dataFields count="1">
    <dataField name="Soma de RECEITA" fld="2" baseField="0" baseItem="0" numFmtId="44"/>
  </dataFields>
  <formats count="5"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outline="0" axis="axisValues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44799-FE79-4998-96AE-4B331D87229E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38" firstHeaderRow="1" firstDataRow="1" firstDataCol="1"/>
  <pivotFields count="3">
    <pivotField axis="axisRow" showAll="0" sortType="ascending">
      <items count="18">
        <item x="0"/>
        <item x="1"/>
        <item x="2"/>
        <item x="3"/>
        <item x="4"/>
        <item m="1" x="16"/>
        <item x="13"/>
        <item x="7"/>
        <item x="8"/>
        <item x="9"/>
        <item x="10"/>
        <item x="11"/>
        <item x="12"/>
        <item x="5"/>
        <item x="6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11"/>
        <item x="8"/>
        <item x="3"/>
        <item x="5"/>
        <item x="1"/>
        <item x="2"/>
        <item x="12"/>
        <item x="6"/>
        <item x="4"/>
        <item x="7"/>
        <item x="10"/>
        <item x="9"/>
        <item x="0"/>
        <item x="13"/>
        <item x="14"/>
        <item t="default"/>
      </items>
    </pivotField>
    <pivotField dataField="1" numFmtId="44" showAll="0"/>
  </pivotFields>
  <rowFields count="2">
    <field x="0"/>
    <field x="1"/>
  </rowFields>
  <rowItems count="35">
    <i>
      <x v="16"/>
    </i>
    <i r="1">
      <x v="13"/>
    </i>
    <i>
      <x v="6"/>
    </i>
    <i r="1">
      <x v="7"/>
    </i>
    <i>
      <x v="15"/>
    </i>
    <i r="1">
      <x v="9"/>
    </i>
    <i r="1">
      <x v="14"/>
    </i>
    <i>
      <x v="7"/>
    </i>
    <i r="1">
      <x v="9"/>
    </i>
    <i>
      <x v="13"/>
    </i>
    <i r="1">
      <x v="3"/>
    </i>
    <i>
      <x v="12"/>
    </i>
    <i r="1">
      <x v="6"/>
    </i>
    <i>
      <x v="14"/>
    </i>
    <i r="1">
      <x v="3"/>
    </i>
    <i r="1">
      <x v="7"/>
    </i>
    <i>
      <x v="10"/>
    </i>
    <i r="1">
      <x v="10"/>
    </i>
    <i>
      <x v="9"/>
    </i>
    <i r="1">
      <x v="11"/>
    </i>
    <i>
      <x v="11"/>
    </i>
    <i r="1">
      <x/>
    </i>
    <i>
      <x v="2"/>
    </i>
    <i r="1">
      <x v="5"/>
    </i>
    <i>
      <x v="3"/>
    </i>
    <i r="1">
      <x v="2"/>
    </i>
    <i>
      <x/>
    </i>
    <i r="1">
      <x v="12"/>
    </i>
    <i>
      <x v="8"/>
    </i>
    <i r="1">
      <x v="1"/>
    </i>
    <i>
      <x v="1"/>
    </i>
    <i r="1">
      <x v="4"/>
    </i>
    <i>
      <x v="4"/>
    </i>
    <i r="1">
      <x v="8"/>
    </i>
    <i t="grand">
      <x/>
    </i>
  </rowItems>
  <colItems count="1">
    <i/>
  </colItems>
  <dataFields count="1">
    <dataField name="Soma de RECEITA" fld="2" baseField="0" baseItem="0" numFmtId="44"/>
  </dataFields>
  <formats count="5"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outline="0" axis="axisValues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23E87-5075-46C9-A1F3-B4E3F2E5E31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36" firstHeaderRow="1" firstDataRow="1" firstDataCol="1"/>
  <pivotFields count="3">
    <pivotField axis="axisRow" showAll="0" sortType="ascending">
      <items count="17">
        <item m="1" x="1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10"/>
        <item x="8"/>
        <item x="13"/>
        <item x="11"/>
        <item x="3"/>
        <item x="5"/>
        <item x="1"/>
        <item x="2"/>
        <item x="14"/>
        <item x="6"/>
        <item x="4"/>
        <item x="9"/>
        <item x="7"/>
        <item x="12"/>
        <item x="0"/>
        <item t="default"/>
      </items>
    </pivotField>
    <pivotField dataField="1" numFmtId="44" showAll="0"/>
  </pivotFields>
  <rowFields count="2">
    <field x="0"/>
    <field x="1"/>
  </rowFields>
  <rowItems count="33">
    <i>
      <x v="9"/>
    </i>
    <i r="1">
      <x/>
    </i>
    <i>
      <x v="7"/>
    </i>
    <i r="1">
      <x v="1"/>
    </i>
    <i r="1">
      <x v="12"/>
    </i>
    <i>
      <x v="6"/>
    </i>
    <i r="1">
      <x v="9"/>
    </i>
    <i>
      <x v="1"/>
    </i>
    <i r="1">
      <x v="6"/>
    </i>
    <i>
      <x v="8"/>
    </i>
    <i r="1">
      <x v="11"/>
    </i>
    <i>
      <x v="10"/>
    </i>
    <i r="1">
      <x v="3"/>
    </i>
    <i>
      <x v="5"/>
    </i>
    <i r="1">
      <x v="5"/>
    </i>
    <i>
      <x v="3"/>
    </i>
    <i r="1">
      <x v="4"/>
    </i>
    <i>
      <x v="12"/>
    </i>
    <i r="1">
      <x v="1"/>
    </i>
    <i r="1">
      <x v="12"/>
    </i>
    <i>
      <x v="2"/>
    </i>
    <i r="1">
      <x v="7"/>
    </i>
    <i>
      <x v="13"/>
    </i>
    <i r="1">
      <x v="2"/>
    </i>
    <i>
      <x v="14"/>
    </i>
    <i r="1">
      <x v="8"/>
    </i>
    <i>
      <x v="15"/>
    </i>
    <i r="1">
      <x v="14"/>
    </i>
    <i>
      <x v="11"/>
    </i>
    <i r="1">
      <x v="13"/>
    </i>
    <i>
      <x v="4"/>
    </i>
    <i r="1">
      <x v="10"/>
    </i>
    <i t="grand">
      <x/>
    </i>
  </rowItems>
  <colItems count="1">
    <i/>
  </colItems>
  <dataFields count="1">
    <dataField name="Soma de RECEITA" fld="2" baseField="0" baseItem="0" numFmtId="44"/>
  </dataFields>
  <formats count="13"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field="0" type="button" dataOnly="0" labelOnly="1" outline="0" axis="axisRow" fieldPosition="0"/>
    </format>
    <format dxfId="37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F9F55-7773-4EA1-BF53-9BCEA9606A98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MOTORISTAS">
  <location ref="A3:B36" firstHeaderRow="1" firstDataRow="1" firstDataCol="1"/>
  <pivotFields count="3">
    <pivotField axis="axisRow" showAll="0" sortType="ascending">
      <items count="17">
        <item x="0"/>
        <item x="6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9"/>
        <item x="7"/>
        <item x="13"/>
        <item x="10"/>
        <item x="3"/>
        <item x="5"/>
        <item x="1"/>
        <item x="2"/>
        <item x="14"/>
        <item x="6"/>
        <item x="4"/>
        <item x="8"/>
        <item x="12"/>
        <item x="11"/>
        <item x="0"/>
        <item t="default"/>
      </items>
    </pivotField>
    <pivotField dataField="1" numFmtId="44" showAll="0"/>
  </pivotFields>
  <rowFields count="2">
    <field x="0"/>
    <field x="1"/>
  </rowFields>
  <rowItems count="33">
    <i>
      <x v="15"/>
    </i>
    <i r="1">
      <x v="6"/>
    </i>
    <i>
      <x v="12"/>
    </i>
    <i r="1">
      <x v="12"/>
    </i>
    <i>
      <x v="2"/>
    </i>
    <i r="1">
      <x v="6"/>
    </i>
    <i>
      <x v="11"/>
    </i>
    <i r="1">
      <x v="13"/>
    </i>
    <i>
      <x v="7"/>
    </i>
    <i r="1">
      <x v="1"/>
    </i>
    <i>
      <x v="8"/>
    </i>
    <i r="1">
      <x v="11"/>
    </i>
    <i>
      <x v="3"/>
    </i>
    <i r="1">
      <x v="7"/>
    </i>
    <i>
      <x/>
    </i>
    <i r="1">
      <x v="14"/>
    </i>
    <i>
      <x v="9"/>
    </i>
    <i r="1">
      <x/>
    </i>
    <i>
      <x v="14"/>
    </i>
    <i r="1">
      <x v="8"/>
    </i>
    <i>
      <x v="10"/>
    </i>
    <i r="1">
      <x v="3"/>
    </i>
    <i>
      <x v="4"/>
    </i>
    <i r="1">
      <x v="4"/>
    </i>
    <i>
      <x v="1"/>
    </i>
    <i r="1">
      <x v="9"/>
    </i>
    <i>
      <x v="6"/>
    </i>
    <i r="1">
      <x v="5"/>
    </i>
    <i>
      <x v="13"/>
    </i>
    <i r="1">
      <x v="2"/>
    </i>
    <i>
      <x v="5"/>
    </i>
    <i r="1">
      <x v="10"/>
    </i>
    <i t="grand">
      <x/>
    </i>
  </rowItems>
  <colItems count="1">
    <i/>
  </colItems>
  <dataFields count="1">
    <dataField name="Soma de RECEITA" fld="2" baseField="0" baseItem="0" numFmtId="44"/>
  </dataFields>
  <formats count="6">
    <format dxfId="23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6">
      <pivotArea field="0" type="button" dataOnly="0" labelOnly="1" outline="0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15306-364C-4781-96FB-12359668B32D}" name="Tabela22" displayName="Tabela22" ref="A1:E14" totalsRowShown="0" headerRowDxfId="114" dataDxfId="113">
  <autoFilter ref="A1:E14" xr:uid="{FBEB0CDC-B915-4FB5-98EE-72A57876F1AD}"/>
  <sortState xmlns:xlrd2="http://schemas.microsoft.com/office/spreadsheetml/2017/richdata2" ref="A2:C14">
    <sortCondition ref="B1:B14"/>
  </sortState>
  <tableColumns count="5">
    <tableColumn id="1" xr3:uid="{DC85D819-3CA6-442F-991C-FCCD7DC52396}" name="MOTORISTA" dataDxfId="112"/>
    <tableColumn id="2" xr3:uid="{7826D189-446D-4BF3-80FA-785E5AB18375}" name="PLACA" dataDxfId="111"/>
    <tableColumn id="3" xr3:uid="{12C3CBF0-2BA9-44C7-A49E-BE410D14DB88}" name="RECEITA" dataDxfId="110" dataCellStyle="Moeda"/>
    <tableColumn id="4" xr3:uid="{17FC828B-F87A-458F-AC6E-6FB45163FC13}" name="Coluna1" dataDxfId="109"/>
    <tableColumn id="5" xr3:uid="{D2088044-B32E-4C05-8892-AA7C7B20DC5F}" name="Comissão" dataDxfId="108" dataCellStyle="Moeda">
      <calculatedColumnFormula>IF(C2&gt;70000,C2*0.02,IF(C2&gt;60000,C2*0.015,IF(C2&gt;50000,C2*0.01,"SEM PREMIO")))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7582A-F686-45C3-8F6C-E946A2AA176D}" name="Tabela223" displayName="Tabela223" ref="A1:F15" totalsRowShown="0" headerRowDxfId="97" dataDxfId="96">
  <autoFilter ref="A1:F15" xr:uid="{FBEB0CDC-B915-4FB5-98EE-72A57876F1AD}"/>
  <sortState xmlns:xlrd2="http://schemas.microsoft.com/office/spreadsheetml/2017/richdata2" ref="A2:D14">
    <sortCondition ref="B1:B14"/>
  </sortState>
  <tableColumns count="6">
    <tableColumn id="1" xr3:uid="{E0A453A6-0646-49A3-923F-B4FD58AA92FD}" name="MOTORISTA" dataDxfId="95"/>
    <tableColumn id="2" xr3:uid="{E028F307-1B51-4248-98F8-75CD4B2018C6}" name="PLACA" dataDxfId="94"/>
    <tableColumn id="6" xr3:uid="{14753D8B-9677-4E11-B427-21DC83E42113}" name="RECEITA " dataDxfId="93" dataCellStyle="Moeda"/>
    <tableColumn id="3" xr3:uid="{D1FEAA65-B679-429B-844E-EA024657758E}" name="BASE DA COMISSÃO " dataDxfId="92" dataCellStyle="Moeda"/>
    <tableColumn id="4" xr3:uid="{9E0B6423-413D-4393-A0A6-26E507BCEF5A}" name="Coluna1" dataDxfId="91"/>
    <tableColumn id="5" xr3:uid="{EE1264E7-5838-420D-96D1-7FB2E4CD21BA}" name="Comissão" dataDxfId="90" dataCellStyle="Moeda">
      <calculatedColumnFormula>IF(D2&gt;20000,(Tabela223[[#This Row],[RECEITA ]]-50000)*0.04,IF(D2&gt;10000,(Tabela223[[#This Row],[RECEITA ]]-50000)*0.03,IF(D2&gt;1,(Tabela223[[#This Row],[RECEITA ]]-50000)*0.02,"SEM PREMIO")))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B1EADF-DF67-4D72-9DE5-5DA1726CAD4C}" name="Tabela2236" displayName="Tabela2236" ref="A1:F17" totalsRowShown="0" headerRowDxfId="89" dataDxfId="88">
  <autoFilter ref="A1:F17" xr:uid="{CD30A2E4-5E7D-4D85-A793-869DC5457BC0}"/>
  <sortState xmlns:xlrd2="http://schemas.microsoft.com/office/spreadsheetml/2017/richdata2" ref="A2:F17">
    <sortCondition ref="A1:A17"/>
  </sortState>
  <tableColumns count="6">
    <tableColumn id="1" xr3:uid="{551EF2EC-B468-47FA-8A0B-95E1F83EB1B8}" name="MOTORISTA" dataDxfId="87"/>
    <tableColumn id="2" xr3:uid="{AE7E3275-A252-4540-BB87-7ECFE3BCF8F4}" name="PLACA" dataDxfId="86"/>
    <tableColumn id="6" xr3:uid="{4C55D16A-40F3-4D06-8FE0-4EE7DCFBBD01}" name="RECEITA" dataDxfId="85" dataCellStyle="Moeda"/>
    <tableColumn id="3" xr3:uid="{D81FD883-46B7-44F7-B631-CE70CE75D8EF}" name="BASE DA COMISSÃO " dataDxfId="84" dataCellStyle="Moeda">
      <calculatedColumnFormula>Tabela2236[[#This Row],[RECEITA]]-50000</calculatedColumnFormula>
    </tableColumn>
    <tableColumn id="4" xr3:uid="{455E056C-100B-4513-A5E8-D56BA3DF307D}" name="Coluna1" dataDxfId="83"/>
    <tableColumn id="5" xr3:uid="{A3819FF6-AD56-4120-A146-7E635B8ECA06}" name="Comissão" dataDxfId="82" dataCellStyle="Moeda">
      <calculatedColumnFormula>IF(D2&gt;20000,(Tabela2236[[#This Row],[RECEITA]]-50000)*0.04,IF(D2&gt;10000,(Tabela2236[[#This Row],[RECEITA]]-50000)*0.03,IF(D2&gt;1,(Tabela2236[[#This Row],[RECEITA]]-50000)*0.02,"SEM PREMIO")))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1289CF-7DE8-4F90-BB48-2B3DA5171A86}" name="Tabela225" displayName="Tabela225" ref="A1:C15" totalsRowShown="0" headerRowDxfId="81" dataDxfId="80">
  <autoFilter ref="A1:C15" xr:uid="{1038BE3A-AB71-4398-B2CC-00CF5724F4DD}"/>
  <sortState xmlns:xlrd2="http://schemas.microsoft.com/office/spreadsheetml/2017/richdata2" ref="A2:C14">
    <sortCondition ref="A1:A14"/>
  </sortState>
  <tableColumns count="3">
    <tableColumn id="1" xr3:uid="{5EE8BB10-416E-4368-B660-424B0A1243D0}" name="MOTORISTA" dataDxfId="79"/>
    <tableColumn id="2" xr3:uid="{F9F178E2-D8BA-4E34-971F-36B4B6B3D20C}" name="PLACA" dataDxfId="78"/>
    <tableColumn id="3" xr3:uid="{20397FCF-2364-43D3-9CCC-E582B9CD87E5}" name="RECEITA" dataDxfId="77" dataCellStyle="Moed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A8CAD-6707-45C6-BF7D-F3AE6C75F6D7}" name="Tabela22547" displayName="Tabela22547" ref="A1:C19" totalsRowShown="0" headerRowDxfId="66" dataDxfId="65">
  <autoFilter ref="A1:C19" xr:uid="{C7946831-7985-4060-8419-41472191B53B}"/>
  <sortState xmlns:xlrd2="http://schemas.microsoft.com/office/spreadsheetml/2017/richdata2" ref="A2:C14">
    <sortCondition ref="A1:A14"/>
  </sortState>
  <tableColumns count="3">
    <tableColumn id="1" xr3:uid="{EDCB5B25-C785-44C3-8579-53610B63D4F0}" name="MOTORISTA" dataDxfId="64"/>
    <tableColumn id="2" xr3:uid="{07EEE05B-D2C5-4936-93F0-E0D3FFD9C055}" name="PLACA" dataDxfId="63"/>
    <tableColumn id="3" xr3:uid="{CEC700CC-4FB5-4E4A-B49F-7E88AB4349FE}" name="RECEITA" dataDxfId="62" dataCellStyle="Moeda">
      <calculatedColumnFormula>SUM(F2+G2)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0570D-3970-4CD6-B27B-5E895FECE185}" name="Tabela22368" displayName="Tabela22368" ref="A1:F17" totalsRowShown="0" headerRowDxfId="61" dataDxfId="60">
  <autoFilter ref="A1:F17" xr:uid="{B61A9CFC-C237-4106-B62C-6D3C71AD72DD}"/>
  <sortState xmlns:xlrd2="http://schemas.microsoft.com/office/spreadsheetml/2017/richdata2" ref="A2:F17">
    <sortCondition ref="A1:A17"/>
  </sortState>
  <tableColumns count="6">
    <tableColumn id="1" xr3:uid="{5AE487C5-0412-4DDD-AD59-A353C8B3CA3F}" name="MOTORISTA" dataDxfId="59"/>
    <tableColumn id="2" xr3:uid="{F243909B-D7F2-4C5B-B2BB-68FA9D508FA4}" name="PLACA" dataDxfId="58"/>
    <tableColumn id="6" xr3:uid="{20E97AB2-54CD-4501-ADBD-EC4E34FCF0F9}" name="RECEITA" dataDxfId="57" dataCellStyle="Moeda"/>
    <tableColumn id="3" xr3:uid="{70A4A843-5046-4A4F-A777-FB161F1676D1}" name="BASE DA COMISSÃO " dataDxfId="56" dataCellStyle="Moeda">
      <calculatedColumnFormula>Tabela22368[[#This Row],[RECEITA]]-50000</calculatedColumnFormula>
    </tableColumn>
    <tableColumn id="4" xr3:uid="{A1D4EE45-EA3B-46DD-B045-BBC7B575291A}" name="Coluna1" dataDxfId="55"/>
    <tableColumn id="5" xr3:uid="{AE5A1674-ED0D-4AB8-8FD2-05E9EE0943AA}" name="Comissão" dataDxfId="54" dataCellStyle="Moeda">
      <calculatedColumnFormula>IF(D2&gt;20000,(Tabela22368[[#This Row],[RECEITA]]-50000)*0.04,IF(D2&gt;10000,(Tabela22368[[#This Row],[RECEITA]]-50000)*0.03,IF(D2&gt;1,(Tabela22368[[#This Row],[RECEITA]]-50000)*0.02,"SEM PREMIO")))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3128C2-B0A3-4F18-A40C-735FF87F96E1}" name="Tabela8" displayName="Tabela8" ref="A1:C18" totalsRowShown="0" headerRowDxfId="53">
  <autoFilter ref="A1:C18" xr:uid="{89EC3CEA-6EAC-4ACC-8A18-54D50D090E68}"/>
  <sortState xmlns:xlrd2="http://schemas.microsoft.com/office/spreadsheetml/2017/richdata2" ref="A2:C18">
    <sortCondition ref="A1:A18"/>
  </sortState>
  <tableColumns count="3">
    <tableColumn id="1" xr3:uid="{43A9A481-05B7-465C-93C3-FD47EDF7AD6A}" name="MOTOTISTA" dataDxfId="52"/>
    <tableColumn id="2" xr3:uid="{647189F8-FE2A-4E1E-86AC-4A1BBC778322}" name="PLACA" dataDxfId="51"/>
    <tableColumn id="3" xr3:uid="{72F9967D-1CEE-4D86-9123-A5438B5DC228}" name="RECEITA" dataDxfId="50" dataCellStyle="Moeda">
      <calculatedColumnFormula>G2:G16</calculatedColumnFormula>
    </tableColumn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36E1D5-8140-4EB3-92D5-C4C5C7DD1425}" name="Tabela2236810" displayName="Tabela2236810" ref="A1:F16" totalsRowShown="0" headerRowDxfId="36" dataDxfId="35">
  <autoFilter ref="A1:F16" xr:uid="{B1749B1E-F8D1-4D7C-8B32-C168310C44AD}"/>
  <sortState xmlns:xlrd2="http://schemas.microsoft.com/office/spreadsheetml/2017/richdata2" ref="A2:F16">
    <sortCondition ref="A1:A16"/>
  </sortState>
  <tableColumns count="6">
    <tableColumn id="1" xr3:uid="{9CBEC3B4-6596-48E9-B517-EF5A5E753DCA}" name="MOTORISTA" dataDxfId="34"/>
    <tableColumn id="2" xr3:uid="{67C71801-F836-4589-93E9-7061CBD6515F}" name="PLACA" dataDxfId="33"/>
    <tableColumn id="6" xr3:uid="{55CBC632-9B3A-479D-AE14-EE88D2D038D3}" name="RECEITA" dataDxfId="32" dataCellStyle="Moeda"/>
    <tableColumn id="3" xr3:uid="{B97FAD5D-C498-4A64-A008-D09FB095ADC3}" name="BASE DA COMISSÃO " dataDxfId="31" dataCellStyle="Moeda">
      <calculatedColumnFormula>Tabela2236810[[#This Row],[RECEITA]]-50000</calculatedColumnFormula>
    </tableColumn>
    <tableColumn id="4" xr3:uid="{197877F8-A884-45AA-AD09-7AD313E30B3F}" name="Coluna1" dataDxfId="30"/>
    <tableColumn id="5" xr3:uid="{ED3C1AE7-88AA-4523-A5FE-AE6B789ED898}" name="Comissão" dataDxfId="29" dataCellStyle="Moeda">
      <calculatedColumnFormula>IF(D2&gt;20000,(Tabela2236810[[#This Row],[RECEITA]]-50000)*0.04,IF(D2&gt;10000,(Tabela2236810[[#This Row],[RECEITA]]-50000)*0.03,IF(D2&gt;1,(Tabela2236810[[#This Row],[RECEITA]]-50000)*0.02,"SEM PREMIO")))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5D79F-31C5-4A3C-815D-F237D709DAB0}" name="Tabela2254" displayName="Tabela2254" ref="A1:C18" totalsRowShown="0" headerRowDxfId="28" dataDxfId="27">
  <autoFilter ref="A1:C18" xr:uid="{634E448F-02D7-4D0B-AFB3-A3554272CC9C}"/>
  <sortState xmlns:xlrd2="http://schemas.microsoft.com/office/spreadsheetml/2017/richdata2" ref="A2:C14">
    <sortCondition ref="A1:A14"/>
  </sortState>
  <tableColumns count="3">
    <tableColumn id="1" xr3:uid="{7A9EBA87-9159-4125-8A1F-C0F8BF800E8D}" name="MOTORISTA" dataDxfId="26"/>
    <tableColumn id="2" xr3:uid="{31129B7B-8C77-4F37-AAF4-F7BEC9BAD950}" name="PLACA" dataDxfId="25"/>
    <tableColumn id="3" xr3:uid="{949D9AB5-342E-4EF8-A06B-9DED1B60A1E4}" name="RECEITA" dataDxfId="24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5ED4-B622-49BF-9BAD-B8257E84C1BE}">
  <sheetPr>
    <pageSetUpPr fitToPage="1"/>
  </sheetPr>
  <dimension ref="A2:O30"/>
  <sheetViews>
    <sheetView showGridLines="0" topLeftCell="A7" zoomScale="85" zoomScaleNormal="85" workbookViewId="0">
      <selection activeCell="B15" sqref="B15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9.28515625" bestFit="1" customWidth="1"/>
    <col min="6" max="6" width="9.140625" bestFit="1" customWidth="1"/>
    <col min="7" max="8" width="9" bestFit="1" customWidth="1"/>
    <col min="9" max="9" width="9.5703125" bestFit="1" customWidth="1"/>
    <col min="10" max="10" width="10.7109375" bestFit="1" customWidth="1"/>
    <col min="11" max="11" width="14.140625" bestFit="1" customWidth="1"/>
    <col min="12" max="12" width="13.42578125" bestFit="1" customWidth="1"/>
    <col min="13" max="13" width="14" bestFit="1" customWidth="1"/>
    <col min="14" max="14" width="18.5703125" bestFit="1" customWidth="1"/>
    <col min="15" max="15" width="14" bestFit="1" customWidth="1"/>
    <col min="16" max="16" width="20.28515625" bestFit="1" customWidth="1"/>
    <col min="17" max="17" width="14.5703125" bestFit="1" customWidth="1"/>
    <col min="18" max="18" width="10.7109375" bestFit="1" customWidth="1"/>
  </cols>
  <sheetData>
    <row r="2" spans="1:15" ht="15.75" thickBot="1" x14ac:dyDescent="0.3"/>
    <row r="3" spans="1:15" ht="15.75" thickBot="1" x14ac:dyDescent="0.3">
      <c r="A3" s="13" t="s">
        <v>20</v>
      </c>
      <c r="B3" s="13" t="s">
        <v>19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"/>
    </row>
    <row r="4" spans="1:15" ht="15.75" thickBot="1" x14ac:dyDescent="0.3">
      <c r="A4" s="14" t="s">
        <v>7</v>
      </c>
      <c r="B4" s="11">
        <v>35664.019999999997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ht="15.75" thickBot="1" x14ac:dyDescent="0.3">
      <c r="A5" s="16" t="s">
        <v>11</v>
      </c>
      <c r="B5" s="9">
        <v>35664.019999999997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15.75" thickBot="1" x14ac:dyDescent="0.3">
      <c r="A6" s="14" t="s">
        <v>22</v>
      </c>
      <c r="B6" s="9">
        <v>35742.01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ht="15.75" thickBot="1" x14ac:dyDescent="0.3">
      <c r="A7" s="16" t="s">
        <v>28</v>
      </c>
      <c r="B7" s="9">
        <v>35742.01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</row>
    <row r="8" spans="1:15" ht="15.75" thickBot="1" x14ac:dyDescent="0.3">
      <c r="A8" s="14" t="s">
        <v>3</v>
      </c>
      <c r="B8" s="9">
        <v>40548.9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</row>
    <row r="9" spans="1:15" ht="15.75" thickBot="1" x14ac:dyDescent="0.3">
      <c r="A9" s="16" t="s">
        <v>18</v>
      </c>
      <c r="B9" s="9">
        <v>40548.9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</row>
    <row r="10" spans="1:15" ht="15.75" thickBot="1" x14ac:dyDescent="0.3">
      <c r="A10" s="14" t="s">
        <v>31</v>
      </c>
      <c r="B10" s="9">
        <v>42820.899999999994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</row>
    <row r="11" spans="1:15" ht="15.75" thickBot="1" x14ac:dyDescent="0.3">
      <c r="A11" s="16" t="s">
        <v>14</v>
      </c>
      <c r="B11" s="9">
        <v>42820.899999999994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ht="15.75" thickBot="1" x14ac:dyDescent="0.3">
      <c r="A12" s="14" t="s">
        <v>4</v>
      </c>
      <c r="B12" s="9">
        <v>44938.46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</row>
    <row r="13" spans="1:15" ht="15.75" thickBot="1" x14ac:dyDescent="0.3">
      <c r="A13" s="16" t="s">
        <v>13</v>
      </c>
      <c r="B13" s="9">
        <v>44938.46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</row>
    <row r="14" spans="1:15" ht="15.75" thickBot="1" x14ac:dyDescent="0.3">
      <c r="A14" s="14" t="s">
        <v>0</v>
      </c>
      <c r="B14" s="9">
        <v>50967.280000000006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</row>
    <row r="15" spans="1:15" ht="15.75" thickBot="1" x14ac:dyDescent="0.3">
      <c r="A15" s="16" t="s">
        <v>25</v>
      </c>
      <c r="B15" s="9">
        <v>50967.280000000006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</row>
    <row r="16" spans="1:15" ht="15.75" thickBot="1" x14ac:dyDescent="0.3">
      <c r="A16" s="14" t="s">
        <v>23</v>
      </c>
      <c r="B16" s="9">
        <v>54851.420000000006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ht="15.75" thickBot="1" x14ac:dyDescent="0.3">
      <c r="A17" s="16" t="s">
        <v>27</v>
      </c>
      <c r="B17" s="9">
        <v>54851.420000000006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</row>
    <row r="18" spans="1:15" ht="15.75" thickBot="1" x14ac:dyDescent="0.3">
      <c r="A18" s="14" t="s">
        <v>29</v>
      </c>
      <c r="B18" s="9">
        <v>54871.34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1:15" ht="15.75" thickBot="1" x14ac:dyDescent="0.3">
      <c r="A19" s="16" t="s">
        <v>30</v>
      </c>
      <c r="B19" s="9">
        <v>54871.34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</row>
    <row r="20" spans="1:15" ht="15.75" thickBot="1" x14ac:dyDescent="0.3">
      <c r="A20" s="14" t="s">
        <v>5</v>
      </c>
      <c r="B20" s="9">
        <v>55590.53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</row>
    <row r="21" spans="1:15" ht="15.75" thickBot="1" x14ac:dyDescent="0.3">
      <c r="A21" s="16" t="s">
        <v>16</v>
      </c>
      <c r="B21" s="9">
        <v>55590.53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ht="15.75" thickBot="1" x14ac:dyDescent="0.3">
      <c r="A22" s="14" t="s">
        <v>9</v>
      </c>
      <c r="B22" s="9">
        <v>59219.26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</row>
    <row r="23" spans="1:15" ht="15.75" thickBot="1" x14ac:dyDescent="0.3">
      <c r="A23" s="16" t="s">
        <v>15</v>
      </c>
      <c r="B23" s="9">
        <v>59219.26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</row>
    <row r="24" spans="1:15" ht="15.75" thickBot="1" x14ac:dyDescent="0.3">
      <c r="A24" s="14" t="s">
        <v>8</v>
      </c>
      <c r="B24" s="9">
        <v>61620.68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</row>
    <row r="25" spans="1:15" ht="15.75" thickBot="1" x14ac:dyDescent="0.3">
      <c r="A25" s="16" t="s">
        <v>12</v>
      </c>
      <c r="B25" s="9">
        <v>61620.68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</row>
    <row r="26" spans="1:15" ht="15.75" thickBot="1" x14ac:dyDescent="0.3">
      <c r="A26" s="14" t="s">
        <v>24</v>
      </c>
      <c r="B26" s="9">
        <v>61645.21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ht="15.75" thickBot="1" x14ac:dyDescent="0.3">
      <c r="A27" s="16" t="s">
        <v>26</v>
      </c>
      <c r="B27" s="9">
        <v>61645.21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ht="15.75" thickBot="1" x14ac:dyDescent="0.3">
      <c r="A28" s="14" t="s">
        <v>6</v>
      </c>
      <c r="B28" s="9">
        <v>98282.939999999988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ht="15.75" thickBot="1" x14ac:dyDescent="0.3">
      <c r="A29" s="16" t="s">
        <v>10</v>
      </c>
      <c r="B29" s="9">
        <v>98282.939999999988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ht="15.75" thickBot="1" x14ac:dyDescent="0.3">
      <c r="A30" s="15" t="s">
        <v>21</v>
      </c>
      <c r="B30" s="12">
        <v>696762.95000000007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4"/>
    </row>
  </sheetData>
  <pageMargins left="0.511811024" right="0.511811024" top="0.78740157499999996" bottom="0.78740157499999996" header="0.31496062000000002" footer="0.31496062000000002"/>
  <pageSetup paperSize="9" scale="72" orientation="landscape" horizontalDpi="0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E424-B199-49B3-8007-B15A2087A349}">
  <dimension ref="A1:F17"/>
  <sheetViews>
    <sheetView workbookViewId="0">
      <selection sqref="A1:XFD1048576"/>
    </sheetView>
  </sheetViews>
  <sheetFormatPr defaultRowHeight="15" x14ac:dyDescent="0.25"/>
  <cols>
    <col min="1" max="1" width="22.85546875" customWidth="1"/>
    <col min="2" max="3" width="17.140625" customWidth="1"/>
    <col min="4" max="4" width="20.28515625" customWidth="1"/>
    <col min="6" max="6" width="15.42578125" style="17" bestFit="1" customWidth="1"/>
  </cols>
  <sheetData>
    <row r="1" spans="1:6" x14ac:dyDescent="0.25">
      <c r="A1" s="5" t="s">
        <v>1</v>
      </c>
      <c r="B1" s="5" t="s">
        <v>17</v>
      </c>
      <c r="C1" s="5" t="s">
        <v>2</v>
      </c>
      <c r="D1" s="5" t="s">
        <v>43</v>
      </c>
      <c r="E1" s="5" t="s">
        <v>33</v>
      </c>
      <c r="F1" s="6" t="s">
        <v>34</v>
      </c>
    </row>
    <row r="2" spans="1:6" x14ac:dyDescent="0.25">
      <c r="A2" s="7" t="s">
        <v>36</v>
      </c>
      <c r="B2" s="5" t="s">
        <v>26</v>
      </c>
      <c r="C2" s="6">
        <v>80480.2</v>
      </c>
      <c r="D2" s="6">
        <f>Tabela22368[[#This Row],[RECEITA]]-50000</f>
        <v>30480.199999999997</v>
      </c>
      <c r="E2" s="5" t="s">
        <v>32</v>
      </c>
      <c r="F2" s="6">
        <f>IF(D2&gt;20000,(Tabela22368[[#This Row],[RECEITA]]-50000)*0.04,IF(D2&gt;10000,(Tabela22368[[#This Row],[RECEITA]]-50000)*0.03,IF(D2&gt;1,(Tabela22368[[#This Row],[RECEITA]]-50000)*0.02,"SEM PREMIO")))</f>
        <v>1219.2079999999999</v>
      </c>
    </row>
    <row r="3" spans="1:6" x14ac:dyDescent="0.25">
      <c r="A3" s="7" t="s">
        <v>5</v>
      </c>
      <c r="B3" s="5" t="s">
        <v>16</v>
      </c>
      <c r="C3" s="6">
        <v>87816.6</v>
      </c>
      <c r="D3" s="6">
        <f>Tabela22368[[#This Row],[RECEITA]]-50000</f>
        <v>37816.600000000006</v>
      </c>
      <c r="E3" s="5" t="s">
        <v>32</v>
      </c>
      <c r="F3" s="6">
        <f>IF(D3&gt;20000,(Tabela22368[[#This Row],[RECEITA]]-50000)*0.04,IF(D3&gt;10000,(Tabela22368[[#This Row],[RECEITA]]-50000)*0.03,IF(D3&gt;1,(Tabela22368[[#This Row],[RECEITA]]-50000)*0.02,"SEM PREMIO")))</f>
        <v>1512.6640000000002</v>
      </c>
    </row>
    <row r="4" spans="1:6" x14ac:dyDescent="0.25">
      <c r="A4" s="7" t="s">
        <v>29</v>
      </c>
      <c r="B4" s="5" t="s">
        <v>30</v>
      </c>
      <c r="C4" s="6">
        <v>79038.06</v>
      </c>
      <c r="D4" s="6">
        <f>Tabela22368[[#This Row],[RECEITA]]-50000</f>
        <v>29038.059999999998</v>
      </c>
      <c r="E4" s="5" t="s">
        <v>32</v>
      </c>
      <c r="F4" s="6">
        <f>IF(D4&gt;20000,(Tabela22368[[#This Row],[RECEITA]]-50000)*0.04,IF(D4&gt;10000,(Tabela22368[[#This Row],[RECEITA]]-50000)*0.03,IF(D4&gt;1,(Tabela22368[[#This Row],[RECEITA]]-50000)*0.02,"SEM PREMIO")))</f>
        <v>1161.5223999999998</v>
      </c>
    </row>
    <row r="5" spans="1:6" x14ac:dyDescent="0.25">
      <c r="A5" s="7" t="s">
        <v>31</v>
      </c>
      <c r="B5" s="5" t="s">
        <v>14</v>
      </c>
      <c r="C5" s="6">
        <v>79299.199999999997</v>
      </c>
      <c r="D5" s="6">
        <f>Tabela22368[[#This Row],[RECEITA]]-50000</f>
        <v>29299.199999999997</v>
      </c>
      <c r="E5" s="5" t="s">
        <v>32</v>
      </c>
      <c r="F5" s="6">
        <f>IF(D5&gt;20000,(Tabela22368[[#This Row],[RECEITA]]-50000)*0.04,IF(D5&gt;10000,(Tabela22368[[#This Row],[RECEITA]]-50000)*0.03,IF(D5&gt;1,(Tabela22368[[#This Row],[RECEITA]]-50000)*0.02,"SEM PREMIO")))</f>
        <v>1171.9679999999998</v>
      </c>
    </row>
    <row r="6" spans="1:6" x14ac:dyDescent="0.25">
      <c r="A6" s="7" t="s">
        <v>6</v>
      </c>
      <c r="B6" s="5" t="s">
        <v>10</v>
      </c>
      <c r="C6" s="6">
        <v>89291.459999999992</v>
      </c>
      <c r="D6" s="6">
        <f>Tabela22368[[#This Row],[RECEITA]]-50000</f>
        <v>39291.459999999992</v>
      </c>
      <c r="E6" s="5" t="s">
        <v>32</v>
      </c>
      <c r="F6" s="6">
        <f>Tabela22368[[#This Row],[RECEITA]]*2.5%</f>
        <v>2232.2864999999997</v>
      </c>
    </row>
    <row r="7" spans="1:6" x14ac:dyDescent="0.25">
      <c r="A7" s="7" t="s">
        <v>7</v>
      </c>
      <c r="B7" s="5" t="s">
        <v>11</v>
      </c>
      <c r="C7" s="6">
        <v>53605.929999999993</v>
      </c>
      <c r="D7" s="6">
        <f>Tabela22368[[#This Row],[RECEITA]]-50000</f>
        <v>3605.929999999993</v>
      </c>
      <c r="E7" s="5" t="s">
        <v>32</v>
      </c>
      <c r="F7" s="6">
        <f>IF(D7&gt;20000,(Tabela22368[[#This Row],[RECEITA]]-50000)*0.04,IF(D7&gt;10000,(Tabela22368[[#This Row],[RECEITA]]-50000)*0.03,IF(D7&gt;1,(Tabela22368[[#This Row],[RECEITA]]-50000)*0.02,"SEM PREMIO")))</f>
        <v>72.118599999999859</v>
      </c>
    </row>
    <row r="8" spans="1:6" x14ac:dyDescent="0.25">
      <c r="A8" s="7" t="s">
        <v>52</v>
      </c>
      <c r="B8" s="5" t="s">
        <v>18</v>
      </c>
      <c r="C8" s="6">
        <v>72905.3</v>
      </c>
      <c r="D8" s="6">
        <f>Tabela22368[[#This Row],[RECEITA]]-50000</f>
        <v>22905.300000000003</v>
      </c>
      <c r="E8" s="5" t="s">
        <v>32</v>
      </c>
      <c r="F8" s="6">
        <f>IF(D8&gt;20000,(Tabela22368[[#This Row],[RECEITA]]-50000)*0.04,IF(D8&gt;10000,(Tabela22368[[#This Row],[RECEITA]]-50000)*0.03,IF(D8&gt;1,(Tabela22368[[#This Row],[RECEITA]]-50000)*0.02,"SEM PREMIO")))</f>
        <v>916.2120000000001</v>
      </c>
    </row>
    <row r="9" spans="1:6" x14ac:dyDescent="0.25">
      <c r="A9" s="7" t="s">
        <v>46</v>
      </c>
      <c r="B9" s="5" t="s">
        <v>18</v>
      </c>
      <c r="C9" s="29">
        <v>22785.7</v>
      </c>
      <c r="D9" s="6">
        <f>Tabela22368[[#This Row],[RECEITA]]-50000</f>
        <v>-27214.3</v>
      </c>
      <c r="E9" s="5"/>
      <c r="F9" s="29" t="str">
        <f>IF(D9&gt;20000,(Tabela22368[[#This Row],[RECEITA]]-50000)*0.04,IF(D9&gt;10000,(Tabela22368[[#This Row],[RECEITA]]-50000)*0.03,IF(D9&gt;1,(Tabela22368[[#This Row],[RECEITA]]-50000)*0.02,"SEM PREMIO")))</f>
        <v>SEM PREMIO</v>
      </c>
    </row>
    <row r="10" spans="1:6" x14ac:dyDescent="0.25">
      <c r="A10" s="7" t="s">
        <v>37</v>
      </c>
      <c r="B10" s="5" t="s">
        <v>27</v>
      </c>
      <c r="C10" s="29">
        <v>52695.4</v>
      </c>
      <c r="D10" s="6">
        <f>Tabela22368[[#This Row],[RECEITA]]-50000</f>
        <v>2695.4000000000015</v>
      </c>
      <c r="E10" s="5"/>
      <c r="F10" s="29">
        <f>IF(D10&gt;20000,(Tabela22368[[#This Row],[RECEITA]]-50000)*0.04,IF(D10&gt;10000,(Tabela22368[[#This Row],[RECEITA]]-50000)*0.03,IF(D10&gt;1,(Tabela22368[[#This Row],[RECEITA]]-50000)*0.02,"SEM PREMIO")))</f>
        <v>53.90800000000003</v>
      </c>
    </row>
    <row r="11" spans="1:6" x14ac:dyDescent="0.25">
      <c r="A11" s="7" t="s">
        <v>53</v>
      </c>
      <c r="B11" s="5" t="s">
        <v>27</v>
      </c>
      <c r="C11" s="6">
        <v>22976.02</v>
      </c>
      <c r="D11" s="6">
        <f>Tabela22368[[#This Row],[RECEITA]]-50000</f>
        <v>-27023.98</v>
      </c>
      <c r="E11" s="5" t="s">
        <v>32</v>
      </c>
      <c r="F11" s="6" t="str">
        <f>IF(D11&gt;20000,(Tabela22368[[#This Row],[RECEITA]]-50000)*0.04,IF(D11&gt;10000,(Tabela22368[[#This Row],[RECEITA]]-50000)*0.03,IF(D11&gt;1,(Tabela22368[[#This Row],[RECEITA]]-50000)*0.02,"SEM PREMIO")))</f>
        <v>SEM PREMIO</v>
      </c>
    </row>
    <row r="12" spans="1:6" x14ac:dyDescent="0.25">
      <c r="A12" s="7" t="s">
        <v>54</v>
      </c>
      <c r="B12" s="5" t="s">
        <v>55</v>
      </c>
      <c r="C12" s="6">
        <v>7778.04</v>
      </c>
      <c r="D12" s="6">
        <f>Tabela22368[[#This Row],[RECEITA]]-50000</f>
        <v>-42221.96</v>
      </c>
      <c r="E12" s="5"/>
      <c r="F12" s="29" t="str">
        <f>IF(D12&gt;20000,(Tabela22368[[#This Row],[RECEITA]]-50000)*0.04,IF(D12&gt;10000,(Tabela22368[[#This Row],[RECEITA]]-50000)*0.03,IF(D12&gt;1,(Tabela22368[[#This Row],[RECEITA]]-50000)*0.02,"SEM PREMIO")))</f>
        <v>SEM PREMIO</v>
      </c>
    </row>
    <row r="13" spans="1:6" x14ac:dyDescent="0.25">
      <c r="A13" s="7" t="s">
        <v>8</v>
      </c>
      <c r="B13" s="5" t="s">
        <v>12</v>
      </c>
      <c r="C13" s="29">
        <v>86872.13</v>
      </c>
      <c r="D13" s="6">
        <f>Tabela22368[[#This Row],[RECEITA]]-50000</f>
        <v>36872.130000000005</v>
      </c>
      <c r="E13" s="5"/>
      <c r="F13" s="29">
        <f>IF(D13&gt;20000,(Tabela22368[[#This Row],[RECEITA]]-50000)*0.04,IF(D13&gt;10000,(Tabela22368[[#This Row],[RECEITA]]-50000)*0.03,IF(D13&gt;1,(Tabela22368[[#This Row],[RECEITA]]-50000)*0.02,"SEM PREMIO")))</f>
        <v>1474.8852000000002</v>
      </c>
    </row>
    <row r="14" spans="1:6" x14ac:dyDescent="0.25">
      <c r="A14" s="7" t="s">
        <v>0</v>
      </c>
      <c r="B14" s="5" t="s">
        <v>25</v>
      </c>
      <c r="C14" s="6">
        <v>76602.8</v>
      </c>
      <c r="D14" s="6">
        <f>Tabela22368[[#This Row],[RECEITA]]-50000</f>
        <v>26602.800000000003</v>
      </c>
      <c r="E14" s="5" t="s">
        <v>32</v>
      </c>
      <c r="F14" s="6">
        <f>IF(D14&gt;20000,(Tabela22368[[#This Row],[RECEITA]]-50000)*0.04,IF(D14&gt;10000,(Tabela22368[[#This Row],[RECEITA]]-50000)*0.03,IF(D14&gt;1,(Tabela22368[[#This Row],[RECEITA]]-50000)*0.02,"SEM PREMIO")))</f>
        <v>1064.1120000000001</v>
      </c>
    </row>
    <row r="15" spans="1:6" x14ac:dyDescent="0.25">
      <c r="A15" s="7" t="s">
        <v>22</v>
      </c>
      <c r="B15" s="5" t="s">
        <v>28</v>
      </c>
      <c r="C15" s="6">
        <v>75516.760000000009</v>
      </c>
      <c r="D15" s="6">
        <f>Tabela22368[[#This Row],[RECEITA]]-50000</f>
        <v>25516.760000000009</v>
      </c>
      <c r="E15" s="5" t="s">
        <v>32</v>
      </c>
      <c r="F15" s="6">
        <f>IF(D15&gt;20000,(Tabela22368[[#This Row],[RECEITA]]-50000)*0.04,IF(D15&gt;10000,(Tabela22368[[#This Row],[RECEITA]]-50000)*0.03,IF(D15&gt;1,(Tabela22368[[#This Row],[RECEITA]]-50000)*0.02,"SEM PREMIO")))</f>
        <v>1020.6704000000004</v>
      </c>
    </row>
    <row r="16" spans="1:6" x14ac:dyDescent="0.25">
      <c r="A16" s="7" t="s">
        <v>35</v>
      </c>
      <c r="B16" s="5" t="s">
        <v>13</v>
      </c>
      <c r="C16" s="6">
        <v>77207.670000000013</v>
      </c>
      <c r="D16" s="6">
        <f>Tabela22368[[#This Row],[RECEITA]]-50000</f>
        <v>27207.670000000013</v>
      </c>
      <c r="E16" s="5"/>
      <c r="F16" s="6">
        <f>IF(D16&gt;20000,(Tabela22368[[#This Row],[RECEITA]]-50000)*0.04,IF(D16&gt;10000,(Tabela22368[[#This Row],[RECEITA]]-50000)*0.03,IF(D16&gt;1,(Tabela22368[[#This Row],[RECEITA]]-50000)*0.02,"SEM PREMIO")))</f>
        <v>1088.3068000000005</v>
      </c>
    </row>
    <row r="17" spans="1:6" x14ac:dyDescent="0.25">
      <c r="A17" s="7" t="s">
        <v>9</v>
      </c>
      <c r="B17" s="5" t="s">
        <v>15</v>
      </c>
      <c r="C17" s="6">
        <v>72354.010000000009</v>
      </c>
      <c r="D17" s="6">
        <f>Tabela22368[[#This Row],[RECEITA]]-50000</f>
        <v>22354.010000000009</v>
      </c>
      <c r="E17" s="5"/>
      <c r="F17" s="6">
        <f>IF(D17&gt;20000,(Tabela22368[[#This Row],[RECEITA]]-50000)*0.04,IF(D17&gt;10000,(Tabela22368[[#This Row],[RECEITA]]-50000)*0.03,IF(D17&gt;1,(Tabela22368[[#This Row],[RECEITA]]-50000)*0.02,"SEM PREMIO")))</f>
        <v>894.16040000000044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35BE-76F5-4933-A0DE-A2CA79A8BAC4}">
  <dimension ref="A1:G20"/>
  <sheetViews>
    <sheetView workbookViewId="0">
      <selection activeCell="G17" sqref="G17"/>
    </sheetView>
  </sheetViews>
  <sheetFormatPr defaultRowHeight="15" x14ac:dyDescent="0.25"/>
  <cols>
    <col min="1" max="1" width="20" bestFit="1" customWidth="1"/>
    <col min="2" max="2" width="13.28515625" customWidth="1"/>
    <col min="3" max="3" width="14.28515625" bestFit="1" customWidth="1"/>
    <col min="5" max="5" width="13.28515625" bestFit="1" customWidth="1"/>
    <col min="6" max="7" width="14.28515625" bestFit="1" customWidth="1"/>
  </cols>
  <sheetData>
    <row r="1" spans="1:7" x14ac:dyDescent="0.25">
      <c r="A1" s="5" t="s">
        <v>57</v>
      </c>
      <c r="B1" s="5" t="s">
        <v>17</v>
      </c>
      <c r="C1" s="5" t="s">
        <v>2</v>
      </c>
      <c r="E1" t="s">
        <v>47</v>
      </c>
      <c r="F1" t="s">
        <v>48</v>
      </c>
    </row>
    <row r="2" spans="1:7" x14ac:dyDescent="0.25">
      <c r="A2" s="34" t="s">
        <v>59</v>
      </c>
      <c r="B2" s="36" t="s">
        <v>26</v>
      </c>
      <c r="C2" s="17">
        <f t="shared" ref="C2:C9" si="0">G2:G16</f>
        <v>80865.5</v>
      </c>
      <c r="E2" s="17">
        <v>57345.4</v>
      </c>
      <c r="F2" s="17">
        <v>23520.1</v>
      </c>
      <c r="G2" s="22">
        <f>SUM(E2+F2)</f>
        <v>80865.5</v>
      </c>
    </row>
    <row r="3" spans="1:7" x14ac:dyDescent="0.25">
      <c r="A3" s="34" t="s">
        <v>5</v>
      </c>
      <c r="B3" s="36" t="s">
        <v>16</v>
      </c>
      <c r="C3" s="17">
        <f t="shared" si="0"/>
        <v>48187.5</v>
      </c>
      <c r="E3" s="17">
        <v>29708.6</v>
      </c>
      <c r="F3" s="17">
        <v>18478.900000000001</v>
      </c>
      <c r="G3" s="22">
        <f t="shared" ref="G3:G18" si="1">SUM(E3+F3)</f>
        <v>48187.5</v>
      </c>
    </row>
    <row r="4" spans="1:7" x14ac:dyDescent="0.25">
      <c r="A4" s="34" t="s">
        <v>29</v>
      </c>
      <c r="B4" s="36" t="s">
        <v>30</v>
      </c>
      <c r="C4" s="17">
        <f t="shared" si="0"/>
        <v>66417.11</v>
      </c>
      <c r="E4" s="17">
        <v>49984.3</v>
      </c>
      <c r="F4" s="17">
        <v>16432.810000000001</v>
      </c>
      <c r="G4" s="22">
        <f t="shared" si="1"/>
        <v>66417.11</v>
      </c>
    </row>
    <row r="5" spans="1:7" x14ac:dyDescent="0.25">
      <c r="A5" s="34" t="s">
        <v>31</v>
      </c>
      <c r="B5" s="36" t="s">
        <v>14</v>
      </c>
      <c r="C5" s="17">
        <f t="shared" si="0"/>
        <v>63860.12</v>
      </c>
      <c r="E5" s="17">
        <v>56623.5</v>
      </c>
      <c r="F5" s="17">
        <v>7236.62</v>
      </c>
      <c r="G5" s="22">
        <f t="shared" si="1"/>
        <v>63860.12</v>
      </c>
    </row>
    <row r="6" spans="1:7" x14ac:dyDescent="0.25">
      <c r="A6" s="34" t="s">
        <v>6</v>
      </c>
      <c r="B6" s="36" t="s">
        <v>10</v>
      </c>
      <c r="C6" s="17">
        <f t="shared" si="0"/>
        <v>106520.4</v>
      </c>
      <c r="E6" s="17"/>
      <c r="F6" s="17">
        <v>106520.4</v>
      </c>
      <c r="G6" s="22">
        <f t="shared" si="1"/>
        <v>106520.4</v>
      </c>
    </row>
    <row r="7" spans="1:7" x14ac:dyDescent="0.25">
      <c r="A7" s="34" t="s">
        <v>7</v>
      </c>
      <c r="B7" s="36" t="s">
        <v>11</v>
      </c>
      <c r="C7" s="17">
        <f t="shared" si="0"/>
        <v>59925.729999999996</v>
      </c>
      <c r="E7" s="17">
        <v>6547.53</v>
      </c>
      <c r="F7" s="17">
        <v>53378.2</v>
      </c>
      <c r="G7" s="22">
        <f t="shared" si="1"/>
        <v>59925.729999999996</v>
      </c>
    </row>
    <row r="8" spans="1:7" x14ac:dyDescent="0.25">
      <c r="A8" s="34" t="s">
        <v>52</v>
      </c>
      <c r="B8" s="36" t="s">
        <v>18</v>
      </c>
      <c r="C8" s="17">
        <f t="shared" si="0"/>
        <v>40804.579999999994</v>
      </c>
      <c r="E8" s="17">
        <v>6548.88</v>
      </c>
      <c r="F8" s="17">
        <v>34255.699999999997</v>
      </c>
      <c r="G8" s="22">
        <f t="shared" si="1"/>
        <v>40804.579999999994</v>
      </c>
    </row>
    <row r="9" spans="1:7" x14ac:dyDescent="0.25">
      <c r="A9" s="34" t="s">
        <v>37</v>
      </c>
      <c r="B9" s="36" t="s">
        <v>28</v>
      </c>
      <c r="C9" s="17">
        <f t="shared" si="0"/>
        <v>17102.599999999999</v>
      </c>
      <c r="E9" s="17">
        <v>17102.599999999999</v>
      </c>
      <c r="F9" s="17"/>
      <c r="G9" s="22">
        <f t="shared" si="1"/>
        <v>17102.599999999999</v>
      </c>
    </row>
    <row r="10" spans="1:7" x14ac:dyDescent="0.25">
      <c r="A10" s="34" t="s">
        <v>37</v>
      </c>
      <c r="B10" s="36" t="s">
        <v>58</v>
      </c>
      <c r="C10" s="17">
        <f>G10:G25</f>
        <v>21341.699999999997</v>
      </c>
      <c r="E10" s="17">
        <v>12685.4</v>
      </c>
      <c r="F10" s="17">
        <v>8656.2999999999993</v>
      </c>
      <c r="G10" s="22">
        <f t="shared" si="1"/>
        <v>21341.699999999997</v>
      </c>
    </row>
    <row r="11" spans="1:7" x14ac:dyDescent="0.25">
      <c r="A11" s="34" t="s">
        <v>53</v>
      </c>
      <c r="B11" s="36" t="s">
        <v>27</v>
      </c>
      <c r="C11" s="40">
        <f>G11:G25</f>
        <v>55510</v>
      </c>
      <c r="E11" s="17">
        <v>36971.800000000003</v>
      </c>
      <c r="F11" s="17">
        <v>18538.2</v>
      </c>
      <c r="G11" s="22">
        <f t="shared" si="1"/>
        <v>55510</v>
      </c>
    </row>
    <row r="12" spans="1:7" x14ac:dyDescent="0.25">
      <c r="A12" s="34" t="s">
        <v>54</v>
      </c>
      <c r="B12" s="36" t="s">
        <v>55</v>
      </c>
      <c r="C12" s="17">
        <f>G12:G27</f>
        <v>30471.5</v>
      </c>
      <c r="E12" s="17">
        <v>11585.3</v>
      </c>
      <c r="F12" s="17">
        <v>18886.2</v>
      </c>
      <c r="G12" s="22">
        <f t="shared" si="1"/>
        <v>30471.5</v>
      </c>
    </row>
    <row r="13" spans="1:7" x14ac:dyDescent="0.25">
      <c r="A13" s="34" t="s">
        <v>8</v>
      </c>
      <c r="B13" s="36" t="s">
        <v>12</v>
      </c>
      <c r="C13" s="17">
        <f>G13:G28</f>
        <v>59433.899999999994</v>
      </c>
      <c r="E13" s="17">
        <v>48804.2</v>
      </c>
      <c r="F13" s="17">
        <v>10629.7</v>
      </c>
      <c r="G13" s="22">
        <f t="shared" si="1"/>
        <v>59433.899999999994</v>
      </c>
    </row>
    <row r="14" spans="1:7" x14ac:dyDescent="0.25">
      <c r="A14" s="34" t="s">
        <v>0</v>
      </c>
      <c r="B14" s="36" t="s">
        <v>25</v>
      </c>
      <c r="C14" s="17">
        <f>G14:G29</f>
        <v>81013.7</v>
      </c>
      <c r="E14" s="17">
        <v>54898</v>
      </c>
      <c r="F14" s="17">
        <v>26115.7</v>
      </c>
      <c r="G14" s="22">
        <f t="shared" si="1"/>
        <v>81013.7</v>
      </c>
    </row>
    <row r="15" spans="1:7" x14ac:dyDescent="0.25">
      <c r="A15" s="35" t="s">
        <v>22</v>
      </c>
      <c r="B15" s="37" t="s">
        <v>58</v>
      </c>
      <c r="C15" s="17">
        <f>G15:G30</f>
        <v>3761.35</v>
      </c>
      <c r="E15" s="17">
        <v>1400</v>
      </c>
      <c r="F15" s="17">
        <v>2361.35</v>
      </c>
      <c r="G15" s="22">
        <f t="shared" si="1"/>
        <v>3761.35</v>
      </c>
    </row>
    <row r="16" spans="1:7" x14ac:dyDescent="0.25">
      <c r="A16" s="34" t="s">
        <v>22</v>
      </c>
      <c r="B16" s="36" t="s">
        <v>28</v>
      </c>
      <c r="C16" s="40">
        <f>G16:G30</f>
        <v>60290.100000000006</v>
      </c>
      <c r="E16" s="17">
        <v>36513.300000000003</v>
      </c>
      <c r="F16" s="17">
        <f>16476.8+7300</f>
        <v>23776.799999999999</v>
      </c>
      <c r="G16" s="22">
        <f t="shared" si="1"/>
        <v>60290.100000000006</v>
      </c>
    </row>
    <row r="17" spans="1:7" x14ac:dyDescent="0.25">
      <c r="A17" s="34" t="s">
        <v>35</v>
      </c>
      <c r="B17" s="36" t="s">
        <v>13</v>
      </c>
      <c r="C17" s="17">
        <f>G17:G32</f>
        <v>67211.92</v>
      </c>
      <c r="E17" s="17">
        <v>59979.29</v>
      </c>
      <c r="F17" s="17">
        <v>7232.63</v>
      </c>
      <c r="G17" s="22">
        <f t="shared" si="1"/>
        <v>67211.92</v>
      </c>
    </row>
    <row r="18" spans="1:7" x14ac:dyDescent="0.25">
      <c r="A18" s="34" t="s">
        <v>9</v>
      </c>
      <c r="B18" s="36" t="s">
        <v>15</v>
      </c>
      <c r="C18" s="17">
        <f>G18:G33</f>
        <v>69643.42</v>
      </c>
      <c r="E18" s="17">
        <v>60398.7</v>
      </c>
      <c r="F18" s="17">
        <v>9244.7199999999993</v>
      </c>
      <c r="G18" s="22">
        <f t="shared" si="1"/>
        <v>69643.42</v>
      </c>
    </row>
    <row r="20" spans="1:7" x14ac:dyDescent="0.25">
      <c r="A20" s="41">
        <v>43977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E973-2AE5-4527-B87C-AA9ECF87E3E2}">
  <sheetPr>
    <pageSetUpPr fitToPage="1"/>
  </sheetPr>
  <dimension ref="A3:B36"/>
  <sheetViews>
    <sheetView showGridLines="0"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16.28515625" style="17" bestFit="1" customWidth="1"/>
  </cols>
  <sheetData>
    <row r="3" spans="1:2" x14ac:dyDescent="0.25">
      <c r="A3" s="38" t="s">
        <v>20</v>
      </c>
      <c r="B3" s="38" t="s">
        <v>19</v>
      </c>
    </row>
    <row r="4" spans="1:2" x14ac:dyDescent="0.25">
      <c r="A4" s="7" t="s">
        <v>54</v>
      </c>
      <c r="B4" s="22">
        <v>30471.5</v>
      </c>
    </row>
    <row r="5" spans="1:2" x14ac:dyDescent="0.25">
      <c r="A5" s="21" t="s">
        <v>55</v>
      </c>
      <c r="B5" s="22">
        <v>30471.5</v>
      </c>
    </row>
    <row r="6" spans="1:2" x14ac:dyDescent="0.25">
      <c r="A6" s="7" t="s">
        <v>37</v>
      </c>
      <c r="B6" s="22">
        <v>38444.299999999996</v>
      </c>
    </row>
    <row r="7" spans="1:2" x14ac:dyDescent="0.25">
      <c r="A7" s="21" t="s">
        <v>58</v>
      </c>
      <c r="B7" s="22">
        <v>21341.699999999997</v>
      </c>
    </row>
    <row r="8" spans="1:2" x14ac:dyDescent="0.25">
      <c r="A8" s="21" t="s">
        <v>28</v>
      </c>
      <c r="B8" s="22">
        <v>17102.599999999999</v>
      </c>
    </row>
    <row r="9" spans="1:2" x14ac:dyDescent="0.25">
      <c r="A9" s="7" t="s">
        <v>52</v>
      </c>
      <c r="B9" s="22">
        <v>40804.579999999994</v>
      </c>
    </row>
    <row r="10" spans="1:2" x14ac:dyDescent="0.25">
      <c r="A10" s="21" t="s">
        <v>18</v>
      </c>
      <c r="B10" s="22">
        <v>40804.579999999994</v>
      </c>
    </row>
    <row r="11" spans="1:2" x14ac:dyDescent="0.25">
      <c r="A11" s="7" t="s">
        <v>5</v>
      </c>
      <c r="B11" s="22">
        <v>48187.5</v>
      </c>
    </row>
    <row r="12" spans="1:2" x14ac:dyDescent="0.25">
      <c r="A12" s="21" t="s">
        <v>16</v>
      </c>
      <c r="B12" s="22">
        <v>48187.5</v>
      </c>
    </row>
    <row r="13" spans="1:2" x14ac:dyDescent="0.25">
      <c r="A13" s="7" t="s">
        <v>53</v>
      </c>
      <c r="B13" s="22">
        <v>55510</v>
      </c>
    </row>
    <row r="14" spans="1:2" x14ac:dyDescent="0.25">
      <c r="A14" s="21" t="s">
        <v>27</v>
      </c>
      <c r="B14" s="22">
        <v>55510</v>
      </c>
    </row>
    <row r="15" spans="1:2" x14ac:dyDescent="0.25">
      <c r="A15" s="7" t="s">
        <v>8</v>
      </c>
      <c r="B15" s="22">
        <v>59433.899999999994</v>
      </c>
    </row>
    <row r="16" spans="1:2" x14ac:dyDescent="0.25">
      <c r="A16" s="21" t="s">
        <v>12</v>
      </c>
      <c r="B16" s="22">
        <v>59433.899999999994</v>
      </c>
    </row>
    <row r="17" spans="1:2" x14ac:dyDescent="0.25">
      <c r="A17" s="7" t="s">
        <v>7</v>
      </c>
      <c r="B17" s="22">
        <v>59925.729999999996</v>
      </c>
    </row>
    <row r="18" spans="1:2" x14ac:dyDescent="0.25">
      <c r="A18" s="21" t="s">
        <v>11</v>
      </c>
      <c r="B18" s="22">
        <v>59925.729999999996</v>
      </c>
    </row>
    <row r="19" spans="1:2" x14ac:dyDescent="0.25">
      <c r="A19" s="7" t="s">
        <v>31</v>
      </c>
      <c r="B19" s="22">
        <v>63860.12</v>
      </c>
    </row>
    <row r="20" spans="1:2" x14ac:dyDescent="0.25">
      <c r="A20" s="21" t="s">
        <v>14</v>
      </c>
      <c r="B20" s="22">
        <v>63860.12</v>
      </c>
    </row>
    <row r="21" spans="1:2" x14ac:dyDescent="0.25">
      <c r="A21" s="7" t="s">
        <v>22</v>
      </c>
      <c r="B21" s="22">
        <v>64051.450000000004</v>
      </c>
    </row>
    <row r="22" spans="1:2" x14ac:dyDescent="0.25">
      <c r="A22" s="21" t="s">
        <v>58</v>
      </c>
      <c r="B22" s="22">
        <v>3761.35</v>
      </c>
    </row>
    <row r="23" spans="1:2" x14ac:dyDescent="0.25">
      <c r="A23" s="21" t="s">
        <v>28</v>
      </c>
      <c r="B23" s="22">
        <v>60290.100000000006</v>
      </c>
    </row>
    <row r="24" spans="1:2" x14ac:dyDescent="0.25">
      <c r="A24" s="7" t="s">
        <v>29</v>
      </c>
      <c r="B24" s="22">
        <v>66417.11</v>
      </c>
    </row>
    <row r="25" spans="1:2" x14ac:dyDescent="0.25">
      <c r="A25" s="21" t="s">
        <v>30</v>
      </c>
      <c r="B25" s="22">
        <v>66417.11</v>
      </c>
    </row>
    <row r="26" spans="1:2" x14ac:dyDescent="0.25">
      <c r="A26" s="7" t="s">
        <v>35</v>
      </c>
      <c r="B26" s="22">
        <v>67211.92</v>
      </c>
    </row>
    <row r="27" spans="1:2" x14ac:dyDescent="0.25">
      <c r="A27" s="21" t="s">
        <v>13</v>
      </c>
      <c r="B27" s="22">
        <v>67211.92</v>
      </c>
    </row>
    <row r="28" spans="1:2" x14ac:dyDescent="0.25">
      <c r="A28" s="7" t="s">
        <v>9</v>
      </c>
      <c r="B28" s="22">
        <v>69643.42</v>
      </c>
    </row>
    <row r="29" spans="1:2" x14ac:dyDescent="0.25">
      <c r="A29" s="21" t="s">
        <v>15</v>
      </c>
      <c r="B29" s="22">
        <v>69643.42</v>
      </c>
    </row>
    <row r="30" spans="1:2" x14ac:dyDescent="0.25">
      <c r="A30" s="7" t="s">
        <v>59</v>
      </c>
      <c r="B30" s="22">
        <v>80865.5</v>
      </c>
    </row>
    <row r="31" spans="1:2" x14ac:dyDescent="0.25">
      <c r="A31" s="21" t="s">
        <v>26</v>
      </c>
      <c r="B31" s="22">
        <v>80865.5</v>
      </c>
    </row>
    <row r="32" spans="1:2" x14ac:dyDescent="0.25">
      <c r="A32" s="7" t="s">
        <v>0</v>
      </c>
      <c r="B32" s="22">
        <v>81013.7</v>
      </c>
    </row>
    <row r="33" spans="1:2" x14ac:dyDescent="0.25">
      <c r="A33" s="21" t="s">
        <v>25</v>
      </c>
      <c r="B33" s="22">
        <v>81013.7</v>
      </c>
    </row>
    <row r="34" spans="1:2" x14ac:dyDescent="0.25">
      <c r="A34" s="7" t="s">
        <v>6</v>
      </c>
      <c r="B34" s="22">
        <v>106520.4</v>
      </c>
    </row>
    <row r="35" spans="1:2" x14ac:dyDescent="0.25">
      <c r="A35" s="21" t="s">
        <v>10</v>
      </c>
      <c r="B35" s="22">
        <v>106520.4</v>
      </c>
    </row>
    <row r="36" spans="1:2" x14ac:dyDescent="0.25">
      <c r="A36" s="38" t="s">
        <v>21</v>
      </c>
      <c r="B36" s="39">
        <v>932361.13</v>
      </c>
    </row>
  </sheetData>
  <pageMargins left="0.25" right="0.25" top="0.75" bottom="0.75" header="0.3" footer="0.3"/>
  <pageSetup paperSize="9" scale="57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37B7-887E-4B4E-BD5E-7477F18049CF}">
  <dimension ref="A1:F16"/>
  <sheetViews>
    <sheetView workbookViewId="0">
      <selection sqref="A1:B16"/>
    </sheetView>
  </sheetViews>
  <sheetFormatPr defaultRowHeight="15" x14ac:dyDescent="0.25"/>
  <cols>
    <col min="1" max="1" width="22.85546875" customWidth="1"/>
    <col min="2" max="3" width="17.140625" customWidth="1"/>
    <col min="4" max="4" width="20.28515625" customWidth="1"/>
    <col min="6" max="6" width="15.42578125" style="17" bestFit="1" customWidth="1"/>
  </cols>
  <sheetData>
    <row r="1" spans="1:6" x14ac:dyDescent="0.25">
      <c r="A1" s="5" t="s">
        <v>1</v>
      </c>
      <c r="B1" s="5" t="s">
        <v>17</v>
      </c>
      <c r="C1" s="5" t="s">
        <v>2</v>
      </c>
      <c r="D1" s="5" t="s">
        <v>43</v>
      </c>
      <c r="E1" s="5" t="s">
        <v>33</v>
      </c>
      <c r="F1" s="6" t="s">
        <v>34</v>
      </c>
    </row>
    <row r="2" spans="1:6" x14ac:dyDescent="0.25">
      <c r="A2" s="7" t="s">
        <v>59</v>
      </c>
      <c r="B2" s="5" t="s">
        <v>26</v>
      </c>
      <c r="C2" s="6">
        <v>80865.5</v>
      </c>
      <c r="D2" s="6">
        <f>Tabela2236810[[#This Row],[RECEITA]]-50000</f>
        <v>30865.5</v>
      </c>
      <c r="E2" s="5" t="s">
        <v>32</v>
      </c>
      <c r="F2" s="6">
        <f>IF(D2&gt;20000,(Tabela2236810[[#This Row],[RECEITA]]-50000)*0.04,IF(D2&gt;10000,(Tabela2236810[[#This Row],[RECEITA]]-50000)*0.03,IF(D2&gt;1,(Tabela2236810[[#This Row],[RECEITA]]-50000)*0.02,"SEM PREMIO")))</f>
        <v>1234.6200000000001</v>
      </c>
    </row>
    <row r="3" spans="1:6" x14ac:dyDescent="0.25">
      <c r="A3" s="7" t="s">
        <v>5</v>
      </c>
      <c r="B3" s="5" t="s">
        <v>16</v>
      </c>
      <c r="C3" s="6">
        <v>48187.5</v>
      </c>
      <c r="D3" s="6">
        <f>Tabela2236810[[#This Row],[RECEITA]]-50000</f>
        <v>-1812.5</v>
      </c>
      <c r="E3" s="5" t="s">
        <v>32</v>
      </c>
      <c r="F3" s="6" t="str">
        <f>IF(D3&gt;20000,(Tabela2236810[[#This Row],[RECEITA]]-50000)*0.04,IF(D3&gt;10000,(Tabela2236810[[#This Row],[RECEITA]]-50000)*0.03,IF(D3&gt;1,(Tabela2236810[[#This Row],[RECEITA]]-50000)*0.02,"SEM PREMIO")))</f>
        <v>SEM PREMIO</v>
      </c>
    </row>
    <row r="4" spans="1:6" x14ac:dyDescent="0.25">
      <c r="A4" s="7" t="s">
        <v>29</v>
      </c>
      <c r="B4" s="5" t="s">
        <v>30</v>
      </c>
      <c r="C4" s="6">
        <v>66417.11</v>
      </c>
      <c r="D4" s="6">
        <f>Tabela2236810[[#This Row],[RECEITA]]-50000</f>
        <v>16417.11</v>
      </c>
      <c r="E4" s="5" t="s">
        <v>32</v>
      </c>
      <c r="F4" s="6">
        <f>IF(D4&gt;20000,(Tabela2236810[[#This Row],[RECEITA]]-50000)*0.04,IF(D4&gt;10000,(Tabela2236810[[#This Row],[RECEITA]]-50000)*0.03,IF(D4&gt;1,(Tabela2236810[[#This Row],[RECEITA]]-50000)*0.02,"SEM PREMIO")))</f>
        <v>492.51330000000002</v>
      </c>
    </row>
    <row r="5" spans="1:6" x14ac:dyDescent="0.25">
      <c r="A5" s="7" t="s">
        <v>31</v>
      </c>
      <c r="B5" s="5" t="s">
        <v>14</v>
      </c>
      <c r="C5" s="6">
        <v>63860.12</v>
      </c>
      <c r="D5" s="6">
        <f>Tabela2236810[[#This Row],[RECEITA]]-50000</f>
        <v>13860.120000000003</v>
      </c>
      <c r="E5" s="5" t="s">
        <v>32</v>
      </c>
      <c r="F5" s="6">
        <f>IF(D5&gt;20000,(Tabela2236810[[#This Row],[RECEITA]]-50000)*0.04,IF(D5&gt;10000,(Tabela2236810[[#This Row],[RECEITA]]-50000)*0.03,IF(D5&gt;1,(Tabela2236810[[#This Row],[RECEITA]]-50000)*0.02,"SEM PREMIO")))</f>
        <v>415.80360000000007</v>
      </c>
    </row>
    <row r="6" spans="1:6" x14ac:dyDescent="0.25">
      <c r="A6" s="7" t="s">
        <v>6</v>
      </c>
      <c r="B6" s="5" t="s">
        <v>10</v>
      </c>
      <c r="C6" s="6">
        <v>106520.4</v>
      </c>
      <c r="D6" s="6">
        <f>Tabela2236810[[#This Row],[RECEITA]]-50000</f>
        <v>56520.399999999994</v>
      </c>
      <c r="E6" s="5" t="s">
        <v>32</v>
      </c>
      <c r="F6" s="6">
        <f>Tabela2236810[[#This Row],[RECEITA]]*2.5%</f>
        <v>2663.01</v>
      </c>
    </row>
    <row r="7" spans="1:6" x14ac:dyDescent="0.25">
      <c r="A7" s="7" t="s">
        <v>7</v>
      </c>
      <c r="B7" s="5" t="s">
        <v>11</v>
      </c>
      <c r="C7" s="6">
        <v>59925.729999999996</v>
      </c>
      <c r="D7" s="6">
        <f>Tabela2236810[[#This Row],[RECEITA]]-50000</f>
        <v>9925.7299999999959</v>
      </c>
      <c r="E7" s="5" t="s">
        <v>32</v>
      </c>
      <c r="F7" s="6">
        <f>IF(D7&gt;20000,(Tabela2236810[[#This Row],[RECEITA]]-50000)*0.04,IF(D7&gt;10000,(Tabela2236810[[#This Row],[RECEITA]]-50000)*0.03,IF(D7&gt;1,(Tabela2236810[[#This Row],[RECEITA]]-50000)*0.02,"SEM PREMIO")))</f>
        <v>198.51459999999992</v>
      </c>
    </row>
    <row r="8" spans="1:6" x14ac:dyDescent="0.25">
      <c r="A8" s="7" t="s">
        <v>52</v>
      </c>
      <c r="B8" s="5" t="s">
        <v>18</v>
      </c>
      <c r="C8" s="6">
        <v>40804.579999999994</v>
      </c>
      <c r="D8" s="6">
        <f>Tabela2236810[[#This Row],[RECEITA]]-50000</f>
        <v>-9195.4200000000055</v>
      </c>
      <c r="E8" s="5" t="s">
        <v>32</v>
      </c>
      <c r="F8" s="6" t="str">
        <f>IF(D8&gt;20000,(Tabela2236810[[#This Row],[RECEITA]]-50000)*0.04,IF(D8&gt;10000,(Tabela2236810[[#This Row],[RECEITA]]-50000)*0.03,IF(D8&gt;1,(Tabela2236810[[#This Row],[RECEITA]]-50000)*0.02,"SEM PREMIO")))</f>
        <v>SEM PREMIO</v>
      </c>
    </row>
    <row r="9" spans="1:6" x14ac:dyDescent="0.25">
      <c r="A9" s="7" t="s">
        <v>37</v>
      </c>
      <c r="B9" s="36" t="s">
        <v>58</v>
      </c>
      <c r="C9" s="29">
        <f>SUM('BASE MAIO'!C9:C10)</f>
        <v>38444.299999999996</v>
      </c>
      <c r="D9" s="6">
        <f>Tabela2236810[[#This Row],[RECEITA]]-50000</f>
        <v>-11555.700000000004</v>
      </c>
      <c r="E9" s="5"/>
      <c r="F9" s="29" t="str">
        <f>IF(D9&gt;20000,(Tabela2236810[[#This Row],[RECEITA]]-50000)*0.04,IF(D9&gt;10000,(Tabela2236810[[#This Row],[RECEITA]]-50000)*0.03,IF(D9&gt;1,(Tabela2236810[[#This Row],[RECEITA]]-50000)*0.02,"SEM PREMIO")))</f>
        <v>SEM PREMIO</v>
      </c>
    </row>
    <row r="10" spans="1:6" x14ac:dyDescent="0.25">
      <c r="A10" s="7" t="s">
        <v>53</v>
      </c>
      <c r="B10" s="5" t="s">
        <v>27</v>
      </c>
      <c r="C10" s="29">
        <v>55510</v>
      </c>
      <c r="D10" s="6">
        <f>Tabela2236810[[#This Row],[RECEITA]]-50000</f>
        <v>5510</v>
      </c>
      <c r="E10" s="5"/>
      <c r="F10" s="29">
        <f>IF(D10&gt;20000,(Tabela2236810[[#This Row],[RECEITA]]-50000)*0.04,IF(D10&gt;10000,(Tabela2236810[[#This Row],[RECEITA]]-50000)*0.03,IF(D10&gt;1,(Tabela2236810[[#This Row],[RECEITA]]-50000)*0.02,"SEM PREMIO")))</f>
        <v>110.2</v>
      </c>
    </row>
    <row r="11" spans="1:6" x14ac:dyDescent="0.25">
      <c r="A11" s="7" t="s">
        <v>54</v>
      </c>
      <c r="B11" s="5" t="s">
        <v>55</v>
      </c>
      <c r="C11" s="6">
        <v>30471.5</v>
      </c>
      <c r="D11" s="6">
        <f>Tabela2236810[[#This Row],[RECEITA]]-50000</f>
        <v>-19528.5</v>
      </c>
      <c r="E11" s="5" t="s">
        <v>32</v>
      </c>
      <c r="F11" s="6" t="str">
        <f>IF(D11&gt;20000,(Tabela2236810[[#This Row],[RECEITA]]-50000)*0.04,IF(D11&gt;10000,(Tabela2236810[[#This Row],[RECEITA]]-50000)*0.03,IF(D11&gt;1,(Tabela2236810[[#This Row],[RECEITA]]-50000)*0.02,"SEM PREMIO")))</f>
        <v>SEM PREMIO</v>
      </c>
    </row>
    <row r="12" spans="1:6" x14ac:dyDescent="0.25">
      <c r="A12" s="7" t="s">
        <v>8</v>
      </c>
      <c r="B12" s="5" t="s">
        <v>12</v>
      </c>
      <c r="C12" s="6">
        <v>59433.899999999994</v>
      </c>
      <c r="D12" s="6">
        <f>Tabela2236810[[#This Row],[RECEITA]]-50000</f>
        <v>9433.8999999999942</v>
      </c>
      <c r="E12" s="5"/>
      <c r="F12" s="29">
        <f>IF(D12&gt;20000,(Tabela2236810[[#This Row],[RECEITA]]-50000)*0.04,IF(D12&gt;10000,(Tabela2236810[[#This Row],[RECEITA]]-50000)*0.03,IF(D12&gt;1,(Tabela2236810[[#This Row],[RECEITA]]-50000)*0.02,"SEM PREMIO")))</f>
        <v>188.67799999999988</v>
      </c>
    </row>
    <row r="13" spans="1:6" x14ac:dyDescent="0.25">
      <c r="A13" s="7" t="s">
        <v>0</v>
      </c>
      <c r="B13" s="5" t="s">
        <v>25</v>
      </c>
      <c r="C13" s="29">
        <v>81013.7</v>
      </c>
      <c r="D13" s="6">
        <f>Tabela2236810[[#This Row],[RECEITA]]-50000</f>
        <v>31013.699999999997</v>
      </c>
      <c r="E13" s="5"/>
      <c r="F13" s="29">
        <f>IF(D13&gt;20000,(Tabela2236810[[#This Row],[RECEITA]]-50000)*0.04,IF(D13&gt;10000,(Tabela2236810[[#This Row],[RECEITA]]-50000)*0.03,IF(D13&gt;1,(Tabela2236810[[#This Row],[RECEITA]]-50000)*0.02,"SEM PREMIO")))</f>
        <v>1240.548</v>
      </c>
    </row>
    <row r="14" spans="1:6" x14ac:dyDescent="0.25">
      <c r="A14" s="7" t="s">
        <v>22</v>
      </c>
      <c r="B14" s="36" t="s">
        <v>28</v>
      </c>
      <c r="C14" s="6">
        <f>SUM('BASE MAIO'!C15:C16)</f>
        <v>64051.450000000004</v>
      </c>
      <c r="D14" s="6">
        <f>Tabela2236810[[#This Row],[RECEITA]]-50000</f>
        <v>14051.450000000004</v>
      </c>
      <c r="E14" s="5" t="s">
        <v>32</v>
      </c>
      <c r="F14" s="6">
        <f>IF(D14&gt;20000,(Tabela2236810[[#This Row],[RECEITA]]-50000)*0.04,IF(D14&gt;10000,(Tabela2236810[[#This Row],[RECEITA]]-50000)*0.03,IF(D14&gt;1,(Tabela2236810[[#This Row],[RECEITA]]-50000)*0.02,"SEM PREMIO")))</f>
        <v>421.54350000000011</v>
      </c>
    </row>
    <row r="15" spans="1:6" x14ac:dyDescent="0.25">
      <c r="A15" s="7" t="s">
        <v>35</v>
      </c>
      <c r="B15" s="5" t="s">
        <v>13</v>
      </c>
      <c r="C15" s="17">
        <v>67211.92</v>
      </c>
      <c r="D15" s="6">
        <f>Tabela2236810[[#This Row],[RECEITA]]-50000</f>
        <v>17211.919999999998</v>
      </c>
      <c r="E15" s="5" t="s">
        <v>32</v>
      </c>
      <c r="F15" s="6">
        <f>IF(D15&gt;20000,(Tabela2236810[[#This Row],[RECEITA]]-50000)*0.04,IF(D15&gt;10000,(Tabela2236810[[#This Row],[RECEITA]]-50000)*0.03,IF(D15&gt;1,(Tabela2236810[[#This Row],[RECEITA]]-50000)*0.02,"SEM PREMIO")))</f>
        <v>516.35759999999993</v>
      </c>
    </row>
    <row r="16" spans="1:6" x14ac:dyDescent="0.25">
      <c r="A16" s="7" t="s">
        <v>9</v>
      </c>
      <c r="B16" s="5" t="s">
        <v>15</v>
      </c>
      <c r="C16" s="6">
        <v>69643.42</v>
      </c>
      <c r="D16" s="6">
        <f>Tabela2236810[[#This Row],[RECEITA]]-50000</f>
        <v>19643.419999999998</v>
      </c>
      <c r="E16" s="5"/>
      <c r="F16" s="6">
        <f>IF(D16&gt;20000,(Tabela2236810[[#This Row],[RECEITA]]-50000)*0.04,IF(D16&gt;10000,(Tabela2236810[[#This Row],[RECEITA]]-50000)*0.03,IF(D16&gt;1,(Tabela2236810[[#This Row],[RECEITA]]-50000)*0.02,"SEM PREMIO")))</f>
        <v>589.30259999999987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EABA-AEE9-4AC9-8F03-77A9D82B95E0}">
  <sheetPr>
    <pageSetUpPr fitToPage="1"/>
  </sheetPr>
  <dimension ref="A3:B36"/>
  <sheetViews>
    <sheetView showGridLines="0" tabSelected="1" workbookViewId="0">
      <selection activeCell="A11" sqref="A11"/>
    </sheetView>
  </sheetViews>
  <sheetFormatPr defaultRowHeight="15" x14ac:dyDescent="0.25"/>
  <cols>
    <col min="1" max="1" width="22.140625" bestFit="1" customWidth="1"/>
    <col min="2" max="2" width="16.28515625" bestFit="1" customWidth="1"/>
  </cols>
  <sheetData>
    <row r="3" spans="1:2" x14ac:dyDescent="0.25">
      <c r="A3" s="26" t="s">
        <v>39</v>
      </c>
      <c r="B3" s="27" t="s">
        <v>19</v>
      </c>
    </row>
    <row r="4" spans="1:2" x14ac:dyDescent="0.25">
      <c r="A4" s="7" t="s">
        <v>62</v>
      </c>
      <c r="B4" s="22">
        <v>4899.91</v>
      </c>
    </row>
    <row r="5" spans="1:2" x14ac:dyDescent="0.25">
      <c r="A5" s="21" t="s">
        <v>16</v>
      </c>
      <c r="B5" s="22">
        <v>4899.91</v>
      </c>
    </row>
    <row r="6" spans="1:2" x14ac:dyDescent="0.25">
      <c r="A6" s="7" t="s">
        <v>22</v>
      </c>
      <c r="B6" s="22">
        <v>18014.2</v>
      </c>
    </row>
    <row r="7" spans="1:2" x14ac:dyDescent="0.25">
      <c r="A7" s="21" t="s">
        <v>28</v>
      </c>
      <c r="B7" s="22">
        <v>18014.2</v>
      </c>
    </row>
    <row r="8" spans="1:2" x14ac:dyDescent="0.25">
      <c r="A8" s="7" t="s">
        <v>5</v>
      </c>
      <c r="B8" s="22">
        <v>18082.330000000002</v>
      </c>
    </row>
    <row r="9" spans="1:2" x14ac:dyDescent="0.25">
      <c r="A9" s="21" t="s">
        <v>16</v>
      </c>
      <c r="B9" s="22">
        <v>18082.330000000002</v>
      </c>
    </row>
    <row r="10" spans="1:2" x14ac:dyDescent="0.25">
      <c r="A10" s="7" t="s">
        <v>0</v>
      </c>
      <c r="B10" s="22">
        <v>18662.47</v>
      </c>
    </row>
    <row r="11" spans="1:2" x14ac:dyDescent="0.25">
      <c r="A11" s="21" t="s">
        <v>25</v>
      </c>
      <c r="B11" s="22">
        <v>18662.47</v>
      </c>
    </row>
    <row r="12" spans="1:2" x14ac:dyDescent="0.25">
      <c r="A12" s="7" t="s">
        <v>37</v>
      </c>
      <c r="B12" s="22">
        <v>19008.510000000002</v>
      </c>
    </row>
    <row r="13" spans="1:2" x14ac:dyDescent="0.25">
      <c r="A13" s="21" t="s">
        <v>58</v>
      </c>
      <c r="B13" s="22">
        <v>19008.510000000002</v>
      </c>
    </row>
    <row r="14" spans="1:2" x14ac:dyDescent="0.25">
      <c r="A14" s="7" t="s">
        <v>53</v>
      </c>
      <c r="B14" s="22">
        <v>20339.27</v>
      </c>
    </row>
    <row r="15" spans="1:2" x14ac:dyDescent="0.25">
      <c r="A15" s="21" t="s">
        <v>27</v>
      </c>
      <c r="B15" s="22">
        <v>20339.27</v>
      </c>
    </row>
    <row r="16" spans="1:2" x14ac:dyDescent="0.25">
      <c r="A16" s="7" t="s">
        <v>29</v>
      </c>
      <c r="B16" s="22">
        <v>20972.14</v>
      </c>
    </row>
    <row r="17" spans="1:2" x14ac:dyDescent="0.25">
      <c r="A17" s="21" t="s">
        <v>30</v>
      </c>
      <c r="B17" s="22">
        <v>20972.14</v>
      </c>
    </row>
    <row r="18" spans="1:2" x14ac:dyDescent="0.25">
      <c r="A18" s="7" t="s">
        <v>59</v>
      </c>
      <c r="B18" s="22">
        <v>21000.37</v>
      </c>
    </row>
    <row r="19" spans="1:2" x14ac:dyDescent="0.25">
      <c r="A19" s="21" t="s">
        <v>26</v>
      </c>
      <c r="B19" s="22">
        <v>21000.37</v>
      </c>
    </row>
    <row r="20" spans="1:2" x14ac:dyDescent="0.25">
      <c r="A20" s="7" t="s">
        <v>54</v>
      </c>
      <c r="B20" s="22">
        <v>21028.760000000002</v>
      </c>
    </row>
    <row r="21" spans="1:2" x14ac:dyDescent="0.25">
      <c r="A21" s="21" t="s">
        <v>55</v>
      </c>
      <c r="B21" s="22">
        <v>21028.760000000002</v>
      </c>
    </row>
    <row r="22" spans="1:2" x14ac:dyDescent="0.25">
      <c r="A22" s="7" t="s">
        <v>9</v>
      </c>
      <c r="B22" s="22">
        <v>21516.2</v>
      </c>
    </row>
    <row r="23" spans="1:2" x14ac:dyDescent="0.25">
      <c r="A23" s="21" t="s">
        <v>15</v>
      </c>
      <c r="B23" s="22">
        <v>21516.2</v>
      </c>
    </row>
    <row r="24" spans="1:2" x14ac:dyDescent="0.25">
      <c r="A24" s="7" t="s">
        <v>8</v>
      </c>
      <c r="B24" s="22">
        <v>21531.4</v>
      </c>
    </row>
    <row r="25" spans="1:2" x14ac:dyDescent="0.25">
      <c r="A25" s="21" t="s">
        <v>12</v>
      </c>
      <c r="B25" s="22">
        <v>21531.4</v>
      </c>
    </row>
    <row r="26" spans="1:2" x14ac:dyDescent="0.25">
      <c r="A26" s="7" t="s">
        <v>31</v>
      </c>
      <c r="B26" s="22">
        <v>22357.599999999999</v>
      </c>
    </row>
    <row r="27" spans="1:2" x14ac:dyDescent="0.25">
      <c r="A27" s="21" t="s">
        <v>14</v>
      </c>
      <c r="B27" s="22">
        <v>22357.599999999999</v>
      </c>
    </row>
    <row r="28" spans="1:2" x14ac:dyDescent="0.25">
      <c r="A28" s="7" t="s">
        <v>61</v>
      </c>
      <c r="B28" s="22">
        <v>24076.400000000001</v>
      </c>
    </row>
    <row r="29" spans="1:2" x14ac:dyDescent="0.25">
      <c r="A29" s="21" t="s">
        <v>18</v>
      </c>
      <c r="B29" s="22">
        <v>24076.400000000001</v>
      </c>
    </row>
    <row r="30" spans="1:2" x14ac:dyDescent="0.25">
      <c r="A30" s="7" t="s">
        <v>7</v>
      </c>
      <c r="B30" s="22">
        <v>26881.5</v>
      </c>
    </row>
    <row r="31" spans="1:2" x14ac:dyDescent="0.25">
      <c r="A31" s="21" t="s">
        <v>11</v>
      </c>
      <c r="B31" s="22">
        <v>26881.5</v>
      </c>
    </row>
    <row r="32" spans="1:2" x14ac:dyDescent="0.25">
      <c r="A32" s="7" t="s">
        <v>35</v>
      </c>
      <c r="B32" s="22">
        <v>28258.1</v>
      </c>
    </row>
    <row r="33" spans="1:2" x14ac:dyDescent="0.25">
      <c r="A33" s="21" t="s">
        <v>13</v>
      </c>
      <c r="B33" s="22">
        <v>28258.1</v>
      </c>
    </row>
    <row r="34" spans="1:2" x14ac:dyDescent="0.25">
      <c r="A34" s="7" t="s">
        <v>6</v>
      </c>
      <c r="B34" s="22">
        <v>43955.199999999997</v>
      </c>
    </row>
    <row r="35" spans="1:2" x14ac:dyDescent="0.25">
      <c r="A35" s="21" t="s">
        <v>10</v>
      </c>
      <c r="B35" s="22">
        <v>43955.199999999997</v>
      </c>
    </row>
    <row r="36" spans="1:2" x14ac:dyDescent="0.25">
      <c r="A36" s="30" t="s">
        <v>21</v>
      </c>
      <c r="B36" s="31">
        <v>350584.35999999993</v>
      </c>
    </row>
  </sheetData>
  <pageMargins left="0.511811024" right="0.511811024" top="0.78740157499999996" bottom="0.78740157499999996" header="0.31496062000000002" footer="0.31496062000000002"/>
  <pageSetup paperSize="9" scale="61"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FE6-054B-4BB8-8F84-24F1096DAF86}">
  <dimension ref="A1:G20"/>
  <sheetViews>
    <sheetView workbookViewId="0"/>
  </sheetViews>
  <sheetFormatPr defaultRowHeight="15" x14ac:dyDescent="0.25"/>
  <cols>
    <col min="1" max="1" width="23.7109375" customWidth="1"/>
    <col min="2" max="3" width="16.7109375" customWidth="1"/>
    <col min="5" max="7" width="13.28515625" bestFit="1" customWidth="1"/>
  </cols>
  <sheetData>
    <row r="1" spans="1:7" x14ac:dyDescent="0.25">
      <c r="A1" s="42" t="s">
        <v>1</v>
      </c>
      <c r="B1" s="43" t="s">
        <v>17</v>
      </c>
      <c r="C1" s="46" t="s">
        <v>2</v>
      </c>
      <c r="E1" t="s">
        <v>47</v>
      </c>
      <c r="F1" t="s">
        <v>48</v>
      </c>
      <c r="G1" t="s">
        <v>60</v>
      </c>
    </row>
    <row r="2" spans="1:7" x14ac:dyDescent="0.25">
      <c r="A2" s="34" t="s">
        <v>59</v>
      </c>
      <c r="B2" s="36" t="s">
        <v>26</v>
      </c>
      <c r="C2" s="47">
        <f>G2</f>
        <v>21000.37</v>
      </c>
      <c r="E2" s="17">
        <v>18837.3</v>
      </c>
      <c r="F2" s="17">
        <v>2163.0700000000002</v>
      </c>
      <c r="G2" s="17">
        <f>SUM(E2:F2)</f>
        <v>21000.37</v>
      </c>
    </row>
    <row r="3" spans="1:7" x14ac:dyDescent="0.25">
      <c r="A3" s="34" t="s">
        <v>5</v>
      </c>
      <c r="B3" s="36" t="s">
        <v>16</v>
      </c>
      <c r="C3" s="47">
        <f t="shared" ref="C3:C17" si="0">G3</f>
        <v>18082.330000000002</v>
      </c>
      <c r="E3" s="17">
        <v>13475.6</v>
      </c>
      <c r="F3" s="17">
        <v>4606.7299999999996</v>
      </c>
      <c r="G3" s="17">
        <f t="shared" ref="G3:G17" si="1">SUM(E3:F3)</f>
        <v>18082.330000000002</v>
      </c>
    </row>
    <row r="4" spans="1:7" x14ac:dyDescent="0.25">
      <c r="A4" s="34" t="s">
        <v>29</v>
      </c>
      <c r="B4" s="36" t="s">
        <v>30</v>
      </c>
      <c r="C4" s="47">
        <f t="shared" si="0"/>
        <v>20972.14</v>
      </c>
      <c r="E4" s="17">
        <v>18806.900000000001</v>
      </c>
      <c r="F4" s="17">
        <v>2165.2399999999998</v>
      </c>
      <c r="G4" s="17">
        <f t="shared" si="1"/>
        <v>20972.14</v>
      </c>
    </row>
    <row r="5" spans="1:7" x14ac:dyDescent="0.25">
      <c r="A5" s="34" t="s">
        <v>31</v>
      </c>
      <c r="B5" s="36" t="s">
        <v>14</v>
      </c>
      <c r="C5" s="47">
        <f t="shared" si="0"/>
        <v>22357.599999999999</v>
      </c>
      <c r="E5" s="17">
        <v>22357.599999999999</v>
      </c>
      <c r="F5" s="17"/>
      <c r="G5" s="17">
        <f t="shared" si="1"/>
        <v>22357.599999999999</v>
      </c>
    </row>
    <row r="6" spans="1:7" x14ac:dyDescent="0.25">
      <c r="A6" s="34" t="s">
        <v>6</v>
      </c>
      <c r="B6" s="36" t="s">
        <v>10</v>
      </c>
      <c r="C6" s="47">
        <f t="shared" si="0"/>
        <v>43955.199999999997</v>
      </c>
      <c r="E6" s="17"/>
      <c r="F6" s="17">
        <v>43955.199999999997</v>
      </c>
      <c r="G6" s="17">
        <f t="shared" si="1"/>
        <v>43955.199999999997</v>
      </c>
    </row>
    <row r="7" spans="1:7" x14ac:dyDescent="0.25">
      <c r="A7" s="34" t="s">
        <v>7</v>
      </c>
      <c r="B7" s="36" t="s">
        <v>11</v>
      </c>
      <c r="C7" s="47">
        <f t="shared" si="0"/>
        <v>26881.5</v>
      </c>
      <c r="E7" s="17"/>
      <c r="F7" s="17">
        <v>26881.5</v>
      </c>
      <c r="G7" s="17">
        <f t="shared" si="1"/>
        <v>26881.5</v>
      </c>
    </row>
    <row r="8" spans="1:7" x14ac:dyDescent="0.25">
      <c r="A8" s="34" t="s">
        <v>61</v>
      </c>
      <c r="B8" s="36" t="s">
        <v>18</v>
      </c>
      <c r="C8" s="47">
        <f t="shared" si="0"/>
        <v>24076.400000000001</v>
      </c>
      <c r="E8" s="17"/>
      <c r="F8" s="17">
        <v>24076.400000000001</v>
      </c>
      <c r="G8" s="17">
        <f t="shared" si="1"/>
        <v>24076.400000000001</v>
      </c>
    </row>
    <row r="9" spans="1:7" x14ac:dyDescent="0.25">
      <c r="A9" s="34" t="s">
        <v>37</v>
      </c>
      <c r="B9" s="36" t="s">
        <v>58</v>
      </c>
      <c r="C9" s="47">
        <f t="shared" si="0"/>
        <v>19008.510000000002</v>
      </c>
      <c r="E9" s="17">
        <v>8032.98</v>
      </c>
      <c r="F9" s="17">
        <v>10975.53</v>
      </c>
      <c r="G9" s="17">
        <f t="shared" si="1"/>
        <v>19008.510000000002</v>
      </c>
    </row>
    <row r="10" spans="1:7" x14ac:dyDescent="0.25">
      <c r="A10" s="34" t="s">
        <v>53</v>
      </c>
      <c r="B10" s="36" t="s">
        <v>27</v>
      </c>
      <c r="C10" s="47">
        <f t="shared" si="0"/>
        <v>20339.27</v>
      </c>
      <c r="E10" s="17">
        <v>18176.2</v>
      </c>
      <c r="F10" s="17">
        <v>2163.0700000000002</v>
      </c>
      <c r="G10" s="17">
        <f t="shared" si="1"/>
        <v>20339.27</v>
      </c>
    </row>
    <row r="11" spans="1:7" x14ac:dyDescent="0.25">
      <c r="A11" s="34" t="s">
        <v>54</v>
      </c>
      <c r="B11" s="36" t="s">
        <v>55</v>
      </c>
      <c r="C11" s="47">
        <f t="shared" si="0"/>
        <v>21028.760000000002</v>
      </c>
      <c r="E11" s="17">
        <v>11960.81</v>
      </c>
      <c r="F11" s="17">
        <v>9067.9500000000007</v>
      </c>
      <c r="G11" s="17">
        <f t="shared" si="1"/>
        <v>21028.760000000002</v>
      </c>
    </row>
    <row r="12" spans="1:7" x14ac:dyDescent="0.25">
      <c r="A12" s="34" t="s">
        <v>8</v>
      </c>
      <c r="B12" s="36" t="s">
        <v>12</v>
      </c>
      <c r="C12" s="47">
        <f t="shared" si="0"/>
        <v>21531.4</v>
      </c>
      <c r="E12" s="17">
        <v>21531.4</v>
      </c>
      <c r="F12" s="17"/>
      <c r="G12" s="17">
        <f t="shared" si="1"/>
        <v>21531.4</v>
      </c>
    </row>
    <row r="13" spans="1:7" x14ac:dyDescent="0.25">
      <c r="A13" s="34" t="s">
        <v>0</v>
      </c>
      <c r="B13" s="36" t="s">
        <v>25</v>
      </c>
      <c r="C13" s="47">
        <f t="shared" si="0"/>
        <v>18662.47</v>
      </c>
      <c r="E13" s="17">
        <v>13592.9</v>
      </c>
      <c r="F13" s="17">
        <v>5069.57</v>
      </c>
      <c r="G13" s="17">
        <f t="shared" si="1"/>
        <v>18662.47</v>
      </c>
    </row>
    <row r="14" spans="1:7" x14ac:dyDescent="0.25">
      <c r="A14" s="34" t="s">
        <v>22</v>
      </c>
      <c r="B14" s="36" t="s">
        <v>28</v>
      </c>
      <c r="C14" s="47">
        <f t="shared" si="0"/>
        <v>18014.2</v>
      </c>
      <c r="E14" s="17">
        <v>13400.5</v>
      </c>
      <c r="F14" s="17">
        <v>4613.7</v>
      </c>
      <c r="G14" s="17">
        <f t="shared" si="1"/>
        <v>18014.2</v>
      </c>
    </row>
    <row r="15" spans="1:7" x14ac:dyDescent="0.25">
      <c r="A15" s="34" t="s">
        <v>35</v>
      </c>
      <c r="B15" s="36" t="s">
        <v>13</v>
      </c>
      <c r="C15" s="47">
        <f t="shared" si="0"/>
        <v>28258.1</v>
      </c>
      <c r="E15" s="17">
        <v>28258.1</v>
      </c>
      <c r="F15" s="17"/>
      <c r="G15" s="17">
        <f t="shared" si="1"/>
        <v>28258.1</v>
      </c>
    </row>
    <row r="16" spans="1:7" x14ac:dyDescent="0.25">
      <c r="A16" s="35" t="s">
        <v>9</v>
      </c>
      <c r="B16" s="37" t="s">
        <v>15</v>
      </c>
      <c r="C16" s="47">
        <f t="shared" si="0"/>
        <v>21516.2</v>
      </c>
      <c r="E16" s="17">
        <v>21516.2</v>
      </c>
      <c r="F16" s="17"/>
      <c r="G16" s="17">
        <f t="shared" si="1"/>
        <v>21516.2</v>
      </c>
    </row>
    <row r="17" spans="1:7" x14ac:dyDescent="0.25">
      <c r="A17" s="44" t="s">
        <v>62</v>
      </c>
      <c r="B17" s="45" t="s">
        <v>16</v>
      </c>
      <c r="C17" s="47">
        <f t="shared" si="0"/>
        <v>4899.91</v>
      </c>
      <c r="E17" s="17"/>
      <c r="F17" s="17">
        <v>4899.91</v>
      </c>
      <c r="G17" s="17">
        <f t="shared" si="1"/>
        <v>4899.91</v>
      </c>
    </row>
    <row r="20" spans="1:7" x14ac:dyDescent="0.25">
      <c r="A20" s="41">
        <v>43993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384D-ED79-453E-8DCB-E3077AC211A2}">
  <dimension ref="A1:O19"/>
  <sheetViews>
    <sheetView workbookViewId="0">
      <selection sqref="A1:C18"/>
    </sheetView>
  </sheetViews>
  <sheetFormatPr defaultRowHeight="15" x14ac:dyDescent="0.25"/>
  <cols>
    <col min="1" max="1" width="20" bestFit="1" customWidth="1"/>
    <col min="2" max="2" width="15.42578125" customWidth="1"/>
    <col min="3" max="3" width="16.140625" customWidth="1"/>
    <col min="4" max="4" width="13.28515625" style="17" bestFit="1" customWidth="1"/>
    <col min="5" max="6" width="13.28515625" style="17" hidden="1" customWidth="1"/>
    <col min="7" max="7" width="13.28515625" bestFit="1" customWidth="1"/>
    <col min="9" max="9" width="13.28515625" style="17" hidden="1" customWidth="1"/>
    <col min="10" max="10" width="12.140625" style="17" hidden="1" customWidth="1"/>
    <col min="11" max="11" width="9.140625" style="17"/>
    <col min="13" max="15" width="13.28515625" bestFit="1" customWidth="1"/>
  </cols>
  <sheetData>
    <row r="1" spans="1:15" x14ac:dyDescent="0.25">
      <c r="A1" s="5" t="s">
        <v>1</v>
      </c>
      <c r="B1" s="5" t="s">
        <v>17</v>
      </c>
      <c r="C1" s="5" t="s">
        <v>2</v>
      </c>
      <c r="M1" t="s">
        <v>47</v>
      </c>
      <c r="N1" t="s">
        <v>48</v>
      </c>
    </row>
    <row r="2" spans="1:15" x14ac:dyDescent="0.25">
      <c r="A2" s="7" t="s">
        <v>36</v>
      </c>
      <c r="B2" s="5" t="s">
        <v>26</v>
      </c>
      <c r="C2" s="6">
        <v>60167.7</v>
      </c>
      <c r="E2" s="17">
        <v>33729.4</v>
      </c>
      <c r="G2" s="22">
        <f>E2+F2+I2+J2</f>
        <v>55851.5</v>
      </c>
      <c r="I2" s="17">
        <v>22122.1</v>
      </c>
      <c r="M2" s="17">
        <v>60167.7</v>
      </c>
      <c r="N2" s="17"/>
      <c r="O2" s="17">
        <f>SUM(M2:N2)</f>
        <v>60167.7</v>
      </c>
    </row>
    <row r="3" spans="1:15" x14ac:dyDescent="0.25">
      <c r="A3" s="7" t="s">
        <v>44</v>
      </c>
      <c r="B3" s="5" t="s">
        <v>13</v>
      </c>
      <c r="C3" s="6">
        <v>38674.480000000003</v>
      </c>
      <c r="E3" s="17">
        <f>5868.68+14526.4</f>
        <v>20395.080000000002</v>
      </c>
      <c r="F3" s="17">
        <v>18279.400000000001</v>
      </c>
      <c r="G3" s="22">
        <f t="shared" ref="G3:G17" si="0">E3+F3+I3+J3</f>
        <v>38674.480000000003</v>
      </c>
      <c r="M3" s="17">
        <f>5868.68+14526.4</f>
        <v>20395.080000000002</v>
      </c>
      <c r="N3" s="17">
        <v>18279.400000000001</v>
      </c>
      <c r="O3" s="17">
        <f t="shared" ref="O3:O18" si="1">SUM(M3:N3)</f>
        <v>38674.480000000003</v>
      </c>
    </row>
    <row r="4" spans="1:15" x14ac:dyDescent="0.25">
      <c r="A4" s="7" t="s">
        <v>5</v>
      </c>
      <c r="B4" s="5" t="s">
        <v>16</v>
      </c>
      <c r="C4" s="6">
        <v>49722.61</v>
      </c>
      <c r="E4" s="17">
        <v>35522.6</v>
      </c>
      <c r="F4" s="17">
        <v>2524.21</v>
      </c>
      <c r="G4" s="22">
        <f t="shared" si="0"/>
        <v>45406.53</v>
      </c>
      <c r="I4" s="17">
        <v>7359.72</v>
      </c>
      <c r="M4" s="17">
        <v>47198.400000000001</v>
      </c>
      <c r="N4" s="17">
        <v>2524.21</v>
      </c>
      <c r="O4" s="17">
        <f t="shared" si="1"/>
        <v>49722.61</v>
      </c>
    </row>
    <row r="5" spans="1:15" x14ac:dyDescent="0.25">
      <c r="A5" s="7" t="s">
        <v>29</v>
      </c>
      <c r="B5" s="5" t="s">
        <v>30</v>
      </c>
      <c r="C5" s="6">
        <v>63913.73</v>
      </c>
      <c r="E5" s="17">
        <v>48574.98</v>
      </c>
      <c r="G5" s="22">
        <f t="shared" si="0"/>
        <v>48574.98</v>
      </c>
      <c r="M5" s="17">
        <v>63913.73</v>
      </c>
      <c r="N5" s="17"/>
      <c r="O5" s="17">
        <f t="shared" si="1"/>
        <v>63913.73</v>
      </c>
    </row>
    <row r="6" spans="1:15" x14ac:dyDescent="0.25">
      <c r="A6" s="7" t="s">
        <v>31</v>
      </c>
      <c r="B6" s="5" t="s">
        <v>14</v>
      </c>
      <c r="C6" s="6">
        <v>80847.600000000006</v>
      </c>
      <c r="E6" s="17">
        <v>55638.2</v>
      </c>
      <c r="G6" s="22">
        <f t="shared" si="0"/>
        <v>62772.92</v>
      </c>
      <c r="I6" s="17">
        <v>7134.72</v>
      </c>
      <c r="M6" s="17">
        <v>80847.600000000006</v>
      </c>
      <c r="N6" s="17"/>
      <c r="O6" s="17">
        <f t="shared" si="1"/>
        <v>80847.600000000006</v>
      </c>
    </row>
    <row r="7" spans="1:15" x14ac:dyDescent="0.25">
      <c r="A7" s="7" t="s">
        <v>6</v>
      </c>
      <c r="B7" s="5" t="s">
        <v>10</v>
      </c>
      <c r="C7" s="6">
        <v>80316.09</v>
      </c>
      <c r="E7" s="17">
        <v>33093.050000000003</v>
      </c>
      <c r="F7" s="17">
        <v>11304.15</v>
      </c>
      <c r="G7" s="22">
        <f t="shared" si="0"/>
        <v>54045.48</v>
      </c>
      <c r="J7" s="17">
        <v>9648.2800000000007</v>
      </c>
      <c r="M7" s="17">
        <v>56839.45</v>
      </c>
      <c r="N7" s="17">
        <v>23476.639999999999</v>
      </c>
      <c r="O7" s="17">
        <f t="shared" si="1"/>
        <v>80316.09</v>
      </c>
    </row>
    <row r="8" spans="1:15" x14ac:dyDescent="0.25">
      <c r="A8" s="7" t="s">
        <v>7</v>
      </c>
      <c r="B8" s="5" t="s">
        <v>11</v>
      </c>
      <c r="C8" s="6">
        <v>10131.1</v>
      </c>
      <c r="E8" s="17">
        <v>3071.8</v>
      </c>
      <c r="F8" s="17">
        <v>10131.1</v>
      </c>
      <c r="G8" s="22">
        <f t="shared" si="0"/>
        <v>13202.900000000001</v>
      </c>
      <c r="M8" s="17"/>
      <c r="N8" s="17">
        <v>10131.1</v>
      </c>
      <c r="O8" s="17">
        <f t="shared" si="1"/>
        <v>10131.1</v>
      </c>
    </row>
    <row r="9" spans="1:15" x14ac:dyDescent="0.25">
      <c r="A9" s="7" t="s">
        <v>37</v>
      </c>
      <c r="B9" s="5" t="s">
        <v>27</v>
      </c>
      <c r="C9" s="6">
        <v>63349.46</v>
      </c>
      <c r="E9" s="17">
        <v>42242.7</v>
      </c>
      <c r="G9" s="22">
        <f t="shared" si="0"/>
        <v>55937.799999999996</v>
      </c>
      <c r="I9" s="17">
        <v>13695.1</v>
      </c>
      <c r="M9" s="17">
        <v>55937.9</v>
      </c>
      <c r="N9" s="17"/>
      <c r="O9" s="17">
        <f t="shared" si="1"/>
        <v>55937.9</v>
      </c>
    </row>
    <row r="10" spans="1:15" x14ac:dyDescent="0.25">
      <c r="A10" s="7" t="s">
        <v>8</v>
      </c>
      <c r="B10" s="5" t="s">
        <v>12</v>
      </c>
      <c r="C10" s="6">
        <v>73571.3</v>
      </c>
      <c r="E10" s="17">
        <v>35972.5</v>
      </c>
      <c r="G10" s="22">
        <f t="shared" si="0"/>
        <v>58137.5</v>
      </c>
      <c r="I10" s="17">
        <v>22165</v>
      </c>
      <c r="M10" s="17">
        <v>73571.3</v>
      </c>
      <c r="N10" s="17"/>
      <c r="O10" s="17">
        <f t="shared" si="1"/>
        <v>73571.3</v>
      </c>
    </row>
    <row r="11" spans="1:15" x14ac:dyDescent="0.25">
      <c r="A11" s="7" t="s">
        <v>0</v>
      </c>
      <c r="B11" s="5" t="s">
        <v>25</v>
      </c>
      <c r="C11" s="6">
        <v>69633.3</v>
      </c>
      <c r="E11" s="17">
        <f>36250.6+7383.24</f>
        <v>43633.84</v>
      </c>
      <c r="G11" s="22">
        <f t="shared" si="0"/>
        <v>64720.439999999995</v>
      </c>
      <c r="I11" s="17">
        <v>21086.6</v>
      </c>
      <c r="M11" s="17">
        <v>69633.3</v>
      </c>
      <c r="N11" s="17"/>
      <c r="O11" s="17">
        <f t="shared" si="1"/>
        <v>69633.3</v>
      </c>
    </row>
    <row r="12" spans="1:15" x14ac:dyDescent="0.25">
      <c r="A12" s="7" t="s">
        <v>22</v>
      </c>
      <c r="B12" s="5" t="s">
        <v>28</v>
      </c>
      <c r="C12" s="6">
        <v>69598.2</v>
      </c>
      <c r="E12" s="17">
        <f>36190.5+7383.24</f>
        <v>43573.74</v>
      </c>
      <c r="G12" s="22">
        <f t="shared" si="0"/>
        <v>64663.94</v>
      </c>
      <c r="I12" s="17">
        <v>21090.2</v>
      </c>
      <c r="M12" s="17">
        <v>69598.2</v>
      </c>
      <c r="N12" s="17"/>
      <c r="O12" s="17">
        <f t="shared" si="1"/>
        <v>69598.2</v>
      </c>
    </row>
    <row r="13" spans="1:15" x14ac:dyDescent="0.25">
      <c r="A13" s="7" t="s">
        <v>35</v>
      </c>
      <c r="B13" s="5" t="s">
        <v>18</v>
      </c>
      <c r="C13" s="6">
        <v>49095.14</v>
      </c>
      <c r="E13" s="17">
        <v>49095.1</v>
      </c>
      <c r="G13" s="22">
        <f t="shared" si="0"/>
        <v>49095.1</v>
      </c>
      <c r="M13" s="17">
        <v>49095.14</v>
      </c>
      <c r="N13" s="17"/>
      <c r="O13" s="17">
        <f t="shared" si="1"/>
        <v>49095.14</v>
      </c>
    </row>
    <row r="14" spans="1:15" x14ac:dyDescent="0.25">
      <c r="A14" s="7" t="s">
        <v>9</v>
      </c>
      <c r="B14" s="5" t="s">
        <v>15</v>
      </c>
      <c r="C14" s="6">
        <v>53837</v>
      </c>
      <c r="E14" s="17">
        <v>42295.8</v>
      </c>
      <c r="G14" s="22">
        <f t="shared" si="0"/>
        <v>49520.880000000005</v>
      </c>
      <c r="I14" s="17">
        <v>7225.08</v>
      </c>
      <c r="M14" s="17">
        <v>53837</v>
      </c>
      <c r="N14" s="17"/>
      <c r="O14" s="17">
        <f t="shared" si="1"/>
        <v>53837</v>
      </c>
    </row>
    <row r="15" spans="1:15" x14ac:dyDescent="0.25">
      <c r="A15" s="7" t="s">
        <v>35</v>
      </c>
      <c r="B15" s="5" t="s">
        <v>13</v>
      </c>
      <c r="C15" s="29">
        <v>26222.44</v>
      </c>
      <c r="G15" s="22">
        <f t="shared" si="0"/>
        <v>7384.56</v>
      </c>
      <c r="I15" s="17">
        <v>7384.56</v>
      </c>
      <c r="M15" s="17">
        <v>26222.44</v>
      </c>
      <c r="N15" s="17"/>
      <c r="O15" s="17">
        <f t="shared" si="1"/>
        <v>26222.44</v>
      </c>
    </row>
    <row r="16" spans="1:15" x14ac:dyDescent="0.25">
      <c r="A16" s="7" t="s">
        <v>45</v>
      </c>
      <c r="B16" s="5" t="s">
        <v>11</v>
      </c>
      <c r="C16" s="29">
        <v>7880.37</v>
      </c>
      <c r="G16" s="22">
        <f t="shared" si="0"/>
        <v>4808.57</v>
      </c>
      <c r="I16" s="17">
        <v>2284.36</v>
      </c>
      <c r="J16" s="17">
        <v>2524.21</v>
      </c>
      <c r="M16" s="17">
        <v>5356.16</v>
      </c>
      <c r="N16" s="17">
        <v>2524.21</v>
      </c>
      <c r="O16" s="17">
        <f t="shared" si="1"/>
        <v>7880.37</v>
      </c>
    </row>
    <row r="17" spans="1:15" x14ac:dyDescent="0.25">
      <c r="A17" s="7" t="s">
        <v>46</v>
      </c>
      <c r="B17" s="5" t="s">
        <v>18</v>
      </c>
      <c r="C17" s="29">
        <v>9062.4599999999991</v>
      </c>
      <c r="G17" s="22">
        <f t="shared" si="0"/>
        <v>2442.7800000000002</v>
      </c>
      <c r="J17" s="17">
        <v>2442.7800000000002</v>
      </c>
      <c r="M17" s="17">
        <v>4176.8999999999996</v>
      </c>
      <c r="N17" s="17">
        <v>4885.5600000000004</v>
      </c>
      <c r="O17" s="17">
        <f t="shared" si="1"/>
        <v>9062.4599999999991</v>
      </c>
    </row>
    <row r="18" spans="1:15" ht="15.75" thickBot="1" x14ac:dyDescent="0.3">
      <c r="A18" s="7" t="s">
        <v>49</v>
      </c>
      <c r="B18" s="5" t="s">
        <v>11</v>
      </c>
      <c r="C18" s="29">
        <v>6840.33</v>
      </c>
      <c r="M18" s="17">
        <v>4316.13</v>
      </c>
      <c r="N18" s="17">
        <v>2524.1999999999998</v>
      </c>
      <c r="O18" s="17">
        <f t="shared" si="1"/>
        <v>6840.33</v>
      </c>
    </row>
    <row r="19" spans="1:15" ht="15.75" thickBot="1" x14ac:dyDescent="0.3">
      <c r="A19" s="19" t="s">
        <v>38</v>
      </c>
      <c r="B19" s="20">
        <v>43912</v>
      </c>
      <c r="C19" s="1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5BC-827A-4DD1-AEE9-6CAE3CEFB5D7}">
  <dimension ref="A1:E14"/>
  <sheetViews>
    <sheetView zoomScale="140" zoomScaleNormal="140" workbookViewId="0">
      <selection activeCell="C7" sqref="C7"/>
    </sheetView>
  </sheetViews>
  <sheetFormatPr defaultRowHeight="15" x14ac:dyDescent="0.25"/>
  <cols>
    <col min="1" max="1" width="22.85546875" customWidth="1"/>
    <col min="2" max="2" width="17.140625" customWidth="1"/>
    <col min="3" max="3" width="16.28515625" customWidth="1"/>
    <col min="5" max="5" width="15.42578125" style="17" bestFit="1" customWidth="1"/>
  </cols>
  <sheetData>
    <row r="1" spans="1:5" x14ac:dyDescent="0.25">
      <c r="A1" s="5" t="s">
        <v>1</v>
      </c>
      <c r="B1" s="5" t="s">
        <v>17</v>
      </c>
      <c r="C1" s="5" t="s">
        <v>2</v>
      </c>
      <c r="D1" s="5" t="s">
        <v>33</v>
      </c>
      <c r="E1" s="6" t="s">
        <v>34</v>
      </c>
    </row>
    <row r="2" spans="1:5" x14ac:dyDescent="0.25">
      <c r="A2" s="7" t="s">
        <v>4</v>
      </c>
      <c r="B2" s="5" t="s">
        <v>13</v>
      </c>
      <c r="C2" s="6">
        <f>34077.92+7591.56+3268.98</f>
        <v>44938.46</v>
      </c>
      <c r="D2" s="5" t="s">
        <v>32</v>
      </c>
      <c r="E2" s="6" t="str">
        <f t="shared" ref="E2:E14" si="0">IF(C2&gt;70000,C2*0.02,IF(C2&gt;60000,C2*0.015,IF(C2&gt;50000,C2*0.01,"SEM PREMIO")))</f>
        <v>SEM PREMIO</v>
      </c>
    </row>
    <row r="3" spans="1:5" x14ac:dyDescent="0.25">
      <c r="A3" s="7" t="s">
        <v>8</v>
      </c>
      <c r="B3" s="5" t="s">
        <v>12</v>
      </c>
      <c r="C3" s="6">
        <f>45707.26+5037.95+7544.94+3330.53</f>
        <v>61620.68</v>
      </c>
      <c r="D3" s="5" t="s">
        <v>32</v>
      </c>
      <c r="E3" s="6">
        <f t="shared" si="0"/>
        <v>924.31020000000001</v>
      </c>
    </row>
    <row r="4" spans="1:5" x14ac:dyDescent="0.25">
      <c r="A4" s="7" t="s">
        <v>31</v>
      </c>
      <c r="B4" s="5" t="s">
        <v>14</v>
      </c>
      <c r="C4" s="6">
        <f>30243.11+2437.12+5066.94+5073.73</f>
        <v>42820.899999999994</v>
      </c>
      <c r="D4" s="5" t="s">
        <v>32</v>
      </c>
      <c r="E4" s="6" t="str">
        <f t="shared" si="0"/>
        <v>SEM PREMIO</v>
      </c>
    </row>
    <row r="5" spans="1:5" x14ac:dyDescent="0.25">
      <c r="A5" s="7" t="s">
        <v>7</v>
      </c>
      <c r="B5" s="5" t="s">
        <v>11</v>
      </c>
      <c r="C5" s="6">
        <f>26438.55+2444.01+3508.85+3272.61</f>
        <v>35664.019999999997</v>
      </c>
      <c r="D5" s="5" t="s">
        <v>32</v>
      </c>
      <c r="E5" s="6" t="str">
        <f t="shared" si="0"/>
        <v>SEM PREMIO</v>
      </c>
    </row>
    <row r="6" spans="1:5" x14ac:dyDescent="0.25">
      <c r="A6" s="7" t="s">
        <v>5</v>
      </c>
      <c r="B6" s="5" t="s">
        <v>16</v>
      </c>
      <c r="C6" s="6">
        <f>38591.94+5042.34+3621.77+8334.48</f>
        <v>55590.53</v>
      </c>
      <c r="D6" s="5" t="s">
        <v>32</v>
      </c>
      <c r="E6" s="6">
        <f t="shared" si="0"/>
        <v>555.90530000000001</v>
      </c>
    </row>
    <row r="7" spans="1:5" x14ac:dyDescent="0.25">
      <c r="A7" s="7" t="s">
        <v>29</v>
      </c>
      <c r="B7" s="5" t="s">
        <v>30</v>
      </c>
      <c r="C7" s="6">
        <f>44855.53+4985.08+5030.73</f>
        <v>54871.34</v>
      </c>
      <c r="D7" s="5" t="s">
        <v>32</v>
      </c>
      <c r="E7" s="6">
        <f t="shared" si="0"/>
        <v>548.71339999999998</v>
      </c>
    </row>
    <row r="8" spans="1:5" x14ac:dyDescent="0.25">
      <c r="A8" s="7" t="s">
        <v>9</v>
      </c>
      <c r="B8" s="5" t="s">
        <v>15</v>
      </c>
      <c r="C8" s="6">
        <f>44731.79+2521.17+3627.62+8338.68</f>
        <v>59219.26</v>
      </c>
      <c r="D8" s="5" t="s">
        <v>32</v>
      </c>
      <c r="E8" s="6">
        <f t="shared" si="0"/>
        <v>592.19260000000008</v>
      </c>
    </row>
    <row r="9" spans="1:5" x14ac:dyDescent="0.25">
      <c r="A9" s="7" t="s">
        <v>3</v>
      </c>
      <c r="B9" s="5" t="s">
        <v>18</v>
      </c>
      <c r="C9" s="6">
        <f>30778.52+7326.37+2444.01</f>
        <v>40548.9</v>
      </c>
      <c r="D9" s="5" t="s">
        <v>32</v>
      </c>
      <c r="E9" s="6" t="str">
        <f t="shared" si="0"/>
        <v>SEM PREMIO</v>
      </c>
    </row>
    <row r="10" spans="1:5" x14ac:dyDescent="0.25">
      <c r="A10" s="7" t="s">
        <v>6</v>
      </c>
      <c r="B10" s="5" t="s">
        <v>10</v>
      </c>
      <c r="C10" s="6">
        <f>74920.9+14260+5072.04+4030</f>
        <v>98282.939999999988</v>
      </c>
      <c r="D10" s="5" t="s">
        <v>32</v>
      </c>
      <c r="E10" s="6">
        <f t="shared" si="0"/>
        <v>1965.6587999999997</v>
      </c>
    </row>
    <row r="11" spans="1:5" x14ac:dyDescent="0.25">
      <c r="A11" s="7" t="s">
        <v>23</v>
      </c>
      <c r="B11" s="5" t="s">
        <v>27</v>
      </c>
      <c r="C11" s="6">
        <f>49806.29+2522.44+2522.69</f>
        <v>54851.420000000006</v>
      </c>
      <c r="D11" s="5"/>
      <c r="E11" s="6">
        <f t="shared" si="0"/>
        <v>548.51420000000007</v>
      </c>
    </row>
    <row r="12" spans="1:5" x14ac:dyDescent="0.25">
      <c r="A12" s="7" t="s">
        <v>22</v>
      </c>
      <c r="B12" s="5" t="s">
        <v>28</v>
      </c>
      <c r="C12" s="6">
        <f>27076.71+5039.51+3625.79</f>
        <v>35742.01</v>
      </c>
      <c r="D12" s="5"/>
      <c r="E12" s="6" t="str">
        <f t="shared" si="0"/>
        <v>SEM PREMIO</v>
      </c>
    </row>
    <row r="13" spans="1:5" x14ac:dyDescent="0.25">
      <c r="A13" s="7" t="s">
        <v>0</v>
      </c>
      <c r="B13" s="5" t="s">
        <v>25</v>
      </c>
      <c r="C13" s="6">
        <f>2518.34+36492.87+3625.79+8330.28</f>
        <v>50967.280000000006</v>
      </c>
      <c r="D13" s="5" t="s">
        <v>32</v>
      </c>
      <c r="E13" s="6">
        <f t="shared" si="0"/>
        <v>509.67280000000005</v>
      </c>
    </row>
    <row r="14" spans="1:5" x14ac:dyDescent="0.25">
      <c r="A14" s="7" t="s">
        <v>24</v>
      </c>
      <c r="B14" s="5" t="s">
        <v>26</v>
      </c>
      <c r="C14" s="6">
        <f>2522.44+54072.31+2528.02+2522.44</f>
        <v>61645.21</v>
      </c>
      <c r="D14" s="5" t="s">
        <v>32</v>
      </c>
      <c r="E14" s="6">
        <f t="shared" si="0"/>
        <v>924.67814999999996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3AD5-09C4-44D7-82BC-37C192C9FCD6}">
  <sheetPr>
    <pageSetUpPr fitToPage="1"/>
  </sheetPr>
  <dimension ref="A2:T31"/>
  <sheetViews>
    <sheetView showGridLines="0" workbookViewId="0">
      <selection activeCell="A13" sqref="A13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9.28515625" bestFit="1" customWidth="1"/>
    <col min="7" max="9" width="9" bestFit="1" customWidth="1"/>
    <col min="10" max="12" width="9.5703125" bestFit="1" customWidth="1"/>
    <col min="13" max="13" width="9.28515625" customWidth="1"/>
    <col min="14" max="14" width="9.28515625" bestFit="1" customWidth="1"/>
    <col min="15" max="15" width="10.7109375" bestFit="1" customWidth="1"/>
  </cols>
  <sheetData>
    <row r="2" spans="1:20" ht="15.75" thickBot="1" x14ac:dyDescent="0.3"/>
    <row r="3" spans="1:20" x14ac:dyDescent="0.25">
      <c r="A3" s="26" t="s">
        <v>39</v>
      </c>
      <c r="B3" s="27" t="s">
        <v>19</v>
      </c>
      <c r="C3" s="23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3"/>
    </row>
    <row r="4" spans="1:20" x14ac:dyDescent="0.25">
      <c r="A4" s="7" t="s">
        <v>7</v>
      </c>
      <c r="B4" s="22">
        <v>19352.689999999999</v>
      </c>
      <c r="C4" s="2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</row>
    <row r="5" spans="1:20" x14ac:dyDescent="0.25">
      <c r="A5" s="21" t="s">
        <v>11</v>
      </c>
      <c r="B5" s="22">
        <v>19352.689999999999</v>
      </c>
      <c r="C5" s="2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1:20" x14ac:dyDescent="0.25">
      <c r="A6" s="7" t="s">
        <v>4</v>
      </c>
      <c r="B6" s="22">
        <v>41518.43</v>
      </c>
      <c r="C6" s="2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</row>
    <row r="7" spans="1:20" x14ac:dyDescent="0.25">
      <c r="A7" s="21" t="s">
        <v>13</v>
      </c>
      <c r="B7" s="22">
        <v>41518.43</v>
      </c>
      <c r="C7" s="2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</row>
    <row r="8" spans="1:20" x14ac:dyDescent="0.25">
      <c r="A8" s="7" t="s">
        <v>8</v>
      </c>
      <c r="B8" s="22">
        <v>42094.86</v>
      </c>
      <c r="C8" s="2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</row>
    <row r="9" spans="1:20" x14ac:dyDescent="0.25">
      <c r="A9" s="21" t="s">
        <v>12</v>
      </c>
      <c r="B9" s="22">
        <v>42094.86</v>
      </c>
      <c r="C9" s="2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</row>
    <row r="10" spans="1:20" x14ac:dyDescent="0.25">
      <c r="A10" s="7" t="s">
        <v>9</v>
      </c>
      <c r="B10" s="22">
        <v>43035.69</v>
      </c>
      <c r="C10" s="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</row>
    <row r="11" spans="1:20" x14ac:dyDescent="0.25">
      <c r="A11" s="21" t="s">
        <v>15</v>
      </c>
      <c r="B11" s="22">
        <v>43035.69</v>
      </c>
      <c r="C11" s="2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</row>
    <row r="12" spans="1:20" x14ac:dyDescent="0.25">
      <c r="A12" s="7" t="s">
        <v>37</v>
      </c>
      <c r="B12" s="22">
        <v>46650.36</v>
      </c>
      <c r="C12" s="2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</row>
    <row r="13" spans="1:20" x14ac:dyDescent="0.25">
      <c r="A13" s="21" t="s">
        <v>27</v>
      </c>
      <c r="B13" s="22">
        <v>46650.36</v>
      </c>
      <c r="C13" s="2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</row>
    <row r="14" spans="1:20" x14ac:dyDescent="0.25">
      <c r="A14" s="7" t="s">
        <v>0</v>
      </c>
      <c r="B14" s="22">
        <v>48245.72</v>
      </c>
      <c r="C14" s="2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</row>
    <row r="15" spans="1:20" x14ac:dyDescent="0.25">
      <c r="A15" s="21" t="s">
        <v>25</v>
      </c>
      <c r="B15" s="22">
        <v>48245.72</v>
      </c>
      <c r="C15" s="2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</row>
    <row r="16" spans="1:20" x14ac:dyDescent="0.25">
      <c r="A16" s="7" t="s">
        <v>22</v>
      </c>
      <c r="B16" s="22">
        <v>51112.53</v>
      </c>
      <c r="C16" s="2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</row>
    <row r="17" spans="1:20" x14ac:dyDescent="0.25">
      <c r="A17" s="21" t="s">
        <v>28</v>
      </c>
      <c r="B17" s="22">
        <v>51112.53</v>
      </c>
      <c r="C17" s="2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</row>
    <row r="18" spans="1:20" x14ac:dyDescent="0.25">
      <c r="A18" s="7" t="s">
        <v>36</v>
      </c>
      <c r="B18" s="22">
        <v>59196.74</v>
      </c>
      <c r="C18" s="2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</row>
    <row r="19" spans="1:20" x14ac:dyDescent="0.25">
      <c r="A19" s="21" t="s">
        <v>26</v>
      </c>
      <c r="B19" s="22">
        <v>59196.74</v>
      </c>
      <c r="C19" s="2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</row>
    <row r="20" spans="1:20" x14ac:dyDescent="0.25">
      <c r="A20" s="7" t="s">
        <v>29</v>
      </c>
      <c r="B20" s="22">
        <v>60362.01</v>
      </c>
      <c r="C20" s="2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</row>
    <row r="21" spans="1:20" x14ac:dyDescent="0.25">
      <c r="A21" s="21" t="s">
        <v>30</v>
      </c>
      <c r="B21" s="22">
        <v>60362.01</v>
      </c>
      <c r="C21" s="2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</row>
    <row r="22" spans="1:20" x14ac:dyDescent="0.25">
      <c r="A22" s="7" t="s">
        <v>31</v>
      </c>
      <c r="B22" s="22">
        <v>60443.07</v>
      </c>
      <c r="C22" s="2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</row>
    <row r="23" spans="1:20" x14ac:dyDescent="0.25">
      <c r="A23" s="21" t="s">
        <v>14</v>
      </c>
      <c r="B23" s="22">
        <v>60443.07</v>
      </c>
      <c r="C23" s="2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</row>
    <row r="24" spans="1:20" x14ac:dyDescent="0.25">
      <c r="A24" s="7" t="s">
        <v>5</v>
      </c>
      <c r="B24" s="22">
        <v>61630.979999999996</v>
      </c>
      <c r="C24" s="2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</row>
    <row r="25" spans="1:20" x14ac:dyDescent="0.25">
      <c r="A25" s="21" t="s">
        <v>16</v>
      </c>
      <c r="B25" s="22">
        <v>57323.95</v>
      </c>
      <c r="C25" s="2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</row>
    <row r="26" spans="1:20" x14ac:dyDescent="0.25">
      <c r="A26" s="21" t="s">
        <v>27</v>
      </c>
      <c r="B26" s="22">
        <v>4307.03</v>
      </c>
      <c r="C26" s="2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</row>
    <row r="27" spans="1:20" x14ac:dyDescent="0.25">
      <c r="A27" s="7" t="s">
        <v>35</v>
      </c>
      <c r="B27" s="22">
        <v>80236.42</v>
      </c>
      <c r="C27" s="2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</row>
    <row r="28" spans="1:20" x14ac:dyDescent="0.25">
      <c r="A28" s="21" t="s">
        <v>18</v>
      </c>
      <c r="B28" s="22">
        <v>80236.42</v>
      </c>
      <c r="C28" s="2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</row>
    <row r="29" spans="1:20" x14ac:dyDescent="0.25">
      <c r="A29" s="7" t="s">
        <v>6</v>
      </c>
      <c r="B29" s="22">
        <v>80663.350000000006</v>
      </c>
      <c r="C29" s="2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</row>
    <row r="30" spans="1:20" ht="15.75" thickBot="1" x14ac:dyDescent="0.3">
      <c r="A30" s="21" t="s">
        <v>10</v>
      </c>
      <c r="B30" s="22">
        <v>80663.350000000006</v>
      </c>
      <c r="C30" s="25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4"/>
    </row>
    <row r="31" spans="1:20" ht="15.75" thickBot="1" x14ac:dyDescent="0.3">
      <c r="A31" s="26" t="s">
        <v>21</v>
      </c>
      <c r="B31" s="28">
        <v>694542.85000000009</v>
      </c>
      <c r="C31" s="2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4"/>
    </row>
  </sheetData>
  <printOptions horizontalCentered="1" verticalCentered="1"/>
  <pageMargins left="0" right="0" top="0" bottom="0" header="0" footer="0"/>
  <pageSetup paperSize="9" scale="69" orientation="landscape" r:id="rId2"/>
  <rowBreaks count="1" manualBreakCount="1">
    <brk id="2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5A21-650E-4619-8B4A-7AC0E82A9F35}">
  <sheetPr>
    <pageSetUpPr fitToPage="1"/>
  </sheetPr>
  <dimension ref="A1:F15"/>
  <sheetViews>
    <sheetView zoomScale="140" zoomScaleNormal="140" workbookViewId="0">
      <selection sqref="A1:XFD1048576"/>
    </sheetView>
  </sheetViews>
  <sheetFormatPr defaultRowHeight="15" x14ac:dyDescent="0.25"/>
  <cols>
    <col min="1" max="1" width="22.85546875" customWidth="1"/>
    <col min="2" max="3" width="17.140625" customWidth="1"/>
    <col min="4" max="4" width="20.28515625" customWidth="1"/>
    <col min="6" max="6" width="15.42578125" style="17" bestFit="1" customWidth="1"/>
  </cols>
  <sheetData>
    <row r="1" spans="1:6" x14ac:dyDescent="0.25">
      <c r="A1" s="5" t="s">
        <v>1</v>
      </c>
      <c r="B1" s="5" t="s">
        <v>17</v>
      </c>
      <c r="C1" s="5" t="s">
        <v>42</v>
      </c>
      <c r="D1" s="5" t="s">
        <v>43</v>
      </c>
      <c r="E1" s="5" t="s">
        <v>33</v>
      </c>
      <c r="F1" s="6" t="s">
        <v>34</v>
      </c>
    </row>
    <row r="2" spans="1:6" x14ac:dyDescent="0.25">
      <c r="A2" s="7" t="s">
        <v>36</v>
      </c>
      <c r="B2" s="5" t="s">
        <v>26</v>
      </c>
      <c r="C2" s="6">
        <v>59196.74</v>
      </c>
      <c r="D2" s="6">
        <f>Tabela223[[#This Row],[RECEITA ]]-50000</f>
        <v>9196.739999999998</v>
      </c>
      <c r="E2" s="5" t="s">
        <v>32</v>
      </c>
      <c r="F2" s="6">
        <f>IF(D2&gt;20000,(Tabela223[[#This Row],[RECEITA ]]-50000)*0.04,IF(D2&gt;10000,(Tabela223[[#This Row],[RECEITA ]]-50000)*0.03,IF(D2&gt;1,(Tabela223[[#This Row],[RECEITA ]]-50000)*0.02,"SEM PREMIO")))</f>
        <v>183.93479999999997</v>
      </c>
    </row>
    <row r="3" spans="1:6" x14ac:dyDescent="0.25">
      <c r="A3" s="7" t="s">
        <v>4</v>
      </c>
      <c r="B3" s="5" t="s">
        <v>13</v>
      </c>
      <c r="C3" s="6">
        <v>41518.43</v>
      </c>
      <c r="D3" s="6">
        <f>Tabela223[[#This Row],[RECEITA ]]-50000</f>
        <v>-8481.57</v>
      </c>
      <c r="E3" s="5" t="s">
        <v>32</v>
      </c>
      <c r="F3" s="6" t="str">
        <f>IF(D3&gt;20000,(Tabela223[[#This Row],[RECEITA ]]-50000)*0.04,IF(D3&gt;10000,(Tabela223[[#This Row],[RECEITA ]]-50000)*0.03,IF(D3&gt;1,(Tabela223[[#This Row],[RECEITA ]]-50000)*0.02,"SEM PREMIO")))</f>
        <v>SEM PREMIO</v>
      </c>
    </row>
    <row r="4" spans="1:6" x14ac:dyDescent="0.25">
      <c r="A4" s="7" t="s">
        <v>5</v>
      </c>
      <c r="B4" s="5" t="s">
        <v>16</v>
      </c>
      <c r="C4" s="6">
        <v>57323.95</v>
      </c>
      <c r="D4" s="6">
        <f>Tabela223[[#This Row],[RECEITA ]]-50000</f>
        <v>7323.9499999999971</v>
      </c>
      <c r="E4" s="5" t="s">
        <v>32</v>
      </c>
      <c r="F4" s="6">
        <f>IF(D4&gt;20000,(Tabela223[[#This Row],[RECEITA ]]-50000)*0.04,IF(D4&gt;10000,(Tabela223[[#This Row],[RECEITA ]]-50000)*0.03,IF(D4&gt;1,(Tabela223[[#This Row],[RECEITA ]]-50000)*0.02,"SEM PREMIO")))</f>
        <v>146.47899999999996</v>
      </c>
    </row>
    <row r="5" spans="1:6" x14ac:dyDescent="0.25">
      <c r="A5" s="7" t="s">
        <v>29</v>
      </c>
      <c r="B5" s="5" t="s">
        <v>30</v>
      </c>
      <c r="C5" s="6">
        <v>60362.01</v>
      </c>
      <c r="D5" s="6">
        <f>Tabela223[[#This Row],[RECEITA ]]-50000</f>
        <v>10362.010000000002</v>
      </c>
      <c r="E5" s="5" t="s">
        <v>32</v>
      </c>
      <c r="F5" s="6">
        <f>IF(D5&gt;20000,(Tabela223[[#This Row],[RECEITA ]]-50000)*0.04,IF(D5&gt;10000,(Tabela223[[#This Row],[RECEITA ]]-50000)*0.03,IF(D5&gt;1,(Tabela223[[#This Row],[RECEITA ]]-50000)*0.02,"SEM PREMIO")))</f>
        <v>310.86030000000005</v>
      </c>
    </row>
    <row r="6" spans="1:6" x14ac:dyDescent="0.25">
      <c r="A6" s="7" t="s">
        <v>31</v>
      </c>
      <c r="B6" s="5" t="s">
        <v>14</v>
      </c>
      <c r="C6" s="6">
        <v>60443.07</v>
      </c>
      <c r="D6" s="6">
        <f>Tabela223[[#This Row],[RECEITA ]]-50000</f>
        <v>10443.07</v>
      </c>
      <c r="E6" s="5" t="s">
        <v>32</v>
      </c>
      <c r="F6" s="6">
        <f>IF(D6&gt;20000,(Tabela223[[#This Row],[RECEITA ]]-50000)*0.04,IF(D6&gt;10000,(Tabela223[[#This Row],[RECEITA ]]-50000)*0.03,IF(D6&gt;1,(Tabela223[[#This Row],[RECEITA ]]-50000)*0.02,"SEM PREMIO")))</f>
        <v>313.2921</v>
      </c>
    </row>
    <row r="7" spans="1:6" x14ac:dyDescent="0.25">
      <c r="A7" s="7" t="s">
        <v>6</v>
      </c>
      <c r="B7" s="5" t="s">
        <v>10</v>
      </c>
      <c r="C7" s="6">
        <v>80663.350000000006</v>
      </c>
      <c r="D7" s="6">
        <f>Tabela223[[#This Row],[RECEITA ]]-50000</f>
        <v>30663.350000000006</v>
      </c>
      <c r="E7" s="5" t="s">
        <v>32</v>
      </c>
      <c r="F7" s="6">
        <f>Tabela223[[#This Row],[RECEITA ]]*2.5%</f>
        <v>2016.5837500000002</v>
      </c>
    </row>
    <row r="8" spans="1:6" x14ac:dyDescent="0.25">
      <c r="A8" s="7" t="s">
        <v>7</v>
      </c>
      <c r="B8" s="5" t="s">
        <v>11</v>
      </c>
      <c r="C8" s="6">
        <v>19352.689999999999</v>
      </c>
      <c r="D8" s="6">
        <f>Tabela223[[#This Row],[RECEITA ]]-50000</f>
        <v>-30647.31</v>
      </c>
      <c r="E8" s="5" t="s">
        <v>32</v>
      </c>
      <c r="F8" s="6" t="str">
        <f>IF(D8&gt;20000,(Tabela223[[#This Row],[RECEITA ]]-50000)*0.04,IF(D8&gt;10000,(Tabela223[[#This Row],[RECEITA ]]-50000)*0.03,IF(D8&gt;1,(Tabela223[[#This Row],[RECEITA ]]-50000)*0.02,"SEM PREMIO")))</f>
        <v>SEM PREMIO</v>
      </c>
    </row>
    <row r="9" spans="1:6" x14ac:dyDescent="0.25">
      <c r="A9" s="7" t="s">
        <v>37</v>
      </c>
      <c r="B9" s="5" t="s">
        <v>27</v>
      </c>
      <c r="C9" s="6">
        <v>46650.36</v>
      </c>
      <c r="D9" s="6">
        <f>Tabela223[[#This Row],[RECEITA ]]-50000</f>
        <v>-3349.6399999999994</v>
      </c>
      <c r="E9" s="5" t="s">
        <v>32</v>
      </c>
      <c r="F9" s="6" t="str">
        <f>IF(D9&gt;20000,(Tabela223[[#This Row],[RECEITA ]]-50000)*0.04,IF(D9&gt;10000,(Tabela223[[#This Row],[RECEITA ]]-50000)*0.03,IF(D9&gt;1,(Tabela223[[#This Row],[RECEITA ]]-50000)*0.02,"SEM PREMIO")))</f>
        <v>SEM PREMIO</v>
      </c>
    </row>
    <row r="10" spans="1:6" x14ac:dyDescent="0.25">
      <c r="A10" s="7" t="s">
        <v>8</v>
      </c>
      <c r="B10" s="5" t="s">
        <v>12</v>
      </c>
      <c r="C10" s="6">
        <v>42094.86</v>
      </c>
      <c r="D10" s="6">
        <f>Tabela223[[#This Row],[RECEITA ]]-50000</f>
        <v>-7905.1399999999994</v>
      </c>
      <c r="E10" s="5" t="s">
        <v>32</v>
      </c>
      <c r="F10" s="6" t="str">
        <f>IF(D10&gt;20000,(Tabela223[[#This Row],[RECEITA ]]-50000)*0.04,IF(D10&gt;10000,(Tabela223[[#This Row],[RECEITA ]]-50000)*0.03,IF(D10&gt;1,(Tabela223[[#This Row],[RECEITA ]]-50000)*0.02,"SEM PREMIO")))</f>
        <v>SEM PREMIO</v>
      </c>
    </row>
    <row r="11" spans="1:6" x14ac:dyDescent="0.25">
      <c r="A11" s="7" t="s">
        <v>0</v>
      </c>
      <c r="B11" s="5" t="s">
        <v>25</v>
      </c>
      <c r="C11" s="6">
        <v>48245.72</v>
      </c>
      <c r="D11" s="6">
        <f>Tabela223[[#This Row],[RECEITA ]]-50000</f>
        <v>-1754.2799999999988</v>
      </c>
      <c r="E11" s="5"/>
      <c r="F11" s="6" t="str">
        <f>IF(D11&gt;20000,(Tabela223[[#This Row],[RECEITA ]]-50000)*0.04,IF(D11&gt;10000,(Tabela223[[#This Row],[RECEITA ]]-50000)*0.03,IF(D11&gt;1,(Tabela223[[#This Row],[RECEITA ]]-50000)*0.02,"SEM PREMIO")))</f>
        <v>SEM PREMIO</v>
      </c>
    </row>
    <row r="12" spans="1:6" x14ac:dyDescent="0.25">
      <c r="A12" s="7" t="s">
        <v>22</v>
      </c>
      <c r="B12" s="5" t="s">
        <v>28</v>
      </c>
      <c r="C12" s="6">
        <v>51112.53</v>
      </c>
      <c r="D12" s="6">
        <f>Tabela223[[#This Row],[RECEITA ]]-50000</f>
        <v>1112.5299999999988</v>
      </c>
      <c r="E12" s="5"/>
      <c r="F12" s="6">
        <f>IF(D12&gt;20000,(Tabela223[[#This Row],[RECEITA ]]-50000)*0.04,IF(D12&gt;10000,(Tabela223[[#This Row],[RECEITA ]]-50000)*0.03,IF(D12&gt;1,(Tabela223[[#This Row],[RECEITA ]]-50000)*0.02,"SEM PREMIO")))</f>
        <v>22.250599999999977</v>
      </c>
    </row>
    <row r="13" spans="1:6" x14ac:dyDescent="0.25">
      <c r="A13" s="7" t="s">
        <v>35</v>
      </c>
      <c r="B13" s="5" t="s">
        <v>18</v>
      </c>
      <c r="C13" s="6">
        <v>80236.42</v>
      </c>
      <c r="D13" s="6">
        <f>Tabela223[[#This Row],[RECEITA ]]-50000</f>
        <v>30236.42</v>
      </c>
      <c r="E13" s="5" t="s">
        <v>32</v>
      </c>
      <c r="F13" s="6">
        <f>IF(D13&gt;20000,(Tabela223[[#This Row],[RECEITA ]]-50000)*0.04,IF(D13&gt;10000,(Tabela223[[#This Row],[RECEITA ]]-50000)*0.03,IF(D13&gt;1,(Tabela223[[#This Row],[RECEITA ]]-50000)*0.02,"SEM PREMIO")))</f>
        <v>1209.4567999999999</v>
      </c>
    </row>
    <row r="14" spans="1:6" x14ac:dyDescent="0.25">
      <c r="A14" s="7" t="s">
        <v>9</v>
      </c>
      <c r="B14" s="5" t="s">
        <v>15</v>
      </c>
      <c r="C14" s="6">
        <v>43035.69</v>
      </c>
      <c r="D14" s="6">
        <f>Tabela223[[#This Row],[RECEITA ]]-50000</f>
        <v>-6964.3099999999977</v>
      </c>
      <c r="E14" s="5" t="s">
        <v>32</v>
      </c>
      <c r="F14" s="6" t="str">
        <f>IF(D14&gt;20000,(Tabela223[[#This Row],[RECEITA ]]-50000)*0.04,IF(D14&gt;10000,(Tabela223[[#This Row],[RECEITA ]]-50000)*0.03,IF(D14&gt;1,(Tabela223[[#This Row],[RECEITA ]]-50000)*0.02,"SEM PREMIO")))</f>
        <v>SEM PREMIO</v>
      </c>
    </row>
    <row r="15" spans="1:6" x14ac:dyDescent="0.25">
      <c r="A15" s="7" t="s">
        <v>5</v>
      </c>
      <c r="B15" s="5" t="s">
        <v>27</v>
      </c>
      <c r="C15" s="29">
        <v>4307.03</v>
      </c>
      <c r="D15" s="6">
        <f>Tabela223[[#This Row],[RECEITA ]]-50000</f>
        <v>-45692.97</v>
      </c>
      <c r="E15" s="5"/>
      <c r="F15" s="6" t="str">
        <f>IF(D15&gt;20000,(Tabela223[[#This Row],[RECEITA ]]-50000)*0.04,IF(D15&gt;10000,(Tabela223[[#This Row],[RECEITA ]]-50000)*0.03,IF(D15&gt;1,(Tabela223[[#This Row],[RECEITA ]]-50000)*0.02,"SEM PREMIO")))</f>
        <v>SEM PREMIO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5EAF-DBD1-4868-AF2C-6862B50BCACE}">
  <dimension ref="A1:F17"/>
  <sheetViews>
    <sheetView workbookViewId="0">
      <selection sqref="A1:XFD1048576"/>
    </sheetView>
  </sheetViews>
  <sheetFormatPr defaultRowHeight="15" x14ac:dyDescent="0.25"/>
  <cols>
    <col min="1" max="1" width="22.85546875" customWidth="1"/>
    <col min="2" max="3" width="17.140625" customWidth="1"/>
    <col min="4" max="4" width="20.28515625" customWidth="1"/>
    <col min="6" max="6" width="15.42578125" style="17" bestFit="1" customWidth="1"/>
  </cols>
  <sheetData>
    <row r="1" spans="1:6" x14ac:dyDescent="0.25">
      <c r="A1" s="5" t="s">
        <v>1</v>
      </c>
      <c r="B1" s="5" t="s">
        <v>17</v>
      </c>
      <c r="C1" s="5" t="s">
        <v>2</v>
      </c>
      <c r="D1" s="5" t="s">
        <v>43</v>
      </c>
      <c r="E1" s="5" t="s">
        <v>33</v>
      </c>
      <c r="F1" s="6" t="s">
        <v>34</v>
      </c>
    </row>
    <row r="2" spans="1:6" x14ac:dyDescent="0.25">
      <c r="A2" s="7" t="s">
        <v>44</v>
      </c>
      <c r="B2" s="5" t="s">
        <v>13</v>
      </c>
      <c r="C2" s="6">
        <v>38674.480000000003</v>
      </c>
      <c r="D2" s="6">
        <f>Tabela2236[[#This Row],[RECEITA]]-50000</f>
        <v>-11325.519999999997</v>
      </c>
      <c r="E2" s="5" t="s">
        <v>32</v>
      </c>
      <c r="F2" s="6" t="str">
        <f>IF(D2&gt;20000,(Tabela2236[[#This Row],[RECEITA]]-50000)*0.04,IF(D2&gt;10000,(Tabela2236[[#This Row],[RECEITA]]-50000)*0.03,IF(D2&gt;1,(Tabela2236[[#This Row],[RECEITA]]-50000)*0.02,"SEM PREMIO")))</f>
        <v>SEM PREMIO</v>
      </c>
    </row>
    <row r="3" spans="1:6" x14ac:dyDescent="0.25">
      <c r="A3" s="7" t="s">
        <v>36</v>
      </c>
      <c r="B3" s="5" t="s">
        <v>26</v>
      </c>
      <c r="C3" s="6">
        <v>60167.7</v>
      </c>
      <c r="D3" s="6">
        <f>Tabela2236[[#This Row],[RECEITA]]-50000</f>
        <v>10167.699999999997</v>
      </c>
      <c r="E3" s="5" t="s">
        <v>32</v>
      </c>
      <c r="F3" s="6">
        <f>IF(D3&gt;20000,(Tabela2236[[#This Row],[RECEITA]]-50000)*0.04,IF(D3&gt;10000,(Tabela2236[[#This Row],[RECEITA]]-50000)*0.03,IF(D3&gt;1,(Tabela2236[[#This Row],[RECEITA]]-50000)*0.02,"SEM PREMIO")))</f>
        <v>305.03099999999989</v>
      </c>
    </row>
    <row r="4" spans="1:6" x14ac:dyDescent="0.25">
      <c r="A4" s="7" t="s">
        <v>5</v>
      </c>
      <c r="B4" s="5" t="s">
        <v>16</v>
      </c>
      <c r="C4" s="6">
        <v>49722.61</v>
      </c>
      <c r="D4" s="6">
        <f>Tabela2236[[#This Row],[RECEITA]]-50000</f>
        <v>-277.38999999999942</v>
      </c>
      <c r="E4" s="5" t="s">
        <v>32</v>
      </c>
      <c r="F4" s="6" t="str">
        <f>IF(D4&gt;20000,(Tabela2236[[#This Row],[RECEITA]]-50000)*0.04,IF(D4&gt;10000,(Tabela2236[[#This Row],[RECEITA]]-50000)*0.03,IF(D4&gt;1,(Tabela2236[[#This Row],[RECEITA]]-50000)*0.02,"SEM PREMIO")))</f>
        <v>SEM PREMIO</v>
      </c>
    </row>
    <row r="5" spans="1:6" x14ac:dyDescent="0.25">
      <c r="A5" s="7" t="s">
        <v>29</v>
      </c>
      <c r="B5" s="5" t="s">
        <v>30</v>
      </c>
      <c r="C5" s="6">
        <v>63913.73</v>
      </c>
      <c r="D5" s="6">
        <f>Tabela2236[[#This Row],[RECEITA]]-50000</f>
        <v>13913.730000000003</v>
      </c>
      <c r="E5" s="5" t="s">
        <v>32</v>
      </c>
      <c r="F5" s="6">
        <f>IF(D5&gt;20000,(Tabela2236[[#This Row],[RECEITA]]-50000)*0.04,IF(D5&gt;10000,(Tabela2236[[#This Row],[RECEITA]]-50000)*0.03,IF(D5&gt;1,(Tabela2236[[#This Row],[RECEITA]]-50000)*0.02,"SEM PREMIO")))</f>
        <v>417.41190000000006</v>
      </c>
    </row>
    <row r="6" spans="1:6" x14ac:dyDescent="0.25">
      <c r="A6" s="7" t="s">
        <v>31</v>
      </c>
      <c r="B6" s="5" t="s">
        <v>14</v>
      </c>
      <c r="C6" s="6">
        <v>80847.600000000006</v>
      </c>
      <c r="D6" s="6">
        <f>Tabela2236[[#This Row],[RECEITA]]-50000</f>
        <v>30847.600000000006</v>
      </c>
      <c r="E6" s="5" t="s">
        <v>32</v>
      </c>
      <c r="F6" s="6">
        <f>IF(D6&gt;20000,(Tabela2236[[#This Row],[RECEITA]]-50000)*0.04,IF(D6&gt;10000,(Tabela2236[[#This Row],[RECEITA]]-50000)*0.03,IF(D6&gt;1,(Tabela2236[[#This Row],[RECEITA]]-50000)*0.02,"SEM PREMIO")))</f>
        <v>1233.9040000000002</v>
      </c>
    </row>
    <row r="7" spans="1:6" x14ac:dyDescent="0.25">
      <c r="A7" s="7" t="s">
        <v>6</v>
      </c>
      <c r="B7" s="5" t="s">
        <v>10</v>
      </c>
      <c r="C7" s="6">
        <v>80316.09</v>
      </c>
      <c r="D7" s="6">
        <f>Tabela2236[[#This Row],[RECEITA]]-50000</f>
        <v>30316.089999999997</v>
      </c>
      <c r="E7" s="5" t="s">
        <v>32</v>
      </c>
      <c r="F7" s="6">
        <f>Tabela2236[[#This Row],[RECEITA]]*2.5%</f>
        <v>2007.9022500000001</v>
      </c>
    </row>
    <row r="8" spans="1:6" x14ac:dyDescent="0.25">
      <c r="A8" s="7" t="s">
        <v>7</v>
      </c>
      <c r="B8" s="5" t="s">
        <v>11</v>
      </c>
      <c r="C8" s="6">
        <v>10131.1</v>
      </c>
      <c r="D8" s="6">
        <f>Tabela2236[[#This Row],[RECEITA]]-50000</f>
        <v>-39868.9</v>
      </c>
      <c r="E8" s="5" t="s">
        <v>32</v>
      </c>
      <c r="F8" s="6" t="str">
        <f>IF(D8&gt;20000,(Tabela2236[[#This Row],[RECEITA]]-50000)*0.04,IF(D8&gt;10000,(Tabela2236[[#This Row],[RECEITA]]-50000)*0.03,IF(D8&gt;1,(Tabela2236[[#This Row],[RECEITA]]-50000)*0.02,"SEM PREMIO")))</f>
        <v>SEM PREMIO</v>
      </c>
    </row>
    <row r="9" spans="1:6" x14ac:dyDescent="0.25">
      <c r="A9" s="7" t="s">
        <v>49</v>
      </c>
      <c r="B9" s="5" t="s">
        <v>11</v>
      </c>
      <c r="C9" s="29">
        <v>6840.33</v>
      </c>
      <c r="D9" s="6">
        <f>Tabela2236[[#This Row],[RECEITA]]-50000</f>
        <v>-43159.67</v>
      </c>
      <c r="E9" s="5"/>
      <c r="F9" s="29" t="str">
        <f>IF(D9&gt;20000,(Tabela2236[[#This Row],[RECEITA]]-50000)*0.04,IF(D9&gt;10000,(Tabela2236[[#This Row],[RECEITA]]-50000)*0.03,IF(D9&gt;1,(Tabela2236[[#This Row],[RECEITA]]-50000)*0.02,"SEM PREMIO")))</f>
        <v>SEM PREMIO</v>
      </c>
    </row>
    <row r="10" spans="1:6" x14ac:dyDescent="0.25">
      <c r="A10" s="7" t="s">
        <v>46</v>
      </c>
      <c r="B10" s="5" t="s">
        <v>18</v>
      </c>
      <c r="C10" s="29">
        <v>9062.4599999999991</v>
      </c>
      <c r="D10" s="6">
        <f>Tabela2236[[#This Row],[RECEITA]]-50000</f>
        <v>-40937.54</v>
      </c>
      <c r="E10" s="5"/>
      <c r="F10" s="29" t="str">
        <f>IF(D10&gt;20000,(Tabela2236[[#This Row],[RECEITA]]-50000)*0.04,IF(D10&gt;10000,(Tabela2236[[#This Row],[RECEITA]]-50000)*0.03,IF(D10&gt;1,(Tabela2236[[#This Row],[RECEITA]]-50000)*0.02,"SEM PREMIO")))</f>
        <v>SEM PREMIO</v>
      </c>
    </row>
    <row r="11" spans="1:6" x14ac:dyDescent="0.25">
      <c r="A11" s="7" t="s">
        <v>37</v>
      </c>
      <c r="B11" s="5" t="s">
        <v>27</v>
      </c>
      <c r="C11" s="6">
        <v>63349.46</v>
      </c>
      <c r="D11" s="6">
        <f>Tabela2236[[#This Row],[RECEITA]]-50000</f>
        <v>13349.46</v>
      </c>
      <c r="E11" s="5" t="s">
        <v>32</v>
      </c>
      <c r="F11" s="6">
        <f>IF(D11&gt;20000,(Tabela2236[[#This Row],[RECEITA]]-50000)*0.04,IF(D11&gt;10000,(Tabela2236[[#This Row],[RECEITA]]-50000)*0.03,IF(D11&gt;1,(Tabela2236[[#This Row],[RECEITA]]-50000)*0.02,"SEM PREMIO")))</f>
        <v>400.48379999999997</v>
      </c>
    </row>
    <row r="12" spans="1:6" x14ac:dyDescent="0.25">
      <c r="A12" s="7" t="s">
        <v>8</v>
      </c>
      <c r="B12" s="5" t="s">
        <v>12</v>
      </c>
      <c r="C12" s="6">
        <v>73571.3</v>
      </c>
      <c r="D12" s="6">
        <f>Tabela2236[[#This Row],[RECEITA]]-50000</f>
        <v>23571.300000000003</v>
      </c>
      <c r="E12" s="5" t="s">
        <v>32</v>
      </c>
      <c r="F12" s="6">
        <f>IF(D12&gt;20000,(Tabela2236[[#This Row],[RECEITA]]-50000)*0.04,IF(D12&gt;10000,(Tabela2236[[#This Row],[RECEITA]]-50000)*0.03,IF(D12&gt;1,(Tabela2236[[#This Row],[RECEITA]]-50000)*0.02,"SEM PREMIO")))</f>
        <v>942.85200000000009</v>
      </c>
    </row>
    <row r="13" spans="1:6" x14ac:dyDescent="0.25">
      <c r="A13" s="7" t="s">
        <v>0</v>
      </c>
      <c r="B13" s="5" t="s">
        <v>25</v>
      </c>
      <c r="C13" s="6">
        <v>69633.3</v>
      </c>
      <c r="D13" s="6">
        <f>Tabela2236[[#This Row],[RECEITA]]-50000</f>
        <v>19633.300000000003</v>
      </c>
      <c r="E13" s="5"/>
      <c r="F13" s="6">
        <f>IF(D13&gt;20000,(Tabela2236[[#This Row],[RECEITA]]-50000)*0.04,IF(D13&gt;10000,(Tabela2236[[#This Row],[RECEITA]]-50000)*0.03,IF(D13&gt;1,(Tabela2236[[#This Row],[RECEITA]]-50000)*0.02,"SEM PREMIO")))</f>
        <v>588.99900000000002</v>
      </c>
    </row>
    <row r="14" spans="1:6" x14ac:dyDescent="0.25">
      <c r="A14" s="7" t="s">
        <v>22</v>
      </c>
      <c r="B14" s="5" t="s">
        <v>28</v>
      </c>
      <c r="C14" s="6">
        <v>69598.2</v>
      </c>
      <c r="D14" s="6">
        <f>Tabela2236[[#This Row],[RECEITA]]-50000</f>
        <v>19598.199999999997</v>
      </c>
      <c r="E14" s="5"/>
      <c r="F14" s="6">
        <f>IF(D14&gt;20000,(Tabela2236[[#This Row],[RECEITA]]-50000)*0.04,IF(D14&gt;10000,(Tabela2236[[#This Row],[RECEITA]]-50000)*0.03,IF(D14&gt;1,(Tabela2236[[#This Row],[RECEITA]]-50000)*0.02,"SEM PREMIO")))</f>
        <v>587.94599999999991</v>
      </c>
    </row>
    <row r="15" spans="1:6" x14ac:dyDescent="0.25">
      <c r="A15" s="7" t="s">
        <v>35</v>
      </c>
      <c r="B15" s="5" t="s">
        <v>18</v>
      </c>
      <c r="C15" s="6">
        <v>75317.58</v>
      </c>
      <c r="D15" s="6">
        <f>Tabela2236[[#This Row],[RECEITA]]-50000</f>
        <v>25317.58</v>
      </c>
      <c r="E15" s="5" t="s">
        <v>32</v>
      </c>
      <c r="F15" s="6">
        <f>IF(D15&gt;20000,(Tabela2236[[#This Row],[RECEITA]]-50000)*0.04,IF(D15&gt;10000,(Tabela2236[[#This Row],[RECEITA]]-50000)*0.03,IF(D15&gt;1,(Tabela2236[[#This Row],[RECEITA]]-50000)*0.02,"SEM PREMIO")))</f>
        <v>1012.7032</v>
      </c>
    </row>
    <row r="16" spans="1:6" x14ac:dyDescent="0.25">
      <c r="A16" s="7" t="s">
        <v>45</v>
      </c>
      <c r="B16" s="5" t="s">
        <v>11</v>
      </c>
      <c r="C16" s="29">
        <v>7880.37</v>
      </c>
      <c r="D16" s="6">
        <f>Tabela2236[[#This Row],[RECEITA]]-50000</f>
        <v>-42119.63</v>
      </c>
      <c r="E16" s="5"/>
      <c r="F16" s="29" t="str">
        <f>IF(D16&gt;20000,(Tabela2236[[#This Row],[RECEITA]]-50000)*0.04,IF(D16&gt;10000,(Tabela2236[[#This Row],[RECEITA]]-50000)*0.03,IF(D16&gt;1,(Tabela2236[[#This Row],[RECEITA]]-50000)*0.02,"SEM PREMIO")))</f>
        <v>SEM PREMIO</v>
      </c>
    </row>
    <row r="17" spans="1:6" x14ac:dyDescent="0.25">
      <c r="A17" s="7" t="s">
        <v>9</v>
      </c>
      <c r="B17" s="5" t="s">
        <v>15</v>
      </c>
      <c r="C17" s="6">
        <v>53837</v>
      </c>
      <c r="D17" s="6">
        <f>Tabela2236[[#This Row],[RECEITA]]-50000</f>
        <v>3837</v>
      </c>
      <c r="E17" s="5" t="s">
        <v>32</v>
      </c>
      <c r="F17" s="6">
        <f>IF(D17&gt;20000,(Tabela2236[[#This Row],[RECEITA]]-50000)*0.04,IF(D17&gt;10000,(Tabela2236[[#This Row],[RECEITA]]-50000)*0.03,IF(D17&gt;1,(Tabela2236[[#This Row],[RECEITA]]-50000)*0.02,"SEM PREMIO")))</f>
        <v>76.739999999999995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7352-385A-412F-B4A3-93262D0873E8}">
  <dimension ref="A1:K17"/>
  <sheetViews>
    <sheetView showGridLines="0" workbookViewId="0">
      <selection sqref="A1:XFD1048576"/>
    </sheetView>
  </sheetViews>
  <sheetFormatPr defaultRowHeight="15" x14ac:dyDescent="0.25"/>
  <cols>
    <col min="1" max="1" width="20" bestFit="1" customWidth="1"/>
    <col min="2" max="2" width="15.42578125" customWidth="1"/>
    <col min="3" max="3" width="16.140625" customWidth="1"/>
    <col min="4" max="4" width="1.85546875" customWidth="1"/>
    <col min="5" max="7" width="13.28515625" style="17" bestFit="1" customWidth="1"/>
  </cols>
  <sheetData>
    <row r="1" spans="1:11" x14ac:dyDescent="0.25">
      <c r="A1" s="5" t="s">
        <v>1</v>
      </c>
      <c r="B1" s="5" t="s">
        <v>17</v>
      </c>
      <c r="C1" s="5" t="s">
        <v>2</v>
      </c>
    </row>
    <row r="2" spans="1:11" x14ac:dyDescent="0.25">
      <c r="A2" s="7" t="s">
        <v>36</v>
      </c>
      <c r="B2" s="5" t="s">
        <v>26</v>
      </c>
      <c r="C2" s="6">
        <v>59196.74</v>
      </c>
      <c r="E2" s="17">
        <v>22049.7</v>
      </c>
      <c r="F2" s="17">
        <v>37147.040000000001</v>
      </c>
      <c r="G2" s="17">
        <f>SUM(E2:F2)</f>
        <v>59196.740000000005</v>
      </c>
    </row>
    <row r="3" spans="1:11" x14ac:dyDescent="0.25">
      <c r="A3" s="7" t="s">
        <v>4</v>
      </c>
      <c r="B3" s="5" t="s">
        <v>13</v>
      </c>
      <c r="C3" s="6">
        <v>41518.43</v>
      </c>
      <c r="E3" s="17">
        <v>36450.9</v>
      </c>
      <c r="F3" s="17">
        <v>5067.53</v>
      </c>
      <c r="G3" s="17">
        <f t="shared" ref="G3:G14" si="0">SUM(E3:F3)</f>
        <v>41518.43</v>
      </c>
    </row>
    <row r="4" spans="1:11" x14ac:dyDescent="0.25">
      <c r="A4" s="7" t="s">
        <v>5</v>
      </c>
      <c r="B4" s="5" t="s">
        <v>16</v>
      </c>
      <c r="C4" s="6">
        <v>57323.95</v>
      </c>
      <c r="E4" s="17">
        <v>16784</v>
      </c>
      <c r="F4" s="17">
        <v>40539.949999999997</v>
      </c>
      <c r="G4" s="17">
        <f t="shared" si="0"/>
        <v>57323.95</v>
      </c>
    </row>
    <row r="5" spans="1:11" x14ac:dyDescent="0.25">
      <c r="A5" s="7" t="s">
        <v>29</v>
      </c>
      <c r="B5" s="5" t="s">
        <v>30</v>
      </c>
      <c r="C5" s="6">
        <v>60362.01</v>
      </c>
      <c r="E5" s="17">
        <v>45267.519999999997</v>
      </c>
      <c r="F5" s="17">
        <v>15094.49</v>
      </c>
      <c r="G5" s="17">
        <f t="shared" si="0"/>
        <v>60362.009999999995</v>
      </c>
    </row>
    <row r="6" spans="1:11" x14ac:dyDescent="0.25">
      <c r="A6" s="7" t="s">
        <v>31</v>
      </c>
      <c r="B6" s="5" t="s">
        <v>14</v>
      </c>
      <c r="C6" s="6">
        <v>60443.07</v>
      </c>
      <c r="E6" s="17">
        <v>55365.4</v>
      </c>
      <c r="F6" s="17">
        <v>5077.67</v>
      </c>
      <c r="G6" s="17">
        <f t="shared" si="0"/>
        <v>60443.07</v>
      </c>
    </row>
    <row r="7" spans="1:11" x14ac:dyDescent="0.25">
      <c r="A7" s="7" t="s">
        <v>6</v>
      </c>
      <c r="B7" s="5" t="s">
        <v>10</v>
      </c>
      <c r="C7" s="6">
        <v>80663.350000000006</v>
      </c>
      <c r="E7" s="17">
        <v>7140.84</v>
      </c>
      <c r="F7" s="17">
        <v>73522.509999999995</v>
      </c>
      <c r="G7" s="17">
        <f t="shared" si="0"/>
        <v>80663.349999999991</v>
      </c>
    </row>
    <row r="8" spans="1:11" x14ac:dyDescent="0.25">
      <c r="A8" s="7" t="s">
        <v>7</v>
      </c>
      <c r="B8" s="5" t="s">
        <v>11</v>
      </c>
      <c r="C8" s="6">
        <v>19352.689999999999</v>
      </c>
      <c r="E8" s="17">
        <v>4168.08</v>
      </c>
      <c r="F8" s="17">
        <v>15184.61</v>
      </c>
      <c r="G8" s="17">
        <f t="shared" si="0"/>
        <v>19352.690000000002</v>
      </c>
    </row>
    <row r="9" spans="1:11" x14ac:dyDescent="0.25">
      <c r="A9" s="7" t="s">
        <v>37</v>
      </c>
      <c r="B9" s="5" t="s">
        <v>27</v>
      </c>
      <c r="C9" s="6">
        <v>46650.36</v>
      </c>
      <c r="E9" s="17">
        <v>33151.9</v>
      </c>
      <c r="F9" s="17">
        <v>13498.46</v>
      </c>
      <c r="G9" s="17">
        <f t="shared" si="0"/>
        <v>46650.36</v>
      </c>
    </row>
    <row r="10" spans="1:11" x14ac:dyDescent="0.25">
      <c r="A10" s="7" t="s">
        <v>8</v>
      </c>
      <c r="B10" s="5" t="s">
        <v>12</v>
      </c>
      <c r="C10" s="6">
        <v>42094.86</v>
      </c>
      <c r="E10" s="17">
        <v>37025.800000000003</v>
      </c>
      <c r="F10" s="17">
        <v>5069.0600000000004</v>
      </c>
      <c r="G10" s="17">
        <f t="shared" si="0"/>
        <v>42094.86</v>
      </c>
      <c r="K10" t="s">
        <v>41</v>
      </c>
    </row>
    <row r="11" spans="1:11" x14ac:dyDescent="0.25">
      <c r="A11" s="7" t="s">
        <v>0</v>
      </c>
      <c r="B11" s="5" t="s">
        <v>25</v>
      </c>
      <c r="C11" s="6">
        <v>48245.72</v>
      </c>
      <c r="E11" s="17">
        <v>43086.9</v>
      </c>
      <c r="F11" s="17">
        <v>5158.82</v>
      </c>
      <c r="G11" s="17">
        <f t="shared" si="0"/>
        <v>48245.72</v>
      </c>
    </row>
    <row r="12" spans="1:11" x14ac:dyDescent="0.25">
      <c r="A12" s="7" t="s">
        <v>22</v>
      </c>
      <c r="B12" s="5" t="s">
        <v>28</v>
      </c>
      <c r="C12" s="6">
        <v>51112.53</v>
      </c>
      <c r="E12" s="17">
        <v>46043.3</v>
      </c>
      <c r="F12" s="17">
        <v>5069.2299999999996</v>
      </c>
      <c r="G12" s="17">
        <f t="shared" si="0"/>
        <v>51112.53</v>
      </c>
    </row>
    <row r="13" spans="1:11" x14ac:dyDescent="0.25">
      <c r="A13" s="7" t="s">
        <v>35</v>
      </c>
      <c r="B13" s="5" t="s">
        <v>18</v>
      </c>
      <c r="C13" s="6">
        <v>80236.42</v>
      </c>
      <c r="E13" s="17">
        <v>6954.16</v>
      </c>
      <c r="F13" s="17">
        <v>73282.259999999995</v>
      </c>
      <c r="G13" s="17">
        <f t="shared" si="0"/>
        <v>80236.42</v>
      </c>
    </row>
    <row r="14" spans="1:11" x14ac:dyDescent="0.25">
      <c r="A14" s="7" t="s">
        <v>9</v>
      </c>
      <c r="B14" s="5" t="s">
        <v>15</v>
      </c>
      <c r="C14" s="6">
        <v>43035.69</v>
      </c>
      <c r="E14" s="17">
        <v>32884.9</v>
      </c>
      <c r="F14" s="17">
        <v>10150.790000000001</v>
      </c>
      <c r="G14" s="17">
        <f t="shared" si="0"/>
        <v>43035.69</v>
      </c>
    </row>
    <row r="15" spans="1:11" x14ac:dyDescent="0.25">
      <c r="A15" s="7" t="s">
        <v>5</v>
      </c>
      <c r="B15" s="5" t="s">
        <v>27</v>
      </c>
      <c r="C15" s="29">
        <v>4307.03</v>
      </c>
      <c r="E15" s="6" t="s">
        <v>40</v>
      </c>
    </row>
    <row r="16" spans="1:11" ht="15.75" thickBot="1" x14ac:dyDescent="0.3">
      <c r="A16" s="7"/>
      <c r="B16" s="5"/>
      <c r="C16" s="6"/>
    </row>
    <row r="17" spans="1:3" ht="15.75" thickBot="1" x14ac:dyDescent="0.3">
      <c r="A17" s="19" t="s">
        <v>38</v>
      </c>
      <c r="B17" s="20">
        <v>43881</v>
      </c>
      <c r="C17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3B6D-5A50-4C04-8989-82B931FC9FD2}">
  <sheetPr>
    <pageSetUpPr fitToPage="1"/>
  </sheetPr>
  <dimension ref="A3:B34"/>
  <sheetViews>
    <sheetView showGridLines="0"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6.28515625" bestFit="1" customWidth="1"/>
  </cols>
  <sheetData>
    <row r="3" spans="1:2" x14ac:dyDescent="0.25">
      <c r="A3" s="27" t="s">
        <v>20</v>
      </c>
      <c r="B3" s="27" t="s">
        <v>19</v>
      </c>
    </row>
    <row r="4" spans="1:2" x14ac:dyDescent="0.25">
      <c r="A4" s="7" t="s">
        <v>11</v>
      </c>
      <c r="B4" s="22">
        <v>24851.800000000003</v>
      </c>
    </row>
    <row r="5" spans="1:2" x14ac:dyDescent="0.25">
      <c r="A5" s="21" t="s">
        <v>7</v>
      </c>
      <c r="B5" s="22">
        <v>10131.1</v>
      </c>
    </row>
    <row r="6" spans="1:2" x14ac:dyDescent="0.25">
      <c r="A6" s="21" t="s">
        <v>45</v>
      </c>
      <c r="B6" s="22">
        <v>7880.37</v>
      </c>
    </row>
    <row r="7" spans="1:2" x14ac:dyDescent="0.25">
      <c r="A7" s="21" t="s">
        <v>49</v>
      </c>
      <c r="B7" s="22">
        <v>6840.33</v>
      </c>
    </row>
    <row r="8" spans="1:2" x14ac:dyDescent="0.25">
      <c r="A8" s="7" t="s">
        <v>16</v>
      </c>
      <c r="B8" s="22">
        <v>49722.61</v>
      </c>
    </row>
    <row r="9" spans="1:2" x14ac:dyDescent="0.25">
      <c r="A9" s="21" t="s">
        <v>5</v>
      </c>
      <c r="B9" s="22">
        <v>49722.61</v>
      </c>
    </row>
    <row r="10" spans="1:2" x14ac:dyDescent="0.25">
      <c r="A10" s="7" t="s">
        <v>15</v>
      </c>
      <c r="B10" s="22">
        <v>53837</v>
      </c>
    </row>
    <row r="11" spans="1:2" x14ac:dyDescent="0.25">
      <c r="A11" s="21" t="s">
        <v>9</v>
      </c>
      <c r="B11" s="22">
        <v>53837</v>
      </c>
    </row>
    <row r="12" spans="1:2" x14ac:dyDescent="0.25">
      <c r="A12" s="7" t="s">
        <v>18</v>
      </c>
      <c r="B12" s="22">
        <v>58157.599999999999</v>
      </c>
    </row>
    <row r="13" spans="1:2" x14ac:dyDescent="0.25">
      <c r="A13" s="21" t="s">
        <v>35</v>
      </c>
      <c r="B13" s="22">
        <v>49095.14</v>
      </c>
    </row>
    <row r="14" spans="1:2" x14ac:dyDescent="0.25">
      <c r="A14" s="21" t="s">
        <v>46</v>
      </c>
      <c r="B14" s="22">
        <v>9062.4599999999991</v>
      </c>
    </row>
    <row r="15" spans="1:2" x14ac:dyDescent="0.25">
      <c r="A15" s="7" t="s">
        <v>26</v>
      </c>
      <c r="B15" s="22">
        <v>60167.7</v>
      </c>
    </row>
    <row r="16" spans="1:2" x14ac:dyDescent="0.25">
      <c r="A16" s="21" t="s">
        <v>36</v>
      </c>
      <c r="B16" s="22">
        <v>60167.7</v>
      </c>
    </row>
    <row r="17" spans="1:2" x14ac:dyDescent="0.25">
      <c r="A17" s="7" t="s">
        <v>27</v>
      </c>
      <c r="B17" s="22">
        <v>63349.46</v>
      </c>
    </row>
    <row r="18" spans="1:2" x14ac:dyDescent="0.25">
      <c r="A18" s="21" t="s">
        <v>37</v>
      </c>
      <c r="B18" s="22">
        <v>63349.46</v>
      </c>
    </row>
    <row r="19" spans="1:2" x14ac:dyDescent="0.25">
      <c r="A19" s="7" t="s">
        <v>30</v>
      </c>
      <c r="B19" s="22">
        <v>63913.73</v>
      </c>
    </row>
    <row r="20" spans="1:2" x14ac:dyDescent="0.25">
      <c r="A20" s="21" t="s">
        <v>29</v>
      </c>
      <c r="B20" s="22">
        <v>63913.73</v>
      </c>
    </row>
    <row r="21" spans="1:2" x14ac:dyDescent="0.25">
      <c r="A21" s="7" t="s">
        <v>13</v>
      </c>
      <c r="B21" s="22">
        <v>64896.92</v>
      </c>
    </row>
    <row r="22" spans="1:2" x14ac:dyDescent="0.25">
      <c r="A22" s="21" t="s">
        <v>44</v>
      </c>
      <c r="B22" s="22">
        <v>38674.480000000003</v>
      </c>
    </row>
    <row r="23" spans="1:2" x14ac:dyDescent="0.25">
      <c r="A23" s="21" t="s">
        <v>35</v>
      </c>
      <c r="B23" s="22">
        <v>26222.44</v>
      </c>
    </row>
    <row r="24" spans="1:2" x14ac:dyDescent="0.25">
      <c r="A24" s="7" t="s">
        <v>28</v>
      </c>
      <c r="B24" s="22">
        <v>69598.2</v>
      </c>
    </row>
    <row r="25" spans="1:2" x14ac:dyDescent="0.25">
      <c r="A25" s="21" t="s">
        <v>22</v>
      </c>
      <c r="B25" s="22">
        <v>69598.2</v>
      </c>
    </row>
    <row r="26" spans="1:2" x14ac:dyDescent="0.25">
      <c r="A26" s="7" t="s">
        <v>25</v>
      </c>
      <c r="B26" s="22">
        <v>69633.3</v>
      </c>
    </row>
    <row r="27" spans="1:2" x14ac:dyDescent="0.25">
      <c r="A27" s="21" t="s">
        <v>0</v>
      </c>
      <c r="B27" s="22">
        <v>69633.3</v>
      </c>
    </row>
    <row r="28" spans="1:2" x14ac:dyDescent="0.25">
      <c r="A28" s="7" t="s">
        <v>12</v>
      </c>
      <c r="B28" s="22">
        <v>73571.3</v>
      </c>
    </row>
    <row r="29" spans="1:2" x14ac:dyDescent="0.25">
      <c r="A29" s="21" t="s">
        <v>8</v>
      </c>
      <c r="B29" s="22">
        <v>73571.3</v>
      </c>
    </row>
    <row r="30" spans="1:2" x14ac:dyDescent="0.25">
      <c r="A30" s="7" t="s">
        <v>10</v>
      </c>
      <c r="B30" s="22">
        <v>80316.09</v>
      </c>
    </row>
    <row r="31" spans="1:2" x14ac:dyDescent="0.25">
      <c r="A31" s="21" t="s">
        <v>6</v>
      </c>
      <c r="B31" s="22">
        <v>80316.09</v>
      </c>
    </row>
    <row r="32" spans="1:2" x14ac:dyDescent="0.25">
      <c r="A32" s="7" t="s">
        <v>14</v>
      </c>
      <c r="B32" s="22">
        <v>80847.600000000006</v>
      </c>
    </row>
    <row r="33" spans="1:2" x14ac:dyDescent="0.25">
      <c r="A33" s="21" t="s">
        <v>31</v>
      </c>
      <c r="B33" s="22">
        <v>80847.600000000006</v>
      </c>
    </row>
    <row r="34" spans="1:2" x14ac:dyDescent="0.25">
      <c r="A34" s="30" t="s">
        <v>21</v>
      </c>
      <c r="B34" s="31">
        <v>812863.30999999994</v>
      </c>
    </row>
  </sheetData>
  <pageMargins left="0.511811024" right="0.511811024" top="0.78740157499999996" bottom="0.78740157499999996" header="0.31496062000000002" footer="0.31496062000000002"/>
  <pageSetup paperSize="9" scale="63" orientation="landscape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FC83-0F22-4700-83AE-43ED7ADBDFBA}">
  <sheetPr>
    <pageSetUpPr fitToPage="1"/>
  </sheetPr>
  <dimension ref="A3:B38"/>
  <sheetViews>
    <sheetView showGridLines="0" zoomScale="90" zoomScaleNormal="90" workbookViewId="0">
      <selection activeCell="B31" sqref="B31"/>
    </sheetView>
  </sheetViews>
  <sheetFormatPr defaultRowHeight="15" x14ac:dyDescent="0.25"/>
  <cols>
    <col min="1" max="1" width="22.140625" bestFit="1" customWidth="1"/>
    <col min="2" max="2" width="16.7109375" bestFit="1" customWidth="1"/>
    <col min="3" max="5" width="9.28515625" bestFit="1" customWidth="1"/>
    <col min="6" max="6" width="9.140625" bestFit="1" customWidth="1"/>
    <col min="7" max="9" width="9" bestFit="1" customWidth="1"/>
    <col min="10" max="12" width="9.5703125" bestFit="1" customWidth="1"/>
    <col min="13" max="14" width="9.28515625" bestFit="1" customWidth="1"/>
    <col min="15" max="15" width="10.7109375" bestFit="1" customWidth="1"/>
  </cols>
  <sheetData>
    <row r="3" spans="1:2" x14ac:dyDescent="0.25">
      <c r="A3" s="27" t="s">
        <v>20</v>
      </c>
      <c r="B3" s="27" t="s">
        <v>19</v>
      </c>
    </row>
    <row r="4" spans="1:2" x14ac:dyDescent="0.25">
      <c r="A4" s="7" t="s">
        <v>54</v>
      </c>
      <c r="B4" s="22">
        <v>7778.04</v>
      </c>
    </row>
    <row r="5" spans="1:2" x14ac:dyDescent="0.25">
      <c r="A5" s="21" t="s">
        <v>55</v>
      </c>
      <c r="B5" s="22">
        <v>7778.04</v>
      </c>
    </row>
    <row r="6" spans="1:2" x14ac:dyDescent="0.25">
      <c r="A6" s="7" t="s">
        <v>46</v>
      </c>
      <c r="B6" s="22">
        <v>22785.7</v>
      </c>
    </row>
    <row r="7" spans="1:2" x14ac:dyDescent="0.25">
      <c r="A7" s="21" t="s">
        <v>18</v>
      </c>
      <c r="B7" s="22">
        <v>22785.7</v>
      </c>
    </row>
    <row r="8" spans="1:2" x14ac:dyDescent="0.25">
      <c r="A8" s="7" t="s">
        <v>53</v>
      </c>
      <c r="B8" s="22">
        <v>22976.02</v>
      </c>
    </row>
    <row r="9" spans="1:2" x14ac:dyDescent="0.25">
      <c r="A9" s="21" t="s">
        <v>27</v>
      </c>
      <c r="B9" s="22">
        <v>22182.34</v>
      </c>
    </row>
    <row r="10" spans="1:2" x14ac:dyDescent="0.25">
      <c r="A10" s="21" t="s">
        <v>56</v>
      </c>
      <c r="B10" s="22">
        <v>793.68</v>
      </c>
    </row>
    <row r="11" spans="1:2" x14ac:dyDescent="0.25">
      <c r="A11" s="7" t="s">
        <v>37</v>
      </c>
      <c r="B11" s="22">
        <v>52695.4</v>
      </c>
    </row>
    <row r="12" spans="1:2" x14ac:dyDescent="0.25">
      <c r="A12" s="21" t="s">
        <v>27</v>
      </c>
      <c r="B12" s="22">
        <v>52695.4</v>
      </c>
    </row>
    <row r="13" spans="1:2" x14ac:dyDescent="0.25">
      <c r="A13" s="7" t="s">
        <v>7</v>
      </c>
      <c r="B13" s="22">
        <v>53605.929999999993</v>
      </c>
    </row>
    <row r="14" spans="1:2" x14ac:dyDescent="0.25">
      <c r="A14" s="21" t="s">
        <v>11</v>
      </c>
      <c r="B14" s="22">
        <v>53605.929999999993</v>
      </c>
    </row>
    <row r="15" spans="1:2" x14ac:dyDescent="0.25">
      <c r="A15" s="7" t="s">
        <v>9</v>
      </c>
      <c r="B15" s="22">
        <v>72354.010000000009</v>
      </c>
    </row>
    <row r="16" spans="1:2" x14ac:dyDescent="0.25">
      <c r="A16" s="21" t="s">
        <v>15</v>
      </c>
      <c r="B16" s="22">
        <v>72354.010000000009</v>
      </c>
    </row>
    <row r="17" spans="1:2" x14ac:dyDescent="0.25">
      <c r="A17" s="7" t="s">
        <v>52</v>
      </c>
      <c r="B17" s="22">
        <v>72905.299999999988</v>
      </c>
    </row>
    <row r="18" spans="1:2" x14ac:dyDescent="0.25">
      <c r="A18" s="21" t="s">
        <v>11</v>
      </c>
      <c r="B18" s="22">
        <v>26806.400000000001</v>
      </c>
    </row>
    <row r="19" spans="1:2" x14ac:dyDescent="0.25">
      <c r="A19" s="21" t="s">
        <v>18</v>
      </c>
      <c r="B19" s="22">
        <v>46098.899999999994</v>
      </c>
    </row>
    <row r="20" spans="1:2" x14ac:dyDescent="0.25">
      <c r="A20" s="7" t="s">
        <v>22</v>
      </c>
      <c r="B20" s="22">
        <v>75516.760000000009</v>
      </c>
    </row>
    <row r="21" spans="1:2" x14ac:dyDescent="0.25">
      <c r="A21" s="21" t="s">
        <v>28</v>
      </c>
      <c r="B21" s="22">
        <v>75516.760000000009</v>
      </c>
    </row>
    <row r="22" spans="1:2" x14ac:dyDescent="0.25">
      <c r="A22" s="7" t="s">
        <v>0</v>
      </c>
      <c r="B22" s="22">
        <v>76602.8</v>
      </c>
    </row>
    <row r="23" spans="1:2" x14ac:dyDescent="0.25">
      <c r="A23" s="21" t="s">
        <v>25</v>
      </c>
      <c r="B23" s="22">
        <v>76602.8</v>
      </c>
    </row>
    <row r="24" spans="1:2" x14ac:dyDescent="0.25">
      <c r="A24" s="7" t="s">
        <v>35</v>
      </c>
      <c r="B24" s="22">
        <v>77207.670000000013</v>
      </c>
    </row>
    <row r="25" spans="1:2" x14ac:dyDescent="0.25">
      <c r="A25" s="21" t="s">
        <v>13</v>
      </c>
      <c r="B25" s="22">
        <v>77207.670000000013</v>
      </c>
    </row>
    <row r="26" spans="1:2" x14ac:dyDescent="0.25">
      <c r="A26" s="7" t="s">
        <v>29</v>
      </c>
      <c r="B26" s="22">
        <v>79038.06</v>
      </c>
    </row>
    <row r="27" spans="1:2" x14ac:dyDescent="0.25">
      <c r="A27" s="21" t="s">
        <v>30</v>
      </c>
      <c r="B27" s="22">
        <v>79038.06</v>
      </c>
    </row>
    <row r="28" spans="1:2" x14ac:dyDescent="0.25">
      <c r="A28" s="7" t="s">
        <v>31</v>
      </c>
      <c r="B28" s="22">
        <v>79299.199999999997</v>
      </c>
    </row>
    <row r="29" spans="1:2" x14ac:dyDescent="0.25">
      <c r="A29" s="21" t="s">
        <v>14</v>
      </c>
      <c r="B29" s="22">
        <v>79299.199999999997</v>
      </c>
    </row>
    <row r="30" spans="1:2" x14ac:dyDescent="0.25">
      <c r="A30" s="7" t="s">
        <v>36</v>
      </c>
      <c r="B30" s="22">
        <v>80480.2</v>
      </c>
    </row>
    <row r="31" spans="1:2" x14ac:dyDescent="0.25">
      <c r="A31" s="21" t="s">
        <v>26</v>
      </c>
      <c r="B31" s="22">
        <v>80480.2</v>
      </c>
    </row>
    <row r="32" spans="1:2" x14ac:dyDescent="0.25">
      <c r="A32" s="7" t="s">
        <v>8</v>
      </c>
      <c r="B32" s="22">
        <v>86872.13</v>
      </c>
    </row>
    <row r="33" spans="1:2" x14ac:dyDescent="0.25">
      <c r="A33" s="21" t="s">
        <v>12</v>
      </c>
      <c r="B33" s="22">
        <v>86872.13</v>
      </c>
    </row>
    <row r="34" spans="1:2" x14ac:dyDescent="0.25">
      <c r="A34" s="7" t="s">
        <v>5</v>
      </c>
      <c r="B34" s="22">
        <v>87816.6</v>
      </c>
    </row>
    <row r="35" spans="1:2" x14ac:dyDescent="0.25">
      <c r="A35" s="21" t="s">
        <v>16</v>
      </c>
      <c r="B35" s="22">
        <v>87816.6</v>
      </c>
    </row>
    <row r="36" spans="1:2" x14ac:dyDescent="0.25">
      <c r="A36" s="7" t="s">
        <v>6</v>
      </c>
      <c r="B36" s="22">
        <v>89291.459999999992</v>
      </c>
    </row>
    <row r="37" spans="1:2" x14ac:dyDescent="0.25">
      <c r="A37" s="21" t="s">
        <v>10</v>
      </c>
      <c r="B37" s="22">
        <v>89291.459999999992</v>
      </c>
    </row>
    <row r="38" spans="1:2" x14ac:dyDescent="0.25">
      <c r="A38" s="30" t="s">
        <v>21</v>
      </c>
      <c r="B38" s="31">
        <v>1037225.2800000003</v>
      </c>
    </row>
  </sheetData>
  <pageMargins left="0.511811024" right="0.511811024" top="0.78740157499999996" bottom="0.78740157499999996" header="0.31496062000000002" footer="0.31496062000000002"/>
  <pageSetup paperSize="9" scale="57" fitToHeight="0" orientation="landscape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BD26-DCCB-4901-AFE9-127A955DCF01}">
  <dimension ref="A1:K19"/>
  <sheetViews>
    <sheetView workbookViewId="0">
      <selection activeCell="A2" sqref="A2:C19"/>
    </sheetView>
  </sheetViews>
  <sheetFormatPr defaultRowHeight="15" x14ac:dyDescent="0.25"/>
  <cols>
    <col min="1" max="1" width="20" bestFit="1" customWidth="1"/>
    <col min="2" max="2" width="11.28515625" bestFit="1" customWidth="1"/>
    <col min="3" max="3" width="13.28515625" bestFit="1" customWidth="1"/>
    <col min="4" max="4" width="3.85546875" customWidth="1"/>
    <col min="6" max="7" width="13.28515625" bestFit="1" customWidth="1"/>
    <col min="8" max="8" width="13.28515625" style="17" bestFit="1" customWidth="1"/>
    <col min="9" max="11" width="13.28515625" bestFit="1" customWidth="1"/>
  </cols>
  <sheetData>
    <row r="1" spans="1:11" x14ac:dyDescent="0.25">
      <c r="A1" s="5" t="s">
        <v>1</v>
      </c>
      <c r="B1" s="5" t="s">
        <v>17</v>
      </c>
      <c r="C1" s="5" t="s">
        <v>2</v>
      </c>
      <c r="F1" t="s">
        <v>50</v>
      </c>
      <c r="G1" t="s">
        <v>51</v>
      </c>
      <c r="I1" t="s">
        <v>47</v>
      </c>
      <c r="J1" t="s">
        <v>48</v>
      </c>
    </row>
    <row r="2" spans="1:11" x14ac:dyDescent="0.25">
      <c r="A2" s="7" t="s">
        <v>36</v>
      </c>
      <c r="B2" s="5" t="s">
        <v>26</v>
      </c>
      <c r="C2" s="32">
        <f>SUM(F2+G2+K2)</f>
        <v>80480.2</v>
      </c>
      <c r="F2" s="17">
        <v>26320.5</v>
      </c>
      <c r="G2" s="17">
        <v>33141.4</v>
      </c>
      <c r="I2" s="17">
        <v>21018.3</v>
      </c>
      <c r="J2" s="17"/>
      <c r="K2" s="22">
        <f>SUM(I2+J2)</f>
        <v>21018.3</v>
      </c>
    </row>
    <row r="3" spans="1:11" x14ac:dyDescent="0.25">
      <c r="A3" s="7" t="s">
        <v>5</v>
      </c>
      <c r="B3" s="5" t="s">
        <v>16</v>
      </c>
      <c r="C3" s="32">
        <f>SUM(F3+G3+K3)</f>
        <v>87816.6</v>
      </c>
      <c r="F3" s="17">
        <v>26196.9</v>
      </c>
      <c r="G3" s="17">
        <v>33143.599999999999</v>
      </c>
      <c r="I3" s="17">
        <v>28476.1</v>
      </c>
      <c r="J3" s="17"/>
      <c r="K3" s="22">
        <f t="shared" ref="K3:K17" si="0">SUM(I3+J3)</f>
        <v>28476.1</v>
      </c>
    </row>
    <row r="4" spans="1:11" x14ac:dyDescent="0.25">
      <c r="A4" s="7" t="s">
        <v>29</v>
      </c>
      <c r="B4" s="5" t="s">
        <v>30</v>
      </c>
      <c r="C4" s="32">
        <f t="shared" ref="C4:C16" si="1">SUM(F4+G4+K4)</f>
        <v>79038.06</v>
      </c>
      <c r="F4" s="17">
        <v>41469.199999999997</v>
      </c>
      <c r="G4" s="17">
        <v>9190.7199999999993</v>
      </c>
      <c r="I4" s="17">
        <v>28378.14</v>
      </c>
      <c r="J4" s="17"/>
      <c r="K4" s="22">
        <f t="shared" si="0"/>
        <v>28378.14</v>
      </c>
    </row>
    <row r="5" spans="1:11" x14ac:dyDescent="0.25">
      <c r="A5" s="7" t="s">
        <v>31</v>
      </c>
      <c r="B5" s="5" t="s">
        <v>14</v>
      </c>
      <c r="C5" s="32">
        <f t="shared" si="1"/>
        <v>79299.199999999997</v>
      </c>
      <c r="F5" s="17">
        <v>48007.1</v>
      </c>
      <c r="G5" s="17">
        <v>10161.6</v>
      </c>
      <c r="I5" s="17">
        <v>21130.5</v>
      </c>
      <c r="J5" s="17"/>
      <c r="K5" s="22">
        <f t="shared" si="0"/>
        <v>21130.5</v>
      </c>
    </row>
    <row r="6" spans="1:11" x14ac:dyDescent="0.25">
      <c r="A6" s="7" t="s">
        <v>6</v>
      </c>
      <c r="B6" s="5" t="s">
        <v>10</v>
      </c>
      <c r="C6" s="32">
        <f t="shared" si="1"/>
        <v>89291.459999999992</v>
      </c>
      <c r="F6" s="17">
        <v>39062.15</v>
      </c>
      <c r="G6" s="17">
        <v>14759.39</v>
      </c>
      <c r="I6" s="17"/>
      <c r="J6" s="17">
        <v>35469.919999999998</v>
      </c>
      <c r="K6" s="22">
        <f t="shared" si="0"/>
        <v>35469.919999999998</v>
      </c>
    </row>
    <row r="7" spans="1:11" x14ac:dyDescent="0.25">
      <c r="A7" s="7" t="s">
        <v>7</v>
      </c>
      <c r="B7" s="5" t="s">
        <v>11</v>
      </c>
      <c r="C7" s="32">
        <f t="shared" si="1"/>
        <v>53605.929999999993</v>
      </c>
      <c r="F7" s="17">
        <v>4158.42</v>
      </c>
      <c r="G7" s="17">
        <v>25344.5</v>
      </c>
      <c r="I7" s="17"/>
      <c r="J7" s="17">
        <v>24103.01</v>
      </c>
      <c r="K7" s="22">
        <f t="shared" si="0"/>
        <v>24103.01</v>
      </c>
    </row>
    <row r="8" spans="1:11" x14ac:dyDescent="0.25">
      <c r="A8" s="7" t="s">
        <v>52</v>
      </c>
      <c r="B8" s="5" t="s">
        <v>18</v>
      </c>
      <c r="C8" s="32">
        <f t="shared" si="1"/>
        <v>46098.899999999994</v>
      </c>
      <c r="F8" s="17">
        <v>4151.7</v>
      </c>
      <c r="G8" s="17">
        <v>22893.599999999999</v>
      </c>
      <c r="I8" s="17"/>
      <c r="J8" s="17">
        <v>19053.599999999999</v>
      </c>
      <c r="K8" s="22">
        <f t="shared" si="0"/>
        <v>19053.599999999999</v>
      </c>
    </row>
    <row r="9" spans="1:11" x14ac:dyDescent="0.25">
      <c r="A9" s="7" t="s">
        <v>37</v>
      </c>
      <c r="B9" s="5" t="s">
        <v>27</v>
      </c>
      <c r="C9" s="32">
        <f t="shared" si="1"/>
        <v>52695.4</v>
      </c>
      <c r="F9" s="17">
        <v>19710.5</v>
      </c>
      <c r="G9" s="17">
        <v>32984.9</v>
      </c>
      <c r="I9" s="17"/>
      <c r="J9" s="17"/>
      <c r="K9" s="22">
        <f t="shared" si="0"/>
        <v>0</v>
      </c>
    </row>
    <row r="10" spans="1:11" x14ac:dyDescent="0.25">
      <c r="A10" s="7" t="s">
        <v>8</v>
      </c>
      <c r="B10" s="5" t="s">
        <v>12</v>
      </c>
      <c r="C10" s="32">
        <f t="shared" si="1"/>
        <v>86872.13</v>
      </c>
      <c r="F10" s="17">
        <v>49180.1</v>
      </c>
      <c r="G10" s="17">
        <v>9222.83</v>
      </c>
      <c r="I10" s="17">
        <v>28469.200000000001</v>
      </c>
      <c r="J10" s="17"/>
      <c r="K10" s="22">
        <f t="shared" si="0"/>
        <v>28469.200000000001</v>
      </c>
    </row>
    <row r="11" spans="1:11" x14ac:dyDescent="0.25">
      <c r="A11" s="7" t="s">
        <v>0</v>
      </c>
      <c r="B11" s="5" t="s">
        <v>25</v>
      </c>
      <c r="C11" s="32">
        <f t="shared" si="1"/>
        <v>76602.8</v>
      </c>
      <c r="F11" s="17">
        <v>45852.9</v>
      </c>
      <c r="G11" s="17">
        <v>9668.5</v>
      </c>
      <c r="I11" s="17">
        <v>21081.4</v>
      </c>
      <c r="J11" s="17"/>
      <c r="K11" s="22">
        <f t="shared" si="0"/>
        <v>21081.4</v>
      </c>
    </row>
    <row r="12" spans="1:11" x14ac:dyDescent="0.25">
      <c r="A12" s="7" t="s">
        <v>22</v>
      </c>
      <c r="B12" s="5" t="s">
        <v>28</v>
      </c>
      <c r="C12" s="32">
        <f t="shared" si="1"/>
        <v>75516.760000000009</v>
      </c>
      <c r="F12" s="17">
        <v>45351</v>
      </c>
      <c r="G12" s="17">
        <v>9203.26</v>
      </c>
      <c r="I12" s="17">
        <v>20962.5</v>
      </c>
      <c r="J12" s="17"/>
      <c r="K12" s="22">
        <f t="shared" si="0"/>
        <v>20962.5</v>
      </c>
    </row>
    <row r="13" spans="1:11" x14ac:dyDescent="0.25">
      <c r="A13" s="7" t="s">
        <v>35</v>
      </c>
      <c r="B13" s="5" t="s">
        <v>13</v>
      </c>
      <c r="C13" s="32">
        <f t="shared" si="1"/>
        <v>77207.670000000013</v>
      </c>
      <c r="F13" s="17">
        <v>51019.8</v>
      </c>
      <c r="G13" s="17">
        <v>5067.87</v>
      </c>
      <c r="I13" s="17">
        <v>21120</v>
      </c>
      <c r="J13" s="17"/>
      <c r="K13" s="22">
        <f t="shared" si="0"/>
        <v>21120</v>
      </c>
    </row>
    <row r="14" spans="1:11" x14ac:dyDescent="0.25">
      <c r="A14" s="7" t="s">
        <v>9</v>
      </c>
      <c r="B14" s="5" t="s">
        <v>15</v>
      </c>
      <c r="C14" s="32">
        <f t="shared" si="1"/>
        <v>72354.010000000009</v>
      </c>
      <c r="F14" s="17">
        <v>45441.9</v>
      </c>
      <c r="G14" s="17">
        <v>9656.07</v>
      </c>
      <c r="I14" s="17">
        <v>7133.04</v>
      </c>
      <c r="J14" s="17">
        <v>10123</v>
      </c>
      <c r="K14" s="22">
        <f t="shared" si="0"/>
        <v>17256.04</v>
      </c>
    </row>
    <row r="15" spans="1:11" x14ac:dyDescent="0.25">
      <c r="A15" s="7" t="s">
        <v>52</v>
      </c>
      <c r="B15" s="5" t="s">
        <v>11</v>
      </c>
      <c r="C15" s="32">
        <f t="shared" si="1"/>
        <v>26806.400000000001</v>
      </c>
      <c r="F15" s="17">
        <v>26806.400000000001</v>
      </c>
      <c r="G15" s="17"/>
      <c r="I15" s="17"/>
      <c r="J15" s="17"/>
      <c r="K15" s="22">
        <f t="shared" si="0"/>
        <v>0</v>
      </c>
    </row>
    <row r="16" spans="1:11" x14ac:dyDescent="0.25">
      <c r="A16" s="7" t="s">
        <v>46</v>
      </c>
      <c r="B16" s="5" t="s">
        <v>18</v>
      </c>
      <c r="C16" s="32">
        <f t="shared" si="1"/>
        <v>22785.7</v>
      </c>
      <c r="F16" s="17">
        <v>22785.7</v>
      </c>
      <c r="G16" s="17"/>
      <c r="I16" s="17"/>
      <c r="J16" s="17"/>
      <c r="K16" s="22">
        <f t="shared" si="0"/>
        <v>0</v>
      </c>
    </row>
    <row r="17" spans="1:11" x14ac:dyDescent="0.25">
      <c r="A17" s="7" t="s">
        <v>53</v>
      </c>
      <c r="B17" s="5" t="s">
        <v>27</v>
      </c>
      <c r="C17" s="32">
        <f>SUM(F17+G17+K17)</f>
        <v>22182.34</v>
      </c>
      <c r="I17" s="17">
        <v>7165.44</v>
      </c>
      <c r="J17" s="17">
        <v>15016.9</v>
      </c>
      <c r="K17" s="22">
        <f t="shared" si="0"/>
        <v>22182.34</v>
      </c>
    </row>
    <row r="18" spans="1:11" x14ac:dyDescent="0.25">
      <c r="A18" s="7" t="s">
        <v>54</v>
      </c>
      <c r="B18" s="33" t="s">
        <v>55</v>
      </c>
      <c r="C18" s="32">
        <v>7778.04</v>
      </c>
    </row>
    <row r="19" spans="1:11" x14ac:dyDescent="0.25">
      <c r="A19" s="7" t="s">
        <v>53</v>
      </c>
      <c r="B19" s="5" t="s">
        <v>56</v>
      </c>
      <c r="C19" s="32">
        <v>793.68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 </vt:lpstr>
      <vt:lpstr>BASE_JANEIRO</vt:lpstr>
      <vt:lpstr>FEVERERIO </vt:lpstr>
      <vt:lpstr>BASE COMISSÃO FEVEREIRO</vt:lpstr>
      <vt:lpstr>BASE COMISSÃO MARÇO</vt:lpstr>
      <vt:lpstr>FEVEREIRO BASE</vt:lpstr>
      <vt:lpstr>MARÇO</vt:lpstr>
      <vt:lpstr>ABRIL</vt:lpstr>
      <vt:lpstr>ABRIL BASE</vt:lpstr>
      <vt:lpstr>BASE COMISSÃO ABRIL</vt:lpstr>
      <vt:lpstr>BASE MAIO</vt:lpstr>
      <vt:lpstr>MAIO</vt:lpstr>
      <vt:lpstr>BASE COMISSÃO MAIO</vt:lpstr>
      <vt:lpstr>Planilha2</vt:lpstr>
      <vt:lpstr>JUNHO</vt:lpstr>
      <vt:lpstr>MARÇO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Albernaz</cp:lastModifiedBy>
  <cp:lastPrinted>2020-06-12T18:29:43Z</cp:lastPrinted>
  <dcterms:created xsi:type="dcterms:W3CDTF">2015-06-05T18:19:34Z</dcterms:created>
  <dcterms:modified xsi:type="dcterms:W3CDTF">2020-06-12T18:29:55Z</dcterms:modified>
</cp:coreProperties>
</file>