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\\sack\Christian\A\Studium\4 - Semester\SpBC\Übungen\swpbc\Lab1\"/>
    </mc:Choice>
  </mc:AlternateContent>
  <bookViews>
    <workbookView xWindow="0" yWindow="0" windowWidth="23445" windowHeight="10950" tabRatio="587" activeTab="1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F19" i="6" l="1"/>
  <c r="F20" i="6"/>
  <c r="F21" i="6"/>
  <c r="F22" i="6"/>
  <c r="F23" i="6"/>
  <c r="F24" i="6"/>
  <c r="F25" i="6"/>
  <c r="F18" i="6"/>
  <c r="F12" i="6"/>
  <c r="F5" i="6"/>
  <c r="B25" i="6"/>
  <c r="C25" i="6"/>
  <c r="D25" i="6"/>
  <c r="G25" i="6" s="1"/>
  <c r="E25" i="6"/>
  <c r="D12" i="6"/>
  <c r="B12" i="6"/>
  <c r="C12" i="6"/>
  <c r="E12" i="6"/>
  <c r="G12" i="6"/>
  <c r="D117" i="4"/>
  <c r="E117" i="4"/>
  <c r="F117" i="4"/>
  <c r="G117" i="4"/>
  <c r="H117" i="4"/>
  <c r="I117" i="4"/>
  <c r="C117" i="4"/>
  <c r="D104" i="4"/>
  <c r="E104" i="4"/>
  <c r="F104" i="4"/>
  <c r="G104" i="4"/>
  <c r="H104" i="4"/>
  <c r="I104" i="4"/>
  <c r="C104" i="4"/>
  <c r="D89" i="4"/>
  <c r="E89" i="4"/>
  <c r="F89" i="4"/>
  <c r="G89" i="4"/>
  <c r="H89" i="4"/>
  <c r="I89" i="4"/>
  <c r="C89" i="4"/>
  <c r="D76" i="4"/>
  <c r="E76" i="4"/>
  <c r="F76" i="4"/>
  <c r="G76" i="4"/>
  <c r="H76" i="4"/>
  <c r="I76" i="4"/>
  <c r="C76" i="4"/>
  <c r="D63" i="4"/>
  <c r="E63" i="4"/>
  <c r="F63" i="4"/>
  <c r="G63" i="4"/>
  <c r="H63" i="4"/>
  <c r="I63" i="4"/>
  <c r="C63" i="4"/>
  <c r="D50" i="4"/>
  <c r="E50" i="4"/>
  <c r="F50" i="4"/>
  <c r="G50" i="4"/>
  <c r="H50" i="4"/>
  <c r="I50" i="4"/>
  <c r="C50" i="4"/>
  <c r="I37" i="4"/>
  <c r="D37" i="4"/>
  <c r="E37" i="4"/>
  <c r="F37" i="4"/>
  <c r="G37" i="4"/>
  <c r="H37" i="4"/>
  <c r="C37" i="4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D11" i="4"/>
  <c r="E11" i="4"/>
  <c r="F11" i="4"/>
  <c r="G11" i="4"/>
  <c r="H11" i="4"/>
  <c r="I11" i="4"/>
  <c r="C11" i="4"/>
  <c r="H12" i="6" l="1"/>
  <c r="B23" i="4"/>
  <c r="B36" i="4" s="1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B49" i="4"/>
  <c r="B62" i="4" s="1"/>
  <c r="D10" i="4"/>
  <c r="E10" i="4"/>
  <c r="F10" i="4"/>
  <c r="G10" i="4"/>
  <c r="H10" i="4"/>
  <c r="I10" i="4"/>
  <c r="I36" i="4" s="1"/>
  <c r="C10" i="4"/>
  <c r="D4" i="4"/>
  <c r="E4" i="4"/>
  <c r="F4" i="4"/>
  <c r="G4" i="4"/>
  <c r="H4" i="4"/>
  <c r="I4" i="4"/>
  <c r="D5" i="4"/>
  <c r="E5" i="4"/>
  <c r="F5" i="4"/>
  <c r="G5" i="4"/>
  <c r="H5" i="4"/>
  <c r="I5" i="4"/>
  <c r="I31" i="4" s="1"/>
  <c r="I57" i="4" s="1"/>
  <c r="D6" i="4"/>
  <c r="E6" i="4"/>
  <c r="F6" i="4"/>
  <c r="G6" i="4"/>
  <c r="H6" i="4"/>
  <c r="I6" i="4"/>
  <c r="I32" i="4" s="1"/>
  <c r="I58" i="4" s="1"/>
  <c r="D7" i="4"/>
  <c r="E7" i="4"/>
  <c r="F7" i="4"/>
  <c r="G7" i="4"/>
  <c r="H7" i="4"/>
  <c r="I7" i="4"/>
  <c r="I33" i="4" s="1"/>
  <c r="D8" i="4"/>
  <c r="E8" i="4"/>
  <c r="F8" i="4"/>
  <c r="G8" i="4"/>
  <c r="H8" i="4"/>
  <c r="I8" i="4"/>
  <c r="I34" i="4" s="1"/>
  <c r="D9" i="4"/>
  <c r="E9" i="4"/>
  <c r="F9" i="4"/>
  <c r="G9" i="4"/>
  <c r="H9" i="4"/>
  <c r="I9" i="4"/>
  <c r="I35" i="4" s="1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I30" i="4" l="1"/>
  <c r="B17" i="4"/>
  <c r="B30" i="4" s="1"/>
  <c r="B43" i="4" s="1"/>
  <c r="B56" i="4" s="1"/>
  <c r="C111" i="4"/>
  <c r="C98" i="4"/>
  <c r="H100" i="4"/>
  <c r="H113" i="4"/>
  <c r="D100" i="4"/>
  <c r="D113" i="4"/>
  <c r="G99" i="4"/>
  <c r="G112" i="4"/>
  <c r="C99" i="4"/>
  <c r="C112" i="4"/>
  <c r="D112" i="4"/>
  <c r="D99" i="4"/>
  <c r="G100" i="4"/>
  <c r="G113" i="4"/>
  <c r="C113" i="4"/>
  <c r="C100" i="4"/>
  <c r="F99" i="4"/>
  <c r="F112" i="4"/>
  <c r="E98" i="4"/>
  <c r="E111" i="4"/>
  <c r="E113" i="4"/>
  <c r="E100" i="4"/>
  <c r="F100" i="4"/>
  <c r="F113" i="4"/>
  <c r="E99" i="4"/>
  <c r="E112" i="4"/>
  <c r="D111" i="4"/>
  <c r="D98" i="4"/>
  <c r="C21" i="6"/>
  <c r="H8" i="6" s="1"/>
  <c r="B75" i="4"/>
  <c r="B11" i="6"/>
  <c r="G36" i="4"/>
  <c r="G62" i="4" s="1"/>
  <c r="C33" i="4"/>
  <c r="C59" i="4" s="1"/>
  <c r="C85" i="4"/>
  <c r="H35" i="4"/>
  <c r="H74" i="4" s="1"/>
  <c r="D35" i="4"/>
  <c r="D48" i="4" s="1"/>
  <c r="F34" i="4"/>
  <c r="F60" i="4" s="1"/>
  <c r="H33" i="4"/>
  <c r="H59" i="4" s="1"/>
  <c r="H85" i="4"/>
  <c r="D21" i="6" s="1"/>
  <c r="D33" i="4"/>
  <c r="D59" i="4" s="1"/>
  <c r="D85" i="4"/>
  <c r="F32" i="4"/>
  <c r="F58" i="4" s="1"/>
  <c r="H31" i="4"/>
  <c r="H57" i="4" s="1"/>
  <c r="D31" i="4"/>
  <c r="D44" i="4" s="1"/>
  <c r="D83" i="4"/>
  <c r="F30" i="4"/>
  <c r="F69" i="4" s="1"/>
  <c r="E36" i="4"/>
  <c r="E75" i="4" s="1"/>
  <c r="C30" i="4"/>
  <c r="C82" i="4" s="1"/>
  <c r="C32" i="4"/>
  <c r="C58" i="4" s="1"/>
  <c r="C84" i="4"/>
  <c r="G35" i="4"/>
  <c r="G87" i="4" s="1"/>
  <c r="E34" i="4"/>
  <c r="E73" i="4" s="1"/>
  <c r="G33" i="4"/>
  <c r="G59" i="4" s="1"/>
  <c r="G85" i="4"/>
  <c r="E32" i="4"/>
  <c r="E45" i="4" s="1"/>
  <c r="E84" i="4"/>
  <c r="G31" i="4"/>
  <c r="G83" i="4" s="1"/>
  <c r="E30" i="4"/>
  <c r="E69" i="4" s="1"/>
  <c r="H36" i="4"/>
  <c r="H49" i="4" s="1"/>
  <c r="D36" i="4"/>
  <c r="D49" i="4" s="1"/>
  <c r="C35" i="4"/>
  <c r="C48" i="4" s="1"/>
  <c r="C31" i="4"/>
  <c r="C57" i="4" s="1"/>
  <c r="C83" i="4"/>
  <c r="F35" i="4"/>
  <c r="F61" i="4" s="1"/>
  <c r="H34" i="4"/>
  <c r="H60" i="4" s="1"/>
  <c r="D34" i="4"/>
  <c r="D60" i="4" s="1"/>
  <c r="F33" i="4"/>
  <c r="F46" i="4" s="1"/>
  <c r="F85" i="4"/>
  <c r="H32" i="4"/>
  <c r="H84" i="4" s="1"/>
  <c r="D20" i="6" s="1"/>
  <c r="D32" i="4"/>
  <c r="D45" i="4" s="1"/>
  <c r="D84" i="4"/>
  <c r="F31" i="4"/>
  <c r="F57" i="4" s="1"/>
  <c r="H30" i="4"/>
  <c r="H56" i="4" s="1"/>
  <c r="D30" i="4"/>
  <c r="D56" i="4" s="1"/>
  <c r="C34" i="4"/>
  <c r="C60" i="4" s="1"/>
  <c r="E35" i="4"/>
  <c r="E61" i="4" s="1"/>
  <c r="G34" i="4"/>
  <c r="G60" i="4" s="1"/>
  <c r="E33" i="4"/>
  <c r="E46" i="4" s="1"/>
  <c r="E85" i="4"/>
  <c r="G32" i="4"/>
  <c r="G58" i="4" s="1"/>
  <c r="E31" i="4"/>
  <c r="E57" i="4" s="1"/>
  <c r="G30" i="4"/>
  <c r="G56" i="4" s="1"/>
  <c r="C36" i="4"/>
  <c r="C62" i="4" s="1"/>
  <c r="F36" i="4"/>
  <c r="F62" i="4" s="1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C74" i="4" l="1"/>
  <c r="D5" i="6"/>
  <c r="F47" i="4"/>
  <c r="G48" i="4"/>
  <c r="C87" i="4"/>
  <c r="B5" i="6"/>
  <c r="B69" i="4"/>
  <c r="B18" i="6" s="1"/>
  <c r="I113" i="4"/>
  <c r="I100" i="4"/>
  <c r="I103" i="4"/>
  <c r="I116" i="4"/>
  <c r="C115" i="4"/>
  <c r="C102" i="4"/>
  <c r="E97" i="4"/>
  <c r="E110" i="4"/>
  <c r="F110" i="4"/>
  <c r="F97" i="4"/>
  <c r="I97" i="4"/>
  <c r="I110" i="4"/>
  <c r="E116" i="4"/>
  <c r="E103" i="4"/>
  <c r="I112" i="4"/>
  <c r="I99" i="4"/>
  <c r="I111" i="4"/>
  <c r="I98" i="4"/>
  <c r="I101" i="4"/>
  <c r="I114" i="4"/>
  <c r="I115" i="4"/>
  <c r="I102" i="4"/>
  <c r="E101" i="4"/>
  <c r="E114" i="4"/>
  <c r="H102" i="4"/>
  <c r="H115" i="4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C9" i="6"/>
  <c r="G9" i="6" s="1"/>
  <c r="C10" i="6"/>
  <c r="G10" i="6" s="1"/>
  <c r="D57" i="4"/>
  <c r="E48" i="4"/>
  <c r="D61" i="4"/>
  <c r="C5" i="6"/>
  <c r="G5" i="6" s="1"/>
  <c r="F49" i="4"/>
  <c r="C8" i="6"/>
  <c r="G8" i="6" s="1"/>
  <c r="C23" i="6"/>
  <c r="G49" i="4"/>
  <c r="C61" i="4"/>
  <c r="C11" i="6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G6" i="6"/>
  <c r="C88" i="4"/>
  <c r="E83" i="4"/>
  <c r="E87" i="4"/>
  <c r="D82" i="4"/>
  <c r="F87" i="4"/>
  <c r="B70" i="4"/>
  <c r="B6" i="6"/>
  <c r="G11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H10" i="6" l="1"/>
  <c r="G23" i="6"/>
  <c r="C114" i="4"/>
  <c r="C101" i="4"/>
  <c r="H110" i="4"/>
  <c r="H97" i="4"/>
  <c r="G101" i="4"/>
  <c r="G114" i="4"/>
  <c r="G111" i="4"/>
  <c r="G98" i="4"/>
  <c r="F114" i="4"/>
  <c r="F101" i="4"/>
  <c r="H111" i="4"/>
  <c r="H98" i="4"/>
  <c r="C110" i="4"/>
  <c r="C97" i="4"/>
  <c r="F98" i="4"/>
  <c r="F111" i="4"/>
  <c r="D116" i="4"/>
  <c r="D103" i="4"/>
  <c r="D114" i="4"/>
  <c r="D101" i="4"/>
  <c r="H101" i="4"/>
  <c r="H114" i="4"/>
  <c r="E115" i="4"/>
  <c r="E102" i="4"/>
  <c r="D97" i="4"/>
  <c r="D110" i="4"/>
  <c r="G115" i="4"/>
  <c r="G102" i="4"/>
  <c r="G110" i="4"/>
  <c r="G97" i="4"/>
  <c r="H116" i="4"/>
  <c r="H103" i="4"/>
  <c r="H112" i="4"/>
  <c r="H99" i="4"/>
  <c r="F116" i="4"/>
  <c r="F103" i="4"/>
  <c r="C103" i="4"/>
  <c r="C116" i="4"/>
  <c r="D115" i="4"/>
  <c r="D102" i="4"/>
  <c r="F102" i="4"/>
  <c r="F115" i="4"/>
  <c r="G103" i="4"/>
  <c r="G116" i="4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G19" i="6" l="1"/>
  <c r="H7" i="6"/>
  <c r="G24" i="6"/>
  <c r="G22" i="6"/>
  <c r="H5" i="6"/>
</calcChain>
</file>

<file path=xl/sharedStrings.xml><?xml version="1.0" encoding="utf-8"?>
<sst xmlns="http://schemas.openxmlformats.org/spreadsheetml/2006/main" count="175" uniqueCount="82">
  <si>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</si>
  <si>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</si>
  <si>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</si>
  <si>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</si>
  <si>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</si>
  <si>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</si>
  <si>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</si>
  <si>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</si>
  <si>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</si>
  <si>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</si>
  <si>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</si>
  <si>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</si>
  <si>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</si>
  <si>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</si>
  <si>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</si>
  <si>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</si>
  <si>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</si>
  <si>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</si>
  <si>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</si>
  <si>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</si>
  <si>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</si>
  <si>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</si>
  <si>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</si>
  <si>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</si>
  <si>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</si>
  <si>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</si>
  <si>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</si>
  <si>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PV (Planed Value)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</si>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</sst>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9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6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10">
    <dxf>
      <numFmt numFmtId="1" formatCode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  <alignment horizontal="center" vertical="bottom" textRotation="0" wrapText="0" indent="0" justifyLastLine="0" shrinkToFit="0" readingOrder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16800</c:v>
                </c:pt>
                <c:pt idx="1">
                  <c:v>4800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0.5270588235294118</c:v>
                </c:pt>
                <c:pt idx="6">
                  <c:v>0.94117647058823528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0.13445378151260504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6.9019607843137251E-2</c:v>
                </c:pt>
                <c:pt idx="1">
                  <c:v>2.3529411764705882E-2</c:v>
                </c:pt>
                <c:pt idx="2">
                  <c:v>7.7647058823529416E-2</c:v>
                </c:pt>
                <c:pt idx="3">
                  <c:v>0.11503267973856209</c:v>
                </c:pt>
                <c:pt idx="4">
                  <c:v>0.19411764705882353</c:v>
                </c:pt>
                <c:pt idx="5">
                  <c:v>0.28235294117647058</c:v>
                </c:pt>
                <c:pt idx="6">
                  <c:v>0.37745098039215685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4.7058823529411764E-2</c:v>
                </c:pt>
                <c:pt idx="1">
                  <c:v>4.8019207683073226E-3</c:v>
                </c:pt>
                <c:pt idx="2">
                  <c:v>7.9312623925974889E-3</c:v>
                </c:pt>
                <c:pt idx="3">
                  <c:v>1.8776587941909929E-2</c:v>
                </c:pt>
                <c:pt idx="4">
                  <c:v>3.4772529701535784E-2</c:v>
                </c:pt>
                <c:pt idx="5">
                  <c:v>6.1829111206526406E-2</c:v>
                </c:pt>
                <c:pt idx="6">
                  <c:v>8.7104072398190055E-2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0.45</c:v>
                </c:pt>
                <c:pt idx="6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0.02</c:v>
                </c:pt>
                <c:pt idx="1">
                  <c:v>4.5714285714285714E-2</c:v>
                </c:pt>
                <c:pt idx="2">
                  <c:v>8.5714285714285715E-2</c:v>
                </c:pt>
                <c:pt idx="3">
                  <c:v>0.125</c:v>
                </c:pt>
                <c:pt idx="4">
                  <c:v>0.17567567567567569</c:v>
                </c:pt>
                <c:pt idx="5">
                  <c:v>0.128</c:v>
                </c:pt>
                <c:pt idx="6">
                  <c:v>0.18148148148148152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Anforderungsanalyse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Kennzahlen!$C$97:$I$97</c:f>
              <c:numCache>
                <c:formatCode>0.00</c:formatCode>
                <c:ptCount val="7"/>
                <c:pt idx="0">
                  <c:v>3752.1428571428573</c:v>
                </c:pt>
                <c:pt idx="1">
                  <c:v>26477.499999999996</c:v>
                </c:pt>
                <c:pt idx="2">
                  <c:v>13504.516666666666</c:v>
                </c:pt>
                <c:pt idx="3">
                  <c:v>4557.5583333333325</c:v>
                </c:pt>
                <c:pt idx="4">
                  <c:v>2680.4749999999999</c:v>
                </c:pt>
                <c:pt idx="5">
                  <c:v>1624.6156250000001</c:v>
                </c:pt>
                <c:pt idx="6">
                  <c:v>1429.0861111111112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F-47F6-ACF8-67F3B671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50192"/>
        <c:axId val="388253472"/>
      </c:scatterChart>
      <c:valAx>
        <c:axId val="3882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3472"/>
        <c:crosses val="autoZero"/>
        <c:crossBetween val="midCat"/>
      </c:valAx>
      <c:valAx>
        <c:axId val="3882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3752.1428571428573</c:v>
                </c:pt>
                <c:pt idx="1">
                  <c:v>26477.499999999996</c:v>
                </c:pt>
                <c:pt idx="2">
                  <c:v>13504.516666666666</c:v>
                </c:pt>
                <c:pt idx="3">
                  <c:v>4557.5583333333325</c:v>
                </c:pt>
                <c:pt idx="4">
                  <c:v>2680.4749999999999</c:v>
                </c:pt>
                <c:pt idx="5">
                  <c:v>1624.6156250000001</c:v>
                </c:pt>
                <c:pt idx="6">
                  <c:v>1429.0861111111112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3794.6428571428573</c:v>
                </c:pt>
                <c:pt idx="1">
                  <c:v>26562.499999999996</c:v>
                </c:pt>
                <c:pt idx="2">
                  <c:v>13635.416666666666</c:v>
                </c:pt>
                <c:pt idx="3">
                  <c:v>4692.7083333333321</c:v>
                </c:pt>
                <c:pt idx="4">
                  <c:v>2815.625</c:v>
                </c:pt>
                <c:pt idx="5">
                  <c:v>1759.765625</c:v>
                </c:pt>
                <c:pt idx="6">
                  <c:v>1564.2361111111113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24476.73076923077</c:v>
                </c:pt>
                <c:pt idx="4">
                  <c:v>18534.249999999996</c:v>
                </c:pt>
                <c:pt idx="5">
                  <c:v>7721.9368421052632</c:v>
                </c:pt>
                <c:pt idx="6">
                  <c:v>1821.243604651163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24519.23076923077</c:v>
                </c:pt>
                <c:pt idx="4">
                  <c:v>18593.749999999996</c:v>
                </c:pt>
                <c:pt idx="5">
                  <c:v>7800.9868421052633</c:v>
                </c:pt>
                <c:pt idx="6">
                  <c:v>1908.7936046511629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2824.7321428571427</c:v>
                </c:pt>
                <c:pt idx="6">
                  <c:v>1551.25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2845.9821428571427</c:v>
                </c:pt>
                <c:pt idx="6">
                  <c:v>1593.75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11126.5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11156.25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2600</c:v>
                </c:pt>
                <c:pt idx="4">
                  <c:v>4800</c:v>
                </c:pt>
                <c:pt idx="5">
                  <c:v>15200</c:v>
                </c:pt>
                <c:pt idx="6">
                  <c:v>68800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21707.454545454548</c:v>
                </c:pt>
                <c:pt idx="1">
                  <c:v>63656.500000000007</c:v>
                </c:pt>
                <c:pt idx="2">
                  <c:v>19190.681818181816</c:v>
                </c:pt>
                <c:pt idx="3">
                  <c:v>12886.772727272728</c:v>
                </c:pt>
                <c:pt idx="4">
                  <c:v>7557.272727272727</c:v>
                </c:pt>
                <c:pt idx="5">
                  <c:v>5125.5</c:v>
                </c:pt>
                <c:pt idx="6">
                  <c:v>3770.0259740259739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21732.954545454548</c:v>
                </c:pt>
                <c:pt idx="1">
                  <c:v>63750.000000000007</c:v>
                </c:pt>
                <c:pt idx="2">
                  <c:v>19318.181818181816</c:v>
                </c:pt>
                <c:pt idx="3">
                  <c:v>13039.772727272728</c:v>
                </c:pt>
                <c:pt idx="4">
                  <c:v>7727.272727272727</c:v>
                </c:pt>
                <c:pt idx="5">
                  <c:v>5312.5</c:v>
                </c:pt>
                <c:pt idx="6">
                  <c:v>3974.0259740259739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31861.4</c:v>
                </c:pt>
                <c:pt idx="1">
                  <c:v>312208.40000000002</c:v>
                </c:pt>
                <c:pt idx="2">
                  <c:v>188822.39999999999</c:v>
                </c:pt>
                <c:pt idx="3">
                  <c:v>79545.868750000009</c:v>
                </c:pt>
                <c:pt idx="4">
                  <c:v>42792.400000000009</c:v>
                </c:pt>
                <c:pt idx="5">
                  <c:v>23911.066666666666</c:v>
                </c:pt>
                <c:pt idx="6">
                  <c:v>16867.17922077922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31875.000000000004</c:v>
                </c:pt>
                <c:pt idx="1">
                  <c:v>312375</c:v>
                </c:pt>
                <c:pt idx="2">
                  <c:v>189125</c:v>
                </c:pt>
                <c:pt idx="3">
                  <c:v>79886.71875</c:v>
                </c:pt>
                <c:pt idx="4">
                  <c:v>43137.500000000007</c:v>
                </c:pt>
                <c:pt idx="5">
                  <c:v>24260.416666666668</c:v>
                </c:pt>
                <c:pt idx="6">
                  <c:v>17220.779220779219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74998</c:v>
                </c:pt>
                <c:pt idx="1">
                  <c:v>32809</c:v>
                </c:pt>
                <c:pt idx="2">
                  <c:v>17495.100000000002</c:v>
                </c:pt>
                <c:pt idx="3">
                  <c:v>11993.6</c:v>
                </c:pt>
                <c:pt idx="4">
                  <c:v>8531.0615384615376</c:v>
                </c:pt>
                <c:pt idx="5">
                  <c:v>11703.75</c:v>
                </c:pt>
                <c:pt idx="6">
                  <c:v>8249.1061224489786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75000</c:v>
                </c:pt>
                <c:pt idx="1">
                  <c:v>32812.5</c:v>
                </c:pt>
                <c:pt idx="2">
                  <c:v>17500</c:v>
                </c:pt>
                <c:pt idx="3">
                  <c:v>12000</c:v>
                </c:pt>
                <c:pt idx="4">
                  <c:v>8538.461538461539</c:v>
                </c:pt>
                <c:pt idx="5">
                  <c:v>11718.75</c:v>
                </c:pt>
                <c:pt idx="6">
                  <c:v>8265.3061224489775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#.##0\ "$"</c:formatCode>
                <c:ptCount val="7"/>
                <c:pt idx="0">
                  <c:v>19240</c:v>
                </c:pt>
                <c:pt idx="1">
                  <c:v>7960</c:v>
                </c:pt>
                <c:pt idx="2">
                  <c:v>27120</c:v>
                </c:pt>
                <c:pt idx="3">
                  <c:v>70600</c:v>
                </c:pt>
                <c:pt idx="4">
                  <c:v>123100</c:v>
                </c:pt>
                <c:pt idx="5">
                  <c:v>217920</c:v>
                </c:pt>
                <c:pt idx="6">
                  <c:v>353140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0.23014354066985646</c:v>
                </c:pt>
                <c:pt idx="1">
                  <c:v>2.2834193918531268E-2</c:v>
                </c:pt>
                <c:pt idx="2">
                  <c:v>4.7923661424279909E-2</c:v>
                </c:pt>
                <c:pt idx="3">
                  <c:v>0.10414515415252987</c:v>
                </c:pt>
                <c:pt idx="4">
                  <c:v>0.17165167677612772</c:v>
                </c:pt>
                <c:pt idx="5">
                  <c:v>0.27697000508388409</c:v>
                </c:pt>
                <c:pt idx="6">
                  <c:v>0.40649208633093525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0.24049999999999999</c:v>
                </c:pt>
                <c:pt idx="1">
                  <c:v>4.9750000000000003E-2</c:v>
                </c:pt>
                <c:pt idx="2">
                  <c:v>0.10390804597701149</c:v>
                </c:pt>
                <c:pt idx="3">
                  <c:v>0.20171428571428571</c:v>
                </c:pt>
                <c:pt idx="4">
                  <c:v>0.26359743040685224</c:v>
                </c:pt>
                <c:pt idx="5">
                  <c:v>0.36079470198675495</c:v>
                </c:pt>
                <c:pt idx="6">
                  <c:v>0.48843706777316737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6434.0715176715175</c:v>
                </c:pt>
                <c:pt idx="1">
                  <c:v>65342.354773869352</c:v>
                </c:pt>
                <c:pt idx="2">
                  <c:v>30733.878761061947</c:v>
                </c:pt>
                <c:pt idx="3">
                  <c:v>13725.074504249293</c:v>
                </c:pt>
                <c:pt idx="4">
                  <c:v>8021.4771324126732</c:v>
                </c:pt>
                <c:pt idx="5">
                  <c:v>4628.9488986784145</c:v>
                </c:pt>
                <c:pt idx="6">
                  <c:v>2821.3587387438411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6517.6715176715179</c:v>
                </c:pt>
                <c:pt idx="1">
                  <c:v>65690.954773869351</c:v>
                </c:pt>
                <c:pt idx="2">
                  <c:v>31299.778761061949</c:v>
                </c:pt>
                <c:pt idx="3">
                  <c:v>14402.974504249292</c:v>
                </c:pt>
                <c:pt idx="4">
                  <c:v>8738.6271324126737</c:v>
                </c:pt>
                <c:pt idx="5">
                  <c:v>5415.7488986784147</c:v>
                </c:pt>
                <c:pt idx="6">
                  <c:v>3690.1087387438411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11200</c:v>
                </c:pt>
                <c:pt idx="6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1760</c:v>
                </c:pt>
                <c:pt idx="1">
                  <c:v>2200</c:v>
                </c:pt>
                <c:pt idx="2">
                  <c:v>9900</c:v>
                </c:pt>
                <c:pt idx="3">
                  <c:v>17600</c:v>
                </c:pt>
                <c:pt idx="4">
                  <c:v>33000</c:v>
                </c:pt>
                <c:pt idx="5">
                  <c:v>52800</c:v>
                </c:pt>
                <c:pt idx="6">
                  <c:v>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640</c:v>
                </c:pt>
                <c:pt idx="1">
                  <c:v>800</c:v>
                </c:pt>
                <c:pt idx="2">
                  <c:v>2400</c:v>
                </c:pt>
                <c:pt idx="3">
                  <c:v>6400</c:v>
                </c:pt>
                <c:pt idx="4">
                  <c:v>12000</c:v>
                </c:pt>
                <c:pt idx="5">
                  <c:v>21600</c:v>
                </c:pt>
                <c:pt idx="6">
                  <c:v>30800.000000000004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40</c:v>
                </c:pt>
                <c:pt idx="1">
                  <c:v>160</c:v>
                </c:pt>
                <c:pt idx="2">
                  <c:v>420</c:v>
                </c:pt>
                <c:pt idx="3">
                  <c:v>800</c:v>
                </c:pt>
                <c:pt idx="4">
                  <c:v>1300</c:v>
                </c:pt>
                <c:pt idx="5">
                  <c:v>1920</c:v>
                </c:pt>
                <c:pt idx="6">
                  <c:v>2940.0000000000005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0.3952941176470588</c:v>
                </c:pt>
                <c:pt idx="1">
                  <c:v>5.647058823529412E-2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0.35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6.1176470588235297E-2</c:v>
                </c:pt>
                <c:pt idx="4">
                  <c:v>8.067226890756303E-2</c:v>
                </c:pt>
                <c:pt idx="5">
                  <c:v>0.19228336495888679</c:v>
                </c:pt>
                <c:pt idx="6">
                  <c:v>0.78583666476299252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95247</xdr:colOff>
      <xdr:row>1</xdr:row>
      <xdr:rowOff>40341</xdr:rowOff>
    </xdr:from>
    <xdr:to>
      <xdr:col>33</xdr:col>
      <xdr:colOff>95247</xdr:colOff>
      <xdr:row>18</xdr:row>
      <xdr:rowOff>116541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C8165B6-1761-4DE5-B9E3-9DF72546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V" displayName="E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94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93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92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91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90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89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88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99">
      <calculatedColumnFormula>B97</calculatedColumnFormula>
      <totalsRowFormula>ETC[[#Totals],[Posten]]</totalsRowFormula>
    </tableColumn>
    <tableColumn id="2" name="1 [k €]" totalsRowFunction="custom" dataDxfId="46">
      <calculatedColumnFormula>IF(C69=$L$70,$L$70,$E$92/(C69*1000))</calculatedColumnFormula>
      <totalsRowFormula>$E$92/(CPI[[#Totals],[1]]*1000)</totalsRowFormula>
    </tableColumn>
    <tableColumn id="3" name="2 [k €]" totalsRowFunction="custom" dataDxfId="45">
      <calculatedColumnFormula>IF(D69=$L$70,$L$70,$E$92/(D69*1000))</calculatedColumnFormula>
      <totalsRowFormula>$E$92/(CPI[[#Totals],[2]]*1000)</totalsRowFormula>
    </tableColumn>
    <tableColumn id="4" name="3 [k €]" totalsRowFunction="custom" dataDxfId="44">
      <calculatedColumnFormula>IF(E69=$L$70,$L$70,$E$92/(E69*1000))</calculatedColumnFormula>
      <totalsRowFormula>$E$92/(CPI[[#Totals],[3]]*1000)</totalsRowFormula>
    </tableColumn>
    <tableColumn id="5" name="4 [k €]" totalsRowFunction="custom" dataDxfId="43">
      <calculatedColumnFormula>IF(F69=$L$70,$L$70,$E$92/(F69*1000))</calculatedColumnFormula>
      <totalsRowFormula>$E$92/(CPI[[#Totals],[4]]*1000)</totalsRowFormula>
    </tableColumn>
    <tableColumn id="6" name="5 [k €]" totalsRowFunction="custom" dataDxfId="42">
      <calculatedColumnFormula>IF(G69=$L$70,$L$70,$E$92/(G69*1000))</calculatedColumnFormula>
      <totalsRowFormula>$E$92/(CPI[[#Totals],[5]]*1000)</totalsRowFormula>
    </tableColumn>
    <tableColumn id="7" name="6 [k €]" totalsRowFunction="custom" dataDxfId="41">
      <calculatedColumnFormula>IF(H69=$L$70,$L$70,$E$92/(H69*1000))</calculatedColumnFormula>
      <totalsRowFormula>$E$92/(CPI[[#Totals],[6]]*1000)</totalsRowFormula>
    </tableColumn>
    <tableColumn id="8" name="7 [k €]" totalsRowFunction="custom" dataDxfId="40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6">
      <calculatedColumnFormula>Kennzahlen!I69</calculatedColumnFormula>
    </tableColumn>
    <tableColumn id="3" name="SPI" dataDxfId="5">
      <calculatedColumnFormula>Kennzahlen!I82</calculatedColumnFormula>
    </tableColumn>
    <tableColumn id="4" name="Abgeschlossen" dataDxfId="4">
      <calculatedColumnFormula>'Fertigstellungsgrad der Akt.'!H2</calculatedColumnFormula>
    </tableColumn>
    <tableColumn id="5" name="Budget [k €]" dataDxfId="3"/>
    <tableColumn id="6" name="Status" dataDxfId="2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1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98">
      <calculatedColumnFormula>Kennzahlen!H69</calculatedColumnFormula>
    </tableColumn>
    <tableColumn id="3" name="SPI" dataDxfId="97">
      <calculatedColumnFormula>Kennzahlen!H82</calculatedColumnFormula>
    </tableColumn>
    <tableColumn id="4" name="Abgeschlossen" dataDxfId="96">
      <calculatedColumnFormula>'Fertigstellungsgrad der Akt.'!G2</calculatedColumnFormula>
    </tableColumn>
    <tableColumn id="5" name="Budget [k €]" dataDxfId="0">
      <calculatedColumnFormula>F5</calculatedColumnFormula>
    </tableColumn>
    <tableColumn id="6" name="Status" dataDxfId="95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02">
      <calculatedColumnFormula>B17</calculatedColumnFormula>
      <totalsRowFormula>AC[[#Totals],[Posten]]</totalsRowFormula>
    </tableColumn>
    <tableColumn id="2" name="1" totalsRowFunction="custom" dataDxfId="67">
      <calculatedColumnFormula>C4*'Fertigstellungsgrad der Akt.'!B2</calculatedColumnFormula>
      <totalsRowFormula>SUM(Tabelle2[1])</totalsRowFormula>
    </tableColumn>
    <tableColumn id="3" name="2" totalsRowFunction="custom" dataDxfId="66">
      <calculatedColumnFormula>D4*'Fertigstellungsgrad der Akt.'!C2</calculatedColumnFormula>
      <totalsRowFormula>SUM(Tabelle2[2])</totalsRowFormula>
    </tableColumn>
    <tableColumn id="4" name="3" totalsRowFunction="custom" dataDxfId="65">
      <calculatedColumnFormula>E4*'Fertigstellungsgrad der Akt.'!D2</calculatedColumnFormula>
      <totalsRowFormula>SUM(Tabelle2[3])</totalsRowFormula>
    </tableColumn>
    <tableColumn id="5" name="4" totalsRowFunction="custom" dataDxfId="64">
      <calculatedColumnFormula>F4*'Fertigstellungsgrad der Akt.'!E2</calculatedColumnFormula>
      <totalsRowFormula>SUM(Tabelle2[4])</totalsRowFormula>
    </tableColumn>
    <tableColumn id="6" name="5" totalsRowFunction="custom" dataDxfId="63">
      <calculatedColumnFormula>G4*'Fertigstellungsgrad der Akt.'!F2</calculatedColumnFormula>
      <totalsRowFormula>SUM(Tabelle2[5])</totalsRowFormula>
    </tableColumn>
    <tableColumn id="7" name="6" totalsRowFunction="custom" dataDxfId="62">
      <calculatedColumnFormula>H4*'Fertigstellungsgrad der Akt.'!G2</calculatedColumnFormula>
      <totalsRowFormula>SUM(Tabelle2[6])</totalsRowFormula>
    </tableColumn>
    <tableColumn id="8" name="7" totalsRowFunction="custom" dataDxfId="61">
      <calculatedColumnFormula>I4*'Fertigstellungsgrad der Akt.'!H2</calculatedColumnFormula>
      <totalsRowFormula>SUM(Tabelle2[7])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01">
      <calculatedColumnFormula>B4</calculatedColumnFormula>
      <totalsRowFormula>EV[[#Totals],[Posten]]</totalsRowFormula>
    </tableColumn>
    <tableColumn id="2" name="1" totalsRowFunction="custom" dataDxfId="87" totalsRowDxfId="74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86" totalsRowDxfId="73">
      <totalsRowFormula>SUM('Tatsächliche Kosten'!$B12:'Tatsächliche Kosten'!C12)</totalsRowFormula>
    </tableColumn>
    <tableColumn id="4" name="3" totalsRowFunction="custom" dataDxfId="85" totalsRowDxfId="72">
      <totalsRowFormula>SUM('Tatsächliche Kosten'!$B12:'Tatsächliche Kosten'!D12)</totalsRowFormula>
    </tableColumn>
    <tableColumn id="5" name="4" totalsRowFunction="custom" dataDxfId="84" totalsRowDxfId="71">
      <totalsRowFormula>SUM('Tatsächliche Kosten'!$B12:'Tatsächliche Kosten'!E12)</totalsRowFormula>
    </tableColumn>
    <tableColumn id="6" name="5" totalsRowFunction="custom" dataDxfId="83" totalsRowDxfId="70">
      <totalsRowFormula>SUM('Tatsächliche Kosten'!$B12:'Tatsächliche Kosten'!F12)</totalsRowFormula>
    </tableColumn>
    <tableColumn id="7" name="6" totalsRowFunction="custom" dataDxfId="82" totalsRowDxfId="69">
      <totalsRowFormula>SUM('Tatsächliche Kosten'!$B12:'Tatsächliche Kosten'!G12)</totalsRowFormula>
    </tableColumn>
    <tableColumn id="8" name="7" totalsRowFunction="custom" dataDxfId="81" totalsRowDxfId="68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Tabelle2[[#Totals],[Posten]]</totalsRowFormula>
    </tableColumn>
    <tableColumn id="2" name="1" totalsRowFunction="custom" dataDxfId="60">
      <calculatedColumnFormula>C30-C17</calculatedColumnFormula>
      <totalsRowFormula>Tabelle2[[#Totals],[1]]-AC[[#Totals],[1]]</totalsRowFormula>
    </tableColumn>
    <tableColumn id="3" name="2" totalsRowFunction="custom" dataDxfId="59">
      <calculatedColumnFormula>D30-D17</calculatedColumnFormula>
      <totalsRowFormula>Tabelle2[[#Totals],[2]]-AC[[#Totals],[2]]</totalsRowFormula>
    </tableColumn>
    <tableColumn id="4" name="3" totalsRowFunction="custom" dataDxfId="58">
      <calculatedColumnFormula>E30-E17</calculatedColumnFormula>
      <totalsRowFormula>Tabelle2[[#Totals],[3]]-AC[[#Totals],[3]]</totalsRowFormula>
    </tableColumn>
    <tableColumn id="5" name="4" totalsRowFunction="custom" dataDxfId="57">
      <calculatedColumnFormula>F30-F17</calculatedColumnFormula>
      <totalsRowFormula>Tabelle2[[#Totals],[4]]-AC[[#Totals],[4]]</totalsRowFormula>
    </tableColumn>
    <tableColumn id="6" name="5" totalsRowFunction="custom" dataDxfId="56">
      <calculatedColumnFormula>G30-G17</calculatedColumnFormula>
      <totalsRowFormula>Tabelle2[[#Totals],[5]]-AC[[#Totals],[5]]</totalsRowFormula>
    </tableColumn>
    <tableColumn id="7" name="6" totalsRowFunction="custom" dataDxfId="55">
      <calculatedColumnFormula>H30-H17</calculatedColumnFormula>
      <totalsRowFormula>Tabelle2[[#Totals],[6]]-AC[[#Totals],[6]]</totalsRowFormula>
    </tableColumn>
    <tableColumn id="8" name="7" totalsRowFunction="custom" dataDxfId="54">
      <calculatedColumnFormula>I30-I17</calculatedColumnFormula>
      <totalsRowFormula>Tabelle2[[#Totals],[7]]-AC[[#Totals],[7]]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53">
      <calculatedColumnFormula>C30-C4</calculatedColumnFormula>
      <totalsRowFormula>SUM(SV[1])</totalsRowFormula>
    </tableColumn>
    <tableColumn id="3" name="2" totalsRowFunction="custom" dataDxfId="52">
      <calculatedColumnFormula>D30-D4</calculatedColumnFormula>
      <totalsRowFormula>SUM(SV[2])</totalsRowFormula>
    </tableColumn>
    <tableColumn id="4" name="3" totalsRowFunction="custom" dataDxfId="51">
      <calculatedColumnFormula>E30-E4</calculatedColumnFormula>
      <totalsRowFormula>SUM(SV[3])</totalsRowFormula>
    </tableColumn>
    <tableColumn id="5" name="4" totalsRowFunction="custom" dataDxfId="50">
      <calculatedColumnFormula>F30-F4</calculatedColumnFormula>
      <totalsRowFormula>SUM(SV[4])</totalsRowFormula>
    </tableColumn>
    <tableColumn id="6" name="5" totalsRowFunction="custom" dataDxfId="49">
      <calculatedColumnFormula>G30-G4</calculatedColumnFormula>
      <totalsRowFormula>SUM(SV[5])</totalsRowFormula>
    </tableColumn>
    <tableColumn id="7" name="6" totalsRowFunction="custom" dataDxfId="48">
      <calculatedColumnFormula>H30-H4</calculatedColumnFormula>
      <totalsRowFormula>SUM(SV[6])</totalsRowFormula>
    </tableColumn>
    <tableColumn id="8" name="7" totalsRowFunction="custom" dataDxfId="47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25">
      <calculatedColumnFormula>IF(C17=0,$L$70,C30/C17)</calculatedColumnFormula>
      <totalsRowFormula>Tabelle2[[#Totals],[1]]/AC[[#Totals],[1]]</totalsRowFormula>
    </tableColumn>
    <tableColumn id="3" name="2" totalsRowFunction="custom" dataDxfId="24">
      <calculatedColumnFormula>IF(D17=0,$L$70,D30/D17)</calculatedColumnFormula>
      <totalsRowFormula>Tabelle2[[#Totals],[2]]/AC[[#Totals],[2]]</totalsRowFormula>
    </tableColumn>
    <tableColumn id="4" name="3" totalsRowFunction="custom" dataDxfId="23">
      <calculatedColumnFormula>IF(E17=0,$L$70,E30/E17)</calculatedColumnFormula>
      <totalsRowFormula>Tabelle2[[#Totals],[3]]/AC[[#Totals],[3]]</totalsRowFormula>
    </tableColumn>
    <tableColumn id="5" name="4" totalsRowFunction="custom" dataDxfId="22">
      <calculatedColumnFormula>IF(F17=0,$L$70,F30/F17)</calculatedColumnFormula>
      <totalsRowFormula>Tabelle2[[#Totals],[4]]/AC[[#Totals],[4]]</totalsRowFormula>
    </tableColumn>
    <tableColumn id="6" name="5" totalsRowFunction="custom" dataDxfId="21">
      <calculatedColumnFormula>IF(G17=0,$L$70,G30/G17)</calculatedColumnFormula>
      <totalsRowFormula>Tabelle2[[#Totals],[5]]/AC[[#Totals],[5]]</totalsRowFormula>
    </tableColumn>
    <tableColumn id="7" name="6" totalsRowFunction="custom" dataDxfId="20">
      <calculatedColumnFormula>IF(H17=0,$L$70,H30/H17)</calculatedColumnFormula>
      <totalsRowFormula>Tabelle2[[#Totals],[6]]/AC[[#Totals],[6]]</totalsRowFormula>
    </tableColumn>
    <tableColumn id="8" name="7" totalsRowFunction="custom" dataDxfId="19">
      <calculatedColumnFormula>IF(I17=0,"-",I30/I17)</calculatedColumnFormula>
      <totalsRowFormula>Tabelle2[[#Totals],[7]]/AC[[#Totals],[7]]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32">
      <calculatedColumnFormula>IF(C4=0,$L$70,C30/C4)</calculatedColumnFormula>
      <totalsRowFormula>Tabelle2[[#Totals],[1]]/EV[[#Totals],[1]]</totalsRowFormula>
    </tableColumn>
    <tableColumn id="3" name="2" totalsRowFunction="custom" dataDxfId="31">
      <calculatedColumnFormula>IF(D4=0,$L$70,D30/D4)</calculatedColumnFormula>
      <totalsRowFormula>Tabelle2[[#Totals],[2]]/EV[[#Totals],[2]]</totalsRowFormula>
    </tableColumn>
    <tableColumn id="4" name="3" totalsRowFunction="custom" dataDxfId="30">
      <calculatedColumnFormula>IF(E4=0,$L$70,E30/E4)</calculatedColumnFormula>
      <totalsRowFormula>Tabelle2[[#Totals],[3]]/EV[[#Totals],[3]]</totalsRowFormula>
    </tableColumn>
    <tableColumn id="5" name="4" totalsRowFunction="custom" dataDxfId="29">
      <calculatedColumnFormula>IF(F4=0,$L$70,F30/F4)</calculatedColumnFormula>
      <totalsRowFormula>Tabelle2[[#Totals],[4]]/EV[[#Totals],[4]]</totalsRowFormula>
    </tableColumn>
    <tableColumn id="6" name="5" totalsRowFunction="custom" dataDxfId="28">
      <calculatedColumnFormula>IF(G4=0,$L$70,G30/G4)</calculatedColumnFormula>
      <totalsRowFormula>Tabelle2[[#Totals],[5]]/EV[[#Totals],[5]]</totalsRowFormula>
    </tableColumn>
    <tableColumn id="7" name="6" totalsRowFunction="custom" dataDxfId="27">
      <calculatedColumnFormula>IF(H4=0,$L$70,H30/H4)</calculatedColumnFormula>
      <totalsRowFormula>Tabelle2[[#Totals],[6]]/EV[[#Totals],[6]]</totalsRowFormula>
    </tableColumn>
    <tableColumn id="8" name="7" totalsRowFunction="custom" dataDxfId="26">
      <calculatedColumnFormula>IF(I4=0,"-",I30/I4)</calculatedColumnFormula>
      <totalsRowFormula>Tabelle2[[#Totals],[7]]/EV[[#Totals],[7]]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100">
      <calculatedColumnFormula>B82</calculatedColumnFormula>
      <totalsRowFormula>SPI[[#Totals],[Posten]]</totalsRowFormula>
    </tableColumn>
    <tableColumn id="2" name="1 [k €]" totalsRowFunction="custom" dataDxfId="39">
      <calculatedColumnFormula>IF(C69=$L$70,$L$70,($E$92-C30)/(C69*1000))</calculatedColumnFormula>
      <totalsRowFormula>($E$92-Tabelle2[[#Totals],[1]])/(CPI[[#Totals],[1]]*1000)</totalsRowFormula>
    </tableColumn>
    <tableColumn id="3" name="2 [k €]" totalsRowFunction="custom" dataDxfId="38">
      <calculatedColumnFormula>IF(D69=$L$70,$L$70,($E$92-D30)/(D69*1000))</calculatedColumnFormula>
      <totalsRowFormula>($E$92-Tabelle2[[#Totals],[2]])/(CPI[[#Totals],[2]]*1000)</totalsRowFormula>
    </tableColumn>
    <tableColumn id="4" name="3 [k €]" totalsRowFunction="custom" dataDxfId="37">
      <calculatedColumnFormula>IF(E69=$L$70,$L$70,($E$92-E30)/(E69*1000))</calculatedColumnFormula>
      <totalsRowFormula>($E$92-Tabelle2[[#Totals],[3]])/(CPI[[#Totals],[3]]*1000)</totalsRowFormula>
    </tableColumn>
    <tableColumn id="5" name="4 [k €]" totalsRowFunction="custom" dataDxfId="36">
      <calculatedColumnFormula>IF(F69=$L$70,$L$70,($E$92-F30)/(F69*1000))</calculatedColumnFormula>
      <totalsRowFormula>($E$92-Tabelle2[[#Totals],[4]])/(CPI[[#Totals],[4]]*1000)</totalsRowFormula>
    </tableColumn>
    <tableColumn id="6" name="5 [k €]" totalsRowFunction="custom" dataDxfId="35">
      <calculatedColumnFormula>IF(G69=$L$70,$L$70,($E$92-G30)/(G69*1000))</calculatedColumnFormula>
      <totalsRowFormula>($E$92-Tabelle2[[#Totals],[5]])/(CPI[[#Totals],[5]]*1000)</totalsRowFormula>
    </tableColumn>
    <tableColumn id="7" name="6 [k €]" totalsRowFunction="custom" dataDxfId="34">
      <calculatedColumnFormula>IF(H69=$L$70,$L$70,($E$92-H30)/(H69*1000))</calculatedColumnFormula>
      <totalsRowFormula>($E$92-Tabelle2[[#Totals],[6]])/(CPI[[#Totals],[6]]*1000)</totalsRowFormula>
    </tableColumn>
    <tableColumn id="8" name="7 [k €]" totalsRowFunction="custom" dataDxfId="33">
      <calculatedColumnFormula>IF(I69=$L$70,$L$70,($E$92-I30)/(I69*1000))</calculatedColumnFormula>
      <totalsRowFormula>($E$92-Tabelle2[[#Totals],[7]])/(CPI[[#Totals],[7]]*1000)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opLeftCell="A68" workbookViewId="0">
      <selection activeCell="I68" sqref="I1:I1048576"/>
    </sheetView>
  </sheetViews>
  <sheetFormatPr baseColWidth="10" defaultRowHeight="12.75" x14ac:dyDescent="0.2"/>
  <cols>
    <col min="1" max="1" width="7.42578125" customWidth="1"/>
    <col min="2" max="2" width="21.85546875" customWidth="1"/>
  </cols>
  <sheetData>
    <row r="1" spans="1:12" ht="23.25" x14ac:dyDescent="0.35">
      <c r="A1" s="27" t="s">
        <v>27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30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29</v>
      </c>
    </row>
    <row r="11" spans="1:12" x14ac:dyDescent="0.2">
      <c r="B11" t="s">
        <v>81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</row>
    <row r="14" spans="1:12" ht="23.25" x14ac:dyDescent="0.35">
      <c r="A14" s="27" t="s">
        <v>41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31</v>
      </c>
    </row>
    <row r="18" spans="1:12" x14ac:dyDescent="0.2">
      <c r="B18" t="str">
        <f>B5</f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>B6</f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>B7</f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>B8</f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>B9</f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>B10</f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EV[[#Totals],[Posten]]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>B17</f>
        <v>Anforderungsanalyse</v>
      </c>
      <c r="C30" s="28">
        <f>C4*'Fertigstellungsgrad der Akt.'!B2</f>
        <v>16800</v>
      </c>
      <c r="D30" s="28">
        <f>D4*'Fertigstellungsgrad der Akt.'!C2</f>
        <v>4800</v>
      </c>
      <c r="E30" s="28">
        <f>E4*'Fertigstellungsgrad der Akt.'!D2</f>
        <v>14400</v>
      </c>
      <c r="F30" s="28">
        <f>F4*'Fertigstellungsgrad der Akt.'!E2</f>
        <v>43200</v>
      </c>
      <c r="G30" s="28">
        <f>G4*'Fertigstellungsgrad der Akt.'!F2</f>
        <v>72000</v>
      </c>
      <c r="H30" s="28">
        <f>H4*'Fertigstellungsgrad der Akt.'!G2</f>
        <v>115200</v>
      </c>
      <c r="I30" s="28">
        <f>I4*'Fertigstellungsgrad der Akt.'!H2</f>
        <v>129600</v>
      </c>
      <c r="K30" t="s">
        <v>18</v>
      </c>
      <c r="L30" t="s">
        <v>32</v>
      </c>
    </row>
    <row r="31" spans="1:12" x14ac:dyDescent="0.2">
      <c r="B31" t="str">
        <f>B18</f>
        <v>Design und Architektur</v>
      </c>
      <c r="C31" s="28">
        <f>C5*'Fertigstellungsgrad der Akt.'!B3</f>
        <v>0</v>
      </c>
      <c r="D31" s="28">
        <f>D5*'Fertigstellungsgrad der Akt.'!C3</f>
        <v>0</v>
      </c>
      <c r="E31" s="28">
        <f>E5*'Fertigstellungsgrad der Akt.'!D3</f>
        <v>0</v>
      </c>
      <c r="F31" s="28">
        <f>F5*'Fertigstellungsgrad der Akt.'!E3</f>
        <v>2600</v>
      </c>
      <c r="G31" s="28">
        <f>G5*'Fertigstellungsgrad der Akt.'!F3</f>
        <v>4800</v>
      </c>
      <c r="H31" s="28">
        <f>H5*'Fertigstellungsgrad der Akt.'!G3</f>
        <v>15200</v>
      </c>
      <c r="I31" s="28">
        <f>I5*'Fertigstellungsgrad der Akt.'!H3</f>
        <v>68800</v>
      </c>
    </row>
    <row r="32" spans="1:12" x14ac:dyDescent="0.2">
      <c r="B32" t="str">
        <f>B19</f>
        <v>Implementierung</v>
      </c>
      <c r="C32" s="28">
        <f>C6*'Fertigstellungsgrad der Akt.'!B4</f>
        <v>0</v>
      </c>
      <c r="D32" s="28">
        <f>D6*'Fertigstellungsgrad der Akt.'!C4</f>
        <v>0</v>
      </c>
      <c r="E32" s="28">
        <f>E6*'Fertigstellungsgrad der Akt.'!D4</f>
        <v>0</v>
      </c>
      <c r="F32" s="28">
        <f>F6*'Fertigstellungsgrad der Akt.'!E4</f>
        <v>0</v>
      </c>
      <c r="G32" s="28">
        <f>G6*'Fertigstellungsgrad der Akt.'!F4</f>
        <v>0</v>
      </c>
      <c r="H32" s="28">
        <f>H6*'Fertigstellungsgrad der Akt.'!G4</f>
        <v>11200</v>
      </c>
      <c r="I32" s="28">
        <f>I6*'Fertigstellungsgrad der Akt.'!H4</f>
        <v>40000</v>
      </c>
    </row>
    <row r="33" spans="1:12" x14ac:dyDescent="0.2">
      <c r="B33" t="str">
        <f>B20</f>
        <v>Integration und Test</v>
      </c>
      <c r="C33" s="28">
        <f>C7*'Fertigstellungsgrad der Akt.'!B5</f>
        <v>0</v>
      </c>
      <c r="D33" s="28">
        <f>D7*'Fertigstellungsgrad der Akt.'!C5</f>
        <v>0</v>
      </c>
      <c r="E33" s="28">
        <f>E7*'Fertigstellungsgrad der Akt.'!D5</f>
        <v>0</v>
      </c>
      <c r="F33" s="28">
        <f>F7*'Fertigstellungsgrad der Akt.'!E5</f>
        <v>0</v>
      </c>
      <c r="G33" s="28">
        <f>G7*'Fertigstellungsgrad der Akt.'!F5</f>
        <v>0</v>
      </c>
      <c r="H33" s="28">
        <f>H7*'Fertigstellungsgrad der Akt.'!G5</f>
        <v>0</v>
      </c>
      <c r="I33" s="28">
        <f>I7*'Fertigstellungsgrad der Akt.'!H5</f>
        <v>4000</v>
      </c>
    </row>
    <row r="34" spans="1:12" x14ac:dyDescent="0.2">
      <c r="B34" t="str">
        <f>B21</f>
        <v>Projektmanagement</v>
      </c>
      <c r="C34" s="28">
        <f>C8*'Fertigstellungsgrad der Akt.'!B6</f>
        <v>1760</v>
      </c>
      <c r="D34" s="28">
        <f>D8*'Fertigstellungsgrad der Akt.'!C6</f>
        <v>2200</v>
      </c>
      <c r="E34" s="28">
        <f>E8*'Fertigstellungsgrad der Akt.'!D6</f>
        <v>9900</v>
      </c>
      <c r="F34" s="28">
        <f>F8*'Fertigstellungsgrad der Akt.'!E6</f>
        <v>17600</v>
      </c>
      <c r="G34" s="28">
        <f>G8*'Fertigstellungsgrad der Akt.'!F6</f>
        <v>33000</v>
      </c>
      <c r="H34" s="28">
        <f>H8*'Fertigstellungsgrad der Akt.'!G6</f>
        <v>52800</v>
      </c>
      <c r="I34" s="28">
        <f>I8*'Fertigstellungsgrad der Akt.'!H6</f>
        <v>77000</v>
      </c>
    </row>
    <row r="35" spans="1:12" x14ac:dyDescent="0.2">
      <c r="B35" t="str">
        <f>B22</f>
        <v>Puffer für unerwartetes</v>
      </c>
      <c r="C35" s="28">
        <f>C9*'Fertigstellungsgrad der Akt.'!B7</f>
        <v>640</v>
      </c>
      <c r="D35" s="28">
        <f>D9*'Fertigstellungsgrad der Akt.'!C7</f>
        <v>800</v>
      </c>
      <c r="E35" s="28">
        <f>E9*'Fertigstellungsgrad der Akt.'!D7</f>
        <v>2400</v>
      </c>
      <c r="F35" s="28">
        <f>F9*'Fertigstellungsgrad der Akt.'!E7</f>
        <v>6400</v>
      </c>
      <c r="G35" s="28">
        <f>G9*'Fertigstellungsgrad der Akt.'!F7</f>
        <v>12000</v>
      </c>
      <c r="H35" s="28">
        <f>H9*'Fertigstellungsgrad der Akt.'!G7</f>
        <v>21600</v>
      </c>
      <c r="I35" s="28">
        <f>I9*'Fertigstellungsgrad der Akt.'!H7</f>
        <v>30800.000000000004</v>
      </c>
    </row>
    <row r="36" spans="1:12" x14ac:dyDescent="0.2">
      <c r="B36" t="str">
        <f>B23</f>
        <v>Materialkosten</v>
      </c>
      <c r="C36" s="28">
        <f>C10*'Fertigstellungsgrad der Akt.'!B8</f>
        <v>40</v>
      </c>
      <c r="D36" s="28">
        <f>D10*'Fertigstellungsgrad der Akt.'!C8</f>
        <v>160</v>
      </c>
      <c r="E36" s="28">
        <f>E10*'Fertigstellungsgrad der Akt.'!D8</f>
        <v>420</v>
      </c>
      <c r="F36" s="28">
        <f>F10*'Fertigstellungsgrad der Akt.'!E8</f>
        <v>800</v>
      </c>
      <c r="G36" s="28">
        <f>G10*'Fertigstellungsgrad der Akt.'!F8</f>
        <v>1300</v>
      </c>
      <c r="H36" s="28">
        <f>H10*'Fertigstellungsgrad der Akt.'!G8</f>
        <v>1920</v>
      </c>
      <c r="I36" s="28">
        <f>I10*'Fertigstellungsgrad der Akt.'!H8</f>
        <v>2940.0000000000005</v>
      </c>
    </row>
    <row r="37" spans="1:12" x14ac:dyDescent="0.2">
      <c r="B37" t="str">
        <f>AC[[#Totals],[Posten]]</f>
        <v>Gesamt</v>
      </c>
      <c r="C37" s="28">
        <f>SUM(Tabelle2[1])</f>
        <v>19240</v>
      </c>
      <c r="D37" s="28">
        <f>SUM(Tabelle2[2])</f>
        <v>7960</v>
      </c>
      <c r="E37" s="28">
        <f>SUM(Tabelle2[3])</f>
        <v>27120</v>
      </c>
      <c r="F37" s="28">
        <f>SUM(Tabelle2[4])</f>
        <v>70600</v>
      </c>
      <c r="G37" s="28">
        <f>SUM(Tabelle2[5])</f>
        <v>123100</v>
      </c>
      <c r="H37" s="28">
        <f>SUM(Tabelle2[6])</f>
        <v>217920</v>
      </c>
      <c r="I37" s="28">
        <f>SUM(Tabelle2[7])</f>
        <v>353140</v>
      </c>
    </row>
    <row r="40" spans="1:12" ht="23.25" x14ac:dyDescent="0.35">
      <c r="A40" s="27" t="s">
        <v>33</v>
      </c>
    </row>
    <row r="42" spans="1:12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2">
      <c r="B43" t="str">
        <f>B30</f>
        <v>Anforderungsanalyse</v>
      </c>
      <c r="C43" s="28">
        <f>C30-C17</f>
        <v>-25700</v>
      </c>
      <c r="D43" s="28">
        <f>D30-D17</f>
        <v>-80200</v>
      </c>
      <c r="E43" s="28">
        <f>E30-E17</f>
        <v>-116500</v>
      </c>
      <c r="F43" s="28">
        <f>F30-F17</f>
        <v>-91950</v>
      </c>
      <c r="G43" s="28">
        <f>G30-G17</f>
        <v>-63150</v>
      </c>
      <c r="H43" s="28">
        <f>H30-H17</f>
        <v>-19950</v>
      </c>
      <c r="I43" s="28">
        <f>I30-I17</f>
        <v>-5550</v>
      </c>
      <c r="K43" t="s">
        <v>18</v>
      </c>
      <c r="L43" t="s">
        <v>38</v>
      </c>
    </row>
    <row r="44" spans="1:12" x14ac:dyDescent="0.2">
      <c r="B44" t="str">
        <f>B31</f>
        <v>Design und Architektur</v>
      </c>
      <c r="C44" s="28">
        <f>C31-C18</f>
        <v>0</v>
      </c>
      <c r="D44" s="28">
        <f>D31-D18</f>
        <v>0</v>
      </c>
      <c r="E44" s="28">
        <f>E31-E18</f>
        <v>0</v>
      </c>
      <c r="F44" s="28">
        <f>F31-F18</f>
        <v>-39900</v>
      </c>
      <c r="G44" s="28">
        <f>G31-G18</f>
        <v>-54700</v>
      </c>
      <c r="H44" s="28">
        <f>H31-H18</f>
        <v>-63850</v>
      </c>
      <c r="I44" s="28">
        <f>I31-I18</f>
        <v>-18750</v>
      </c>
    </row>
    <row r="45" spans="1:12" x14ac:dyDescent="0.2">
      <c r="B45" t="str">
        <f>B32</f>
        <v>Implementierung</v>
      </c>
      <c r="C45" s="28">
        <f>C32-C19</f>
        <v>0</v>
      </c>
      <c r="D45" s="28">
        <f>D32-D19</f>
        <v>0</v>
      </c>
      <c r="E45" s="28">
        <f>E32-E19</f>
        <v>0</v>
      </c>
      <c r="F45" s="28">
        <f>F32-F19</f>
        <v>0</v>
      </c>
      <c r="G45" s="28">
        <f>G32-G19</f>
        <v>0</v>
      </c>
      <c r="H45" s="28">
        <f>H32-H19</f>
        <v>-10050</v>
      </c>
      <c r="I45" s="28">
        <f>I32-I19</f>
        <v>-2500</v>
      </c>
    </row>
    <row r="46" spans="1:12" x14ac:dyDescent="0.2">
      <c r="B46" t="str">
        <f>B33</f>
        <v>Integration und Test</v>
      </c>
      <c r="C46" s="28">
        <f>C33-C20</f>
        <v>0</v>
      </c>
      <c r="D46" s="28">
        <f>D33-D20</f>
        <v>0</v>
      </c>
      <c r="E46" s="28">
        <f>E33-E20</f>
        <v>0</v>
      </c>
      <c r="F46" s="28">
        <f>F33-F20</f>
        <v>0</v>
      </c>
      <c r="G46" s="28">
        <f>G33-G20</f>
        <v>0</v>
      </c>
      <c r="H46" s="28">
        <f>H33-H20</f>
        <v>0</v>
      </c>
      <c r="I46" s="28">
        <f>I33-I20</f>
        <v>-25750</v>
      </c>
    </row>
    <row r="47" spans="1:12" x14ac:dyDescent="0.2">
      <c r="B47" t="str">
        <f>B34</f>
        <v>Projektmanagement</v>
      </c>
      <c r="C47" s="28">
        <f>C34-C21</f>
        <v>-23740</v>
      </c>
      <c r="D47" s="28">
        <f>D34-D21</f>
        <v>-91300</v>
      </c>
      <c r="E47" s="28">
        <f>E34-E21</f>
        <v>-117600</v>
      </c>
      <c r="F47" s="28">
        <f>F34-F21</f>
        <v>-135400</v>
      </c>
      <c r="G47" s="28">
        <f>G34-G21</f>
        <v>-137000</v>
      </c>
      <c r="H47" s="28">
        <f>H34-H21</f>
        <v>-134200</v>
      </c>
      <c r="I47" s="28">
        <f>I34-I21</f>
        <v>-127000</v>
      </c>
    </row>
    <row r="48" spans="1:12" x14ac:dyDescent="0.2">
      <c r="B48" t="str">
        <f>B35</f>
        <v>Puffer für unerwartetes</v>
      </c>
      <c r="C48" s="28">
        <f>C35-C22</f>
        <v>-12960</v>
      </c>
      <c r="D48" s="28">
        <f>D35-D22</f>
        <v>-165800</v>
      </c>
      <c r="E48" s="28">
        <f>E35-E22</f>
        <v>-300200</v>
      </c>
      <c r="F48" s="28">
        <f>F35-F22</f>
        <v>-334450</v>
      </c>
      <c r="G48" s="28">
        <f>G35-G22</f>
        <v>-333100</v>
      </c>
      <c r="H48" s="28">
        <f>H35-H22</f>
        <v>-327750</v>
      </c>
      <c r="I48" s="28">
        <f>I35-I22</f>
        <v>-322800</v>
      </c>
    </row>
    <row r="49" spans="1:12" x14ac:dyDescent="0.2">
      <c r="B49" t="str">
        <f>B36</f>
        <v>Materialkosten</v>
      </c>
      <c r="C49" s="28">
        <f>C36-C23</f>
        <v>-1960</v>
      </c>
      <c r="D49" s="28">
        <f>D36-D23</f>
        <v>-3340</v>
      </c>
      <c r="E49" s="28">
        <f>E36-E23</f>
        <v>-4480</v>
      </c>
      <c r="F49" s="28">
        <f>F36-F23</f>
        <v>-5600</v>
      </c>
      <c r="G49" s="28">
        <f>G36-G23</f>
        <v>-6100</v>
      </c>
      <c r="H49" s="28">
        <f>H36-H23</f>
        <v>-13080</v>
      </c>
      <c r="I49" s="28">
        <f>I36-I23</f>
        <v>-13260</v>
      </c>
    </row>
    <row r="50" spans="1:12" x14ac:dyDescent="0.2">
      <c r="B50" t="str">
        <f>Tabelle2[[#Totals],[Posten]]</f>
        <v>Gesamt</v>
      </c>
      <c r="C50" s="28">
        <f>Tabelle2[[#Totals],[1]]-AC[[#Totals],[1]]</f>
        <v>-64360</v>
      </c>
      <c r="D50" s="28">
        <f>Tabelle2[[#Totals],[2]]-AC[[#Totals],[2]]</f>
        <v>-340640</v>
      </c>
      <c r="E50" s="28">
        <f>Tabelle2[[#Totals],[3]]-AC[[#Totals],[3]]</f>
        <v>-538780</v>
      </c>
      <c r="F50" s="28">
        <f>Tabelle2[[#Totals],[4]]-AC[[#Totals],[4]]</f>
        <v>-607300</v>
      </c>
      <c r="G50" s="28">
        <f>Tabelle2[[#Totals],[5]]-AC[[#Totals],[5]]</f>
        <v>-594050</v>
      </c>
      <c r="H50" s="28">
        <f>Tabelle2[[#Totals],[6]]-AC[[#Totals],[6]]</f>
        <v>-568880</v>
      </c>
      <c r="I50" s="28">
        <f>Tabelle2[[#Totals],[7]]-AC[[#Totals],[7]]</f>
        <v>-515610</v>
      </c>
    </row>
    <row r="53" spans="1:12" ht="23.25" x14ac:dyDescent="0.35">
      <c r="A53" s="27" t="s">
        <v>34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>B43</f>
        <v>Anforderungsanalyse</v>
      </c>
      <c r="C56" s="28">
        <f>C30-C4</f>
        <v>-31200</v>
      </c>
      <c r="D56" s="28">
        <f>D30-D4</f>
        <v>-91200</v>
      </c>
      <c r="E56" s="28">
        <f>E30-E4</f>
        <v>-129600</v>
      </c>
      <c r="F56" s="28">
        <f>F30-F4</f>
        <v>-100800</v>
      </c>
      <c r="G56" s="28">
        <f>G30-G4</f>
        <v>-72000</v>
      </c>
      <c r="H56" s="28">
        <f>H30-H4</f>
        <v>-28800</v>
      </c>
      <c r="I56" s="28">
        <f>I30-I4</f>
        <v>-14400</v>
      </c>
      <c r="K56" t="s">
        <v>18</v>
      </c>
      <c r="L56" t="s">
        <v>39</v>
      </c>
    </row>
    <row r="57" spans="1:12" x14ac:dyDescent="0.2">
      <c r="B57" t="str">
        <f>B44</f>
        <v>Design und Architektur</v>
      </c>
      <c r="C57" s="28">
        <f>C31-C5</f>
        <v>0</v>
      </c>
      <c r="D57" s="28">
        <f>D31-D5</f>
        <v>0</v>
      </c>
      <c r="E57" s="28">
        <f>E31-E5</f>
        <v>-20000</v>
      </c>
      <c r="F57" s="28">
        <f>F31-F5</f>
        <v>-49400</v>
      </c>
      <c r="G57" s="28">
        <f>G31-G5</f>
        <v>-91200</v>
      </c>
      <c r="H57" s="28">
        <f>H31-H5</f>
        <v>-136800</v>
      </c>
      <c r="I57" s="28">
        <f>I31-I5</f>
        <v>-103200</v>
      </c>
    </row>
    <row r="58" spans="1:12" x14ac:dyDescent="0.2">
      <c r="B58" t="str">
        <f>B45</f>
        <v>Implementierung</v>
      </c>
      <c r="C58" s="28">
        <f>C32-C6</f>
        <v>0</v>
      </c>
      <c r="D58" s="28">
        <f>D32-D6</f>
        <v>0</v>
      </c>
      <c r="E58" s="28">
        <f>E32-E6</f>
        <v>0</v>
      </c>
      <c r="F58" s="28">
        <f>F32-F6</f>
        <v>-24000</v>
      </c>
      <c r="G58" s="28">
        <f>G32-G6</f>
        <v>-64000</v>
      </c>
      <c r="H58" s="28">
        <f>H32-H6</f>
        <v>-100800</v>
      </c>
      <c r="I58" s="28">
        <f>I32-I6</f>
        <v>-120000</v>
      </c>
    </row>
    <row r="59" spans="1:12" x14ac:dyDescent="0.2">
      <c r="B59" t="str">
        <f>B46</f>
        <v>Integration und Test</v>
      </c>
      <c r="C59" s="28">
        <f>C33-C7</f>
        <v>0</v>
      </c>
      <c r="D59" s="28">
        <f>D33-D7</f>
        <v>0</v>
      </c>
      <c r="E59" s="28">
        <f>E33-E7</f>
        <v>0</v>
      </c>
      <c r="F59" s="28">
        <f>F33-F7</f>
        <v>0</v>
      </c>
      <c r="G59" s="28">
        <f>G33-G7</f>
        <v>0</v>
      </c>
      <c r="H59" s="28">
        <f>H33-H7</f>
        <v>0</v>
      </c>
      <c r="I59" s="28">
        <f>I33-I7</f>
        <v>-12000</v>
      </c>
    </row>
    <row r="60" spans="1:12" x14ac:dyDescent="0.2">
      <c r="B60" t="str">
        <f>B47</f>
        <v>Projektmanagement</v>
      </c>
      <c r="C60" s="28">
        <f>C34-C8</f>
        <v>-20240</v>
      </c>
      <c r="D60" s="28">
        <f>D34-D8</f>
        <v>-41800</v>
      </c>
      <c r="E60" s="28">
        <f>E34-E8</f>
        <v>-56100</v>
      </c>
      <c r="F60" s="28">
        <f>F34-F8</f>
        <v>-70400</v>
      </c>
      <c r="G60" s="28">
        <f>G34-G8</f>
        <v>-77000</v>
      </c>
      <c r="H60" s="28">
        <f>H34-H8</f>
        <v>-79200</v>
      </c>
      <c r="I60" s="28">
        <f>I34-I8</f>
        <v>-77000</v>
      </c>
    </row>
    <row r="61" spans="1:12" x14ac:dyDescent="0.2">
      <c r="B61" t="str">
        <f>B48</f>
        <v>Puffer für unerwartetes</v>
      </c>
      <c r="C61" s="28">
        <f>C35-C9</f>
        <v>-7360</v>
      </c>
      <c r="D61" s="28">
        <f>D35-D9</f>
        <v>-15200</v>
      </c>
      <c r="E61" s="28">
        <f>E35-E9</f>
        <v>-21600</v>
      </c>
      <c r="F61" s="28">
        <f>F35-F9</f>
        <v>-25600</v>
      </c>
      <c r="G61" s="28">
        <f>G35-G9</f>
        <v>-28000</v>
      </c>
      <c r="H61" s="28">
        <f>H35-H9</f>
        <v>-26400</v>
      </c>
      <c r="I61" s="28">
        <f>I35-I9</f>
        <v>-25199.999999999996</v>
      </c>
    </row>
    <row r="62" spans="1:12" x14ac:dyDescent="0.2">
      <c r="B62" t="str">
        <f>B49</f>
        <v>Materialkosten</v>
      </c>
      <c r="C62" s="28">
        <f>C36-C10</f>
        <v>-1960</v>
      </c>
      <c r="D62" s="28">
        <f>D36-D10</f>
        <v>-3840</v>
      </c>
      <c r="E62" s="28">
        <f>E36-E10</f>
        <v>-6580</v>
      </c>
      <c r="F62" s="28">
        <f>F36-F10</f>
        <v>-9200</v>
      </c>
      <c r="G62" s="28">
        <f>G36-G10</f>
        <v>-11700</v>
      </c>
      <c r="H62" s="28">
        <f>H36-H10</f>
        <v>-14080</v>
      </c>
      <c r="I62" s="28">
        <f>I36-I10</f>
        <v>-18060</v>
      </c>
    </row>
    <row r="63" spans="1:12" x14ac:dyDescent="0.2">
      <c r="B63" t="str">
        <f>CV[[#Totals],[Posten]]</f>
        <v>Gesamt</v>
      </c>
      <c r="C63" s="28">
        <f>SUM(SV[1])</f>
        <v>-60760</v>
      </c>
      <c r="D63" s="28">
        <f>SUM(SV[2])</f>
        <v>-152040</v>
      </c>
      <c r="E63" s="28">
        <f>SUM(SV[3])</f>
        <v>-233880</v>
      </c>
      <c r="F63" s="28">
        <f>SUM(SV[4])</f>
        <v>-279400</v>
      </c>
      <c r="G63" s="28">
        <f>SUM(SV[5])</f>
        <v>-343900</v>
      </c>
      <c r="H63" s="28">
        <f>SUM(SV[6])</f>
        <v>-386080</v>
      </c>
      <c r="I63" s="28">
        <f>SUM(SV[7])</f>
        <v>-369860</v>
      </c>
    </row>
    <row r="66" spans="1:20" ht="23.25" x14ac:dyDescent="0.35">
      <c r="A66" s="27" t="s">
        <v>35</v>
      </c>
      <c r="N66" s="27" t="s">
        <v>42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>B56</f>
        <v>Anforderungsanalyse</v>
      </c>
      <c r="C69" s="29">
        <f>IF(C17=0,$L$70,C30/C17)</f>
        <v>0.3952941176470588</v>
      </c>
      <c r="D69" s="29">
        <f>IF(D17=0,$L$70,D30/D17)</f>
        <v>5.647058823529412E-2</v>
      </c>
      <c r="E69" s="29">
        <f>IF(E17=0,$L$70,E30/E17)</f>
        <v>0.11000763941940413</v>
      </c>
      <c r="F69" s="29">
        <f>IF(F17=0,$L$70,F30/F17)</f>
        <v>0.31964483906770258</v>
      </c>
      <c r="G69" s="29">
        <f>IF(G17=0,$L$70,G30/G17)</f>
        <v>0.53274139844617097</v>
      </c>
      <c r="H69" s="29">
        <f>IF(H17=0,$L$70,H30/H17)</f>
        <v>0.85238623751387343</v>
      </c>
      <c r="I69" s="29">
        <f>IF(I17=0,"-",I30/I17)</f>
        <v>0.95893451720310763</v>
      </c>
      <c r="K69" t="s">
        <v>18</v>
      </c>
      <c r="L69" t="s">
        <v>73</v>
      </c>
      <c r="M69" t="s">
        <v>37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>B57</f>
        <v>Design und Architektur</v>
      </c>
      <c r="C70" s="29" t="str">
        <f>IF(C18=0,$L$70,C31/C18)</f>
        <v>-</v>
      </c>
      <c r="D70" s="29" t="str">
        <f>IF(D18=0,$L$70,D31/D18)</f>
        <v>-</v>
      </c>
      <c r="E70" s="29" t="str">
        <f>IF(E18=0,$L$70,E31/E18)</f>
        <v>-</v>
      </c>
      <c r="F70" s="29">
        <f>IF(F18=0,$L$70,F31/F18)</f>
        <v>6.1176470588235297E-2</v>
      </c>
      <c r="G70" s="29">
        <f>IF(G18=0,$L$70,G31/G18)</f>
        <v>8.067226890756303E-2</v>
      </c>
      <c r="H70" s="29">
        <f>IF(H18=0,$L$70,H31/H18)</f>
        <v>0.19228336495888679</v>
      </c>
      <c r="I70" s="29">
        <f>IF(I18=0,"-",I31/I18)</f>
        <v>0.78583666476299252</v>
      </c>
      <c r="K70" t="s">
        <v>65</v>
      </c>
      <c r="L70" t="s">
        <v>66</v>
      </c>
    </row>
    <row r="71" spans="1:20" x14ac:dyDescent="0.2">
      <c r="B71" t="str">
        <f>B58</f>
        <v>Implementierung</v>
      </c>
      <c r="C71" s="29" t="str">
        <f>IF(C19=0,$L$70,C32/C19)</f>
        <v>-</v>
      </c>
      <c r="D71" s="29" t="str">
        <f>IF(D19=0,$L$70,D32/D19)</f>
        <v>-</v>
      </c>
      <c r="E71" s="29" t="str">
        <f>IF(E19=0,$L$70,E32/E19)</f>
        <v>-</v>
      </c>
      <c r="F71" s="29" t="str">
        <f>IF(F19=0,$L$70,F32/F19)</f>
        <v>-</v>
      </c>
      <c r="G71" s="29" t="str">
        <f>IF(G19=0,$L$70,G32/G19)</f>
        <v>-</v>
      </c>
      <c r="H71" s="29">
        <f>IF(H19=0,$L$70,H32/H19)</f>
        <v>0.5270588235294118</v>
      </c>
      <c r="I71" s="29">
        <f>IF(I19=0,"-",I32/I19)</f>
        <v>0.94117647058823528</v>
      </c>
    </row>
    <row r="72" spans="1:20" x14ac:dyDescent="0.2">
      <c r="B72" t="str">
        <f>B59</f>
        <v>Integration und Test</v>
      </c>
      <c r="C72" s="29" t="str">
        <f>IF(C20=0,$L$70,C33/C20)</f>
        <v>-</v>
      </c>
      <c r="D72" s="29" t="str">
        <f>IF(D20=0,$L$70,D33/D20)</f>
        <v>-</v>
      </c>
      <c r="E72" s="29" t="str">
        <f>IF(E20=0,$L$70,E33/E20)</f>
        <v>-</v>
      </c>
      <c r="F72" s="29" t="str">
        <f>IF(F20=0,$L$70,F33/F20)</f>
        <v>-</v>
      </c>
      <c r="G72" s="29" t="str">
        <f>IF(G20=0,$L$70,G33/G20)</f>
        <v>-</v>
      </c>
      <c r="H72" s="29" t="str">
        <f>IF(H20=0,$L$70,H33/H20)</f>
        <v>-</v>
      </c>
      <c r="I72" s="29">
        <f>IF(I20=0,"-",I33/I20)</f>
        <v>0.13445378151260504</v>
      </c>
    </row>
    <row r="73" spans="1:20" x14ac:dyDescent="0.2">
      <c r="B73" t="str">
        <f>B60</f>
        <v>Projektmanagement</v>
      </c>
      <c r="C73" s="29">
        <f>IF(C21=0,$L$70,C34/C21)</f>
        <v>6.9019607843137251E-2</v>
      </c>
      <c r="D73" s="29">
        <f>IF(D21=0,$L$70,D34/D21)</f>
        <v>2.3529411764705882E-2</v>
      </c>
      <c r="E73" s="29">
        <f>IF(E21=0,$L$70,E34/E21)</f>
        <v>7.7647058823529416E-2</v>
      </c>
      <c r="F73" s="29">
        <f>IF(F21=0,$L$70,F34/F21)</f>
        <v>0.11503267973856209</v>
      </c>
      <c r="G73" s="29">
        <f>IF(G21=0,$L$70,G34/G21)</f>
        <v>0.19411764705882353</v>
      </c>
      <c r="H73" s="29">
        <f>IF(H21=0,$L$70,H34/H21)</f>
        <v>0.28235294117647058</v>
      </c>
      <c r="I73" s="29">
        <f>IF(I21=0,"-",I34/I21)</f>
        <v>0.37745098039215685</v>
      </c>
    </row>
    <row r="74" spans="1:20" x14ac:dyDescent="0.2">
      <c r="B74" t="str">
        <f>B61</f>
        <v>Puffer für unerwartetes</v>
      </c>
      <c r="C74" s="29">
        <f>IF(C22=0,$L$70,C35/C22)</f>
        <v>4.7058823529411764E-2</v>
      </c>
      <c r="D74" s="29">
        <f>IF(D22=0,$L$70,D35/D22)</f>
        <v>4.8019207683073226E-3</v>
      </c>
      <c r="E74" s="29">
        <f>IF(E22=0,$L$70,E35/E22)</f>
        <v>7.9312623925974889E-3</v>
      </c>
      <c r="F74" s="29">
        <f>IF(F22=0,$L$70,F35/F22)</f>
        <v>1.8776587941909929E-2</v>
      </c>
      <c r="G74" s="29">
        <f>IF(G22=0,$L$70,G35/G22)</f>
        <v>3.4772529701535784E-2</v>
      </c>
      <c r="H74" s="29">
        <f>IF(H22=0,$L$70,H35/H22)</f>
        <v>6.1829111206526406E-2</v>
      </c>
      <c r="I74" s="29">
        <f>IF(I22=0,"-",I35/I22)</f>
        <v>8.7104072398190055E-2</v>
      </c>
    </row>
    <row r="75" spans="1:20" x14ac:dyDescent="0.2">
      <c r="B75" t="str">
        <f>B62</f>
        <v>Materialkosten</v>
      </c>
      <c r="C75" s="29">
        <f>IF(C23=0,$L$70,C36/C23)</f>
        <v>0.02</v>
      </c>
      <c r="D75" s="29">
        <f>IF(D23=0,$L$70,D36/D23)</f>
        <v>4.5714285714285714E-2</v>
      </c>
      <c r="E75" s="29">
        <f>IF(E23=0,$L$70,E36/E23)</f>
        <v>8.5714285714285715E-2</v>
      </c>
      <c r="F75" s="29">
        <f>IF(F23=0,$L$70,F36/F23)</f>
        <v>0.125</v>
      </c>
      <c r="G75" s="29">
        <f>IF(G23=0,$L$70,G36/G23)</f>
        <v>0.17567567567567569</v>
      </c>
      <c r="H75" s="29">
        <f>IF(H23=0,$L$70,H36/H23)</f>
        <v>0.128</v>
      </c>
      <c r="I75" s="29">
        <f>IF(I23=0,"-",I36/I23)</f>
        <v>0.18148148148148152</v>
      </c>
    </row>
    <row r="76" spans="1:20" x14ac:dyDescent="0.2">
      <c r="B76" t="str">
        <f>SV[[#Totals],[Posten]]</f>
        <v>Gesamt</v>
      </c>
      <c r="C76" s="29">
        <f>Tabelle2[[#Totals],[1]]/AC[[#Totals],[1]]</f>
        <v>0.23014354066985646</v>
      </c>
      <c r="D76" s="29">
        <f>Tabelle2[[#Totals],[2]]/AC[[#Totals],[2]]</f>
        <v>2.2834193918531268E-2</v>
      </c>
      <c r="E76" s="29">
        <f>Tabelle2[[#Totals],[3]]/AC[[#Totals],[3]]</f>
        <v>4.7923661424279909E-2</v>
      </c>
      <c r="F76" s="29">
        <f>Tabelle2[[#Totals],[4]]/AC[[#Totals],[4]]</f>
        <v>0.10414515415252987</v>
      </c>
      <c r="G76" s="29">
        <f>Tabelle2[[#Totals],[5]]/AC[[#Totals],[5]]</f>
        <v>0.17165167677612772</v>
      </c>
      <c r="H76" s="29">
        <f>Tabelle2[[#Totals],[6]]/AC[[#Totals],[6]]</f>
        <v>0.27697000508388409</v>
      </c>
      <c r="I76" s="29">
        <f>Tabelle2[[#Totals],[7]]/AC[[#Totals],[7]]</f>
        <v>0.40649208633093525</v>
      </c>
    </row>
    <row r="79" spans="1:20" ht="23.25" x14ac:dyDescent="0.35">
      <c r="A79" s="27" t="s">
        <v>36</v>
      </c>
    </row>
    <row r="81" spans="1:13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3" x14ac:dyDescent="0.2">
      <c r="B82" t="str">
        <f>B69</f>
        <v>Anforderungsanalyse</v>
      </c>
      <c r="C82" s="29">
        <f>IF(C4=0,$L$70,C30/C4)</f>
        <v>0.35</v>
      </c>
      <c r="D82" s="29">
        <f>IF(D4=0,$L$70,D30/D4)</f>
        <v>0.05</v>
      </c>
      <c r="E82" s="29">
        <f>IF(E4=0,$L$70,E30/E4)</f>
        <v>0.1</v>
      </c>
      <c r="F82" s="29">
        <f>IF(F4=0,$L$70,F30/F4)</f>
        <v>0.3</v>
      </c>
      <c r="G82" s="29">
        <f>IF(G4=0,$L$70,G30/G4)</f>
        <v>0.5</v>
      </c>
      <c r="H82" s="29">
        <f>IF(H4=0,$L$70,H30/H4)</f>
        <v>0.8</v>
      </c>
      <c r="I82" s="29">
        <f>IF(I4=0,"-",I30/I4)</f>
        <v>0.9</v>
      </c>
      <c r="K82" t="s">
        <v>18</v>
      </c>
      <c r="L82" t="s">
        <v>40</v>
      </c>
      <c r="M82" t="s">
        <v>37</v>
      </c>
    </row>
    <row r="83" spans="1:13" x14ac:dyDescent="0.2">
      <c r="B83" t="str">
        <f>B70</f>
        <v>Design und Architektur</v>
      </c>
      <c r="C83" s="29" t="str">
        <f>IF(C5=0,$L$70,C31/C5)</f>
        <v>-</v>
      </c>
      <c r="D83" s="29" t="str">
        <f>IF(D5=0,$L$70,D31/D5)</f>
        <v>-</v>
      </c>
      <c r="E83" s="29">
        <f>IF(E5=0,$L$70,E31/E5)</f>
        <v>0</v>
      </c>
      <c r="F83" s="29">
        <f>IF(F5=0,$L$70,F31/F5)</f>
        <v>0.05</v>
      </c>
      <c r="G83" s="29">
        <f>IF(G5=0,$L$70,G31/G5)</f>
        <v>0.05</v>
      </c>
      <c r="H83" s="29">
        <f>IF(H5=0,$L$70,H31/H5)</f>
        <v>0.1</v>
      </c>
      <c r="I83" s="29">
        <f>IF(I5=0,"-",I31/I5)</f>
        <v>0.4</v>
      </c>
    </row>
    <row r="84" spans="1:13" x14ac:dyDescent="0.2">
      <c r="B84" t="str">
        <f>B71</f>
        <v>Implementierung</v>
      </c>
      <c r="C84" s="29" t="str">
        <f>IF(C6=0,$L$70,C32/C6)</f>
        <v>-</v>
      </c>
      <c r="D84" s="29" t="str">
        <f>IF(D6=0,$L$70,D32/D6)</f>
        <v>-</v>
      </c>
      <c r="E84" s="29" t="str">
        <f>IF(E6=0,$L$70,E32/E6)</f>
        <v>-</v>
      </c>
      <c r="F84" s="29">
        <f>IF(F6=0,$L$70,F32/F6)</f>
        <v>0</v>
      </c>
      <c r="G84" s="29">
        <f>IF(G6=0,$L$70,G32/G6)</f>
        <v>0</v>
      </c>
      <c r="H84" s="29">
        <f>IF(H6=0,$L$70,H32/H6)</f>
        <v>0.1</v>
      </c>
      <c r="I84" s="29">
        <f>IF(I6=0,"-",I32/I6)</f>
        <v>0.25</v>
      </c>
    </row>
    <row r="85" spans="1:13" x14ac:dyDescent="0.2">
      <c r="B85" t="str">
        <f>B72</f>
        <v>Integration und Test</v>
      </c>
      <c r="C85" s="29" t="str">
        <f>IF(C7=0,$L$70,C33/C7)</f>
        <v>-</v>
      </c>
      <c r="D85" s="29" t="str">
        <f>IF(D7=0,$L$70,D33/D7)</f>
        <v>-</v>
      </c>
      <c r="E85" s="29" t="str">
        <f>IF(E7=0,$L$70,E33/E7)</f>
        <v>-</v>
      </c>
      <c r="F85" s="29" t="str">
        <f>IF(F7=0,$L$70,F33/F7)</f>
        <v>-</v>
      </c>
      <c r="G85" s="29" t="str">
        <f>IF(G7=0,$L$70,G33/G7)</f>
        <v>-</v>
      </c>
      <c r="H85" s="29" t="str">
        <f>IF(H7=0,$L$70,H33/H7)</f>
        <v>-</v>
      </c>
      <c r="I85" s="29">
        <f>IF(I7=0,"-",I33/I7)</f>
        <v>0.25</v>
      </c>
    </row>
    <row r="86" spans="1:13" x14ac:dyDescent="0.2">
      <c r="B86" t="str">
        <f>B73</f>
        <v>Projektmanagement</v>
      </c>
      <c r="C86" s="29">
        <f>IF(C8=0,$L$70,C34/C8)</f>
        <v>0.08</v>
      </c>
      <c r="D86" s="29">
        <f>IF(D8=0,$L$70,D34/D8)</f>
        <v>0.05</v>
      </c>
      <c r="E86" s="29">
        <f>IF(E8=0,$L$70,E34/E8)</f>
        <v>0.15</v>
      </c>
      <c r="F86" s="29">
        <f>IF(F8=0,$L$70,F34/F8)</f>
        <v>0.2</v>
      </c>
      <c r="G86" s="29">
        <f>IF(G8=0,$L$70,G34/G8)</f>
        <v>0.3</v>
      </c>
      <c r="H86" s="29">
        <f>IF(H8=0,$L$70,H34/H8)</f>
        <v>0.4</v>
      </c>
      <c r="I86" s="29">
        <f>IF(I8=0,"-",I34/I8)</f>
        <v>0.5</v>
      </c>
    </row>
    <row r="87" spans="1:13" x14ac:dyDescent="0.2">
      <c r="B87" t="str">
        <f>B74</f>
        <v>Puffer für unerwartetes</v>
      </c>
      <c r="C87" s="29">
        <f>IF(C9=0,$L$70,C35/C9)</f>
        <v>0.08</v>
      </c>
      <c r="D87" s="29">
        <f>IF(D9=0,$L$70,D35/D9)</f>
        <v>0.05</v>
      </c>
      <c r="E87" s="29">
        <f>IF(E9=0,$L$70,E35/E9)</f>
        <v>0.1</v>
      </c>
      <c r="F87" s="29">
        <f>IF(F9=0,$L$70,F35/F9)</f>
        <v>0.2</v>
      </c>
      <c r="G87" s="29">
        <f>IF(G9=0,$L$70,G35/G9)</f>
        <v>0.3</v>
      </c>
      <c r="H87" s="29">
        <f>IF(H9=0,$L$70,H35/H9)</f>
        <v>0.45</v>
      </c>
      <c r="I87" s="29">
        <f>IF(I9=0,"-",I35/I9)</f>
        <v>0.55000000000000004</v>
      </c>
    </row>
    <row r="88" spans="1:13" x14ac:dyDescent="0.2">
      <c r="B88" t="str">
        <f>B75</f>
        <v>Materialkosten</v>
      </c>
      <c r="C88" s="29">
        <f>IF(C10=0,$L$70,C36/C10)</f>
        <v>0.02</v>
      </c>
      <c r="D88" s="29">
        <f>IF(D10=0,$L$70,D36/D10)</f>
        <v>0.04</v>
      </c>
      <c r="E88" s="29">
        <f>IF(E10=0,$L$70,E36/E10)</f>
        <v>0.06</v>
      </c>
      <c r="F88" s="29">
        <f>IF(F10=0,$L$70,F36/F10)</f>
        <v>0.08</v>
      </c>
      <c r="G88" s="29">
        <f>IF(G10=0,$L$70,G36/G10)</f>
        <v>0.1</v>
      </c>
      <c r="H88" s="29">
        <f>IF(H10=0,$L$70,H36/H10)</f>
        <v>0.12</v>
      </c>
      <c r="I88" s="29">
        <f>IF(I10=0,"-",I36/I10)</f>
        <v>0.14000000000000001</v>
      </c>
    </row>
    <row r="89" spans="1:13" x14ac:dyDescent="0.2">
      <c r="B89" t="str">
        <f>CPI[[#Totals],[Posten]]</f>
        <v>Gesamt</v>
      </c>
      <c r="C89" s="29">
        <f>Tabelle2[[#Totals],[1]]/EV[[#Totals],[1]]</f>
        <v>0.24049999999999999</v>
      </c>
      <c r="D89" s="29">
        <f>Tabelle2[[#Totals],[2]]/EV[[#Totals],[2]]</f>
        <v>4.9750000000000003E-2</v>
      </c>
      <c r="E89" s="29">
        <f>Tabelle2[[#Totals],[3]]/EV[[#Totals],[3]]</f>
        <v>0.10390804597701149</v>
      </c>
      <c r="F89" s="29">
        <f>Tabelle2[[#Totals],[4]]/EV[[#Totals],[4]]</f>
        <v>0.20171428571428571</v>
      </c>
      <c r="G89" s="29">
        <f>Tabelle2[[#Totals],[5]]/EV[[#Totals],[5]]</f>
        <v>0.26359743040685224</v>
      </c>
      <c r="H89" s="29">
        <f>Tabelle2[[#Totals],[6]]/EV[[#Totals],[6]]</f>
        <v>0.36079470198675495</v>
      </c>
      <c r="I89" s="29">
        <f>Tabelle2[[#Totals],[7]]/EV[[#Totals],[7]]</f>
        <v>0.48843706777316737</v>
      </c>
    </row>
    <row r="92" spans="1:13" ht="23.25" x14ac:dyDescent="0.35">
      <c r="A92" s="33" t="s">
        <v>70</v>
      </c>
      <c r="E92">
        <v>1500000</v>
      </c>
    </row>
    <row r="94" spans="1:13" ht="23.25" x14ac:dyDescent="0.35">
      <c r="A94" s="27" t="s">
        <v>68</v>
      </c>
    </row>
    <row r="96" spans="1:13" x14ac:dyDescent="0.2">
      <c r="B96" t="s">
        <v>16</v>
      </c>
      <c r="C96" t="s">
        <v>74</v>
      </c>
      <c r="D96" t="s">
        <v>75</v>
      </c>
      <c r="E96" t="s">
        <v>76</v>
      </c>
      <c r="F96" t="s">
        <v>77</v>
      </c>
      <c r="G96" t="s">
        <v>78</v>
      </c>
      <c r="H96" t="s">
        <v>79</v>
      </c>
      <c r="I96" t="s">
        <v>80</v>
      </c>
    </row>
    <row r="97" spans="1:12" x14ac:dyDescent="0.2">
      <c r="B97" t="str">
        <f>B82</f>
        <v>Anforderungsanalyse</v>
      </c>
      <c r="C97" s="29">
        <f>IF(C69=$L$70,$L$70,($E$92-C30)/(C69*1000))</f>
        <v>3752.1428571428573</v>
      </c>
      <c r="D97" s="29">
        <f>IF(D69=$L$70,$L$70,($E$92-D30)/(D69*1000))</f>
        <v>26477.499999999996</v>
      </c>
      <c r="E97" s="29">
        <f>IF(E69=$L$70,$L$70,($E$92-E30)/(E69*1000))</f>
        <v>13504.516666666666</v>
      </c>
      <c r="F97" s="29">
        <f>IF(F69=$L$70,$L$70,($E$92-F30)/(F69*1000))</f>
        <v>4557.5583333333325</v>
      </c>
      <c r="G97" s="29">
        <f>IF(G69=$L$70,$L$70,($E$92-G30)/(G69*1000))</f>
        <v>2680.4749999999999</v>
      </c>
      <c r="H97" s="29">
        <f>IF(H69=$L$70,$L$70,($E$92-H30)/(H69*1000))</f>
        <v>1624.6156250000001</v>
      </c>
      <c r="I97" s="29">
        <f>IF(I69=$L$70,$L$70,($E$92-I30)/(I69*1000))</f>
        <v>1429.0861111111112</v>
      </c>
      <c r="K97" t="s">
        <v>18</v>
      </c>
      <c r="L97" t="s">
        <v>69</v>
      </c>
    </row>
    <row r="98" spans="1:12" x14ac:dyDescent="0.2">
      <c r="B98" t="str">
        <f>B83</f>
        <v>Design und Architektur</v>
      </c>
      <c r="C98" s="29" t="str">
        <f>IF(C70=$L$70,$L$70,($E$92-C31)/(C70*1000))</f>
        <v>-</v>
      </c>
      <c r="D98" s="29" t="str">
        <f>IF(D70=$L$70,$L$70,($E$92-D31)/(D70*1000))</f>
        <v>-</v>
      </c>
      <c r="E98" s="29" t="str">
        <f>IF(E70=$L$70,$L$70,($E$92-E31)/(E70*1000))</f>
        <v>-</v>
      </c>
      <c r="F98" s="29">
        <f>IF(F70=$L$70,$L$70,($E$92-F31)/(F70*1000))</f>
        <v>24476.73076923077</v>
      </c>
      <c r="G98" s="29">
        <f>IF(G70=$L$70,$L$70,($E$92-G31)/(G70*1000))</f>
        <v>18534.249999999996</v>
      </c>
      <c r="H98" s="29">
        <f>IF(H70=$L$70,$L$70,($E$92-H31)/(H70*1000))</f>
        <v>7721.9368421052632</v>
      </c>
      <c r="I98" s="29">
        <f>IF(I70=$L$70,$L$70,($E$92-I31)/(I70*1000))</f>
        <v>1821.243604651163</v>
      </c>
    </row>
    <row r="99" spans="1:12" x14ac:dyDescent="0.2">
      <c r="B99" t="str">
        <f>B84</f>
        <v>Implementierung</v>
      </c>
      <c r="C99" s="29" t="str">
        <f>IF(C71=$L$70,$L$70,($E$92-C32)/(C71*1000))</f>
        <v>-</v>
      </c>
      <c r="D99" s="29" t="str">
        <f>IF(D71=$L$70,$L$70,($E$92-D32)/(D71*1000))</f>
        <v>-</v>
      </c>
      <c r="E99" s="29" t="str">
        <f>IF(E71=$L$70,$L$70,($E$92-E32)/(E71*1000))</f>
        <v>-</v>
      </c>
      <c r="F99" s="29" t="str">
        <f>IF(F71=$L$70,$L$70,($E$92-F32)/(F71*1000))</f>
        <v>-</v>
      </c>
      <c r="G99" s="29" t="str">
        <f>IF(G71=$L$70,$L$70,($E$92-G32)/(G71*1000))</f>
        <v>-</v>
      </c>
      <c r="H99" s="29">
        <f>IF(H71=$L$70,$L$70,($E$92-H32)/(H71*1000))</f>
        <v>2824.7321428571427</v>
      </c>
      <c r="I99" s="29">
        <f>IF(I71=$L$70,$L$70,($E$92-I32)/(I71*1000))</f>
        <v>1551.25</v>
      </c>
    </row>
    <row r="100" spans="1:12" x14ac:dyDescent="0.2">
      <c r="B100" t="str">
        <f>B85</f>
        <v>Integration und Test</v>
      </c>
      <c r="C100" s="29" t="str">
        <f>IF(C72=$L$70,$L$70,($E$92-C33)/(C72*1000))</f>
        <v>-</v>
      </c>
      <c r="D100" s="29" t="str">
        <f>IF(D72=$L$70,$L$70,($E$92-D33)/(D72*1000))</f>
        <v>-</v>
      </c>
      <c r="E100" s="29" t="str">
        <f>IF(E72=$L$70,$L$70,($E$92-E33)/(E72*1000))</f>
        <v>-</v>
      </c>
      <c r="F100" s="29" t="str">
        <f>IF(F72=$L$70,$L$70,($E$92-F33)/(F72*1000))</f>
        <v>-</v>
      </c>
      <c r="G100" s="29" t="str">
        <f>IF(G72=$L$70,$L$70,($E$92-G33)/(G72*1000))</f>
        <v>-</v>
      </c>
      <c r="H100" s="29" t="str">
        <f>IF(H72=$L$70,$L$70,($E$92-H33)/(H72*1000))</f>
        <v>-</v>
      </c>
      <c r="I100" s="29">
        <f>IF(I72=$L$70,$L$70,($E$92-I33)/(I72*1000))</f>
        <v>11126.5</v>
      </c>
    </row>
    <row r="101" spans="1:12" x14ac:dyDescent="0.2">
      <c r="B101" t="str">
        <f>B86</f>
        <v>Projektmanagement</v>
      </c>
      <c r="C101" s="29">
        <f>IF(C73=$L$70,$L$70,($E$92-C34)/(C73*1000))</f>
        <v>21707.454545454548</v>
      </c>
      <c r="D101" s="29">
        <f>IF(D73=$L$70,$L$70,($E$92-D34)/(D73*1000))</f>
        <v>63656.500000000007</v>
      </c>
      <c r="E101" s="29">
        <f>IF(E73=$L$70,$L$70,($E$92-E34)/(E73*1000))</f>
        <v>19190.681818181816</v>
      </c>
      <c r="F101" s="29">
        <f>IF(F73=$L$70,$L$70,($E$92-F34)/(F73*1000))</f>
        <v>12886.772727272728</v>
      </c>
      <c r="G101" s="29">
        <f>IF(G73=$L$70,$L$70,($E$92-G34)/(G73*1000))</f>
        <v>7557.272727272727</v>
      </c>
      <c r="H101" s="29">
        <f>IF(H73=$L$70,$L$70,($E$92-H34)/(H73*1000))</f>
        <v>5125.5</v>
      </c>
      <c r="I101" s="29">
        <f>IF(I73=$L$70,$L$70,($E$92-I34)/(I73*1000))</f>
        <v>3770.0259740259739</v>
      </c>
    </row>
    <row r="102" spans="1:12" x14ac:dyDescent="0.2">
      <c r="B102" t="str">
        <f>B87</f>
        <v>Puffer für unerwartetes</v>
      </c>
      <c r="C102" s="29">
        <f>IF(C74=$L$70,$L$70,($E$92-C35)/(C74*1000))</f>
        <v>31861.4</v>
      </c>
      <c r="D102" s="29">
        <f>IF(D74=$L$70,$L$70,($E$92-D35)/(D74*1000))</f>
        <v>312208.40000000002</v>
      </c>
      <c r="E102" s="29">
        <f>IF(E74=$L$70,$L$70,($E$92-E35)/(E74*1000))</f>
        <v>188822.39999999999</v>
      </c>
      <c r="F102" s="29">
        <f>IF(F74=$L$70,$L$70,($E$92-F35)/(F74*1000))</f>
        <v>79545.868750000009</v>
      </c>
      <c r="G102" s="29">
        <f>IF(G74=$L$70,$L$70,($E$92-G35)/(G74*1000))</f>
        <v>42792.400000000009</v>
      </c>
      <c r="H102" s="29">
        <f>IF(H74=$L$70,$L$70,($E$92-H35)/(H74*1000))</f>
        <v>23911.066666666666</v>
      </c>
      <c r="I102" s="29">
        <f>IF(I74=$L$70,$L$70,($E$92-I35)/(I74*1000))</f>
        <v>16867.17922077922</v>
      </c>
    </row>
    <row r="103" spans="1:12" x14ac:dyDescent="0.2">
      <c r="B103" t="str">
        <f>B88</f>
        <v>Materialkosten</v>
      </c>
      <c r="C103" s="29">
        <f>IF(C75=$L$70,$L$70,($E$92-C36)/(C75*1000))</f>
        <v>74998</v>
      </c>
      <c r="D103" s="29">
        <f>IF(D75=$L$70,$L$70,($E$92-D36)/(D75*1000))</f>
        <v>32809</v>
      </c>
      <c r="E103" s="29">
        <f>IF(E75=$L$70,$L$70,($E$92-E36)/(E75*1000))</f>
        <v>17495.100000000002</v>
      </c>
      <c r="F103" s="29">
        <f>IF(F75=$L$70,$L$70,($E$92-F36)/(F75*1000))</f>
        <v>11993.6</v>
      </c>
      <c r="G103" s="29">
        <f>IF(G75=$L$70,$L$70,($E$92-G36)/(G75*1000))</f>
        <v>8531.0615384615376</v>
      </c>
      <c r="H103" s="29">
        <f>IF(H75=$L$70,$L$70,($E$92-H36)/(H75*1000))</f>
        <v>11703.75</v>
      </c>
      <c r="I103" s="29">
        <f>IF(I75=$L$70,$L$70,($E$92-I36)/(I75*1000))</f>
        <v>8249.1061224489786</v>
      </c>
    </row>
    <row r="104" spans="1:12" x14ac:dyDescent="0.2">
      <c r="B104" t="str">
        <f>SPI[[#Totals],[Posten]]</f>
        <v>Gesamt</v>
      </c>
      <c r="C104" s="29">
        <f>($E$92-Tabelle2[[#Totals],[1]])/(CPI[[#Totals],[1]]*1000)</f>
        <v>6434.0715176715175</v>
      </c>
      <c r="D104" s="29">
        <f>($E$92-Tabelle2[[#Totals],[2]])/(CPI[[#Totals],[2]]*1000)</f>
        <v>65342.354773869352</v>
      </c>
      <c r="E104" s="29">
        <f>($E$92-Tabelle2[[#Totals],[3]])/(CPI[[#Totals],[3]]*1000)</f>
        <v>30733.878761061947</v>
      </c>
      <c r="F104" s="29">
        <f>($E$92-Tabelle2[[#Totals],[4]])/(CPI[[#Totals],[4]]*1000)</f>
        <v>13725.074504249293</v>
      </c>
      <c r="G104" s="29">
        <f>($E$92-Tabelle2[[#Totals],[5]])/(CPI[[#Totals],[5]]*1000)</f>
        <v>8021.4771324126732</v>
      </c>
      <c r="H104" s="29">
        <f>($E$92-Tabelle2[[#Totals],[6]])/(CPI[[#Totals],[6]]*1000)</f>
        <v>4628.9488986784145</v>
      </c>
      <c r="I104" s="29">
        <f>($E$92-Tabelle2[[#Totals],[7]])/(CPI[[#Totals],[7]]*1000)</f>
        <v>2821.3587387438411</v>
      </c>
    </row>
    <row r="107" spans="1:12" ht="23.25" x14ac:dyDescent="0.35">
      <c r="A107" s="33" t="s">
        <v>71</v>
      </c>
    </row>
    <row r="109" spans="1:12" x14ac:dyDescent="0.2">
      <c r="B109" t="s">
        <v>16</v>
      </c>
      <c r="C109" t="s">
        <v>74</v>
      </c>
      <c r="D109" t="s">
        <v>75</v>
      </c>
      <c r="E109" t="s">
        <v>76</v>
      </c>
      <c r="F109" t="s">
        <v>77</v>
      </c>
      <c r="G109" t="s">
        <v>78</v>
      </c>
      <c r="H109" t="s">
        <v>79</v>
      </c>
      <c r="I109" t="s">
        <v>80</v>
      </c>
    </row>
    <row r="110" spans="1:12" x14ac:dyDescent="0.2">
      <c r="B110" t="str">
        <f>B97</f>
        <v>Anforderungsanalyse</v>
      </c>
      <c r="C110" s="29">
        <f>IF(C69=$L$70,$L$70,$E$92/(C69*1000))</f>
        <v>3794.6428571428573</v>
      </c>
      <c r="D110" s="29">
        <f>IF(D69=$L$70,$L$70,$E$92/(D69*1000))</f>
        <v>26562.499999999996</v>
      </c>
      <c r="E110" s="29">
        <f>IF(E69=$L$70,$L$70,$E$92/(E69*1000))</f>
        <v>13635.416666666666</v>
      </c>
      <c r="F110" s="29">
        <f>IF(F69=$L$70,$L$70,$E$92/(F69*1000))</f>
        <v>4692.7083333333321</v>
      </c>
      <c r="G110" s="29">
        <f>IF(G69=$L$70,$L$70,$E$92/(G69*1000))</f>
        <v>2815.625</v>
      </c>
      <c r="H110" s="29">
        <f>IF(H69=$L$70,$L$70,$E$92/(H69*1000))</f>
        <v>1759.765625</v>
      </c>
      <c r="I110" s="29">
        <f>IF(I69=$L$70,$L$70,$E$92/(I69*1000))</f>
        <v>1564.2361111111113</v>
      </c>
      <c r="K110" t="s">
        <v>18</v>
      </c>
      <c r="L110" t="s">
        <v>72</v>
      </c>
    </row>
    <row r="111" spans="1:12" x14ac:dyDescent="0.2">
      <c r="B111" t="str">
        <f>B98</f>
        <v>Design und Architektur</v>
      </c>
      <c r="C111" s="29" t="str">
        <f>IF(C70=$L$70,$L$70,$E$92/(C70*1000))</f>
        <v>-</v>
      </c>
      <c r="D111" s="29" t="str">
        <f>IF(D70=$L$70,$L$70,$E$92/(D70*1000))</f>
        <v>-</v>
      </c>
      <c r="E111" s="29" t="str">
        <f>IF(E70=$L$70,$L$70,$E$92/(E70*1000))</f>
        <v>-</v>
      </c>
      <c r="F111" s="29">
        <f>IF(F70=$L$70,$L$70,$E$92/(F70*1000))</f>
        <v>24519.23076923077</v>
      </c>
      <c r="G111" s="29">
        <f>IF(G70=$L$70,$L$70,$E$92/(G70*1000))</f>
        <v>18593.749999999996</v>
      </c>
      <c r="H111" s="29">
        <f>IF(H70=$L$70,$L$70,$E$92/(H70*1000))</f>
        <v>7800.9868421052633</v>
      </c>
      <c r="I111" s="29">
        <f>IF(I70=$L$70,$L$70,$E$92/(I70*1000))</f>
        <v>1908.7936046511629</v>
      </c>
    </row>
    <row r="112" spans="1:12" x14ac:dyDescent="0.2">
      <c r="B112" t="str">
        <f>B99</f>
        <v>Implementierung</v>
      </c>
      <c r="C112" s="29" t="str">
        <f>IF(C71=$L$70,$L$70,$E$92/(C71*1000))</f>
        <v>-</v>
      </c>
      <c r="D112" s="29" t="str">
        <f>IF(D71=$L$70,$L$70,$E$92/(D71*1000))</f>
        <v>-</v>
      </c>
      <c r="E112" s="29" t="str">
        <f>IF(E71=$L$70,$L$70,$E$92/(E71*1000))</f>
        <v>-</v>
      </c>
      <c r="F112" s="29" t="str">
        <f>IF(F71=$L$70,$L$70,$E$92/(F71*1000))</f>
        <v>-</v>
      </c>
      <c r="G112" s="29" t="str">
        <f>IF(G71=$L$70,$L$70,$E$92/(G71*1000))</f>
        <v>-</v>
      </c>
      <c r="H112" s="29">
        <f>IF(H71=$L$70,$L$70,$E$92/(H71*1000))</f>
        <v>2845.9821428571427</v>
      </c>
      <c r="I112" s="29">
        <f>IF(I71=$L$70,$L$70,$E$92/(I71*1000))</f>
        <v>1593.75</v>
      </c>
    </row>
    <row r="113" spans="2:9" x14ac:dyDescent="0.2">
      <c r="B113" t="str">
        <f>B100</f>
        <v>Integration und Test</v>
      </c>
      <c r="C113" s="29" t="str">
        <f>IF(C72=$L$70,$L$70,$E$92/(C72*1000))</f>
        <v>-</v>
      </c>
      <c r="D113" s="29" t="str">
        <f>IF(D72=$L$70,$L$70,$E$92/(D72*1000))</f>
        <v>-</v>
      </c>
      <c r="E113" s="29" t="str">
        <f>IF(E72=$L$70,$L$70,$E$92/(E72*1000))</f>
        <v>-</v>
      </c>
      <c r="F113" s="29" t="str">
        <f>IF(F72=$L$70,$L$70,$E$92/(F72*1000))</f>
        <v>-</v>
      </c>
      <c r="G113" s="29" t="str">
        <f>IF(G72=$L$70,$L$70,$E$92/(G72*1000))</f>
        <v>-</v>
      </c>
      <c r="H113" s="29" t="str">
        <f>IF(H72=$L$70,$L$70,$E$92/(H72*1000))</f>
        <v>-</v>
      </c>
      <c r="I113" s="29">
        <f>IF(I72=$L$70,$L$70,$E$92/(I72*1000))</f>
        <v>11156.25</v>
      </c>
    </row>
    <row r="114" spans="2:9" x14ac:dyDescent="0.2">
      <c r="B114" t="str">
        <f>B101</f>
        <v>Projektmanagement</v>
      </c>
      <c r="C114" s="29">
        <f>IF(C73=$L$70,$L$70,$E$92/(C73*1000))</f>
        <v>21732.954545454548</v>
      </c>
      <c r="D114" s="29">
        <f>IF(D73=$L$70,$L$70,$E$92/(D73*1000))</f>
        <v>63750.000000000007</v>
      </c>
      <c r="E114" s="29">
        <f>IF(E73=$L$70,$L$70,$E$92/(E73*1000))</f>
        <v>19318.181818181816</v>
      </c>
      <c r="F114" s="29">
        <f>IF(F73=$L$70,$L$70,$E$92/(F73*1000))</f>
        <v>13039.772727272728</v>
      </c>
      <c r="G114" s="29">
        <f>IF(G73=$L$70,$L$70,$E$92/(G73*1000))</f>
        <v>7727.272727272727</v>
      </c>
      <c r="H114" s="29">
        <f>IF(H73=$L$70,$L$70,$E$92/(H73*1000))</f>
        <v>5312.5</v>
      </c>
      <c r="I114" s="29">
        <f>IF(I73=$L$70,$L$70,$E$92/(I73*1000))</f>
        <v>3974.0259740259739</v>
      </c>
    </row>
    <row r="115" spans="2:9" x14ac:dyDescent="0.2">
      <c r="B115" t="str">
        <f>B102</f>
        <v>Puffer für unerwartetes</v>
      </c>
      <c r="C115" s="29">
        <f>IF(C74=$L$70,$L$70,$E$92/(C74*1000))</f>
        <v>31875.000000000004</v>
      </c>
      <c r="D115" s="29">
        <f>IF(D74=$L$70,$L$70,$E$92/(D74*1000))</f>
        <v>312375</v>
      </c>
      <c r="E115" s="29">
        <f>IF(E74=$L$70,$L$70,$E$92/(E74*1000))</f>
        <v>189125</v>
      </c>
      <c r="F115" s="29">
        <f>IF(F74=$L$70,$L$70,$E$92/(F74*1000))</f>
        <v>79886.71875</v>
      </c>
      <c r="G115" s="29">
        <f>IF(G74=$L$70,$L$70,$E$92/(G74*1000))</f>
        <v>43137.500000000007</v>
      </c>
      <c r="H115" s="29">
        <f>IF(H74=$L$70,$L$70,$E$92/(H74*1000))</f>
        <v>24260.416666666668</v>
      </c>
      <c r="I115" s="29">
        <f>IF(I74=$L$70,$L$70,$E$92/(I74*1000))</f>
        <v>17220.779220779219</v>
      </c>
    </row>
    <row r="116" spans="2:9" x14ac:dyDescent="0.2">
      <c r="B116" t="str">
        <f>B103</f>
        <v>Materialkosten</v>
      </c>
      <c r="C116" s="29">
        <f>IF(C75=$L$70,$L$70,$E$92/(C75*1000))</f>
        <v>75000</v>
      </c>
      <c r="D116" s="29">
        <f>IF(D75=$L$70,$L$70,$E$92/(D75*1000))</f>
        <v>32812.5</v>
      </c>
      <c r="E116" s="29">
        <f>IF(E75=$L$70,$L$70,$E$92/(E75*1000))</f>
        <v>17500</v>
      </c>
      <c r="F116" s="29">
        <f>IF(F75=$L$70,$L$70,$E$92/(F75*1000))</f>
        <v>12000</v>
      </c>
      <c r="G116" s="29">
        <f>IF(G75=$L$70,$L$70,$E$92/(G75*1000))</f>
        <v>8538.461538461539</v>
      </c>
      <c r="H116" s="29">
        <f>IF(H75=$L$70,$L$70,$E$92/(H75*1000))</f>
        <v>11718.75</v>
      </c>
      <c r="I116" s="29">
        <f>IF(I75=$L$70,$L$70,$E$92/(I75*1000))</f>
        <v>8265.3061224489775</v>
      </c>
    </row>
    <row r="117" spans="2:9" x14ac:dyDescent="0.2">
      <c r="B117" t="str">
        <f>ETC[[#Totals],[Posten]]</f>
        <v>Gesamt</v>
      </c>
      <c r="C117" s="29">
        <f>$E$92/(CPI[[#Totals],[1]]*1000)</f>
        <v>6517.6715176715179</v>
      </c>
      <c r="D117" s="29">
        <f>$E$92/(CPI[[#Totals],[2]]*1000)</f>
        <v>65690.954773869351</v>
      </c>
      <c r="E117" s="29">
        <f>$E$92/(CPI[[#Totals],[3]]*1000)</f>
        <v>31299.778761061949</v>
      </c>
      <c r="F117" s="29">
        <f>$E$92/(CPI[[#Totals],[4]]*1000)</f>
        <v>14402.974504249292</v>
      </c>
      <c r="G117" s="29">
        <f>$E$92/(CPI[[#Totals],[5]]*1000)</f>
        <v>8738.6271324126737</v>
      </c>
      <c r="H117" s="29">
        <f>$E$92/(CPI[[#Totals],[6]]*1000)</f>
        <v>5415.7488986784147</v>
      </c>
      <c r="I117" s="29">
        <f>$E$92/(CPI[[#Totals],[7]]*1000)</f>
        <v>3690.1087387438411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workbookViewId="0">
      <selection activeCell="L18" sqref="L18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57</v>
      </c>
    </row>
    <row r="3" spans="1:11" x14ac:dyDescent="0.2">
      <c r="J3" t="s">
        <v>49</v>
      </c>
      <c r="K3">
        <v>0.5</v>
      </c>
    </row>
    <row r="4" spans="1:11" x14ac:dyDescent="0.2">
      <c r="B4" t="s">
        <v>16</v>
      </c>
      <c r="C4" t="s">
        <v>43</v>
      </c>
      <c r="D4" t="s">
        <v>44</v>
      </c>
      <c r="E4" t="s">
        <v>45</v>
      </c>
      <c r="F4" t="s">
        <v>48</v>
      </c>
      <c r="G4" t="s">
        <v>46</v>
      </c>
      <c r="H4" t="s">
        <v>47</v>
      </c>
      <c r="J4" t="s">
        <v>50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0.78583666476299252</v>
      </c>
      <c r="D6" s="29">
        <f>Kennzahlen!I83</f>
        <v>0.4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51</v>
      </c>
      <c r="K6" t="s">
        <v>52</v>
      </c>
    </row>
    <row r="7" spans="1:11" x14ac:dyDescent="0.2">
      <c r="B7" t="str">
        <f>Kennzahlen!B58</f>
        <v>Implementierung</v>
      </c>
      <c r="C7" s="29">
        <f>Kennzahlen!I71</f>
        <v>0.94117647058823528</v>
      </c>
      <c r="D7" s="29">
        <f>Kennzahlen!I84</f>
        <v>0.25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53</v>
      </c>
      <c r="K7" t="s">
        <v>54</v>
      </c>
    </row>
    <row r="8" spans="1:11" x14ac:dyDescent="0.2">
      <c r="B8" t="str">
        <f>Kennzahlen!B59</f>
        <v>Integration und Test</v>
      </c>
      <c r="C8" s="29">
        <f>Kennzahlen!I72</f>
        <v>0.13445378151260504</v>
      </c>
      <c r="D8" s="29">
        <f>Kennzahlen!I85</f>
        <v>0.25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Rot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55</v>
      </c>
      <c r="K8" t="s">
        <v>56</v>
      </c>
    </row>
    <row r="9" spans="1:11" x14ac:dyDescent="0.2">
      <c r="B9" t="str">
        <f>Kennzahlen!B60</f>
        <v>Projektmanagement</v>
      </c>
      <c r="C9" s="29">
        <f>Kennzahlen!I73</f>
        <v>0.37745098039215685</v>
      </c>
      <c r="D9" s="29">
        <f>Kennzahlen!I86</f>
        <v>0.5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8.7104072398190055E-2</v>
      </c>
      <c r="D10" s="29">
        <f>Kennzahlen!I87</f>
        <v>0.55000000000000004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59</v>
      </c>
      <c r="K10" t="s">
        <v>61</v>
      </c>
    </row>
    <row r="11" spans="1:11" x14ac:dyDescent="0.2">
      <c r="B11" t="str">
        <f>Kennzahlen!B62</f>
        <v>Materialkosten</v>
      </c>
      <c r="C11" s="29">
        <f>Kennzahlen!I75</f>
        <v>0.18148148148148152</v>
      </c>
      <c r="D11" s="29">
        <f>Kennzahlen!I88</f>
        <v>0.14000000000000001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IF(C24=Kennzahlen!$L$70,Kennzahlen!$L$70,IF(OR(ABS(Tabelle9[[#This Row],[CPI]]-C24)&lt;=$K$13),$K$12, IF(OR(Tabelle9[[#This Row],[CPI]]&lt;C24,Tabelle9[[#This Row],[SPI]]&lt;D24), $K$11, $K$10)))</f>
        <v>POS</v>
      </c>
      <c r="J11" t="s">
        <v>60</v>
      </c>
      <c r="K11" t="s">
        <v>62</v>
      </c>
    </row>
    <row r="12" spans="1:11" x14ac:dyDescent="0.2">
      <c r="B12" t="str">
        <f>Kennzahlen!B63</f>
        <v>Gesamt</v>
      </c>
      <c r="C12" s="29">
        <f>Kennzahlen!I76</f>
        <v>0.40649208633093525</v>
      </c>
      <c r="D12" s="29">
        <f>Kennzahlen!I89</f>
        <v>0.48843706777316737</v>
      </c>
      <c r="E12" s="30">
        <f>'Fertigstellungsgrad der Akt.'!H9</f>
        <v>0</v>
      </c>
      <c r="F12" s="31">
        <f>'Budgetierte Kosten'!P11/1000</f>
        <v>1500</v>
      </c>
      <c r="G12" s="34" t="str">
        <f>IF(OR(Tabelle9[[#This Row],[CPI]]&lt;$K$3, Tabelle9[[#This Row],[SPI]]&lt;$K$3),$K$6, IF(OR(Tabelle9[[#This Row],[CPI]]&lt;$K$4, Tabelle9[[#This Row],[SPI]]&lt;$K$4),$K$7, $K$8))</f>
        <v>Rot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64</v>
      </c>
      <c r="K12" t="s">
        <v>63</v>
      </c>
    </row>
    <row r="13" spans="1:11" x14ac:dyDescent="0.2">
      <c r="J13" t="s">
        <v>67</v>
      </c>
      <c r="K13">
        <v>0.05</v>
      </c>
    </row>
    <row r="15" spans="1:11" ht="23.25" x14ac:dyDescent="0.35">
      <c r="A15" s="27" t="s">
        <v>58</v>
      </c>
    </row>
    <row r="17" spans="2:8" x14ac:dyDescent="0.2">
      <c r="B17" t="s">
        <v>16</v>
      </c>
      <c r="C17" t="s">
        <v>43</v>
      </c>
      <c r="D17" t="s">
        <v>44</v>
      </c>
      <c r="E17" t="s">
        <v>45</v>
      </c>
      <c r="F17" t="s">
        <v>48</v>
      </c>
      <c r="G17" t="s">
        <v>46</v>
      </c>
      <c r="H17" t="s">
        <v>47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0.19228336495888679</v>
      </c>
      <c r="D19" s="29">
        <f>Kennzahlen!H83</f>
        <v>0.1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0.5270588235294118</v>
      </c>
      <c r="D20" s="29">
        <f>Kennzahlen!H84</f>
        <v>0.1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0.28235294117647058</v>
      </c>
      <c r="D22" s="29">
        <f>Kennzahlen!H86</f>
        <v>0.4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Kennzahlen!H74</f>
        <v>6.1829111206526406E-2</v>
      </c>
      <c r="D23" s="29">
        <f>Kennzahlen!H87</f>
        <v>0.45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0.128</v>
      </c>
      <c r="D24" s="29">
        <f>Kennzahlen!H88</f>
        <v>0.12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  <row r="25" spans="2:8" x14ac:dyDescent="0.2">
      <c r="B25" t="str">
        <f>Kennzahlen!B76</f>
        <v>Gesamt</v>
      </c>
      <c r="C25" s="29">
        <f>Kennzahlen!H76</f>
        <v>0.27697000508388409</v>
      </c>
      <c r="D25" s="29">
        <f>Kennzahlen!H89</f>
        <v>0.36079470198675495</v>
      </c>
      <c r="E25" s="30">
        <f>'Fertigstellungsgrad der Akt.'!G9</f>
        <v>0</v>
      </c>
      <c r="F25" s="31">
        <f t="shared" si="0"/>
        <v>1500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80" priority="13" operator="greaterThanOrEqual">
      <formula>$K$4</formula>
    </cfRule>
    <cfRule type="cellIs" dxfId="79" priority="14" operator="lessThan">
      <formula>$K$3</formula>
    </cfRule>
    <cfRule type="cellIs" dxfId="78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18" zoomScaleNormal="100" workbookViewId="0">
      <selection activeCell="V170" sqref="V170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="125" zoomScaleNormal="125" workbookViewId="0">
      <selection activeCell="O16" sqref="O16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28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9" sqref="B9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Sack</cp:lastModifiedBy>
  <dcterms:created xsi:type="dcterms:W3CDTF">2017-03-20T21:53:57Z</dcterms:created>
  <dcterms:modified xsi:type="dcterms:W3CDTF">2017-03-21T09:27:24Z</dcterms:modified>
</cp:coreProperties>
</file>