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Daniel\Documents\Karriere\TU\2017SS\SwPBC\swpbc\Lab1\"/>
    </mc:Choice>
  </mc:AlternateContent>
  <bookViews>
    <workbookView xWindow="0" yWindow="0" windowWidth="23445" windowHeight="10950" tabRatio="587"/>
  </bookViews>
  <sheets>
    <sheet name="Kennzahlen" sheetId="4" r:id="rId1"/>
    <sheet name="RAG" sheetId="6" r:id="rId2"/>
    <sheet name="Diagramme" sheetId="5" r:id="rId3"/>
    <sheet name="Budgetierte Kosten" sheetId="1" r:id="rId4"/>
    <sheet name="Tatsächliche Kosten" sheetId="2" r:id="rId5"/>
    <sheet name="Fertigstellungsgrad der Akt." sheetId="3" r:id="rId6"/>
  </sheets>
  <calcPr calcId="171027"/>
</workbook>
</file>

<file path=xl/calcChain.xml><?xml version="1.0" encoding="utf-8"?>
<calcChain xmlns="http://schemas.openxmlformats.org/spreadsheetml/2006/main">
  <c r="Q98" i="4" l="1"/>
  <c r="Q99" i="4"/>
  <c r="Q100" i="4"/>
  <c r="Q101" i="4"/>
  <c r="Q102" i="4"/>
  <c r="Q103" i="4"/>
  <c r="Q97" i="4"/>
  <c r="O103" i="4"/>
  <c r="O98" i="4"/>
  <c r="O99" i="4"/>
  <c r="O100" i="4"/>
  <c r="O101" i="4"/>
  <c r="O102" i="4"/>
  <c r="O97" i="4"/>
  <c r="P98" i="4"/>
  <c r="P99" i="4"/>
  <c r="P100" i="4"/>
  <c r="P101" i="4"/>
  <c r="P102" i="4"/>
  <c r="P103" i="4"/>
  <c r="P97" i="4"/>
  <c r="I89" i="4"/>
  <c r="D11" i="4"/>
  <c r="E11" i="4"/>
  <c r="F11" i="4"/>
  <c r="G11" i="4"/>
  <c r="H11" i="4"/>
  <c r="I11" i="4"/>
  <c r="I10" i="4"/>
  <c r="D36" i="4" l="1"/>
  <c r="E36" i="4"/>
  <c r="F36" i="4"/>
  <c r="G36" i="4"/>
  <c r="H36" i="4"/>
  <c r="I36" i="4"/>
  <c r="C36" i="4"/>
  <c r="C31" i="4"/>
  <c r="D31" i="4"/>
  <c r="E31" i="4"/>
  <c r="F31" i="4"/>
  <c r="G31" i="4"/>
  <c r="H31" i="4"/>
  <c r="I31" i="4"/>
  <c r="C32" i="4"/>
  <c r="D32" i="4"/>
  <c r="E32" i="4"/>
  <c r="F32" i="4"/>
  <c r="G32" i="4"/>
  <c r="H32" i="4"/>
  <c r="I32" i="4"/>
  <c r="C33" i="4"/>
  <c r="D33" i="4"/>
  <c r="E33" i="4"/>
  <c r="F33" i="4"/>
  <c r="G33" i="4"/>
  <c r="H33" i="4"/>
  <c r="I33" i="4"/>
  <c r="C34" i="4"/>
  <c r="D34" i="4"/>
  <c r="E34" i="4"/>
  <c r="F34" i="4"/>
  <c r="G34" i="4"/>
  <c r="H34" i="4"/>
  <c r="I34" i="4"/>
  <c r="C35" i="4"/>
  <c r="D35" i="4"/>
  <c r="E35" i="4"/>
  <c r="F35" i="4"/>
  <c r="G35" i="4"/>
  <c r="H35" i="4"/>
  <c r="I35" i="4"/>
  <c r="D30" i="4"/>
  <c r="E30" i="4"/>
  <c r="F30" i="4"/>
  <c r="G30" i="4"/>
  <c r="H30" i="4"/>
  <c r="I30" i="4"/>
  <c r="C30" i="4"/>
  <c r="F19" i="6" l="1"/>
  <c r="F20" i="6"/>
  <c r="F21" i="6"/>
  <c r="F22" i="6"/>
  <c r="F23" i="6"/>
  <c r="F24" i="6"/>
  <c r="F25" i="6"/>
  <c r="F18" i="6"/>
  <c r="F12" i="6"/>
  <c r="F5" i="6"/>
  <c r="B25" i="6"/>
  <c r="E25" i="6"/>
  <c r="B12" i="6"/>
  <c r="E12" i="6"/>
  <c r="B117" i="4"/>
  <c r="B104" i="4"/>
  <c r="B89" i="4"/>
  <c r="B76" i="4"/>
  <c r="B63" i="4"/>
  <c r="B50" i="4"/>
  <c r="B37" i="4"/>
  <c r="B24" i="4"/>
  <c r="D24" i="4"/>
  <c r="E24" i="4"/>
  <c r="F24" i="4"/>
  <c r="G24" i="4"/>
  <c r="H24" i="4"/>
  <c r="I24" i="4"/>
  <c r="C24" i="4"/>
  <c r="C11" i="4"/>
  <c r="B23" i="4" l="1"/>
  <c r="B36" i="4" s="1"/>
  <c r="E18" i="6" l="1"/>
  <c r="E19" i="6"/>
  <c r="E20" i="6"/>
  <c r="E21" i="6"/>
  <c r="E22" i="6"/>
  <c r="E23" i="6"/>
  <c r="E24" i="6"/>
  <c r="F11" i="6"/>
  <c r="F6" i="6"/>
  <c r="F7" i="6"/>
  <c r="F8" i="6"/>
  <c r="F9" i="6"/>
  <c r="F10" i="6"/>
  <c r="E6" i="6"/>
  <c r="E7" i="6"/>
  <c r="E8" i="6"/>
  <c r="E9" i="6"/>
  <c r="E10" i="6"/>
  <c r="E11" i="6"/>
  <c r="E5" i="6"/>
  <c r="D23" i="4" l="1"/>
  <c r="E23" i="4"/>
  <c r="F23" i="4"/>
  <c r="G23" i="4"/>
  <c r="H23" i="4"/>
  <c r="I23" i="4"/>
  <c r="C23" i="4"/>
  <c r="C18" i="4"/>
  <c r="C70" i="4" s="1"/>
  <c r="D18" i="4"/>
  <c r="D70" i="4" s="1"/>
  <c r="E18" i="4"/>
  <c r="E70" i="4" s="1"/>
  <c r="F18" i="4"/>
  <c r="G18" i="4"/>
  <c r="H18" i="4"/>
  <c r="I18" i="4"/>
  <c r="C19" i="4"/>
  <c r="C71" i="4" s="1"/>
  <c r="D19" i="4"/>
  <c r="D71" i="4" s="1"/>
  <c r="E19" i="4"/>
  <c r="E71" i="4" s="1"/>
  <c r="F19" i="4"/>
  <c r="F71" i="4" s="1"/>
  <c r="G19" i="4"/>
  <c r="G71" i="4" s="1"/>
  <c r="H19" i="4"/>
  <c r="I19" i="4"/>
  <c r="C20" i="4"/>
  <c r="C72" i="4" s="1"/>
  <c r="D20" i="4"/>
  <c r="D72" i="4" s="1"/>
  <c r="E20" i="4"/>
  <c r="E72" i="4" s="1"/>
  <c r="F20" i="4"/>
  <c r="F72" i="4" s="1"/>
  <c r="G20" i="4"/>
  <c r="G72" i="4" s="1"/>
  <c r="H20" i="4"/>
  <c r="H72" i="4" s="1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D17" i="4"/>
  <c r="E17" i="4"/>
  <c r="F17" i="4"/>
  <c r="G17" i="4"/>
  <c r="H17" i="4"/>
  <c r="I17" i="4"/>
  <c r="K25" i="4" s="1"/>
  <c r="C17" i="4"/>
  <c r="B49" i="4"/>
  <c r="B62" i="4" s="1"/>
  <c r="D10" i="4"/>
  <c r="E10" i="4"/>
  <c r="F10" i="4"/>
  <c r="G10" i="4"/>
  <c r="H10" i="4"/>
  <c r="C10" i="4"/>
  <c r="D4" i="4"/>
  <c r="E4" i="4"/>
  <c r="F4" i="4"/>
  <c r="G4" i="4"/>
  <c r="H4" i="4"/>
  <c r="I4" i="4"/>
  <c r="D5" i="4"/>
  <c r="E5" i="4"/>
  <c r="F5" i="4"/>
  <c r="G5" i="4"/>
  <c r="H5" i="4"/>
  <c r="I5" i="4"/>
  <c r="I57" i="4" s="1"/>
  <c r="D6" i="4"/>
  <c r="E6" i="4"/>
  <c r="F6" i="4"/>
  <c r="G6" i="4"/>
  <c r="H6" i="4"/>
  <c r="I6" i="4"/>
  <c r="I58" i="4" s="1"/>
  <c r="D7" i="4"/>
  <c r="E7" i="4"/>
  <c r="F7" i="4"/>
  <c r="G7" i="4"/>
  <c r="H7" i="4"/>
  <c r="I7" i="4"/>
  <c r="D8" i="4"/>
  <c r="E8" i="4"/>
  <c r="F8" i="4"/>
  <c r="G8" i="4"/>
  <c r="H8" i="4"/>
  <c r="I8" i="4"/>
  <c r="D9" i="4"/>
  <c r="E9" i="4"/>
  <c r="F9" i="4"/>
  <c r="G9" i="4"/>
  <c r="H9" i="4"/>
  <c r="I9" i="4"/>
  <c r="I61" i="4" s="1"/>
  <c r="C5" i="4"/>
  <c r="C6" i="4"/>
  <c r="C7" i="4"/>
  <c r="C8" i="4"/>
  <c r="C9" i="4"/>
  <c r="C4" i="4"/>
  <c r="B5" i="4"/>
  <c r="B18" i="4" s="1"/>
  <c r="B31" i="4" s="1"/>
  <c r="B6" i="4"/>
  <c r="B19" i="4" s="1"/>
  <c r="B32" i="4" s="1"/>
  <c r="B7" i="4"/>
  <c r="B20" i="4" s="1"/>
  <c r="B33" i="4" s="1"/>
  <c r="B8" i="4"/>
  <c r="B21" i="4" s="1"/>
  <c r="B34" i="4" s="1"/>
  <c r="B9" i="4"/>
  <c r="B22" i="4" s="1"/>
  <c r="B35" i="4" s="1"/>
  <c r="B4" i="4"/>
  <c r="O2" i="1"/>
  <c r="P2" i="1"/>
  <c r="O3" i="1"/>
  <c r="P3" i="1"/>
  <c r="O4" i="1"/>
  <c r="P4" i="1"/>
  <c r="O5" i="1"/>
  <c r="P5" i="1"/>
  <c r="O6" i="1"/>
  <c r="P6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 s="1"/>
  <c r="P11" i="1" s="1"/>
  <c r="B10" i="1"/>
  <c r="C10" i="1"/>
  <c r="D10" i="1"/>
  <c r="D12" i="1" s="1"/>
  <c r="E10" i="1"/>
  <c r="F10" i="1"/>
  <c r="G10" i="1"/>
  <c r="H10" i="1"/>
  <c r="H12" i="1" s="1"/>
  <c r="I10" i="1"/>
  <c r="J10" i="1"/>
  <c r="K10" i="1"/>
  <c r="L10" i="1"/>
  <c r="L12" i="1" s="1"/>
  <c r="M10" i="1"/>
  <c r="N10" i="1"/>
  <c r="O11" i="1"/>
  <c r="B12" i="1"/>
  <c r="C12" i="1"/>
  <c r="E12" i="1"/>
  <c r="F12" i="1"/>
  <c r="G12" i="1"/>
  <c r="I12" i="1"/>
  <c r="J12" i="1"/>
  <c r="K12" i="1"/>
  <c r="M12" i="1"/>
  <c r="N12" i="1"/>
  <c r="A2" i="3"/>
  <c r="A3" i="3"/>
  <c r="A4" i="3"/>
  <c r="A5" i="3"/>
  <c r="A6" i="3"/>
  <c r="A7" i="3"/>
  <c r="A8" i="2"/>
  <c r="B8" i="2"/>
  <c r="C8" i="2"/>
  <c r="D8" i="2"/>
  <c r="E8" i="2"/>
  <c r="F8" i="2"/>
  <c r="G8" i="2"/>
  <c r="H8" i="2"/>
  <c r="B10" i="2"/>
  <c r="C10" i="2"/>
  <c r="D10" i="2"/>
  <c r="E10" i="2"/>
  <c r="F10" i="2"/>
  <c r="G10" i="2"/>
  <c r="H10" i="2"/>
  <c r="B12" i="2"/>
  <c r="C12" i="2"/>
  <c r="D12" i="2"/>
  <c r="E12" i="2"/>
  <c r="F12" i="2"/>
  <c r="G12" i="2"/>
  <c r="H12" i="2"/>
  <c r="C111" i="4" l="1"/>
  <c r="C98" i="4"/>
  <c r="C112" i="4"/>
  <c r="C99" i="4"/>
  <c r="K13" i="4"/>
  <c r="C113" i="4"/>
  <c r="C100" i="4"/>
  <c r="K24" i="4"/>
  <c r="D112" i="4"/>
  <c r="D99" i="4"/>
  <c r="H113" i="4"/>
  <c r="H100" i="4"/>
  <c r="D113" i="4"/>
  <c r="D100" i="4"/>
  <c r="G112" i="4"/>
  <c r="G99" i="4"/>
  <c r="E100" i="4"/>
  <c r="E113" i="4"/>
  <c r="G100" i="4"/>
  <c r="G113" i="4"/>
  <c r="F112" i="4"/>
  <c r="F99" i="4"/>
  <c r="E98" i="4"/>
  <c r="E111" i="4"/>
  <c r="F100" i="4"/>
  <c r="F113" i="4"/>
  <c r="E99" i="4"/>
  <c r="E112" i="4"/>
  <c r="D98" i="4"/>
  <c r="D111" i="4"/>
  <c r="I37" i="4"/>
  <c r="B17" i="4"/>
  <c r="B30" i="4" s="1"/>
  <c r="B43" i="4" s="1"/>
  <c r="B56" i="4" s="1"/>
  <c r="C21" i="6"/>
  <c r="H8" i="6" s="1"/>
  <c r="B75" i="4"/>
  <c r="B11" i="6"/>
  <c r="G62" i="4"/>
  <c r="C59" i="4"/>
  <c r="C85" i="4"/>
  <c r="H74" i="4"/>
  <c r="D48" i="4"/>
  <c r="F60" i="4"/>
  <c r="H59" i="4"/>
  <c r="H85" i="4"/>
  <c r="D21" i="6" s="1"/>
  <c r="D59" i="4"/>
  <c r="D85" i="4"/>
  <c r="F58" i="4"/>
  <c r="H57" i="4"/>
  <c r="D44" i="4"/>
  <c r="D83" i="4"/>
  <c r="E75" i="4"/>
  <c r="C58" i="4"/>
  <c r="C84" i="4"/>
  <c r="G87" i="4"/>
  <c r="E73" i="4"/>
  <c r="G59" i="4"/>
  <c r="G85" i="4"/>
  <c r="E45" i="4"/>
  <c r="E84" i="4"/>
  <c r="G83" i="4"/>
  <c r="H49" i="4"/>
  <c r="D49" i="4"/>
  <c r="C48" i="4"/>
  <c r="C57" i="4"/>
  <c r="C83" i="4"/>
  <c r="F61" i="4"/>
  <c r="H60" i="4"/>
  <c r="D60" i="4"/>
  <c r="F46" i="4"/>
  <c r="F85" i="4"/>
  <c r="H84" i="4"/>
  <c r="D20" i="6" s="1"/>
  <c r="D45" i="4"/>
  <c r="D84" i="4"/>
  <c r="F57" i="4"/>
  <c r="C60" i="4"/>
  <c r="E61" i="4"/>
  <c r="G60" i="4"/>
  <c r="E46" i="4"/>
  <c r="E85" i="4"/>
  <c r="G58" i="4"/>
  <c r="E57" i="4"/>
  <c r="C62" i="4"/>
  <c r="F62" i="4"/>
  <c r="I72" i="4"/>
  <c r="I47" i="4"/>
  <c r="I43" i="4"/>
  <c r="I85" i="4"/>
  <c r="D8" i="6" s="1"/>
  <c r="I73" i="4"/>
  <c r="I74" i="4"/>
  <c r="I70" i="4"/>
  <c r="I75" i="4"/>
  <c r="I69" i="4"/>
  <c r="I82" i="4"/>
  <c r="I71" i="4"/>
  <c r="I62" i="4"/>
  <c r="I46" i="4"/>
  <c r="I45" i="4"/>
  <c r="I59" i="4"/>
  <c r="I86" i="4"/>
  <c r="D9" i="6" s="1"/>
  <c r="I48" i="4"/>
  <c r="I44" i="4"/>
  <c r="I49" i="4"/>
  <c r="I56" i="4"/>
  <c r="I60" i="4"/>
  <c r="E60" i="4"/>
  <c r="I87" i="4"/>
  <c r="D10" i="6" s="1"/>
  <c r="I83" i="4"/>
  <c r="D6" i="6" s="1"/>
  <c r="I88" i="4"/>
  <c r="D11" i="6" s="1"/>
  <c r="I84" i="4"/>
  <c r="D7" i="6" s="1"/>
  <c r="B48" i="4"/>
  <c r="B61" i="4" s="1"/>
  <c r="B44" i="4"/>
  <c r="B57" i="4" s="1"/>
  <c r="B45" i="4"/>
  <c r="B58" i="4" s="1"/>
  <c r="B47" i="4"/>
  <c r="B60" i="4" s="1"/>
  <c r="B46" i="4"/>
  <c r="B59" i="4" s="1"/>
  <c r="K63" i="4" l="1"/>
  <c r="I116" i="4"/>
  <c r="L123" i="4" s="1"/>
  <c r="I103" i="4"/>
  <c r="N103" i="4" s="1"/>
  <c r="E116" i="4"/>
  <c r="E103" i="4"/>
  <c r="I102" i="4"/>
  <c r="N102" i="4"/>
  <c r="N101" i="4"/>
  <c r="N99" i="4"/>
  <c r="K51" i="4"/>
  <c r="I99" i="4"/>
  <c r="I112" i="4"/>
  <c r="L119" i="4" s="1"/>
  <c r="I98" i="4"/>
  <c r="N98" i="4" s="1"/>
  <c r="I111" i="4"/>
  <c r="L118" i="4" s="1"/>
  <c r="E114" i="4"/>
  <c r="E101" i="4"/>
  <c r="I115" i="4"/>
  <c r="L122" i="4" s="1"/>
  <c r="I110" i="4"/>
  <c r="L117" i="4" s="1"/>
  <c r="I97" i="4"/>
  <c r="N97" i="4" s="1"/>
  <c r="I114" i="4"/>
  <c r="L121" i="4" s="1"/>
  <c r="I101" i="4"/>
  <c r="I113" i="4"/>
  <c r="L120" i="4" s="1"/>
  <c r="I100" i="4"/>
  <c r="N100" i="4" s="1"/>
  <c r="H115" i="4"/>
  <c r="H102" i="4"/>
  <c r="G56" i="4"/>
  <c r="G37" i="4"/>
  <c r="F69" i="4"/>
  <c r="F37" i="4"/>
  <c r="H56" i="4"/>
  <c r="H37" i="4"/>
  <c r="I63" i="4"/>
  <c r="C82" i="4"/>
  <c r="C37" i="4"/>
  <c r="D56" i="4"/>
  <c r="D37" i="4"/>
  <c r="E69" i="4"/>
  <c r="E37" i="4"/>
  <c r="I76" i="4"/>
  <c r="I104" i="4" s="1"/>
  <c r="D12" i="6"/>
  <c r="I50" i="4"/>
  <c r="C74" i="4"/>
  <c r="D5" i="6"/>
  <c r="F47" i="4"/>
  <c r="G48" i="4"/>
  <c r="C87" i="4"/>
  <c r="B5" i="6"/>
  <c r="B69" i="4"/>
  <c r="B18" i="6" s="1"/>
  <c r="H82" i="4"/>
  <c r="D18" i="6" s="1"/>
  <c r="G88" i="4"/>
  <c r="H43" i="4"/>
  <c r="F43" i="4"/>
  <c r="F56" i="4"/>
  <c r="E43" i="4"/>
  <c r="H44" i="4"/>
  <c r="E44" i="4"/>
  <c r="H58" i="4"/>
  <c r="F48" i="4"/>
  <c r="G75" i="4"/>
  <c r="D88" i="4"/>
  <c r="E82" i="4"/>
  <c r="C7" i="6"/>
  <c r="G7" i="6" s="1"/>
  <c r="C6" i="6"/>
  <c r="G6" i="6" s="1"/>
  <c r="C9" i="6"/>
  <c r="G9" i="6" s="1"/>
  <c r="C10" i="6"/>
  <c r="G10" i="6" s="1"/>
  <c r="D57" i="4"/>
  <c r="E48" i="4"/>
  <c r="D61" i="4"/>
  <c r="C5" i="6"/>
  <c r="F49" i="4"/>
  <c r="C8" i="6"/>
  <c r="G8" i="6" s="1"/>
  <c r="C23" i="6"/>
  <c r="G49" i="4"/>
  <c r="C61" i="4"/>
  <c r="C11" i="6"/>
  <c r="G11" i="6" s="1"/>
  <c r="C49" i="4"/>
  <c r="F73" i="4"/>
  <c r="G21" i="6"/>
  <c r="D87" i="4"/>
  <c r="B88" i="4"/>
  <c r="B103" i="4" s="1"/>
  <c r="B116" i="4" s="1"/>
  <c r="B24" i="6"/>
  <c r="D69" i="4"/>
  <c r="G46" i="4"/>
  <c r="E59" i="4"/>
  <c r="E58" i="4"/>
  <c r="E74" i="4"/>
  <c r="E86" i="4"/>
  <c r="D73" i="4"/>
  <c r="D43" i="4"/>
  <c r="H46" i="4"/>
  <c r="D47" i="4"/>
  <c r="E47" i="4"/>
  <c r="D86" i="4"/>
  <c r="F74" i="4"/>
  <c r="B72" i="4"/>
  <c r="B8" i="6"/>
  <c r="B73" i="4"/>
  <c r="B9" i="6"/>
  <c r="B74" i="4"/>
  <c r="B10" i="6"/>
  <c r="C44" i="4"/>
  <c r="F59" i="4"/>
  <c r="C88" i="4"/>
  <c r="E83" i="4"/>
  <c r="E87" i="4"/>
  <c r="D82" i="4"/>
  <c r="F87" i="4"/>
  <c r="B70" i="4"/>
  <c r="B6" i="6"/>
  <c r="F82" i="4"/>
  <c r="F86" i="4"/>
  <c r="D74" i="4"/>
  <c r="B71" i="4"/>
  <c r="B7" i="6"/>
  <c r="F88" i="4"/>
  <c r="G82" i="4"/>
  <c r="G84" i="4"/>
  <c r="G86" i="4"/>
  <c r="C86" i="4"/>
  <c r="B82" i="4"/>
  <c r="B97" i="4" s="1"/>
  <c r="B110" i="4" s="1"/>
  <c r="F45" i="4"/>
  <c r="H61" i="4"/>
  <c r="G45" i="4"/>
  <c r="H87" i="4"/>
  <c r="D23" i="6" s="1"/>
  <c r="E62" i="4"/>
  <c r="C45" i="4"/>
  <c r="C75" i="4"/>
  <c r="E88" i="4"/>
  <c r="F84" i="4"/>
  <c r="C73" i="4"/>
  <c r="G61" i="4"/>
  <c r="C56" i="4"/>
  <c r="G70" i="4"/>
  <c r="H73" i="4"/>
  <c r="F75" i="4"/>
  <c r="D75" i="4"/>
  <c r="G73" i="4"/>
  <c r="C69" i="4"/>
  <c r="C43" i="4"/>
  <c r="K50" i="4" s="1"/>
  <c r="G44" i="4"/>
  <c r="E49" i="4"/>
  <c r="G43" i="4"/>
  <c r="G57" i="4"/>
  <c r="D62" i="4"/>
  <c r="D46" i="4"/>
  <c r="H47" i="4"/>
  <c r="H71" i="4"/>
  <c r="G74" i="4"/>
  <c r="H88" i="4"/>
  <c r="D24" i="6" s="1"/>
  <c r="H83" i="4"/>
  <c r="D19" i="6" s="1"/>
  <c r="H75" i="4"/>
  <c r="E56" i="4"/>
  <c r="H45" i="4"/>
  <c r="C46" i="4"/>
  <c r="D58" i="4"/>
  <c r="H62" i="4"/>
  <c r="C47" i="4"/>
  <c r="G47" i="4"/>
  <c r="H48" i="4"/>
  <c r="F44" i="4"/>
  <c r="F83" i="4"/>
  <c r="H86" i="4"/>
  <c r="D22" i="6" s="1"/>
  <c r="G69" i="4"/>
  <c r="F70" i="4"/>
  <c r="H69" i="4"/>
  <c r="H70" i="4"/>
  <c r="C97" i="4" l="1"/>
  <c r="C110" i="4"/>
  <c r="C101" i="4"/>
  <c r="C114" i="4"/>
  <c r="C115" i="4"/>
  <c r="C102" i="4"/>
  <c r="M124" i="4"/>
  <c r="H116" i="4"/>
  <c r="H103" i="4"/>
  <c r="F103" i="4"/>
  <c r="F116" i="4"/>
  <c r="C116" i="4"/>
  <c r="C103" i="4"/>
  <c r="G116" i="4"/>
  <c r="G103" i="4"/>
  <c r="D116" i="4"/>
  <c r="D103" i="4"/>
  <c r="C63" i="4"/>
  <c r="K62" i="4"/>
  <c r="L106" i="4"/>
  <c r="F111" i="4"/>
  <c r="F98" i="4"/>
  <c r="F114" i="4"/>
  <c r="F101" i="4"/>
  <c r="E110" i="4"/>
  <c r="E97" i="4"/>
  <c r="G97" i="4"/>
  <c r="G110" i="4"/>
  <c r="H99" i="4"/>
  <c r="H112" i="4"/>
  <c r="D101" i="4"/>
  <c r="D114" i="4"/>
  <c r="F110" i="4"/>
  <c r="F97" i="4"/>
  <c r="G115" i="4"/>
  <c r="G102" i="4"/>
  <c r="H98" i="4"/>
  <c r="H111" i="4"/>
  <c r="H114" i="4"/>
  <c r="H101" i="4"/>
  <c r="D115" i="4"/>
  <c r="D102" i="4"/>
  <c r="H110" i="4"/>
  <c r="H97" i="4"/>
  <c r="G101" i="4"/>
  <c r="G114" i="4"/>
  <c r="G98" i="4"/>
  <c r="G111" i="4"/>
  <c r="F115" i="4"/>
  <c r="F102" i="4"/>
  <c r="E102" i="4"/>
  <c r="E115" i="4"/>
  <c r="D110" i="4"/>
  <c r="D97" i="4"/>
  <c r="E63" i="4"/>
  <c r="G5" i="6"/>
  <c r="F50" i="4"/>
  <c r="F76" i="4"/>
  <c r="F117" i="4" s="1"/>
  <c r="F89" i="4"/>
  <c r="D76" i="4"/>
  <c r="D117" i="4" s="1"/>
  <c r="D89" i="4"/>
  <c r="D50" i="4"/>
  <c r="C12" i="6"/>
  <c r="G12" i="6" s="1"/>
  <c r="I117" i="4"/>
  <c r="L124" i="4" s="1"/>
  <c r="D63" i="4"/>
  <c r="H76" i="4"/>
  <c r="H104" i="4" s="1"/>
  <c r="H89" i="4"/>
  <c r="D25" i="6" s="1"/>
  <c r="H50" i="4"/>
  <c r="G89" i="4"/>
  <c r="G50" i="4"/>
  <c r="G76" i="4"/>
  <c r="G117" i="4" s="1"/>
  <c r="F63" i="4"/>
  <c r="E76" i="4"/>
  <c r="E117" i="4" s="1"/>
  <c r="E89" i="4"/>
  <c r="E50" i="4"/>
  <c r="C50" i="4"/>
  <c r="C89" i="4"/>
  <c r="C76" i="4"/>
  <c r="C117" i="4" s="1"/>
  <c r="H63" i="4"/>
  <c r="G63" i="4"/>
  <c r="H10" i="6"/>
  <c r="G23" i="6"/>
  <c r="C22" i="6"/>
  <c r="H9" i="6" s="1"/>
  <c r="C19" i="6"/>
  <c r="H6" i="6" s="1"/>
  <c r="C18" i="6"/>
  <c r="G18" i="6" s="1"/>
  <c r="C24" i="6"/>
  <c r="H11" i="6" s="1"/>
  <c r="C20" i="6"/>
  <c r="G20" i="6" s="1"/>
  <c r="B83" i="4"/>
  <c r="B98" i="4" s="1"/>
  <c r="B111" i="4" s="1"/>
  <c r="B19" i="6"/>
  <c r="B86" i="4"/>
  <c r="B101" i="4" s="1"/>
  <c r="B114" i="4" s="1"/>
  <c r="B22" i="6"/>
  <c r="B84" i="4"/>
  <c r="B99" i="4" s="1"/>
  <c r="B112" i="4" s="1"/>
  <c r="B20" i="6"/>
  <c r="B87" i="4"/>
  <c r="B102" i="4" s="1"/>
  <c r="B115" i="4" s="1"/>
  <c r="B23" i="6"/>
  <c r="B85" i="4"/>
  <c r="B100" i="4" s="1"/>
  <c r="B113" i="4" s="1"/>
  <c r="B21" i="6"/>
  <c r="C104" i="4" l="1"/>
  <c r="D104" i="4"/>
  <c r="E104" i="4"/>
  <c r="G104" i="4"/>
  <c r="C25" i="6"/>
  <c r="H12" i="6" s="1"/>
  <c r="H117" i="4"/>
  <c r="F104" i="4"/>
  <c r="G19" i="6"/>
  <c r="H7" i="6"/>
  <c r="G24" i="6"/>
  <c r="G22" i="6"/>
  <c r="H5" i="6"/>
  <c r="G25" i="6" l="1"/>
</calcChain>
</file>

<file path=xl/sharedStrings.xml><?xml version="1.0" encoding="utf-8"?>
<sst xmlns="http://schemas.openxmlformats.org/spreadsheetml/2006/main" count="179" uniqueCount="85">
  <si>
    <t>Aktivität / Monat</t>
  </si>
  <si>
    <t>Anforderungsanalyse</t>
  </si>
  <si>
    <t>Design und Architektur</t>
  </si>
  <si>
    <t>Implementierung</t>
  </si>
  <si>
    <t>Integration und Test</t>
  </si>
  <si>
    <t>Projektmanagement</t>
  </si>
  <si>
    <t>Puffer für unerwartetes</t>
  </si>
  <si>
    <t>Summe Personenstunden pro Monat</t>
  </si>
  <si>
    <t>Personalkosten in Euro pro Monat</t>
  </si>
  <si>
    <t>Summe Material</t>
  </si>
  <si>
    <t>Materialkosten in Euro pro Monat</t>
  </si>
  <si>
    <t>Summe Kosten pro Monat</t>
  </si>
  <si>
    <t>Durchschnittliche Stundenkosten:</t>
  </si>
  <si>
    <t>pro Stunde</t>
  </si>
  <si>
    <t>Material</t>
  </si>
  <si>
    <t>Fertigstellungsgrad am Monatsende in %</t>
  </si>
  <si>
    <t>Posten</t>
  </si>
  <si>
    <t>EV (Earned Value)</t>
  </si>
  <si>
    <t>Formel:</t>
  </si>
  <si>
    <t>1</t>
  </si>
  <si>
    <t>2</t>
  </si>
  <si>
    <t>3</t>
  </si>
  <si>
    <t>4</t>
  </si>
  <si>
    <t>5</t>
  </si>
  <si>
    <t>6</t>
  </si>
  <si>
    <t>7</t>
  </si>
  <si>
    <t>Materialkosten</t>
  </si>
  <si>
    <t>Tatsächlicher Stundensatz</t>
  </si>
  <si>
    <t>Summe(Kosten bis IST-Zustand)</t>
  </si>
  <si>
    <t>Summe(Stunden bis IST-Zustand) * Stundensatz (80 €)</t>
  </si>
  <si>
    <t>Summe(Stunden bis IST-Zustand) * Stundensatz (85 €)</t>
  </si>
  <si>
    <t>PlannedValue * Fertigstellungsgrad</t>
  </si>
  <si>
    <t>CV (Cost Variance)</t>
  </si>
  <si>
    <t>SV (Schedule Variance)</t>
  </si>
  <si>
    <t>CPI (Cost Performance Index)</t>
  </si>
  <si>
    <t>SPI (Schedule Performance Index)</t>
  </si>
  <si>
    <t>€ / € =&gt; %</t>
  </si>
  <si>
    <t>EV - AC</t>
  </si>
  <si>
    <t>EV - PV</t>
  </si>
  <si>
    <t>EV / PV</t>
  </si>
  <si>
    <t>AC (Actual Cost)</t>
  </si>
  <si>
    <t>Baseline</t>
  </si>
  <si>
    <t>CPI</t>
  </si>
  <si>
    <t>SPI</t>
  </si>
  <si>
    <t>Abgeschlossen</t>
  </si>
  <si>
    <t>Status</t>
  </si>
  <si>
    <t>Trend</t>
  </si>
  <si>
    <t>Budget [k €]</t>
  </si>
  <si>
    <t>Rot Grenze</t>
  </si>
  <si>
    <t>Grün Grenze</t>
  </si>
  <si>
    <t>Rot Text</t>
  </si>
  <si>
    <t>Rot</t>
  </si>
  <si>
    <t>Gelb Text</t>
  </si>
  <si>
    <t>Gelb</t>
  </si>
  <si>
    <t>Grün Text</t>
  </si>
  <si>
    <t>Grün</t>
  </si>
  <si>
    <t>Stand Monat 7</t>
  </si>
  <si>
    <t>Stand Monat 6</t>
  </si>
  <si>
    <t>Aufsteigender Trend</t>
  </si>
  <si>
    <t>Abfallender Trend</t>
  </si>
  <si>
    <t>POS</t>
  </si>
  <si>
    <t>NEG</t>
  </si>
  <si>
    <t>EQ</t>
  </si>
  <si>
    <t>Gleichbleibend</t>
  </si>
  <si>
    <t>DIV#0</t>
  </si>
  <si>
    <t>-</t>
  </si>
  <si>
    <t>Gleichbleibend Epsilon</t>
  </si>
  <si>
    <t>ETC (Estimate to complete)</t>
  </si>
  <si>
    <t>(BAC - EV) / CPI</t>
  </si>
  <si>
    <t>BAC (Budget at Completion)</t>
  </si>
  <si>
    <t>EAC (Estimate at Completion)</t>
  </si>
  <si>
    <t>BAC / CPI</t>
  </si>
  <si>
    <t>EV / AC</t>
  </si>
  <si>
    <t>1 [k €]</t>
  </si>
  <si>
    <t>2 [k €]</t>
  </si>
  <si>
    <t>3 [k €]</t>
  </si>
  <si>
    <t>4 [k €]</t>
  </si>
  <si>
    <t>5 [k €]</t>
  </si>
  <si>
    <t>6 [k €]</t>
  </si>
  <si>
    <t>7 [k €]</t>
  </si>
  <si>
    <t>Gesamt</t>
  </si>
  <si>
    <t>PV (Planned Value)</t>
  </si>
  <si>
    <t>bac - ev</t>
  </si>
  <si>
    <t xml:space="preserve">bac 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</si>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</sst>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€ &quot;#,##0"/>
    <numFmt numFmtId="165" formatCode="&quot;€ &quot;#,##0.00"/>
    <numFmt numFmtId="166" formatCode="#,##0_ ;[Red]\-#,##0\ "/>
    <numFmt numFmtId="167" formatCode="#,##0.00_ ;[Red]\-#,##0.00\ "/>
    <numFmt numFmtId="168" formatCode="#,##0\ &quot;€&quot;"/>
  </numFmts>
  <fonts count="19" x14ac:knownFonts="1">
    <font>
      <sz val="10"/>
      <name val="Arial"/>
      <family val="2"/>
    </font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sz val="10"/>
      <color indexed="19"/>
      <name val="Arial"/>
      <family val="2"/>
    </font>
    <font>
      <sz val="10"/>
      <name val="Arial"/>
      <family val="2"/>
    </font>
    <font>
      <sz val="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2" borderId="1" applyNumberFormat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8" borderId="0" applyNumberFormat="0" applyBorder="0" applyAlignment="0" applyProtection="0"/>
  </cellStyleXfs>
  <cellXfs count="36">
    <xf numFmtId="0" fontId="0" fillId="0" borderId="0" xfId="0"/>
    <xf numFmtId="0" fontId="13" fillId="0" borderId="2" xfId="0" applyFont="1" applyBorder="1"/>
    <xf numFmtId="0" fontId="13" fillId="0" borderId="0" xfId="0" applyFont="1"/>
    <xf numFmtId="0" fontId="13" fillId="0" borderId="3" xfId="0" applyFont="1" applyBorder="1"/>
    <xf numFmtId="0" fontId="0" fillId="0" borderId="0" xfId="0" applyFont="1"/>
    <xf numFmtId="0" fontId="14" fillId="0" borderId="2" xfId="0" applyFont="1" applyBorder="1"/>
    <xf numFmtId="0" fontId="1" fillId="0" borderId="0" xfId="0" applyFont="1"/>
    <xf numFmtId="164" fontId="1" fillId="0" borderId="3" xfId="0" applyNumberFormat="1" applyFont="1" applyBorder="1"/>
    <xf numFmtId="164" fontId="15" fillId="0" borderId="3" xfId="0" applyNumberFormat="1" applyFont="1" applyBorder="1"/>
    <xf numFmtId="0" fontId="0" fillId="0" borderId="2" xfId="0" applyBorder="1"/>
    <xf numFmtId="165" fontId="0" fillId="0" borderId="3" xfId="0" applyNumberFormat="1" applyBorder="1"/>
    <xf numFmtId="0" fontId="1" fillId="0" borderId="2" xfId="0" applyFont="1" applyBorder="1"/>
    <xf numFmtId="164" fontId="0" fillId="0" borderId="0" xfId="0" applyNumberFormat="1"/>
    <xf numFmtId="164" fontId="13" fillId="0" borderId="3" xfId="0" applyNumberFormat="1" applyFont="1" applyBorder="1"/>
    <xf numFmtId="164" fontId="13" fillId="0" borderId="0" xfId="0" applyNumberFormat="1" applyFont="1"/>
    <xf numFmtId="0" fontId="14" fillId="0" borderId="0" xfId="0" applyFont="1"/>
    <xf numFmtId="9" fontId="16" fillId="0" borderId="0" xfId="0" applyNumberFormat="1" applyFont="1"/>
    <xf numFmtId="9" fontId="13" fillId="0" borderId="0" xfId="0" applyNumberFormat="1" applyFont="1"/>
    <xf numFmtId="0" fontId="13" fillId="0" borderId="0" xfId="0" applyNumberFormat="1" applyFont="1"/>
    <xf numFmtId="164" fontId="16" fillId="0" borderId="0" xfId="0" applyNumberFormat="1" applyFon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Font="1"/>
    <xf numFmtId="167" fontId="0" fillId="0" borderId="0" xfId="0" applyNumberFormat="1" applyFont="1"/>
    <xf numFmtId="166" fontId="13" fillId="0" borderId="0" xfId="0" applyNumberFormat="1" applyFont="1"/>
    <xf numFmtId="167" fontId="13" fillId="0" borderId="0" xfId="0" applyNumberFormat="1" applyFont="1"/>
    <xf numFmtId="9" fontId="0" fillId="0" borderId="0" xfId="0" applyNumberFormat="1" applyBorder="1"/>
    <xf numFmtId="0" fontId="3" fillId="0" borderId="0" xfId="2"/>
    <xf numFmtId="168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6"/>
    <cellStyle name="Good" xfId="8"/>
    <cellStyle name="Heading" xfId="1"/>
    <cellStyle name="Heading 1" xfId="2"/>
    <cellStyle name="Heading 2" xfId="3"/>
    <cellStyle name="Neutral" xfId="9" builtinId="28" customBuiltin="1"/>
    <cellStyle name="Note" xfId="5"/>
    <cellStyle name="Standard" xfId="0" builtinId="0"/>
    <cellStyle name="Status" xfId="7"/>
    <cellStyle name="Text" xfId="4"/>
    <cellStyle name="Warning" xfId="11"/>
  </cellStyles>
  <dxfs count="126"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fill>
        <patternFill>
          <bgColor rgb="FFFF6969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rgb="FF92D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rgb="FFF6F8FC"/>
          <bgColor rgb="FFF0F3FA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7558519241921"/>
        </horizontal>
      </border>
    </dxf>
  </dxfs>
  <tableStyles count="1" defaultTableStyle="SpBC" defaultPivotStyle="PivotStyleLight16">
    <tableStyle name="SpBC" pivot="0" count="7">
      <tableStyleElement type="wholeTable" dxfId="125"/>
      <tableStyleElement type="headerRow" dxfId="124"/>
      <tableStyleElement type="totalRow" dxfId="123"/>
      <tableStyleElement type="firstColumn" dxfId="122"/>
      <tableStyleElement type="lastColumn" dxfId="121"/>
      <tableStyleElement type="firstRowStripe" dxfId="120"/>
      <tableStyleElement type="firstColumnStripe" dxfId="1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E3436"/>
      <rgbColor rgb="00996600"/>
      <rgbColor rgb="00993366"/>
      <rgbColor rgb="00333399"/>
      <rgbColor rgb="00333333"/>
    </indexedColors>
    <mruColors>
      <color rgb="FFFF6969"/>
      <color rgb="FFFF9797"/>
      <color rgb="FFFF3300"/>
      <color rgb="FFF56859"/>
      <color rgb="FFFFDE75"/>
      <color rgb="FFF49078"/>
      <color rgb="FFED502B"/>
      <color rgb="FFF0F3FA"/>
      <color rgb="FFF6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Kennzahlen!$C$4:$I$4</c:f>
              <c:numCache>
                <c:formatCode>#,##0\ "€"</c:formatCode>
                <c:ptCount val="7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4-4632-AB2D-5EEFF68B5D2E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Kennzahlen!$C$17:$I$17</c:f>
              <c:numCache>
                <c:formatCode>#,##0\ "€"</c:formatCode>
                <c:ptCount val="7"/>
                <c:pt idx="0">
                  <c:v>42500</c:v>
                </c:pt>
                <c:pt idx="1">
                  <c:v>85000</c:v>
                </c:pt>
                <c:pt idx="2">
                  <c:v>130900</c:v>
                </c:pt>
                <c:pt idx="3">
                  <c:v>135150</c:v>
                </c:pt>
                <c:pt idx="4">
                  <c:v>135150</c:v>
                </c:pt>
                <c:pt idx="5">
                  <c:v>135150</c:v>
                </c:pt>
                <c:pt idx="6">
                  <c:v>135150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4-4632-AB2D-5EEFF68B5D2E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Kennzahlen!$C$30:$I$30</c:f>
              <c:numCache>
                <c:formatCode>#,##0\ "€"</c:formatCode>
                <c:ptCount val="7"/>
                <c:pt idx="0">
                  <c:v>50400</c:v>
                </c:pt>
                <c:pt idx="1">
                  <c:v>7200</c:v>
                </c:pt>
                <c:pt idx="2">
                  <c:v>14400</c:v>
                </c:pt>
                <c:pt idx="3">
                  <c:v>43200</c:v>
                </c:pt>
                <c:pt idx="4">
                  <c:v>72000</c:v>
                </c:pt>
                <c:pt idx="5">
                  <c:v>115200</c:v>
                </c:pt>
                <c:pt idx="6">
                  <c:v>129600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4-4632-AB2D-5EEFF68B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Kennzahlen!$C$71:$I$71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1.8447058823529412</c:v>
                </c:pt>
                <c:pt idx="6">
                  <c:v>2.3058823529411763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8-4561-BFEB-32AD9818C416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Kennzahlen!$C$84:$I$84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</c:v>
                </c:pt>
                <c:pt idx="6">
                  <c:v>0.61250000000000004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8-4561-BFEB-32AD9818C416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A8-4561-BFEB-32AD9818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Kennzahlen!$C$72:$I$72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2.1176470588235294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3-43EF-B16D-2463182CCA54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Kennzahlen!$C$85:$I$85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3-43EF-B16D-2463182CCA54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3-43EF-B16D-2463182C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Kennzahlen!$C$73:$I$73</c:f>
              <c:numCache>
                <c:formatCode>0.00</c:formatCode>
                <c:ptCount val="7"/>
                <c:pt idx="0">
                  <c:v>0.89725490196078428</c:v>
                </c:pt>
                <c:pt idx="1">
                  <c:v>0.15294117647058825</c:v>
                </c:pt>
                <c:pt idx="2">
                  <c:v>0.33647058823529413</c:v>
                </c:pt>
                <c:pt idx="3">
                  <c:v>0.3738562091503268</c:v>
                </c:pt>
                <c:pt idx="4">
                  <c:v>0.50470588235294123</c:v>
                </c:pt>
                <c:pt idx="5">
                  <c:v>0.61176470588235299</c:v>
                </c:pt>
                <c:pt idx="6">
                  <c:v>0.7009803921568627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6-4064-B00C-96B24F5312D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Kennzahlen!$C$86:$I$86</c:f>
              <c:numCache>
                <c:formatCode>0.00</c:formatCode>
                <c:ptCount val="7"/>
                <c:pt idx="0">
                  <c:v>1.04</c:v>
                </c:pt>
                <c:pt idx="1">
                  <c:v>0.32500000000000001</c:v>
                </c:pt>
                <c:pt idx="2">
                  <c:v>0.65</c:v>
                </c:pt>
                <c:pt idx="3">
                  <c:v>0.65</c:v>
                </c:pt>
                <c:pt idx="4">
                  <c:v>0.78</c:v>
                </c:pt>
                <c:pt idx="5">
                  <c:v>0.8666666666666667</c:v>
                </c:pt>
                <c:pt idx="6">
                  <c:v>0.9285714285714286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6-4064-B00C-96B24F5312D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6-4064-B00C-96B24F53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Kennzahlen!$C$74:$I$74</c:f>
              <c:numCache>
                <c:formatCode>0.00</c:formatCode>
                <c:ptCount val="7"/>
                <c:pt idx="0">
                  <c:v>0.61176470588235299</c:v>
                </c:pt>
                <c:pt idx="1">
                  <c:v>3.1212484993997598E-2</c:v>
                </c:pt>
                <c:pt idx="2">
                  <c:v>3.4368803701255786E-2</c:v>
                </c:pt>
                <c:pt idx="3">
                  <c:v>6.1023910811207276E-2</c:v>
                </c:pt>
                <c:pt idx="4">
                  <c:v>9.040857722399305E-2</c:v>
                </c:pt>
                <c:pt idx="5">
                  <c:v>0.13396307428080723</c:v>
                </c:pt>
                <c:pt idx="6">
                  <c:v>0.16176470588235295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2-4E4F-AD94-FB1E7366DE0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Kennzahlen!$C$87:$I$87</c:f>
              <c:numCache>
                <c:formatCode>0.00</c:formatCode>
                <c:ptCount val="7"/>
                <c:pt idx="0">
                  <c:v>1.04</c:v>
                </c:pt>
                <c:pt idx="1">
                  <c:v>0.32500000000000001</c:v>
                </c:pt>
                <c:pt idx="2">
                  <c:v>0.43333333333333335</c:v>
                </c:pt>
                <c:pt idx="3">
                  <c:v>0.65</c:v>
                </c:pt>
                <c:pt idx="4">
                  <c:v>0.78</c:v>
                </c:pt>
                <c:pt idx="5">
                  <c:v>0.97499999999999998</c:v>
                </c:pt>
                <c:pt idx="6">
                  <c:v>1.0214285714285716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2-4E4F-AD94-FB1E7366DE0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2-4E4F-AD94-FB1E7366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Kennzahlen!$C$75:$I$75</c:f>
              <c:numCache>
                <c:formatCode>0.00</c:formatCode>
                <c:ptCount val="7"/>
                <c:pt idx="0">
                  <c:v>0.86</c:v>
                </c:pt>
                <c:pt idx="1">
                  <c:v>0.98285714285714287</c:v>
                </c:pt>
                <c:pt idx="2">
                  <c:v>1.0530612244897959</c:v>
                </c:pt>
                <c:pt idx="3">
                  <c:v>1.075</c:v>
                </c:pt>
                <c:pt idx="4">
                  <c:v>1.1621621621621621</c:v>
                </c:pt>
                <c:pt idx="5">
                  <c:v>0.68799999999999994</c:v>
                </c:pt>
                <c:pt idx="6">
                  <c:v>0.74320987654321002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D-4DE9-8EA3-88B6C1FAFAD9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Kennzahlen!$C$88:$I$88</c:f>
              <c:numCache>
                <c:formatCode>0.00</c:formatCode>
                <c:ptCount val="7"/>
                <c:pt idx="0">
                  <c:v>0.86</c:v>
                </c:pt>
                <c:pt idx="1">
                  <c:v>0.86</c:v>
                </c:pt>
                <c:pt idx="2">
                  <c:v>0.7371428571428571</c:v>
                </c:pt>
                <c:pt idx="3">
                  <c:v>0.68799999999999994</c:v>
                </c:pt>
                <c:pt idx="4">
                  <c:v>0.66153846153846152</c:v>
                </c:pt>
                <c:pt idx="5">
                  <c:v>0.64500000000000002</c:v>
                </c:pt>
                <c:pt idx="6">
                  <c:v>0.57333333333333347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D-4DE9-8EA3-88B6C1FAFAD9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D-4DE9-8EA3-88B6C1FA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Kennzahlen!$C$97:$I$97</c:f>
              <c:numCache>
                <c:formatCode>0.00</c:formatCode>
                <c:ptCount val="7"/>
                <c:pt idx="0">
                  <c:v>78.928571428571431</c:v>
                </c:pt>
                <c:pt idx="1">
                  <c:v>1615</c:v>
                </c:pt>
                <c:pt idx="2">
                  <c:v>1178.0999999999999</c:v>
                </c:pt>
                <c:pt idx="3">
                  <c:v>315.34999999999997</c:v>
                </c:pt>
                <c:pt idx="4">
                  <c:v>135.15</c:v>
                </c:pt>
                <c:pt idx="5">
                  <c:v>33.787500000000001</c:v>
                </c:pt>
                <c:pt idx="6">
                  <c:v>15.016666666666667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E-4AFD-8F82-ABEB5E422C9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Kennzahlen!$C$110:$I$110</c:f>
              <c:numCache>
                <c:formatCode>0.00</c:formatCode>
                <c:ptCount val="7"/>
                <c:pt idx="0">
                  <c:v>121.42857142857144</c:v>
                </c:pt>
                <c:pt idx="1">
                  <c:v>1700</c:v>
                </c:pt>
                <c:pt idx="2">
                  <c:v>1309</c:v>
                </c:pt>
                <c:pt idx="3">
                  <c:v>450.49999999999994</c:v>
                </c:pt>
                <c:pt idx="4">
                  <c:v>270.3</c:v>
                </c:pt>
                <c:pt idx="5">
                  <c:v>168.9375</c:v>
                </c:pt>
                <c:pt idx="6">
                  <c:v>150.16666666666669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E-4AFD-8F82-ABEB5E42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Kennzahlen!$C$98:$I$98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807.50000000000011</c:v>
                </c:pt>
                <c:pt idx="4">
                  <c:v>1130.5000000000002</c:v>
                </c:pt>
                <c:pt idx="5">
                  <c:v>711.45</c:v>
                </c:pt>
                <c:pt idx="6">
                  <c:v>131.32499999999999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5-48FE-9180-C54C98967FB8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Kennzahlen!$C$111:$I$111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850.00000000000011</c:v>
                </c:pt>
                <c:pt idx="4">
                  <c:v>1190.0000000000002</c:v>
                </c:pt>
                <c:pt idx="5">
                  <c:v>790.50000000000011</c:v>
                </c:pt>
                <c:pt idx="6">
                  <c:v>218.87499999999997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5-48FE-9180-C54C9896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Kennzahlen!$C$99:$I$99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191.25</c:v>
                </c:pt>
                <c:pt idx="6">
                  <c:v>127.50000000000001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CEA-9BBF-9BCAC598866D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Kennzahlen!$C$112:$I$112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212.5</c:v>
                </c:pt>
                <c:pt idx="6">
                  <c:v>170.00000000000003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A-4CEA-9BBF-9BCAC5988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Kennzahlen!$C$100:$I$100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4-49FF-B10A-D44B80257ABB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Kennzahlen!$C$113:$I$113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119.00000000000001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4-49FF-B10A-D44B8025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Kennzahlen!$C$101:$I$101</c:f>
              <c:numCache>
                <c:formatCode>0.00</c:formatCode>
                <c:ptCount val="7"/>
                <c:pt idx="0">
                  <c:v>293.25</c:v>
                </c:pt>
                <c:pt idx="1">
                  <c:v>1776.4999999999998</c:v>
                </c:pt>
                <c:pt idx="2">
                  <c:v>722.49999999999989</c:v>
                </c:pt>
                <c:pt idx="3">
                  <c:v>612</c:v>
                </c:pt>
                <c:pt idx="4">
                  <c:v>396.66666666666663</c:v>
                </c:pt>
                <c:pt idx="5">
                  <c:v>280.49999999999994</c:v>
                </c:pt>
                <c:pt idx="6">
                  <c:v>204.00000000000003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0-45F8-985A-7ADA72152FE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Kennzahlen!$C$114:$I$114</c:f>
              <c:numCache>
                <c:formatCode>0.00</c:formatCode>
                <c:ptCount val="7"/>
                <c:pt idx="0">
                  <c:v>318.75</c:v>
                </c:pt>
                <c:pt idx="1">
                  <c:v>1869.9999999999998</c:v>
                </c:pt>
                <c:pt idx="2">
                  <c:v>849.99999999999989</c:v>
                </c:pt>
                <c:pt idx="3">
                  <c:v>765</c:v>
                </c:pt>
                <c:pt idx="4">
                  <c:v>566.66666666666663</c:v>
                </c:pt>
                <c:pt idx="5">
                  <c:v>467.49999999999994</c:v>
                </c:pt>
                <c:pt idx="6">
                  <c:v>408.00000000000006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0-45F8-985A-7ADA72152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Kennzahlen!$C$5:$I$5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6-49E9-857B-A47863D0E35C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Kennzahlen!$C$18:$I$18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42500</c:v>
                </c:pt>
                <c:pt idx="4">
                  <c:v>59500</c:v>
                </c:pt>
                <c:pt idx="5">
                  <c:v>79050</c:v>
                </c:pt>
                <c:pt idx="6">
                  <c:v>87550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6-49E9-857B-A47863D0E35C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Kennzahlen!$C$31:$I$31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11800</c:v>
                </c:pt>
                <c:pt idx="4">
                  <c:v>11800</c:v>
                </c:pt>
                <c:pt idx="5">
                  <c:v>23600</c:v>
                </c:pt>
                <c:pt idx="6">
                  <c:v>94400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6-49E9-857B-A47863D0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Kennzahlen!$C$102:$I$102</c:f>
              <c:numCache>
                <c:formatCode>0.00</c:formatCode>
                <c:ptCount val="7"/>
                <c:pt idx="0">
                  <c:v>156.39999999999998</c:v>
                </c:pt>
                <c:pt idx="1">
                  <c:v>3165.4</c:v>
                </c:pt>
                <c:pt idx="2">
                  <c:v>2723.3999999999996</c:v>
                </c:pt>
                <c:pt idx="3">
                  <c:v>1363.4</c:v>
                </c:pt>
                <c:pt idx="4">
                  <c:v>805.23333333333335</c:v>
                </c:pt>
                <c:pt idx="5">
                  <c:v>426.98333333333329</c:v>
                </c:pt>
                <c:pt idx="6">
                  <c:v>289.30909090909086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6-4628-8B29-BC9B9F3AE34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Kennzahlen!$C$115:$I$115</c:f>
              <c:numCache>
                <c:formatCode>0.00</c:formatCode>
                <c:ptCount val="7"/>
                <c:pt idx="0">
                  <c:v>169.99999999999997</c:v>
                </c:pt>
                <c:pt idx="1">
                  <c:v>3332</c:v>
                </c:pt>
                <c:pt idx="2">
                  <c:v>3026</c:v>
                </c:pt>
                <c:pt idx="3">
                  <c:v>1704.25</c:v>
                </c:pt>
                <c:pt idx="4">
                  <c:v>1150.3333333333333</c:v>
                </c:pt>
                <c:pt idx="5">
                  <c:v>776.33333333333326</c:v>
                </c:pt>
                <c:pt idx="6">
                  <c:v>642.90909090909088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6-4628-8B29-BC9B9F3A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Kennzahlen!$C$103:$I$103</c:f>
              <c:numCache>
                <c:formatCode>0.00</c:formatCode>
                <c:ptCount val="7"/>
                <c:pt idx="0">
                  <c:v>98</c:v>
                </c:pt>
                <c:pt idx="1">
                  <c:v>84</c:v>
                </c:pt>
                <c:pt idx="2">
                  <c:v>76.766666666666666</c:v>
                </c:pt>
                <c:pt idx="3">
                  <c:v>73.599999999999994</c:v>
                </c:pt>
                <c:pt idx="4">
                  <c:v>66.600000000000009</c:v>
                </c:pt>
                <c:pt idx="5">
                  <c:v>110</c:v>
                </c:pt>
                <c:pt idx="6">
                  <c:v>99.514285714285691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A-4E38-8413-B9E9278D8CF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Kennzahlen!$C$116:$I$116</c:f>
              <c:numCache>
                <c:formatCode>0.00</c:formatCode>
                <c:ptCount val="7"/>
                <c:pt idx="0">
                  <c:v>100</c:v>
                </c:pt>
                <c:pt idx="1">
                  <c:v>87.5</c:v>
                </c:pt>
                <c:pt idx="2">
                  <c:v>81.666666666666671</c:v>
                </c:pt>
                <c:pt idx="3">
                  <c:v>80</c:v>
                </c:pt>
                <c:pt idx="4">
                  <c:v>74</c:v>
                </c:pt>
                <c:pt idx="5">
                  <c:v>125</c:v>
                </c:pt>
                <c:pt idx="6">
                  <c:v>115.71428571428569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A-4E38-8413-B9E9278D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Kennzahlen!$C$11:$I$11</c:f>
              <c:numCache>
                <c:formatCode>#,##0\ "€"</c:formatCode>
                <c:ptCount val="7"/>
                <c:pt idx="0">
                  <c:v>80000</c:v>
                </c:pt>
                <c:pt idx="1">
                  <c:v>160000</c:v>
                </c:pt>
                <c:pt idx="2">
                  <c:v>261000</c:v>
                </c:pt>
                <c:pt idx="3">
                  <c:v>350000</c:v>
                </c:pt>
                <c:pt idx="4">
                  <c:v>467000</c:v>
                </c:pt>
                <c:pt idx="5">
                  <c:v>604000</c:v>
                </c:pt>
                <c:pt idx="6">
                  <c:v>723000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3-4B38-AFDA-185E610BD5B2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Kennzahlen!$C$24:$I$24</c:f>
              <c:numCache>
                <c:formatCode>#,##0\ "€"</c:formatCode>
                <c:ptCount val="7"/>
                <c:pt idx="0">
                  <c:v>83600</c:v>
                </c:pt>
                <c:pt idx="1">
                  <c:v>348600</c:v>
                </c:pt>
                <c:pt idx="2">
                  <c:v>565900</c:v>
                </c:pt>
                <c:pt idx="3">
                  <c:v>677900</c:v>
                </c:pt>
                <c:pt idx="4">
                  <c:v>717150</c:v>
                </c:pt>
                <c:pt idx="5">
                  <c:v>786800</c:v>
                </c:pt>
                <c:pt idx="6">
                  <c:v>868750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3-4B38-AFDA-185E610BD5B2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Kennzahlen!$C$37:$I$37</c:f>
              <c:numCache>
                <c:formatCode>#,##0\ "€"</c:formatCode>
                <c:ptCount val="7"/>
                <c:pt idx="0">
                  <c:v>83320</c:v>
                </c:pt>
                <c:pt idx="1">
                  <c:v>30140</c:v>
                </c:pt>
                <c:pt idx="2">
                  <c:v>72860</c:v>
                </c:pt>
                <c:pt idx="3">
                  <c:v>139880</c:v>
                </c:pt>
                <c:pt idx="4">
                  <c:v>209400</c:v>
                </c:pt>
                <c:pt idx="5">
                  <c:v>349520</c:v>
                </c:pt>
                <c:pt idx="6">
                  <c:v>597240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3-4B38-AFDA-185E610B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Kennzahlen!$C$76:$I$76</c:f>
              <c:numCache>
                <c:formatCode>0.00</c:formatCode>
                <c:ptCount val="7"/>
                <c:pt idx="0">
                  <c:v>0.99665071770334923</c:v>
                </c:pt>
                <c:pt idx="1">
                  <c:v>8.6460126219162367E-2</c:v>
                </c:pt>
                <c:pt idx="2">
                  <c:v>0.12875066266124757</c:v>
                </c:pt>
                <c:pt idx="3">
                  <c:v>0.20634311845404926</c:v>
                </c:pt>
                <c:pt idx="4">
                  <c:v>0.29198912361430662</c:v>
                </c:pt>
                <c:pt idx="5">
                  <c:v>0.44422979156075243</c:v>
                </c:pt>
                <c:pt idx="6">
                  <c:v>0.68747050359712225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4-40FF-9851-055807EF77D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Kennzahlen!$C$89:$I$89</c:f>
              <c:numCache>
                <c:formatCode>0.00</c:formatCode>
                <c:ptCount val="7"/>
                <c:pt idx="0">
                  <c:v>1.0415000000000001</c:v>
                </c:pt>
                <c:pt idx="1">
                  <c:v>0.18837499999999999</c:v>
                </c:pt>
                <c:pt idx="2">
                  <c:v>0.27915708812260537</c:v>
                </c:pt>
                <c:pt idx="3">
                  <c:v>0.39965714285714288</c:v>
                </c:pt>
                <c:pt idx="4">
                  <c:v>0.44839400428265525</c:v>
                </c:pt>
                <c:pt idx="5">
                  <c:v>0.57867549668874174</c:v>
                </c:pt>
                <c:pt idx="6">
                  <c:v>0.82605809128630703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4-40FF-9851-055807EF77D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34-40FF-9851-055807EF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Kennzahlen!$C$104:$I$104</c:f>
              <c:numCache>
                <c:formatCode>0.00</c:formatCode>
                <c:ptCount val="7"/>
                <c:pt idx="0">
                  <c:v>1421.4408065290447</c:v>
                </c:pt>
                <c:pt idx="1">
                  <c:v>17000.437823490378</c:v>
                </c:pt>
                <c:pt idx="2">
                  <c:v>11084.525473510843</c:v>
                </c:pt>
                <c:pt idx="3">
                  <c:v>6591.5452387760943</c:v>
                </c:pt>
                <c:pt idx="4">
                  <c:v>4420.0276504297999</c:v>
                </c:pt>
                <c:pt idx="5">
                  <c:v>2589.8308079652097</c:v>
                </c:pt>
                <c:pt idx="6">
                  <c:v>1313.1617942535665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A-4F58-B7CC-90ECF07BCC8F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Kennzahlen!$C$117:$I$117</c:f>
              <c:numCache>
                <c:formatCode>0.00</c:formatCode>
                <c:ptCount val="7"/>
                <c:pt idx="0">
                  <c:v>1505.0408065290449</c:v>
                </c:pt>
                <c:pt idx="1">
                  <c:v>17349.03782349038</c:v>
                </c:pt>
                <c:pt idx="2">
                  <c:v>11650.425473510844</c:v>
                </c:pt>
                <c:pt idx="3">
                  <c:v>7269.4452387760939</c:v>
                </c:pt>
                <c:pt idx="4">
                  <c:v>5137.1776504297995</c:v>
                </c:pt>
                <c:pt idx="5">
                  <c:v>3376.6308079652094</c:v>
                </c:pt>
                <c:pt idx="6">
                  <c:v>2181.9117942535663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A-4F58-B7CC-90ECF07B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Kennzahlen!$C$6:$I$6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A-4A65-9C6D-F6EDD23394B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Kennzahlen!$C$19:$I$19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21250</c:v>
                </c:pt>
                <c:pt idx="6">
                  <c:v>42500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A-4A65-9C6D-F6EDD23394B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Kennzahlen!$C$32:$I$32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39200</c:v>
                </c:pt>
                <c:pt idx="6">
                  <c:v>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A-4A65-9C6D-F6EDD233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Kennzahlen!$C$7:$I$7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D-44BA-901E-BF215EB510E9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Kennzahlen!$C$20:$I$20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44BA-901E-BF215EB510E9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Kennzahlen!$C$33:$I$33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D-44BA-901E-BF215EB5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Kennzahlen!$C$8:$I$8</c:f>
              <c:numCache>
                <c:formatCode>#,##0\ "€"</c:formatCode>
                <c:ptCount val="7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1-4E98-999B-335B9541725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Kennzahlen!$C$21:$I$21</c:f>
              <c:numCache>
                <c:formatCode>#,##0\ "€"</c:formatCode>
                <c:ptCount val="7"/>
                <c:pt idx="0">
                  <c:v>25500</c:v>
                </c:pt>
                <c:pt idx="1">
                  <c:v>93500</c:v>
                </c:pt>
                <c:pt idx="2">
                  <c:v>127500</c:v>
                </c:pt>
                <c:pt idx="3">
                  <c:v>153000</c:v>
                </c:pt>
                <c:pt idx="4">
                  <c:v>170000</c:v>
                </c:pt>
                <c:pt idx="5">
                  <c:v>187000</c:v>
                </c:pt>
                <c:pt idx="6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1-4E98-999B-335B9541725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Kennzahlen!$C$34:$I$34</c:f>
              <c:numCache>
                <c:formatCode>#,##0\ "€"</c:formatCode>
                <c:ptCount val="7"/>
                <c:pt idx="0">
                  <c:v>22880</c:v>
                </c:pt>
                <c:pt idx="1">
                  <c:v>14300</c:v>
                </c:pt>
                <c:pt idx="2">
                  <c:v>42900</c:v>
                </c:pt>
                <c:pt idx="3">
                  <c:v>57200</c:v>
                </c:pt>
                <c:pt idx="4">
                  <c:v>85800</c:v>
                </c:pt>
                <c:pt idx="5">
                  <c:v>114400</c:v>
                </c:pt>
                <c:pt idx="6">
                  <c:v>143000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1-4E98-999B-335B9541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Kennzahlen!$C$9:$I$9</c:f>
              <c:numCache>
                <c:formatCode>#,##0\ "€"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451D-833E-2F3946712DF1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Kennzahlen!$C$22:$I$22</c:f>
              <c:numCache>
                <c:formatCode>#,##0\ "€"</c:formatCode>
                <c:ptCount val="7"/>
                <c:pt idx="0">
                  <c:v>13600</c:v>
                </c:pt>
                <c:pt idx="1">
                  <c:v>166600</c:v>
                </c:pt>
                <c:pt idx="2">
                  <c:v>302600</c:v>
                </c:pt>
                <c:pt idx="3">
                  <c:v>340850</c:v>
                </c:pt>
                <c:pt idx="4">
                  <c:v>345100</c:v>
                </c:pt>
                <c:pt idx="5">
                  <c:v>349350</c:v>
                </c:pt>
                <c:pt idx="6">
                  <c:v>353600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4-451D-833E-2F3946712DF1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Kennzahlen!$C$35:$I$35</c:f>
              <c:numCache>
                <c:formatCode>#,##0\ "€"</c:formatCode>
                <c:ptCount val="7"/>
                <c:pt idx="0">
                  <c:v>8320</c:v>
                </c:pt>
                <c:pt idx="1">
                  <c:v>5200</c:v>
                </c:pt>
                <c:pt idx="2">
                  <c:v>10400</c:v>
                </c:pt>
                <c:pt idx="3">
                  <c:v>20800</c:v>
                </c:pt>
                <c:pt idx="4">
                  <c:v>31200</c:v>
                </c:pt>
                <c:pt idx="5">
                  <c:v>46800</c:v>
                </c:pt>
                <c:pt idx="6">
                  <c:v>57200.000000000007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4-451D-833E-2F394671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Kennzahlen!$C$10:$I$10</c:f>
              <c:numCache>
                <c:formatCode>#,##0\ "€"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4103-B646-D9FC31AB35AD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Kennzahlen!$C$23:$I$23</c:f>
              <c:numCache>
                <c:formatCode>#,##0\ "€"</c:formatCode>
                <c:ptCount val="7"/>
                <c:pt idx="0">
                  <c:v>2000</c:v>
                </c:pt>
                <c:pt idx="1">
                  <c:v>3500</c:v>
                </c:pt>
                <c:pt idx="2">
                  <c:v>4900</c:v>
                </c:pt>
                <c:pt idx="3">
                  <c:v>6400</c:v>
                </c:pt>
                <c:pt idx="4">
                  <c:v>7400</c:v>
                </c:pt>
                <c:pt idx="5">
                  <c:v>15000</c:v>
                </c:pt>
                <c:pt idx="6">
                  <c:v>16200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A-4103-B646-D9FC31AB35AD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Kennzahlen!$C$36:$I$36</c:f>
              <c:numCache>
                <c:formatCode>#,##0\ "€"</c:formatCode>
                <c:ptCount val="7"/>
                <c:pt idx="0">
                  <c:v>1720</c:v>
                </c:pt>
                <c:pt idx="1">
                  <c:v>3440</c:v>
                </c:pt>
                <c:pt idx="2">
                  <c:v>5160</c:v>
                </c:pt>
                <c:pt idx="3">
                  <c:v>6880</c:v>
                </c:pt>
                <c:pt idx="4">
                  <c:v>8600</c:v>
                </c:pt>
                <c:pt idx="5">
                  <c:v>10320</c:v>
                </c:pt>
                <c:pt idx="6">
                  <c:v>12040.000000000002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A-4103-B646-D9FC31AB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Kennzahlen!$C$69:$I$69</c:f>
              <c:numCache>
                <c:formatCode>0.00</c:formatCode>
                <c:ptCount val="7"/>
                <c:pt idx="0">
                  <c:v>1.1858823529411764</c:v>
                </c:pt>
                <c:pt idx="1">
                  <c:v>8.4705882352941173E-2</c:v>
                </c:pt>
                <c:pt idx="2">
                  <c:v>0.11000763941940413</c:v>
                </c:pt>
                <c:pt idx="3">
                  <c:v>0.31964483906770258</c:v>
                </c:pt>
                <c:pt idx="4">
                  <c:v>0.53274139844617097</c:v>
                </c:pt>
                <c:pt idx="5">
                  <c:v>0.85238623751387343</c:v>
                </c:pt>
                <c:pt idx="6">
                  <c:v>0.95893451720310763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B78-B980-B574DD518EB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Kennzahlen!$C$82:$I$82</c:f>
              <c:numCache>
                <c:formatCode>0.00</c:formatCode>
                <c:ptCount val="7"/>
                <c:pt idx="0">
                  <c:v>1.05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0.8</c:v>
                </c:pt>
                <c:pt idx="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3-4B78-B980-B574DD518EB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03-4B78-B980-B574DD51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Kennzahlen!$C$70:$I$70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0.27764705882352941</c:v>
                </c:pt>
                <c:pt idx="4">
                  <c:v>0.19831932773109243</c:v>
                </c:pt>
                <c:pt idx="5">
                  <c:v>0.29854522454142945</c:v>
                </c:pt>
                <c:pt idx="6">
                  <c:v>1.0782410051399201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A71-95F7-7005E3C04E3D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Kennzahlen!$C$83:$I$83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0.22692307692307692</c:v>
                </c:pt>
                <c:pt idx="4">
                  <c:v>0.12291666666666666</c:v>
                </c:pt>
                <c:pt idx="5">
                  <c:v>0.15526315789473685</c:v>
                </c:pt>
                <c:pt idx="6">
                  <c:v>0.5488372093023256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A71-95F7-7005E3C04E3D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F-4A71-95F7-7005E3C0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155120</xdr:rowOff>
    </xdr:from>
    <xdr:to>
      <xdr:col>8</xdr:col>
      <xdr:colOff>1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89BB46-88B2-4BB3-B453-D3E83DB77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0</xdr:colOff>
      <xdr:row>39</xdr:row>
      <xdr:rowOff>2723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79A914-13A5-4124-9617-4A7D821E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0</xdr:colOff>
      <xdr:row>59</xdr:row>
      <xdr:rowOff>2722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79522B-52EC-407E-9F34-CA583F957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0</xdr:colOff>
      <xdr:row>79</xdr:row>
      <xdr:rowOff>2722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F3688F2-6E57-46FD-B0AC-7BF28E192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0</xdr:colOff>
      <xdr:row>99</xdr:row>
      <xdr:rowOff>2722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59715B-4D46-4D75-BB6B-18F7D8D2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0</xdr:colOff>
      <xdr:row>119</xdr:row>
      <xdr:rowOff>2723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8BDD8B1-3C4A-4A86-B388-1A9D909C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8</xdr:col>
      <xdr:colOff>0</xdr:colOff>
      <xdr:row>139</xdr:row>
      <xdr:rowOff>2723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375F8B2-F6B9-4443-9DED-F30169D9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0</xdr:row>
      <xdr:rowOff>155120</xdr:rowOff>
    </xdr:from>
    <xdr:to>
      <xdr:col>15</xdr:col>
      <xdr:colOff>772887</xdr:colOff>
      <xdr:row>19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CE01661-55C3-4A09-87B6-43065527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772887</xdr:colOff>
      <xdr:row>39</xdr:row>
      <xdr:rowOff>4963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BC59FB-FC54-44BB-9343-4A0A257D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772887</xdr:colOff>
      <xdr:row>59</xdr:row>
      <xdr:rowOff>4964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EB7920A-5880-42CC-9FA1-DEC87C3C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15</xdr:col>
      <xdr:colOff>772887</xdr:colOff>
      <xdr:row>79</xdr:row>
      <xdr:rowOff>4963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A1E9B7D-FBD9-48F3-8A8D-04B5437E0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772887</xdr:colOff>
      <xdr:row>99</xdr:row>
      <xdr:rowOff>4964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C4E8A42-2F91-4329-A5EB-5FAC3698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15</xdr:col>
      <xdr:colOff>772887</xdr:colOff>
      <xdr:row>119</xdr:row>
      <xdr:rowOff>4963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B519E7B-D24D-4F81-9183-A4AE4C2CA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15</xdr:col>
      <xdr:colOff>772887</xdr:colOff>
      <xdr:row>139</xdr:row>
      <xdr:rowOff>4963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66FB1EC-CCBD-42DE-8178-16608FA5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1362</xdr:colOff>
      <xdr:row>19</xdr:row>
      <xdr:rowOff>1762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512578FB-3600-4F9E-B78E-49EAD82DF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20</xdr:row>
      <xdr:rowOff>161192</xdr:rowOff>
    </xdr:from>
    <xdr:to>
      <xdr:col>24</xdr:col>
      <xdr:colOff>1362</xdr:colOff>
      <xdr:row>39</xdr:row>
      <xdr:rowOff>1762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E8F5203-CAAF-4D83-B429-1DD26F45F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41</xdr:row>
      <xdr:rowOff>0</xdr:rowOff>
    </xdr:from>
    <xdr:to>
      <xdr:col>24</xdr:col>
      <xdr:colOff>1362</xdr:colOff>
      <xdr:row>59</xdr:row>
      <xdr:rowOff>1763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5E31CF36-A4AB-4EF1-A7DB-9EFBBDF07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24</xdr:col>
      <xdr:colOff>1362</xdr:colOff>
      <xdr:row>79</xdr:row>
      <xdr:rowOff>1763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E2229F99-7D31-4360-9E4F-DB40F9947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81</xdr:row>
      <xdr:rowOff>0</xdr:rowOff>
    </xdr:from>
    <xdr:to>
      <xdr:col>24</xdr:col>
      <xdr:colOff>1362</xdr:colOff>
      <xdr:row>99</xdr:row>
      <xdr:rowOff>1763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84B15A30-8E7B-43BD-B37E-E4B7BFA94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101</xdr:row>
      <xdr:rowOff>0</xdr:rowOff>
    </xdr:from>
    <xdr:to>
      <xdr:col>24</xdr:col>
      <xdr:colOff>1362</xdr:colOff>
      <xdr:row>119</xdr:row>
      <xdr:rowOff>1762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BF5CF079-3B0D-4557-B43F-DB01EEEC3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24</xdr:col>
      <xdr:colOff>1362</xdr:colOff>
      <xdr:row>139</xdr:row>
      <xdr:rowOff>1762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DBE9BF30-E1D0-4C41-BA35-40D1FD1AE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8</xdr:col>
      <xdr:colOff>0</xdr:colOff>
      <xdr:row>159</xdr:row>
      <xdr:rowOff>2723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5CBCDED1-B88A-4964-A21C-33B9BA243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141</xdr:row>
      <xdr:rowOff>0</xdr:rowOff>
    </xdr:from>
    <xdr:to>
      <xdr:col>16</xdr:col>
      <xdr:colOff>1362</xdr:colOff>
      <xdr:row>159</xdr:row>
      <xdr:rowOff>4963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A09EE265-600E-4191-AB8D-14EE60DB0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0</xdr:colOff>
      <xdr:row>141</xdr:row>
      <xdr:rowOff>0</xdr:rowOff>
    </xdr:from>
    <xdr:to>
      <xdr:col>24</xdr:col>
      <xdr:colOff>1362</xdr:colOff>
      <xdr:row>159</xdr:row>
      <xdr:rowOff>1762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CC1736F8-593F-4BEC-8DAB-5264195E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V" displayName="PV" ref="B3:I11" totalsRowCount="1">
  <autoFilter ref="B3:I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Label="Gesamt"/>
    <tableColumn id="2" name="1" totalsRowFunction="custom" dataDxfId="118">
      <calculatedColumnFormula>SUM('Budgetierte Kosten'!$B2:'Budgetierte Kosten'!B2)*'Budgetierte Kosten'!$B$14*'Fertigstellungsgrad der Akt.'!B2</calculatedColumnFormula>
      <totalsRowFormula>SUM('Budgetierte Kosten'!$B12:'Budgetierte Kosten'!B12)</totalsRowFormula>
    </tableColumn>
    <tableColumn id="3" name="2" totalsRowFunction="custom" dataDxfId="117">
      <calculatedColumnFormula>SUM('Budgetierte Kosten'!$B2:'Budgetierte Kosten'!C2)*'Budgetierte Kosten'!$B$14*'Fertigstellungsgrad der Akt.'!C2</calculatedColumnFormula>
      <totalsRowFormula>SUM('Budgetierte Kosten'!$B12:'Budgetierte Kosten'!C12)</totalsRowFormula>
    </tableColumn>
    <tableColumn id="4" name="3" totalsRowFunction="custom" dataDxfId="116">
      <calculatedColumnFormula>SUM('Budgetierte Kosten'!$B2:'Budgetierte Kosten'!D2)*'Budgetierte Kosten'!$B$14*'Fertigstellungsgrad der Akt.'!D2</calculatedColumnFormula>
      <totalsRowFormula>SUM('Budgetierte Kosten'!$B12:'Budgetierte Kosten'!D12)</totalsRowFormula>
    </tableColumn>
    <tableColumn id="5" name="4" totalsRowFunction="custom" dataDxfId="115">
      <calculatedColumnFormula>SUM('Budgetierte Kosten'!$B2:'Budgetierte Kosten'!E2)*'Budgetierte Kosten'!$B$14*'Fertigstellungsgrad der Akt.'!E2</calculatedColumnFormula>
      <totalsRowFormula>SUM('Budgetierte Kosten'!$B12:'Budgetierte Kosten'!E12)</totalsRowFormula>
    </tableColumn>
    <tableColumn id="6" name="5" totalsRowFunction="custom" dataDxfId="114">
      <calculatedColumnFormula>SUM('Budgetierte Kosten'!$B2:'Budgetierte Kosten'!F2)*'Budgetierte Kosten'!$B$14*'Fertigstellungsgrad der Akt.'!F2</calculatedColumnFormula>
      <totalsRowFormula>SUM('Budgetierte Kosten'!$B12:'Budgetierte Kosten'!F12)</totalsRowFormula>
    </tableColumn>
    <tableColumn id="7" name="6" totalsRowFunction="custom" dataDxfId="113">
      <calculatedColumnFormula>SUM('Budgetierte Kosten'!$B2:'Budgetierte Kosten'!G2)*'Budgetierte Kosten'!$B$14*'Fertigstellungsgrad der Akt.'!G2</calculatedColumnFormula>
      <totalsRowFormula>SUM('Budgetierte Kosten'!$B12:'Budgetierte Kosten'!G12)</totalsRowFormula>
    </tableColumn>
    <tableColumn id="8" name="7" totalsRowFunction="custom" dataDxfId="112">
      <calculatedColumnFormula>SUM('Budgetierte Kosten'!$B2:'Budgetierte Kosten'!H2)*'Budgetierte Kosten'!$B$14*'Fertigstellungsgrad der Akt.'!H2</calculatedColumnFormula>
      <totalsRowFormula>SUM('Budgetierte Kosten'!$B12:'Budgetierte Kosten'!H12)</totalsRowFormula>
    </tableColumn>
  </tableColumns>
  <tableStyleInfo name="SpBC" showFirstColumn="1" showLastColumn="0" showRowStripes="1" showColumnStripes="0"/>
</table>
</file>

<file path=xl/tables/table10.xml><?xml version="1.0" encoding="utf-8"?>
<table xmlns="http://schemas.openxmlformats.org/spreadsheetml/2006/main" id="12" name="EAC" displayName="EAC" ref="B109:I117" totalsRowCount="1">
  <autoFilter ref="B109:I116"/>
  <tableColumns count="8">
    <tableColumn id="1" name="Posten" totalsRowFunction="custom" dataDxfId="31">
      <calculatedColumnFormula>B97</calculatedColumnFormula>
      <totalsRowFormula>ETC[[#Totals],[Posten]]</totalsRowFormula>
    </tableColumn>
    <tableColumn id="2" name="1 [k €]" totalsRowFunction="custom" dataDxfId="30" totalsRowDxfId="29">
      <calculatedColumnFormula>IF(C69=$L$70,$L$70,'Budgetierte Kosten'!$P2/(C69*1000))</calculatedColumnFormula>
      <totalsRowFormula>$E$92/(CPI[[#Totals],[1]]*1000)</totalsRowFormula>
    </tableColumn>
    <tableColumn id="3" name="2 [k €]" totalsRowFunction="custom" dataDxfId="28" totalsRowDxfId="27">
      <calculatedColumnFormula>IF(D69=$L$70,$L$70,$E$92/(D69*1000))</calculatedColumnFormula>
      <totalsRowFormula>$E$92/(CPI[[#Totals],[2]]*1000)</totalsRowFormula>
    </tableColumn>
    <tableColumn id="4" name="3 [k €]" totalsRowFunction="custom" dataDxfId="26" totalsRowDxfId="25">
      <calculatedColumnFormula>IF(E69=$L$70,$L$70,$E$92/(E69*1000))</calculatedColumnFormula>
      <totalsRowFormula>$E$92/(CPI[[#Totals],[3]]*1000)</totalsRowFormula>
    </tableColumn>
    <tableColumn id="5" name="4 [k €]" totalsRowFunction="custom" dataDxfId="24" totalsRowDxfId="23">
      <calculatedColumnFormula>IF(F69=$L$70,$L$70,$E$92/(F69*1000))</calculatedColumnFormula>
      <totalsRowFormula>$E$92/(CPI[[#Totals],[4]]*1000)</totalsRowFormula>
    </tableColumn>
    <tableColumn id="6" name="5 [k €]" totalsRowFunction="custom" dataDxfId="22" totalsRowDxfId="21">
      <calculatedColumnFormula>IF(G69=$L$70,$L$70,$E$92/(G69*1000))</calculatedColumnFormula>
      <totalsRowFormula>$E$92/(CPI[[#Totals],[5]]*1000)</totalsRowFormula>
    </tableColumn>
    <tableColumn id="7" name="6 [k €]" totalsRowFunction="custom" dataDxfId="20" totalsRowDxfId="19">
      <calculatedColumnFormula>IF(H69=$L$70,$L$70,$E$92/(H69*1000))</calculatedColumnFormula>
      <totalsRowFormula>$E$92/(CPI[[#Totals],[6]]*1000)</totalsRowFormula>
    </tableColumn>
    <tableColumn id="8" name="7 [k €]" totalsRowFunction="custom" dataDxfId="18" totalsRowDxfId="17">
      <calculatedColumnFormula>IF(I69=$L$70,$L$70,$E$92/(I69*1000))</calculatedColumnFormula>
      <totalsRowFormula>$E$92/(CPI[[#Totals],[7]]*1000)</totalsRowFormula>
    </tableColumn>
  </tableColumns>
  <tableStyleInfo name="SpBC" showFirstColumn="1" showLastColumn="0" showRowStripes="1" showColumnStripes="0"/>
</table>
</file>

<file path=xl/tables/table11.xml><?xml version="1.0" encoding="utf-8"?>
<table xmlns="http://schemas.openxmlformats.org/spreadsheetml/2006/main" id="9" name="Tabelle9" displayName="Tabelle9" ref="B4:H12" totalsRowShown="0">
  <autoFilter ref="B4:H12"/>
  <tableColumns count="7">
    <tableColumn id="1" name="Posten">
      <calculatedColumnFormula>Kennzahlen!B56</calculatedColumnFormula>
    </tableColumn>
    <tableColumn id="2" name="CPI" dataDxfId="10">
      <calculatedColumnFormula>Kennzahlen!I69</calculatedColumnFormula>
    </tableColumn>
    <tableColumn id="3" name="SPI" dataDxfId="9">
      <calculatedColumnFormula>Kennzahlen!I82</calculatedColumnFormula>
    </tableColumn>
    <tableColumn id="4" name="Abgeschlossen" dataDxfId="8">
      <calculatedColumnFormula>'Fertigstellungsgrad der Akt.'!H2</calculatedColumnFormula>
    </tableColumn>
    <tableColumn id="5" name="Budget [k €]" dataDxfId="7"/>
    <tableColumn id="6" name="Status" dataDxfId="6">
      <calculatedColumnFormula>IF(OR(Tabelle9[[#This Row],[CPI]]&lt;$K$3, Tabelle9[[#This Row],[SPI]]&lt;$K$3),$K$6, IF(OR(Tabelle9[[#This Row],[CPI]]&lt;$K$4, Tabelle9[[#This Row],[SPI]]&lt;$K$4),$K$7, $K$8))</calculatedColumnFormula>
    </tableColumn>
    <tableColumn id="7" name="Trend" dataDxfId="5">
      <calculatedColumnFormula>IF(C18=Kennzahlen!$L$70,Kennzahlen!$L$70,IF(OR(ABS(Tabelle9[[#This Row],[CPI]]-C18)&lt;=$K$13),$K$12, IF(OR(Tabelle9[[#This Row],[CPI]]&lt;C18,Tabelle9[[#This Row],[SPI]]&lt;D18), $K$11, $K$10)))</calculatedColumnFormula>
    </tableColumn>
  </tableColumns>
  <tableStyleInfo name="SpBC" showFirstColumn="0" showLastColumn="0" showRowStripes="1" showColumnStripes="0"/>
</table>
</file>

<file path=xl/tables/table12.xml><?xml version="1.0" encoding="utf-8"?>
<table xmlns="http://schemas.openxmlformats.org/spreadsheetml/2006/main" id="10" name="Tabelle911" displayName="Tabelle911" ref="B17:H25" totalsRowShown="0">
  <autoFilter ref="B17:H25"/>
  <tableColumns count="7">
    <tableColumn id="1" name="Posten">
      <calculatedColumnFormula>Kennzahlen!B69</calculatedColumnFormula>
    </tableColumn>
    <tableColumn id="2" name="CPI" dataDxfId="4">
      <calculatedColumnFormula>Kennzahlen!H69</calculatedColumnFormula>
    </tableColumn>
    <tableColumn id="3" name="SPI" dataDxfId="3">
      <calculatedColumnFormula>Kennzahlen!H82</calculatedColumnFormula>
    </tableColumn>
    <tableColumn id="4" name="Abgeschlossen" dataDxfId="2">
      <calculatedColumnFormula>'Fertigstellungsgrad der Akt.'!G2</calculatedColumnFormula>
    </tableColumn>
    <tableColumn id="5" name="Budget [k €]" dataDxfId="1">
      <calculatedColumnFormula>F5</calculatedColumnFormula>
    </tableColumn>
    <tableColumn id="6" name="Status" dataDxfId="0">
      <calculatedColumnFormula>IF(OR(Tabelle911[[#This Row],[CPI]]&lt;$K$3, Tabelle911[[#This Row],[SPI]]&lt;$K$3),$K$6, IF(OR(Tabelle911[[#This Row],[CPI]]&lt;$K$4, Tabelle911[[#This Row],[SPI]]&lt;$K$4),$K$7, $K$8))</calculatedColumnFormula>
    </tableColumn>
    <tableColumn id="7" name="Trend"/>
  </tableColumns>
  <tableStyleInfo name="SpBC" showFirstColumn="0" showLastColumn="0" showRowStripes="1" showColumnStripes="0"/>
</table>
</file>

<file path=xl/tables/table2.xml><?xml version="1.0" encoding="utf-8"?>
<table xmlns="http://schemas.openxmlformats.org/spreadsheetml/2006/main" id="2" name="EV" displayName="EV" ref="B29:I37" totalsRowCount="1">
  <autoFilter ref="B29:I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 dataDxfId="111">
      <calculatedColumnFormula>B17</calculatedColumnFormula>
      <totalsRowFormula>AC[[#Totals],[Posten]]</totalsRowFormula>
    </tableColumn>
    <tableColumn id="2" name="1" totalsRowFunction="custom" dataDxfId="110" totalsRowDxfId="109">
      <calculatedColumnFormula>C4*'Fertigstellungsgrad der Akt.'!B2</calculatedColumnFormula>
      <totalsRowFormula>SUM(EV[1])</totalsRowFormula>
    </tableColumn>
    <tableColumn id="3" name="2" totalsRowFunction="custom" dataDxfId="108" totalsRowDxfId="107">
      <calculatedColumnFormula>D4*'Fertigstellungsgrad der Akt.'!C2</calculatedColumnFormula>
      <totalsRowFormula>SUM(EV[2])</totalsRowFormula>
    </tableColumn>
    <tableColumn id="4" name="3" totalsRowFunction="custom" dataDxfId="106" totalsRowDxfId="105">
      <calculatedColumnFormula>E4*'Fertigstellungsgrad der Akt.'!D2</calculatedColumnFormula>
      <totalsRowFormula>SUM(EV[3])</totalsRowFormula>
    </tableColumn>
    <tableColumn id="5" name="4" totalsRowFunction="custom" dataDxfId="104" totalsRowDxfId="103">
      <calculatedColumnFormula>F4*'Fertigstellungsgrad der Akt.'!E2</calculatedColumnFormula>
      <totalsRowFormula>SUM(EV[4])</totalsRowFormula>
    </tableColumn>
    <tableColumn id="6" name="5" totalsRowFunction="custom" dataDxfId="102" totalsRowDxfId="101">
      <calculatedColumnFormula>G4*'Fertigstellungsgrad der Akt.'!F2</calculatedColumnFormula>
      <totalsRowFormula>SUM(EV[5])</totalsRowFormula>
    </tableColumn>
    <tableColumn id="7" name="6" totalsRowFunction="custom" dataDxfId="100" totalsRowDxfId="99">
      <calculatedColumnFormula>H4*'Fertigstellungsgrad der Akt.'!G2</calculatedColumnFormula>
      <totalsRowFormula>SUM(EV[6])</totalsRowFormula>
    </tableColumn>
    <tableColumn id="8" name="7" totalsRowFunction="custom" dataDxfId="98" totalsRowDxfId="97">
      <calculatedColumnFormula>I4*'Fertigstellungsgrad der Akt.'!H2</calculatedColumnFormula>
      <totalsRowFormula>SUM(EV[7])</totalsRowFormula>
    </tableColumn>
  </tableColumns>
  <tableStyleInfo name="SpBC" showFirstColumn="1" showLastColumn="0" showRowStripes="1" showColumnStripes="0"/>
</table>
</file>

<file path=xl/tables/table3.xml><?xml version="1.0" encoding="utf-8"?>
<table xmlns="http://schemas.openxmlformats.org/spreadsheetml/2006/main" id="3" name="AC" displayName="AC" ref="B16:I24" totalsRowCount="1">
  <autoFilter ref="B16:I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 dataDxfId="96">
      <calculatedColumnFormula>B4</calculatedColumnFormula>
      <totalsRowFormula>PV[[#Totals],[Posten]]</totalsRowFormula>
    </tableColumn>
    <tableColumn id="2" name="1" totalsRowFunction="custom" dataDxfId="95" totalsRowDxfId="94">
      <calculatedColumnFormula>'Tatsächliche Kosten'!B2*'Tatsächliche Kosten'!$B$15</calculatedColumnFormula>
      <totalsRowFormula>SUM('Tatsächliche Kosten'!$B12:'Tatsächliche Kosten'!B12)</totalsRowFormula>
    </tableColumn>
    <tableColumn id="3" name="2" totalsRowFunction="custom" dataDxfId="93" totalsRowDxfId="92">
      <totalsRowFormula>SUM('Tatsächliche Kosten'!$B12:'Tatsächliche Kosten'!C12)</totalsRowFormula>
    </tableColumn>
    <tableColumn id="4" name="3" totalsRowFunction="custom" dataDxfId="91" totalsRowDxfId="90">
      <totalsRowFormula>SUM('Tatsächliche Kosten'!$B12:'Tatsächliche Kosten'!D12)</totalsRowFormula>
    </tableColumn>
    <tableColumn id="5" name="4" totalsRowFunction="custom" dataDxfId="89" totalsRowDxfId="88">
      <totalsRowFormula>SUM('Tatsächliche Kosten'!$B12:'Tatsächliche Kosten'!E12)</totalsRowFormula>
    </tableColumn>
    <tableColumn id="6" name="5" totalsRowFunction="custom" dataDxfId="87" totalsRowDxfId="86">
      <totalsRowFormula>SUM('Tatsächliche Kosten'!$B12:'Tatsächliche Kosten'!F12)</totalsRowFormula>
    </tableColumn>
    <tableColumn id="7" name="6" totalsRowFunction="custom" dataDxfId="85" totalsRowDxfId="84">
      <totalsRowFormula>SUM('Tatsächliche Kosten'!$B12:'Tatsächliche Kosten'!G12)</totalsRowFormula>
    </tableColumn>
    <tableColumn id="8" name="7" totalsRowFunction="custom" dataDxfId="83" totalsRowDxfId="82">
      <totalsRowFormula>SUM('Tatsächliche Kosten'!$B12:'Tatsächliche Kosten'!H12)</totalsRowFormula>
    </tableColumn>
  </tableColumns>
  <tableStyleInfo name="SpBC" showFirstColumn="1" showLastColumn="0" showRowStripes="1" showColumnStripes="0"/>
</table>
</file>

<file path=xl/tables/table4.xml><?xml version="1.0" encoding="utf-8"?>
<table xmlns="http://schemas.openxmlformats.org/spreadsheetml/2006/main" id="4" name="CV" displayName="CV" ref="B42:I50" totalsRowCount="1">
  <autoFilter ref="B42:I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>
      <calculatedColumnFormula>B30</calculatedColumnFormula>
      <totalsRowFormula>EV[[#Totals],[Posten]]</totalsRowFormula>
    </tableColumn>
    <tableColumn id="2" name="1" totalsRowFunction="custom" dataDxfId="81">
      <calculatedColumnFormula>C30-C17</calculatedColumnFormula>
      <totalsRowFormula>EV[[#Totals],[1]]-AC[[#Totals],[1]]</totalsRowFormula>
    </tableColumn>
    <tableColumn id="3" name="2" totalsRowFunction="custom" dataDxfId="80">
      <calculatedColumnFormula>D30-D17</calculatedColumnFormula>
      <totalsRowFormula>EV[[#Totals],[2]]-AC[[#Totals],[2]]</totalsRowFormula>
    </tableColumn>
    <tableColumn id="4" name="3" totalsRowFunction="custom" dataDxfId="79">
      <calculatedColumnFormula>E30-E17</calculatedColumnFormula>
      <totalsRowFormula>EV[[#Totals],[3]]-AC[[#Totals],[3]]</totalsRowFormula>
    </tableColumn>
    <tableColumn id="5" name="4" totalsRowFunction="custom" dataDxfId="78">
      <calculatedColumnFormula>F30-F17</calculatedColumnFormula>
      <totalsRowFormula>EV[[#Totals],[4]]-AC[[#Totals],[4]]</totalsRowFormula>
    </tableColumn>
    <tableColumn id="6" name="5" totalsRowFunction="custom" dataDxfId="77">
      <calculatedColumnFormula>G30-G17</calculatedColumnFormula>
      <totalsRowFormula>EV[[#Totals],[5]]-AC[[#Totals],[5]]</totalsRowFormula>
    </tableColumn>
    <tableColumn id="7" name="6" totalsRowFunction="custom" dataDxfId="76">
      <calculatedColumnFormula>H30-H17</calculatedColumnFormula>
      <totalsRowFormula>EV[[#Totals],[6]]-AC[[#Totals],[6]]</totalsRowFormula>
    </tableColumn>
    <tableColumn id="8" name="7" totalsRowFunction="custom" dataDxfId="75">
      <calculatedColumnFormula>I30-I17</calculatedColumnFormula>
      <totalsRowFormula>EV[[#Totals],[7]]-AC[[#Totals],[7]]</totalsRowFormula>
    </tableColumn>
  </tableColumns>
  <tableStyleInfo name="SpBC" showFirstColumn="1" showLastColumn="0" showRowStripes="1" showColumnStripes="0"/>
</table>
</file>

<file path=xl/tables/table5.xml><?xml version="1.0" encoding="utf-8"?>
<table xmlns="http://schemas.openxmlformats.org/spreadsheetml/2006/main" id="5" name="SV" displayName="SV" ref="B55:I63" totalsRowCount="1">
  <autoFilter ref="B55:I62"/>
  <tableColumns count="8">
    <tableColumn id="1" name="Posten" totalsRowFunction="custom">
      <calculatedColumnFormula>B43</calculatedColumnFormula>
      <totalsRowFormula>CV[[#Totals],[Posten]]</totalsRowFormula>
    </tableColumn>
    <tableColumn id="2" name="1" totalsRowFunction="custom" dataDxfId="74">
      <calculatedColumnFormula>C30-C4</calculatedColumnFormula>
      <totalsRowFormula>SUM(SV[1])</totalsRowFormula>
    </tableColumn>
    <tableColumn id="3" name="2" totalsRowFunction="custom" dataDxfId="73">
      <calculatedColumnFormula>D30-D4</calculatedColumnFormula>
      <totalsRowFormula>SUM(SV[2])</totalsRowFormula>
    </tableColumn>
    <tableColumn id="4" name="3" totalsRowFunction="custom" dataDxfId="72">
      <calculatedColumnFormula>E30-E4</calculatedColumnFormula>
      <totalsRowFormula>SUM(SV[3])</totalsRowFormula>
    </tableColumn>
    <tableColumn id="5" name="4" totalsRowFunction="custom" dataDxfId="71">
      <calculatedColumnFormula>F30-F4</calculatedColumnFormula>
      <totalsRowFormula>SUM(SV[4])</totalsRowFormula>
    </tableColumn>
    <tableColumn id="6" name="5" totalsRowFunction="custom" dataDxfId="70">
      <calculatedColumnFormula>G30-G4</calculatedColumnFormula>
      <totalsRowFormula>SUM(SV[5])</totalsRowFormula>
    </tableColumn>
    <tableColumn id="7" name="6" totalsRowFunction="custom" dataDxfId="69">
      <calculatedColumnFormula>H30-H4</calculatedColumnFormula>
      <totalsRowFormula>SUM(SV[6])</totalsRowFormula>
    </tableColumn>
    <tableColumn id="8" name="7" totalsRowFunction="custom" dataDxfId="68">
      <calculatedColumnFormula>I30-I4</calculatedColumnFormula>
      <totalsRowFormula>SUM(SV[7])</totalsRowFormula>
    </tableColumn>
  </tableColumns>
  <tableStyleInfo name="SpBC" showFirstColumn="1" showLastColumn="0" showRowStripes="1" showColumnStripes="0"/>
</table>
</file>

<file path=xl/tables/table6.xml><?xml version="1.0" encoding="utf-8"?>
<table xmlns="http://schemas.openxmlformats.org/spreadsheetml/2006/main" id="6" name="CPI" displayName="CPI" ref="B68:I76" totalsRowCount="1">
  <autoFilter ref="B68:I75"/>
  <tableColumns count="8">
    <tableColumn id="1" name="Posten" totalsRowFunction="custom">
      <calculatedColumnFormula>B56</calculatedColumnFormula>
      <totalsRowFormula>SV[[#Totals],[Posten]]</totalsRowFormula>
    </tableColumn>
    <tableColumn id="2" name="1" totalsRowFunction="custom" dataDxfId="67">
      <calculatedColumnFormula>IF(C17=0,$L$70,C30/C17)</calculatedColumnFormula>
      <totalsRowFormula>EV[[#Totals],[1]]/AC[[#Totals],[1]]</totalsRowFormula>
    </tableColumn>
    <tableColumn id="3" name="2" totalsRowFunction="custom" dataDxfId="66">
      <calculatedColumnFormula>IF(D17=0,$L$70,D30/D17)</calculatedColumnFormula>
      <totalsRowFormula>EV[[#Totals],[2]]/AC[[#Totals],[2]]</totalsRowFormula>
    </tableColumn>
    <tableColumn id="4" name="3" totalsRowFunction="custom" dataDxfId="65">
      <calculatedColumnFormula>IF(E17=0,$L$70,E30/E17)</calculatedColumnFormula>
      <totalsRowFormula>EV[[#Totals],[3]]/AC[[#Totals],[3]]</totalsRowFormula>
    </tableColumn>
    <tableColumn id="5" name="4" totalsRowFunction="custom" dataDxfId="64">
      <calculatedColumnFormula>IF(F17=0,$L$70,F30/F17)</calculatedColumnFormula>
      <totalsRowFormula>EV[[#Totals],[4]]/AC[[#Totals],[4]]</totalsRowFormula>
    </tableColumn>
    <tableColumn id="6" name="5" totalsRowFunction="custom" dataDxfId="63">
      <calculatedColumnFormula>IF(G17=0,$L$70,G30/G17)</calculatedColumnFormula>
      <totalsRowFormula>EV[[#Totals],[5]]/AC[[#Totals],[5]]</totalsRowFormula>
    </tableColumn>
    <tableColumn id="7" name="6" totalsRowFunction="custom" dataDxfId="62">
      <calculatedColumnFormula>IF(H17=0,$L$70,H30/H17)</calculatedColumnFormula>
      <totalsRowFormula>EV[[#Totals],[6]]/AC[[#Totals],[6]]</totalsRowFormula>
    </tableColumn>
    <tableColumn id="8" name="7" totalsRowFunction="custom" dataDxfId="61">
      <calculatedColumnFormula>IF(I17=0,"-",I30/I17)</calculatedColumnFormula>
      <totalsRowFormula>EV[[#Totals],[7]]/AC[[#Totals],[7]]</totalsRowFormula>
    </tableColumn>
  </tableColumns>
  <tableStyleInfo name="SpBC" showFirstColumn="1" showLastColumn="0" showRowStripes="1" showColumnStripes="0"/>
</table>
</file>

<file path=xl/tables/table7.xml><?xml version="1.0" encoding="utf-8"?>
<table xmlns="http://schemas.openxmlformats.org/spreadsheetml/2006/main" id="7" name="SPI" displayName="SPI" ref="B81:I89" totalsRowCount="1">
  <autoFilter ref="B81:I88"/>
  <tableColumns count="8">
    <tableColumn id="1" name="Posten" totalsRowFunction="custom">
      <calculatedColumnFormula>B69</calculatedColumnFormula>
      <totalsRowFormula>CPI[[#Totals],[Posten]]</totalsRowFormula>
    </tableColumn>
    <tableColumn id="2" name="1" totalsRowFunction="custom" dataDxfId="60" totalsRowDxfId="59">
      <calculatedColumnFormula>IF(C4=0,$L$70,C30/C4)</calculatedColumnFormula>
      <totalsRowFormula>EV[[#Totals],[1]]/PV[[#Totals],[1]]</totalsRowFormula>
    </tableColumn>
    <tableColumn id="3" name="2" totalsRowFunction="custom" dataDxfId="58" totalsRowDxfId="57">
      <calculatedColumnFormula>IF(D4=0,$L$70,D30/D4)</calculatedColumnFormula>
      <totalsRowFormula>EV[[#Totals],[2]]/PV[[#Totals],[2]]</totalsRowFormula>
    </tableColumn>
    <tableColumn id="4" name="3" totalsRowFunction="custom" dataDxfId="56" totalsRowDxfId="55">
      <calculatedColumnFormula>IF(E4=0,$L$70,E30/E4)</calculatedColumnFormula>
      <totalsRowFormula>EV[[#Totals],[3]]/PV[[#Totals],[3]]</totalsRowFormula>
    </tableColumn>
    <tableColumn id="5" name="4" totalsRowFunction="custom" dataDxfId="54" totalsRowDxfId="53">
      <calculatedColumnFormula>IF(F4=0,$L$70,F30/F4)</calculatedColumnFormula>
      <totalsRowFormula>EV[[#Totals],[4]]/PV[[#Totals],[4]]</totalsRowFormula>
    </tableColumn>
    <tableColumn id="6" name="5" totalsRowFunction="custom" dataDxfId="52" totalsRowDxfId="51">
      <calculatedColumnFormula>IF(G4=0,$L$70,G30/G4)</calculatedColumnFormula>
      <totalsRowFormula>EV[[#Totals],[5]]/PV[[#Totals],[5]]</totalsRowFormula>
    </tableColumn>
    <tableColumn id="7" name="6" totalsRowFunction="custom" dataDxfId="50" totalsRowDxfId="49">
      <calculatedColumnFormula>IF(H4=0,$L$70,H30/H4)</calculatedColumnFormula>
      <totalsRowFormula>EV[[#Totals],[6]]/PV[[#Totals],[6]]</totalsRowFormula>
    </tableColumn>
    <tableColumn id="8" name="7" totalsRowFunction="custom" dataDxfId="48" totalsRowDxfId="47">
      <calculatedColumnFormula>IF(I4=0,"-",I30/I4)</calculatedColumnFormula>
      <totalsRowFormula>EV[[#Totals],[7]]/PV[[#Totals],[7]]</totalsRowFormula>
    </tableColumn>
  </tableColumns>
  <tableStyleInfo name="SpBC" showFirstColumn="1" showLastColumn="0" showRowStripes="1" showColumnStripes="0"/>
</table>
</file>

<file path=xl/tables/table8.xml><?xml version="1.0" encoding="utf-8"?>
<table xmlns="http://schemas.openxmlformats.org/spreadsheetml/2006/main" id="8" name="Tabelle8" displayName="Tabelle8" ref="N68:T69" totalsRowShown="0">
  <autoFilter ref="N68:T69"/>
  <tableColumns count="7"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9.xml><?xml version="1.0" encoding="utf-8"?>
<table xmlns="http://schemas.openxmlformats.org/spreadsheetml/2006/main" id="11" name="ETC" displayName="ETC" ref="B96:I104" totalsRowCount="1">
  <autoFilter ref="B96:I103"/>
  <tableColumns count="8">
    <tableColumn id="1" name="Posten" totalsRowFunction="custom" dataDxfId="46">
      <calculatedColumnFormula>B82</calculatedColumnFormula>
      <totalsRowFormula>SPI[[#Totals],[Posten]]</totalsRowFormula>
    </tableColumn>
    <tableColumn id="2" name="1 [k €]" totalsRowFunction="custom" dataDxfId="45" totalsRowDxfId="44">
      <calculatedColumnFormula>IF(C69=$L$70,$L$70,('Budgetierte Kosten'!$P2-C30)/(C69*1000))</calculatedColumnFormula>
      <totalsRowFormula>($E$92-EV[[#Totals],[1]])/(CPI[[#Totals],[1]]*1000)</totalsRowFormula>
    </tableColumn>
    <tableColumn id="3" name="2 [k €]" totalsRowFunction="custom" dataDxfId="43" totalsRowDxfId="42">
      <calculatedColumnFormula>IF(D69=$L$70,$L$70,($E$92-D30)/(D69*1000))</calculatedColumnFormula>
      <totalsRowFormula>($E$92-EV[[#Totals],[2]])/(CPI[[#Totals],[2]]*1000)</totalsRowFormula>
    </tableColumn>
    <tableColumn id="4" name="3 [k €]" totalsRowFunction="custom" dataDxfId="41" totalsRowDxfId="40">
      <calculatedColumnFormula>IF(E69=$L$70,$L$70,($E$92-E30)/(E69*1000))</calculatedColumnFormula>
      <totalsRowFormula>($E$92-EV[[#Totals],[3]])/(CPI[[#Totals],[3]]*1000)</totalsRowFormula>
    </tableColumn>
    <tableColumn id="5" name="4 [k €]" totalsRowFunction="custom" dataDxfId="39" totalsRowDxfId="38">
      <calculatedColumnFormula>IF(F69=$L$70,$L$70,($E$92-F30)/(F69*1000))</calculatedColumnFormula>
      <totalsRowFormula>($E$92-EV[[#Totals],[4]])/(CPI[[#Totals],[4]]*1000)</totalsRowFormula>
    </tableColumn>
    <tableColumn id="6" name="5 [k €]" totalsRowFunction="custom" dataDxfId="37" totalsRowDxfId="36">
      <calculatedColumnFormula>IF(G69=$L$70,$L$70,($E$92-G30)/(G69*1000))</calculatedColumnFormula>
      <totalsRowFormula>($E$92-EV[[#Totals],[5]])/(CPI[[#Totals],[5]]*1000)</totalsRowFormula>
    </tableColumn>
    <tableColumn id="7" name="6 [k €]" totalsRowFunction="custom" dataDxfId="35" totalsRowDxfId="34">
      <calculatedColumnFormula>IF(H69=$L$70,$L$70,($E$92-H30)/(H69*1000))</calculatedColumnFormula>
      <totalsRowFormula>($E$92-EV[[#Totals],[6]])/(CPI[[#Totals],[6]]*1000)</totalsRowFormula>
    </tableColumn>
    <tableColumn id="8" name="7 [k €]" totalsRowFunction="custom" dataDxfId="33" totalsRowDxfId="32">
      <calculatedColumnFormula>IF(I69=$L$70,$L$70,($E$92-I30)/(I69*1000))</calculatedColumnFormula>
      <totalsRowFormula>($E$92-EV[[#Totals],[7]])/(CPI[[#Totals],[7]]*1000)</totalsRowFormula>
    </tableColumn>
  </tableColumns>
  <tableStyleInfo name="SpBC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"/>
  <sheetViews>
    <sheetView tabSelected="1" topLeftCell="A97" zoomScale="85" zoomScaleNormal="85" workbookViewId="0">
      <selection activeCell="I120" sqref="I120"/>
    </sheetView>
  </sheetViews>
  <sheetFormatPr baseColWidth="10" defaultRowHeight="12.75" x14ac:dyDescent="0.2"/>
  <cols>
    <col min="1" max="1" width="7.42578125" customWidth="1"/>
    <col min="2" max="2" width="21.85546875" customWidth="1"/>
  </cols>
  <sheetData>
    <row r="1" spans="1:12" ht="23.25" x14ac:dyDescent="0.35">
      <c r="A1" s="27" t="s">
        <v>81</v>
      </c>
    </row>
    <row r="3" spans="1:12" x14ac:dyDescent="0.2">
      <c r="B3" t="s">
        <v>16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K3" t="s">
        <v>18</v>
      </c>
      <c r="L3" t="s">
        <v>29</v>
      </c>
    </row>
    <row r="4" spans="1:12" x14ac:dyDescent="0.2">
      <c r="B4" t="str">
        <f>'Budgetierte Kosten'!A2</f>
        <v>Anforderungsanalyse</v>
      </c>
      <c r="C4" s="28">
        <f>SUM('Budgetierte Kosten'!$B2:'Budgetierte Kosten'!B2)*'Budgetierte Kosten'!$B$14</f>
        <v>48000</v>
      </c>
      <c r="D4" s="28">
        <f>SUM('Budgetierte Kosten'!$B2:'Budgetierte Kosten'!C2)*'Budgetierte Kosten'!$B$14</f>
        <v>96000</v>
      </c>
      <c r="E4" s="28">
        <f>SUM('Budgetierte Kosten'!$B2:'Budgetierte Kosten'!D2)*'Budgetierte Kosten'!$B$14</f>
        <v>144000</v>
      </c>
      <c r="F4" s="28">
        <f>SUM('Budgetierte Kosten'!$B2:'Budgetierte Kosten'!E2)*'Budgetierte Kosten'!$B$14</f>
        <v>144000</v>
      </c>
      <c r="G4" s="28">
        <f>SUM('Budgetierte Kosten'!$B2:'Budgetierte Kosten'!F2)*'Budgetierte Kosten'!$B$14</f>
        <v>144000</v>
      </c>
      <c r="H4" s="28">
        <f>SUM('Budgetierte Kosten'!$B2:'Budgetierte Kosten'!G2)*'Budgetierte Kosten'!$B$14</f>
        <v>144000</v>
      </c>
      <c r="I4" s="28">
        <f>SUM('Budgetierte Kosten'!$B2:'Budgetierte Kosten'!H2)*'Budgetierte Kosten'!$B$14</f>
        <v>144000</v>
      </c>
    </row>
    <row r="5" spans="1:12" x14ac:dyDescent="0.2">
      <c r="B5" t="str">
        <f>'Budgetierte Kosten'!A3</f>
        <v>Design und Architektur</v>
      </c>
      <c r="C5" s="28">
        <f>SUM('Budgetierte Kosten'!$B3:'Budgetierte Kosten'!B3)*'Budgetierte Kosten'!$B$14</f>
        <v>0</v>
      </c>
      <c r="D5" s="28">
        <f>SUM('Budgetierte Kosten'!$B3:'Budgetierte Kosten'!C3)*'Budgetierte Kosten'!$B$14</f>
        <v>0</v>
      </c>
      <c r="E5" s="28">
        <f>SUM('Budgetierte Kosten'!$B3:'Budgetierte Kosten'!D3)*'Budgetierte Kosten'!$B$14</f>
        <v>20000</v>
      </c>
      <c r="F5" s="28">
        <f>SUM('Budgetierte Kosten'!$B3:'Budgetierte Kosten'!E3)*'Budgetierte Kosten'!$B$14</f>
        <v>52000</v>
      </c>
      <c r="G5" s="28">
        <f>SUM('Budgetierte Kosten'!$B3:'Budgetierte Kosten'!F3)*'Budgetierte Kosten'!$B$14</f>
        <v>96000</v>
      </c>
      <c r="H5" s="28">
        <f>SUM('Budgetierte Kosten'!$B3:'Budgetierte Kosten'!G3)*'Budgetierte Kosten'!$B$14</f>
        <v>152000</v>
      </c>
      <c r="I5" s="28">
        <f>SUM('Budgetierte Kosten'!$B3:'Budgetierte Kosten'!H3)*'Budgetierte Kosten'!$B$14</f>
        <v>172000</v>
      </c>
    </row>
    <row r="6" spans="1:12" x14ac:dyDescent="0.2">
      <c r="B6" t="str">
        <f>'Budgetierte Kosten'!A4</f>
        <v>Implementierung</v>
      </c>
      <c r="C6" s="28">
        <f>SUM('Budgetierte Kosten'!$B4:'Budgetierte Kosten'!B4)*'Budgetierte Kosten'!$B$14</f>
        <v>0</v>
      </c>
      <c r="D6" s="28">
        <f>SUM('Budgetierte Kosten'!$B4:'Budgetierte Kosten'!C4)*'Budgetierte Kosten'!$B$14</f>
        <v>0</v>
      </c>
      <c r="E6" s="28">
        <f>SUM('Budgetierte Kosten'!$B4:'Budgetierte Kosten'!D4)*'Budgetierte Kosten'!$B$14</f>
        <v>0</v>
      </c>
      <c r="F6" s="28">
        <f>SUM('Budgetierte Kosten'!$B4:'Budgetierte Kosten'!E4)*'Budgetierte Kosten'!$B$14</f>
        <v>24000</v>
      </c>
      <c r="G6" s="28">
        <f>SUM('Budgetierte Kosten'!$B4:'Budgetierte Kosten'!F4)*'Budgetierte Kosten'!$B$14</f>
        <v>64000</v>
      </c>
      <c r="H6" s="28">
        <f>SUM('Budgetierte Kosten'!$B4:'Budgetierte Kosten'!G4)*'Budgetierte Kosten'!$B$14</f>
        <v>112000</v>
      </c>
      <c r="I6" s="28">
        <f>SUM('Budgetierte Kosten'!$B4:'Budgetierte Kosten'!H4)*'Budgetierte Kosten'!$B$14</f>
        <v>160000</v>
      </c>
    </row>
    <row r="7" spans="1:12" x14ac:dyDescent="0.2">
      <c r="B7" t="str">
        <f>'Budgetierte Kosten'!A5</f>
        <v>Integration und Test</v>
      </c>
      <c r="C7" s="28">
        <f>SUM('Budgetierte Kosten'!$B5:'Budgetierte Kosten'!B5)*'Budgetierte Kosten'!$B$14</f>
        <v>0</v>
      </c>
      <c r="D7" s="28">
        <f>SUM('Budgetierte Kosten'!$B5:'Budgetierte Kosten'!C5)*'Budgetierte Kosten'!$B$14</f>
        <v>0</v>
      </c>
      <c r="E7" s="28">
        <f>SUM('Budgetierte Kosten'!$B5:'Budgetierte Kosten'!D5)*'Budgetierte Kosten'!$B$14</f>
        <v>0</v>
      </c>
      <c r="F7" s="28">
        <f>SUM('Budgetierte Kosten'!$B5:'Budgetierte Kosten'!E5)*'Budgetierte Kosten'!$B$14</f>
        <v>0</v>
      </c>
      <c r="G7" s="28">
        <f>SUM('Budgetierte Kosten'!$B5:'Budgetierte Kosten'!F5)*'Budgetierte Kosten'!$B$14</f>
        <v>0</v>
      </c>
      <c r="H7" s="28">
        <f>SUM('Budgetierte Kosten'!$B5:'Budgetierte Kosten'!G5)*'Budgetierte Kosten'!$B$14</f>
        <v>0</v>
      </c>
      <c r="I7" s="28">
        <f>SUM('Budgetierte Kosten'!$B5:'Budgetierte Kosten'!H5)*'Budgetierte Kosten'!$B$14</f>
        <v>16000</v>
      </c>
    </row>
    <row r="8" spans="1:12" x14ac:dyDescent="0.2">
      <c r="B8" t="str">
        <f>'Budgetierte Kosten'!A6</f>
        <v>Projektmanagement</v>
      </c>
      <c r="C8" s="28">
        <f>SUM('Budgetierte Kosten'!$B6:'Budgetierte Kosten'!B6)*'Budgetierte Kosten'!$B$14</f>
        <v>22000</v>
      </c>
      <c r="D8" s="28">
        <f>SUM('Budgetierte Kosten'!$B6:'Budgetierte Kosten'!C6)*'Budgetierte Kosten'!$B$14</f>
        <v>44000</v>
      </c>
      <c r="E8" s="28">
        <f>SUM('Budgetierte Kosten'!$B6:'Budgetierte Kosten'!D6)*'Budgetierte Kosten'!$B$14</f>
        <v>66000</v>
      </c>
      <c r="F8" s="28">
        <f>SUM('Budgetierte Kosten'!$B6:'Budgetierte Kosten'!E6)*'Budgetierte Kosten'!$B$14</f>
        <v>88000</v>
      </c>
      <c r="G8" s="28">
        <f>SUM('Budgetierte Kosten'!$B6:'Budgetierte Kosten'!F6)*'Budgetierte Kosten'!$B$14</f>
        <v>110000</v>
      </c>
      <c r="H8" s="28">
        <f>SUM('Budgetierte Kosten'!$B6:'Budgetierte Kosten'!G6)*'Budgetierte Kosten'!$B$14</f>
        <v>132000</v>
      </c>
      <c r="I8" s="28">
        <f>SUM('Budgetierte Kosten'!$B6:'Budgetierte Kosten'!H6)*'Budgetierte Kosten'!$B$14</f>
        <v>154000</v>
      </c>
    </row>
    <row r="9" spans="1:12" x14ac:dyDescent="0.2">
      <c r="B9" t="str">
        <f>'Budgetierte Kosten'!A7</f>
        <v>Puffer für unerwartetes</v>
      </c>
      <c r="C9" s="28">
        <f>SUM('Budgetierte Kosten'!$B7:'Budgetierte Kosten'!B7)*'Budgetierte Kosten'!$B$14</f>
        <v>8000</v>
      </c>
      <c r="D9" s="28">
        <f>SUM('Budgetierte Kosten'!$B7:'Budgetierte Kosten'!C7)*'Budgetierte Kosten'!$B$14</f>
        <v>16000</v>
      </c>
      <c r="E9" s="28">
        <f>SUM('Budgetierte Kosten'!$B7:'Budgetierte Kosten'!D7)*'Budgetierte Kosten'!$B$14</f>
        <v>24000</v>
      </c>
      <c r="F9" s="28">
        <f>SUM('Budgetierte Kosten'!$B7:'Budgetierte Kosten'!E7)*'Budgetierte Kosten'!$B$14</f>
        <v>32000</v>
      </c>
      <c r="G9" s="28">
        <f>SUM('Budgetierte Kosten'!$B7:'Budgetierte Kosten'!F7)*'Budgetierte Kosten'!$B$14</f>
        <v>40000</v>
      </c>
      <c r="H9" s="28">
        <f>SUM('Budgetierte Kosten'!$B7:'Budgetierte Kosten'!G7)*'Budgetierte Kosten'!$B$14</f>
        <v>48000</v>
      </c>
      <c r="I9" s="28">
        <f>SUM('Budgetierte Kosten'!$B7:'Budgetierte Kosten'!H7)*'Budgetierte Kosten'!$B$14</f>
        <v>56000</v>
      </c>
    </row>
    <row r="10" spans="1:12" x14ac:dyDescent="0.2">
      <c r="B10" t="s">
        <v>26</v>
      </c>
      <c r="C10" s="28">
        <f>SUM('Budgetierte Kosten'!$B11:'Budgetierte Kosten'!B11)</f>
        <v>2000</v>
      </c>
      <c r="D10" s="28">
        <f>SUM('Budgetierte Kosten'!$B11:'Budgetierte Kosten'!C11)</f>
        <v>4000</v>
      </c>
      <c r="E10" s="28">
        <f>SUM('Budgetierte Kosten'!$B11:'Budgetierte Kosten'!D11)</f>
        <v>7000</v>
      </c>
      <c r="F10" s="28">
        <f>SUM('Budgetierte Kosten'!$B11:'Budgetierte Kosten'!E11)</f>
        <v>10000</v>
      </c>
      <c r="G10" s="28">
        <f>SUM('Budgetierte Kosten'!$B11:'Budgetierte Kosten'!F11)</f>
        <v>13000</v>
      </c>
      <c r="H10" s="28">
        <f>SUM('Budgetierte Kosten'!$B11:'Budgetierte Kosten'!G11)</f>
        <v>16000</v>
      </c>
      <c r="I10" s="28">
        <f>SUM('Budgetierte Kosten'!$B11:'Budgetierte Kosten'!H11)</f>
        <v>21000</v>
      </c>
      <c r="K10" t="s">
        <v>18</v>
      </c>
      <c r="L10" t="s">
        <v>28</v>
      </c>
    </row>
    <row r="11" spans="1:12" x14ac:dyDescent="0.2">
      <c r="B11" t="s">
        <v>80</v>
      </c>
      <c r="C11" s="28">
        <f>SUM('Budgetierte Kosten'!$B12:'Budgetierte Kosten'!B12)</f>
        <v>80000</v>
      </c>
      <c r="D11" s="28">
        <f>SUM('Budgetierte Kosten'!$B12:'Budgetierte Kosten'!C12)</f>
        <v>160000</v>
      </c>
      <c r="E11" s="28">
        <f>SUM('Budgetierte Kosten'!$B12:'Budgetierte Kosten'!D12)</f>
        <v>261000</v>
      </c>
      <c r="F11" s="28">
        <f>SUM('Budgetierte Kosten'!$B12:'Budgetierte Kosten'!E12)</f>
        <v>350000</v>
      </c>
      <c r="G11" s="28">
        <f>SUM('Budgetierte Kosten'!$B12:'Budgetierte Kosten'!F12)</f>
        <v>467000</v>
      </c>
      <c r="H11" s="28">
        <f>SUM('Budgetierte Kosten'!$B12:'Budgetierte Kosten'!G12)</f>
        <v>604000</v>
      </c>
      <c r="I11" s="28">
        <f>SUM('Budgetierte Kosten'!$B12:'Budgetierte Kosten'!H12)</f>
        <v>723000</v>
      </c>
    </row>
    <row r="12" spans="1:12" x14ac:dyDescent="0.2">
      <c r="C12" s="28"/>
      <c r="D12" s="28"/>
      <c r="E12" s="28"/>
      <c r="F12" s="28"/>
      <c r="G12" s="28"/>
      <c r="H12" s="28"/>
      <c r="I12" s="28"/>
    </row>
    <row r="13" spans="1:12" x14ac:dyDescent="0.2">
      <c r="C13" s="28"/>
      <c r="D13" s="28"/>
      <c r="E13" s="28"/>
      <c r="F13" s="28"/>
      <c r="G13" s="28"/>
      <c r="H13" s="28"/>
      <c r="I13" s="28"/>
      <c r="K13">
        <f>SUM(PV[7])</f>
        <v>723000</v>
      </c>
    </row>
    <row r="14" spans="1:12" ht="23.25" x14ac:dyDescent="0.35">
      <c r="A14" s="27" t="s">
        <v>40</v>
      </c>
    </row>
    <row r="16" spans="1:12" x14ac:dyDescent="0.2">
      <c r="B16" t="s">
        <v>16</v>
      </c>
      <c r="C16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</row>
    <row r="17" spans="1:12" x14ac:dyDescent="0.2">
      <c r="B17" t="str">
        <f t="shared" ref="B17:B23" si="0">B4</f>
        <v>Anforderungsanalyse</v>
      </c>
      <c r="C17" s="28">
        <f>SUM('Tatsächliche Kosten'!$B2:'Tatsächliche Kosten'!B2)*'Tatsächliche Kosten'!$B$15</f>
        <v>42500</v>
      </c>
      <c r="D17" s="28">
        <f>SUM('Tatsächliche Kosten'!$B2:'Tatsächliche Kosten'!C2)*'Tatsächliche Kosten'!$B$15</f>
        <v>85000</v>
      </c>
      <c r="E17" s="28">
        <f>SUM('Tatsächliche Kosten'!$B2:'Tatsächliche Kosten'!D2)*'Tatsächliche Kosten'!$B$15</f>
        <v>130900</v>
      </c>
      <c r="F17" s="28">
        <f>SUM('Tatsächliche Kosten'!$B2:'Tatsächliche Kosten'!E2)*'Tatsächliche Kosten'!$B$15</f>
        <v>135150</v>
      </c>
      <c r="G17" s="28">
        <f>SUM('Tatsächliche Kosten'!$B2:'Tatsächliche Kosten'!F2)*'Tatsächliche Kosten'!$B$15</f>
        <v>135150</v>
      </c>
      <c r="H17" s="28">
        <f>SUM('Tatsächliche Kosten'!$B2:'Tatsächliche Kosten'!G2)*'Tatsächliche Kosten'!$B$15</f>
        <v>135150</v>
      </c>
      <c r="I17" s="28">
        <f>SUM('Tatsächliche Kosten'!$B2:'Tatsächliche Kosten'!H2)*'Tatsächliche Kosten'!$B$15</f>
        <v>135150</v>
      </c>
      <c r="K17" t="s">
        <v>18</v>
      </c>
      <c r="L17" t="s">
        <v>30</v>
      </c>
    </row>
    <row r="18" spans="1:12" x14ac:dyDescent="0.2">
      <c r="B18" t="str">
        <f t="shared" si="0"/>
        <v>Design und Architektur</v>
      </c>
      <c r="C18" s="28">
        <f>SUM('Tatsächliche Kosten'!$B3:'Tatsächliche Kosten'!B3)*'Tatsächliche Kosten'!$B$15</f>
        <v>0</v>
      </c>
      <c r="D18" s="28">
        <f>SUM('Tatsächliche Kosten'!$B3:'Tatsächliche Kosten'!C3)*'Tatsächliche Kosten'!$B$15</f>
        <v>0</v>
      </c>
      <c r="E18" s="28">
        <f>SUM('Tatsächliche Kosten'!$B3:'Tatsächliche Kosten'!D3)*'Tatsächliche Kosten'!$B$15</f>
        <v>0</v>
      </c>
      <c r="F18" s="28">
        <f>SUM('Tatsächliche Kosten'!$B3:'Tatsächliche Kosten'!E3)*'Tatsächliche Kosten'!$B$15</f>
        <v>42500</v>
      </c>
      <c r="G18" s="28">
        <f>SUM('Tatsächliche Kosten'!$B3:'Tatsächliche Kosten'!F3)*'Tatsächliche Kosten'!$B$15</f>
        <v>59500</v>
      </c>
      <c r="H18" s="28">
        <f>SUM('Tatsächliche Kosten'!$B3:'Tatsächliche Kosten'!G3)*'Tatsächliche Kosten'!$B$15</f>
        <v>79050</v>
      </c>
      <c r="I18" s="28">
        <f>SUM('Tatsächliche Kosten'!$B3:'Tatsächliche Kosten'!H3)*'Tatsächliche Kosten'!$B$15</f>
        <v>87550</v>
      </c>
    </row>
    <row r="19" spans="1:12" x14ac:dyDescent="0.2">
      <c r="B19" t="str">
        <f t="shared" si="0"/>
        <v>Implementierung</v>
      </c>
      <c r="C19" s="28">
        <f>SUM('Tatsächliche Kosten'!$B4:'Tatsächliche Kosten'!B4)*'Tatsächliche Kosten'!$B$15</f>
        <v>0</v>
      </c>
      <c r="D19" s="28">
        <f>SUM('Tatsächliche Kosten'!$B4:'Tatsächliche Kosten'!C4)*'Tatsächliche Kosten'!$B$15</f>
        <v>0</v>
      </c>
      <c r="E19" s="28">
        <f>SUM('Tatsächliche Kosten'!$B4:'Tatsächliche Kosten'!D4)*'Tatsächliche Kosten'!$B$15</f>
        <v>0</v>
      </c>
      <c r="F19" s="28">
        <f>SUM('Tatsächliche Kosten'!$B4:'Tatsächliche Kosten'!E4)*'Tatsächliche Kosten'!$B$15</f>
        <v>0</v>
      </c>
      <c r="G19" s="28">
        <f>SUM('Tatsächliche Kosten'!$B4:'Tatsächliche Kosten'!F4)*'Tatsächliche Kosten'!$B$15</f>
        <v>0</v>
      </c>
      <c r="H19" s="28">
        <f>SUM('Tatsächliche Kosten'!$B4:'Tatsächliche Kosten'!G4)*'Tatsächliche Kosten'!$B$15</f>
        <v>21250</v>
      </c>
      <c r="I19" s="28">
        <f>SUM('Tatsächliche Kosten'!$B4:'Tatsächliche Kosten'!H4)*'Tatsächliche Kosten'!$B$15</f>
        <v>42500</v>
      </c>
    </row>
    <row r="20" spans="1:12" x14ac:dyDescent="0.2">
      <c r="B20" t="str">
        <f t="shared" si="0"/>
        <v>Integration und Test</v>
      </c>
      <c r="C20" s="28">
        <f>SUM('Tatsächliche Kosten'!$B5:'Tatsächliche Kosten'!B5)*'Tatsächliche Kosten'!$B$15</f>
        <v>0</v>
      </c>
      <c r="D20" s="28">
        <f>SUM('Tatsächliche Kosten'!$B5:'Tatsächliche Kosten'!C5)*'Tatsächliche Kosten'!$B$15</f>
        <v>0</v>
      </c>
      <c r="E20" s="28">
        <f>SUM('Tatsächliche Kosten'!$B5:'Tatsächliche Kosten'!D5)*'Tatsächliche Kosten'!$B$15</f>
        <v>0</v>
      </c>
      <c r="F20" s="28">
        <f>SUM('Tatsächliche Kosten'!$B5:'Tatsächliche Kosten'!E5)*'Tatsächliche Kosten'!$B$15</f>
        <v>0</v>
      </c>
      <c r="G20" s="28">
        <f>SUM('Tatsächliche Kosten'!$B5:'Tatsächliche Kosten'!F5)*'Tatsächliche Kosten'!$B$15</f>
        <v>0</v>
      </c>
      <c r="H20" s="28">
        <f>SUM('Tatsächliche Kosten'!$B5:'Tatsächliche Kosten'!G5)*'Tatsächliche Kosten'!$B$15</f>
        <v>0</v>
      </c>
      <c r="I20" s="28">
        <f>SUM('Tatsächliche Kosten'!$B5:'Tatsächliche Kosten'!H5)*'Tatsächliche Kosten'!$B$15</f>
        <v>29750</v>
      </c>
    </row>
    <row r="21" spans="1:12" x14ac:dyDescent="0.2">
      <c r="B21" t="str">
        <f t="shared" si="0"/>
        <v>Projektmanagement</v>
      </c>
      <c r="C21" s="28">
        <f>SUM('Tatsächliche Kosten'!$B6:'Tatsächliche Kosten'!B6)*'Tatsächliche Kosten'!$B$15</f>
        <v>25500</v>
      </c>
      <c r="D21" s="28">
        <f>SUM('Tatsächliche Kosten'!$B6:'Tatsächliche Kosten'!C6)*'Tatsächliche Kosten'!$B$15</f>
        <v>93500</v>
      </c>
      <c r="E21" s="28">
        <f>SUM('Tatsächliche Kosten'!$B6:'Tatsächliche Kosten'!D6)*'Tatsächliche Kosten'!$B$15</f>
        <v>127500</v>
      </c>
      <c r="F21" s="28">
        <f>SUM('Tatsächliche Kosten'!$B6:'Tatsächliche Kosten'!E6)*'Tatsächliche Kosten'!$B$15</f>
        <v>153000</v>
      </c>
      <c r="G21" s="28">
        <f>SUM('Tatsächliche Kosten'!$B6:'Tatsächliche Kosten'!F6)*'Tatsächliche Kosten'!$B$15</f>
        <v>170000</v>
      </c>
      <c r="H21" s="28">
        <f>SUM('Tatsächliche Kosten'!$B6:'Tatsächliche Kosten'!G6)*'Tatsächliche Kosten'!$B$15</f>
        <v>187000</v>
      </c>
      <c r="I21" s="28">
        <f>SUM('Tatsächliche Kosten'!$B6:'Tatsächliche Kosten'!H6)*'Tatsächliche Kosten'!$B$15</f>
        <v>204000</v>
      </c>
    </row>
    <row r="22" spans="1:12" x14ac:dyDescent="0.2">
      <c r="B22" t="str">
        <f t="shared" si="0"/>
        <v>Puffer für unerwartetes</v>
      </c>
      <c r="C22" s="28">
        <f>SUM('Tatsächliche Kosten'!$B7:'Tatsächliche Kosten'!B7)*'Tatsächliche Kosten'!$B$15</f>
        <v>13600</v>
      </c>
      <c r="D22" s="28">
        <f>SUM('Tatsächliche Kosten'!$B7:'Tatsächliche Kosten'!C7)*'Tatsächliche Kosten'!$B$15</f>
        <v>166600</v>
      </c>
      <c r="E22" s="28">
        <f>SUM('Tatsächliche Kosten'!$B7:'Tatsächliche Kosten'!D7)*'Tatsächliche Kosten'!$B$15</f>
        <v>302600</v>
      </c>
      <c r="F22" s="28">
        <f>SUM('Tatsächliche Kosten'!$B7:'Tatsächliche Kosten'!E7)*'Tatsächliche Kosten'!$B$15</f>
        <v>340850</v>
      </c>
      <c r="G22" s="28">
        <f>SUM('Tatsächliche Kosten'!$B7:'Tatsächliche Kosten'!F7)*'Tatsächliche Kosten'!$B$15</f>
        <v>345100</v>
      </c>
      <c r="H22" s="28">
        <f>SUM('Tatsächliche Kosten'!$B7:'Tatsächliche Kosten'!G7)*'Tatsächliche Kosten'!$B$15</f>
        <v>349350</v>
      </c>
      <c r="I22" s="28">
        <f>SUM('Tatsächliche Kosten'!$B7:'Tatsächliche Kosten'!H7)*'Tatsächliche Kosten'!$B$15</f>
        <v>353600</v>
      </c>
    </row>
    <row r="23" spans="1:12" x14ac:dyDescent="0.2">
      <c r="B23" t="str">
        <f t="shared" si="0"/>
        <v>Materialkosten</v>
      </c>
      <c r="C23" s="28">
        <f>SUM('Tatsächliche Kosten'!$B11:'Tatsächliche Kosten'!B11)</f>
        <v>2000</v>
      </c>
      <c r="D23" s="28">
        <f>SUM('Tatsächliche Kosten'!$B11:'Tatsächliche Kosten'!C11)</f>
        <v>3500</v>
      </c>
      <c r="E23" s="28">
        <f>SUM('Tatsächliche Kosten'!$B11:'Tatsächliche Kosten'!D11)</f>
        <v>4900</v>
      </c>
      <c r="F23" s="28">
        <f>SUM('Tatsächliche Kosten'!$B11:'Tatsächliche Kosten'!E11)</f>
        <v>6400</v>
      </c>
      <c r="G23" s="28">
        <f>SUM('Tatsächliche Kosten'!$B11:'Tatsächliche Kosten'!F11)</f>
        <v>7400</v>
      </c>
      <c r="H23" s="28">
        <f>SUM('Tatsächliche Kosten'!$B11:'Tatsächliche Kosten'!G11)</f>
        <v>15000</v>
      </c>
      <c r="I23" s="28">
        <f>SUM('Tatsächliche Kosten'!$B11:'Tatsächliche Kosten'!H11)</f>
        <v>16200</v>
      </c>
    </row>
    <row r="24" spans="1:12" x14ac:dyDescent="0.2">
      <c r="B24" t="str">
        <f>PV[[#Totals],[Posten]]</f>
        <v>Gesamt</v>
      </c>
      <c r="C24" s="28">
        <f>SUM('Tatsächliche Kosten'!$B12:'Tatsächliche Kosten'!B12)</f>
        <v>83600</v>
      </c>
      <c r="D24" s="28">
        <f>SUM('Tatsächliche Kosten'!$B12:'Tatsächliche Kosten'!C12)</f>
        <v>348600</v>
      </c>
      <c r="E24" s="28">
        <f>SUM('Tatsächliche Kosten'!$B12:'Tatsächliche Kosten'!D12)</f>
        <v>565900</v>
      </c>
      <c r="F24" s="28">
        <f>SUM('Tatsächliche Kosten'!$B12:'Tatsächliche Kosten'!E12)</f>
        <v>677900</v>
      </c>
      <c r="G24" s="28">
        <f>SUM('Tatsächliche Kosten'!$B12:'Tatsächliche Kosten'!F12)</f>
        <v>717150</v>
      </c>
      <c r="H24" s="28">
        <f>SUM('Tatsächliche Kosten'!$B12:'Tatsächliche Kosten'!G12)</f>
        <v>786800</v>
      </c>
      <c r="I24" s="28">
        <f>SUM('Tatsächliche Kosten'!$B12:'Tatsächliche Kosten'!H12)</f>
        <v>868750</v>
      </c>
      <c r="K24">
        <f>SUM(AC[1])</f>
        <v>83600</v>
      </c>
    </row>
    <row r="25" spans="1:12" x14ac:dyDescent="0.2">
      <c r="K25">
        <f>SUM(AC[7])</f>
        <v>868750</v>
      </c>
    </row>
    <row r="27" spans="1:12" ht="23.25" x14ac:dyDescent="0.35">
      <c r="A27" s="27" t="s">
        <v>17</v>
      </c>
    </row>
    <row r="29" spans="1:12" x14ac:dyDescent="0.2">
      <c r="B29" t="s">
        <v>16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 t="s">
        <v>25</v>
      </c>
    </row>
    <row r="30" spans="1:12" x14ac:dyDescent="0.2">
      <c r="B30" t="str">
        <f t="shared" ref="B30:B36" si="1">B17</f>
        <v>Anforderungsanalyse</v>
      </c>
      <c r="C30" s="28">
        <f>'Budgetierte Kosten'!$P2*'Fertigstellungsgrad der Akt.'!B2</f>
        <v>50400</v>
      </c>
      <c r="D30" s="28">
        <f>'Budgetierte Kosten'!$P2*'Fertigstellungsgrad der Akt.'!C2</f>
        <v>7200</v>
      </c>
      <c r="E30" s="28">
        <f>'Budgetierte Kosten'!$P2*'Fertigstellungsgrad der Akt.'!D2</f>
        <v>14400</v>
      </c>
      <c r="F30" s="28">
        <f>'Budgetierte Kosten'!$P2*'Fertigstellungsgrad der Akt.'!E2</f>
        <v>43200</v>
      </c>
      <c r="G30" s="28">
        <f>'Budgetierte Kosten'!$P2*'Fertigstellungsgrad der Akt.'!F2</f>
        <v>72000</v>
      </c>
      <c r="H30" s="28">
        <f>'Budgetierte Kosten'!$P2*'Fertigstellungsgrad der Akt.'!G2</f>
        <v>115200</v>
      </c>
      <c r="I30" s="28">
        <f>'Budgetierte Kosten'!$P2*'Fertigstellungsgrad der Akt.'!H2</f>
        <v>129600</v>
      </c>
      <c r="K30" t="s">
        <v>18</v>
      </c>
      <c r="L30" t="s">
        <v>31</v>
      </c>
    </row>
    <row r="31" spans="1:12" x14ac:dyDescent="0.2">
      <c r="B31" t="str">
        <f t="shared" si="1"/>
        <v>Design und Architektur</v>
      </c>
      <c r="C31" s="28">
        <f>'Budgetierte Kosten'!$P3*'Fertigstellungsgrad der Akt.'!B3</f>
        <v>0</v>
      </c>
      <c r="D31" s="28">
        <f>'Budgetierte Kosten'!$P3*'Fertigstellungsgrad der Akt.'!C3</f>
        <v>0</v>
      </c>
      <c r="E31" s="28">
        <f>'Budgetierte Kosten'!$P3*'Fertigstellungsgrad der Akt.'!D3</f>
        <v>0</v>
      </c>
      <c r="F31" s="28">
        <f>'Budgetierte Kosten'!$P3*'Fertigstellungsgrad der Akt.'!E3</f>
        <v>11800</v>
      </c>
      <c r="G31" s="28">
        <f>'Budgetierte Kosten'!$P3*'Fertigstellungsgrad der Akt.'!F3</f>
        <v>11800</v>
      </c>
      <c r="H31" s="28">
        <f>'Budgetierte Kosten'!$P3*'Fertigstellungsgrad der Akt.'!G3</f>
        <v>23600</v>
      </c>
      <c r="I31" s="28">
        <f>'Budgetierte Kosten'!$P3*'Fertigstellungsgrad der Akt.'!H3</f>
        <v>94400</v>
      </c>
    </row>
    <row r="32" spans="1:12" x14ac:dyDescent="0.2">
      <c r="B32" t="str">
        <f t="shared" si="1"/>
        <v>Implementierung</v>
      </c>
      <c r="C32" s="28">
        <f>'Budgetierte Kosten'!$P4*'Fertigstellungsgrad der Akt.'!B4</f>
        <v>0</v>
      </c>
      <c r="D32" s="28">
        <f>'Budgetierte Kosten'!$P4*'Fertigstellungsgrad der Akt.'!C4</f>
        <v>0</v>
      </c>
      <c r="E32" s="28">
        <f>'Budgetierte Kosten'!$P4*'Fertigstellungsgrad der Akt.'!D4</f>
        <v>0</v>
      </c>
      <c r="F32" s="28">
        <f>'Budgetierte Kosten'!$P4*'Fertigstellungsgrad der Akt.'!E4</f>
        <v>0</v>
      </c>
      <c r="G32" s="28">
        <f>'Budgetierte Kosten'!$P4*'Fertigstellungsgrad der Akt.'!F4</f>
        <v>0</v>
      </c>
      <c r="H32" s="28">
        <f>'Budgetierte Kosten'!$P4*'Fertigstellungsgrad der Akt.'!G4</f>
        <v>39200</v>
      </c>
      <c r="I32" s="28">
        <f>'Budgetierte Kosten'!$P4*'Fertigstellungsgrad der Akt.'!H4</f>
        <v>98000</v>
      </c>
    </row>
    <row r="33" spans="1:12" x14ac:dyDescent="0.2">
      <c r="B33" t="str">
        <f t="shared" si="1"/>
        <v>Integration und Test</v>
      </c>
      <c r="C33" s="28">
        <f>'Budgetierte Kosten'!$P5*'Fertigstellungsgrad der Akt.'!B5</f>
        <v>0</v>
      </c>
      <c r="D33" s="28">
        <f>'Budgetierte Kosten'!$P5*'Fertigstellungsgrad der Akt.'!C5</f>
        <v>0</v>
      </c>
      <c r="E33" s="28">
        <f>'Budgetierte Kosten'!$P5*'Fertigstellungsgrad der Akt.'!D5</f>
        <v>0</v>
      </c>
      <c r="F33" s="28">
        <f>'Budgetierte Kosten'!$P5*'Fertigstellungsgrad der Akt.'!E5</f>
        <v>0</v>
      </c>
      <c r="G33" s="28">
        <f>'Budgetierte Kosten'!$P5*'Fertigstellungsgrad der Akt.'!F5</f>
        <v>0</v>
      </c>
      <c r="H33" s="28">
        <f>'Budgetierte Kosten'!$P5*'Fertigstellungsgrad der Akt.'!G5</f>
        <v>0</v>
      </c>
      <c r="I33" s="28">
        <f>'Budgetierte Kosten'!$P5*'Fertigstellungsgrad der Akt.'!H5</f>
        <v>63000</v>
      </c>
    </row>
    <row r="34" spans="1:12" x14ac:dyDescent="0.2">
      <c r="B34" t="str">
        <f t="shared" si="1"/>
        <v>Projektmanagement</v>
      </c>
      <c r="C34" s="28">
        <f>'Budgetierte Kosten'!$P6*'Fertigstellungsgrad der Akt.'!B6</f>
        <v>22880</v>
      </c>
      <c r="D34" s="28">
        <f>'Budgetierte Kosten'!$P6*'Fertigstellungsgrad der Akt.'!C6</f>
        <v>14300</v>
      </c>
      <c r="E34" s="28">
        <f>'Budgetierte Kosten'!$P6*'Fertigstellungsgrad der Akt.'!D6</f>
        <v>42900</v>
      </c>
      <c r="F34" s="28">
        <f>'Budgetierte Kosten'!$P6*'Fertigstellungsgrad der Akt.'!E6</f>
        <v>57200</v>
      </c>
      <c r="G34" s="28">
        <f>'Budgetierte Kosten'!$P6*'Fertigstellungsgrad der Akt.'!F6</f>
        <v>85800</v>
      </c>
      <c r="H34" s="28">
        <f>'Budgetierte Kosten'!$P6*'Fertigstellungsgrad der Akt.'!G6</f>
        <v>114400</v>
      </c>
      <c r="I34" s="28">
        <f>'Budgetierte Kosten'!$P6*'Fertigstellungsgrad der Akt.'!H6</f>
        <v>143000</v>
      </c>
    </row>
    <row r="35" spans="1:12" x14ac:dyDescent="0.2">
      <c r="B35" t="str">
        <f t="shared" si="1"/>
        <v>Puffer für unerwartetes</v>
      </c>
      <c r="C35" s="28">
        <f>'Budgetierte Kosten'!$P7*'Fertigstellungsgrad der Akt.'!B7</f>
        <v>8320</v>
      </c>
      <c r="D35" s="28">
        <f>'Budgetierte Kosten'!$P7*'Fertigstellungsgrad der Akt.'!C7</f>
        <v>5200</v>
      </c>
      <c r="E35" s="28">
        <f>'Budgetierte Kosten'!$P7*'Fertigstellungsgrad der Akt.'!D7</f>
        <v>10400</v>
      </c>
      <c r="F35" s="28">
        <f>'Budgetierte Kosten'!$P7*'Fertigstellungsgrad der Akt.'!E7</f>
        <v>20800</v>
      </c>
      <c r="G35" s="28">
        <f>'Budgetierte Kosten'!$P7*'Fertigstellungsgrad der Akt.'!F7</f>
        <v>31200</v>
      </c>
      <c r="H35" s="28">
        <f>'Budgetierte Kosten'!$P7*'Fertigstellungsgrad der Akt.'!G7</f>
        <v>46800</v>
      </c>
      <c r="I35" s="28">
        <f>'Budgetierte Kosten'!$P7*'Fertigstellungsgrad der Akt.'!H7</f>
        <v>57200.000000000007</v>
      </c>
    </row>
    <row r="36" spans="1:12" x14ac:dyDescent="0.2">
      <c r="B36" t="str">
        <f t="shared" si="1"/>
        <v>Materialkosten</v>
      </c>
      <c r="C36" s="28">
        <f>'Budgetierte Kosten'!$O$11*'Fertigstellungsgrad der Akt.'!B8</f>
        <v>1720</v>
      </c>
      <c r="D36" s="28">
        <f>'Budgetierte Kosten'!$O$11*'Fertigstellungsgrad der Akt.'!C8</f>
        <v>3440</v>
      </c>
      <c r="E36" s="28">
        <f>'Budgetierte Kosten'!$O$11*'Fertigstellungsgrad der Akt.'!D8</f>
        <v>5160</v>
      </c>
      <c r="F36" s="28">
        <f>'Budgetierte Kosten'!$O$11*'Fertigstellungsgrad der Akt.'!E8</f>
        <v>6880</v>
      </c>
      <c r="G36" s="28">
        <f>'Budgetierte Kosten'!$O$11*'Fertigstellungsgrad der Akt.'!F8</f>
        <v>8600</v>
      </c>
      <c r="H36" s="28">
        <f>'Budgetierte Kosten'!$O$11*'Fertigstellungsgrad der Akt.'!G8</f>
        <v>10320</v>
      </c>
      <c r="I36" s="28">
        <f>'Budgetierte Kosten'!$O$11*'Fertigstellungsgrad der Akt.'!H8</f>
        <v>12040.000000000002</v>
      </c>
    </row>
    <row r="37" spans="1:12" x14ac:dyDescent="0.2">
      <c r="B37" t="str">
        <f>AC[[#Totals],[Posten]]</f>
        <v>Gesamt</v>
      </c>
      <c r="C37" s="28">
        <f>SUM(EV[1])</f>
        <v>83320</v>
      </c>
      <c r="D37" s="28">
        <f>SUM(EV[2])</f>
        <v>30140</v>
      </c>
      <c r="E37" s="28">
        <f>SUM(EV[3])</f>
        <v>72860</v>
      </c>
      <c r="F37" s="28">
        <f>SUM(EV[4])</f>
        <v>139880</v>
      </c>
      <c r="G37" s="28">
        <f>SUM(EV[5])</f>
        <v>209400</v>
      </c>
      <c r="H37" s="28">
        <f>SUM(EV[6])</f>
        <v>349520</v>
      </c>
      <c r="I37" s="28">
        <f>SUM(EV[7])</f>
        <v>597240</v>
      </c>
    </row>
    <row r="40" spans="1:12" ht="23.25" x14ac:dyDescent="0.35">
      <c r="A40" s="27" t="s">
        <v>32</v>
      </c>
    </row>
    <row r="42" spans="1:12" x14ac:dyDescent="0.2">
      <c r="B42" t="s">
        <v>16</v>
      </c>
      <c r="C42" t="s">
        <v>19</v>
      </c>
      <c r="D42" t="s">
        <v>20</v>
      </c>
      <c r="E42" t="s">
        <v>21</v>
      </c>
      <c r="F42" t="s">
        <v>22</v>
      </c>
      <c r="G42" t="s">
        <v>23</v>
      </c>
      <c r="H42" t="s">
        <v>24</v>
      </c>
      <c r="I42" t="s">
        <v>25</v>
      </c>
    </row>
    <row r="43" spans="1:12" x14ac:dyDescent="0.2">
      <c r="B43" t="str">
        <f t="shared" ref="B43:B49" si="2">B30</f>
        <v>Anforderungsanalyse</v>
      </c>
      <c r="C43" s="28">
        <f t="shared" ref="C43:I49" si="3">C30-C17</f>
        <v>7900</v>
      </c>
      <c r="D43" s="28">
        <f t="shared" si="3"/>
        <v>-77800</v>
      </c>
      <c r="E43" s="28">
        <f t="shared" si="3"/>
        <v>-116500</v>
      </c>
      <c r="F43" s="28">
        <f t="shared" si="3"/>
        <v>-91950</v>
      </c>
      <c r="G43" s="28">
        <f t="shared" si="3"/>
        <v>-63150</v>
      </c>
      <c r="H43" s="28">
        <f t="shared" si="3"/>
        <v>-19950</v>
      </c>
      <c r="I43" s="28">
        <f t="shared" si="3"/>
        <v>-5550</v>
      </c>
      <c r="K43" t="s">
        <v>18</v>
      </c>
      <c r="L43" t="s">
        <v>37</v>
      </c>
    </row>
    <row r="44" spans="1:12" x14ac:dyDescent="0.2">
      <c r="B44" t="str">
        <f t="shared" si="2"/>
        <v>Design und Architektur</v>
      </c>
      <c r="C44" s="28">
        <f t="shared" si="3"/>
        <v>0</v>
      </c>
      <c r="D44" s="28">
        <f t="shared" si="3"/>
        <v>0</v>
      </c>
      <c r="E44" s="28">
        <f t="shared" si="3"/>
        <v>0</v>
      </c>
      <c r="F44" s="28">
        <f t="shared" si="3"/>
        <v>-30700</v>
      </c>
      <c r="G44" s="28">
        <f t="shared" si="3"/>
        <v>-47700</v>
      </c>
      <c r="H44" s="28">
        <f t="shared" si="3"/>
        <v>-55450</v>
      </c>
      <c r="I44" s="28">
        <f t="shared" si="3"/>
        <v>6850</v>
      </c>
    </row>
    <row r="45" spans="1:12" x14ac:dyDescent="0.2">
      <c r="B45" t="str">
        <f t="shared" si="2"/>
        <v>Implementierung</v>
      </c>
      <c r="C45" s="28">
        <f t="shared" si="3"/>
        <v>0</v>
      </c>
      <c r="D45" s="28">
        <f t="shared" si="3"/>
        <v>0</v>
      </c>
      <c r="E45" s="28">
        <f t="shared" si="3"/>
        <v>0</v>
      </c>
      <c r="F45" s="28">
        <f t="shared" si="3"/>
        <v>0</v>
      </c>
      <c r="G45" s="28">
        <f t="shared" si="3"/>
        <v>0</v>
      </c>
      <c r="H45" s="28">
        <f t="shared" si="3"/>
        <v>17950</v>
      </c>
      <c r="I45" s="28">
        <f t="shared" si="3"/>
        <v>55500</v>
      </c>
    </row>
    <row r="46" spans="1:12" x14ac:dyDescent="0.2">
      <c r="B46" t="str">
        <f t="shared" si="2"/>
        <v>Integration und Test</v>
      </c>
      <c r="C46" s="28">
        <f t="shared" si="3"/>
        <v>0</v>
      </c>
      <c r="D46" s="28">
        <f t="shared" si="3"/>
        <v>0</v>
      </c>
      <c r="E46" s="28">
        <f t="shared" si="3"/>
        <v>0</v>
      </c>
      <c r="F46" s="28">
        <f t="shared" si="3"/>
        <v>0</v>
      </c>
      <c r="G46" s="28">
        <f t="shared" si="3"/>
        <v>0</v>
      </c>
      <c r="H46" s="28">
        <f t="shared" si="3"/>
        <v>0</v>
      </c>
      <c r="I46" s="28">
        <f t="shared" si="3"/>
        <v>33250</v>
      </c>
    </row>
    <row r="47" spans="1:12" x14ac:dyDescent="0.2">
      <c r="B47" t="str">
        <f t="shared" si="2"/>
        <v>Projektmanagement</v>
      </c>
      <c r="C47" s="28">
        <f t="shared" si="3"/>
        <v>-2620</v>
      </c>
      <c r="D47" s="28">
        <f t="shared" si="3"/>
        <v>-79200</v>
      </c>
      <c r="E47" s="28">
        <f t="shared" si="3"/>
        <v>-84600</v>
      </c>
      <c r="F47" s="28">
        <f t="shared" si="3"/>
        <v>-95800</v>
      </c>
      <c r="G47" s="28">
        <f t="shared" si="3"/>
        <v>-84200</v>
      </c>
      <c r="H47" s="28">
        <f t="shared" si="3"/>
        <v>-72600</v>
      </c>
      <c r="I47" s="28">
        <f t="shared" si="3"/>
        <v>-61000</v>
      </c>
    </row>
    <row r="48" spans="1:12" x14ac:dyDescent="0.2">
      <c r="B48" t="str">
        <f t="shared" si="2"/>
        <v>Puffer für unerwartetes</v>
      </c>
      <c r="C48" s="28">
        <f t="shared" si="3"/>
        <v>-5280</v>
      </c>
      <c r="D48" s="28">
        <f t="shared" si="3"/>
        <v>-161400</v>
      </c>
      <c r="E48" s="28">
        <f t="shared" si="3"/>
        <v>-292200</v>
      </c>
      <c r="F48" s="28">
        <f t="shared" si="3"/>
        <v>-320050</v>
      </c>
      <c r="G48" s="28">
        <f t="shared" si="3"/>
        <v>-313900</v>
      </c>
      <c r="H48" s="28">
        <f t="shared" si="3"/>
        <v>-302550</v>
      </c>
      <c r="I48" s="28">
        <f t="shared" si="3"/>
        <v>-296400</v>
      </c>
    </row>
    <row r="49" spans="1:12" x14ac:dyDescent="0.2">
      <c r="B49" t="str">
        <f t="shared" si="2"/>
        <v>Materialkosten</v>
      </c>
      <c r="C49" s="28">
        <f t="shared" si="3"/>
        <v>-280</v>
      </c>
      <c r="D49" s="28">
        <f t="shared" si="3"/>
        <v>-60</v>
      </c>
      <c r="E49" s="28">
        <f t="shared" si="3"/>
        <v>260</v>
      </c>
      <c r="F49" s="28">
        <f t="shared" si="3"/>
        <v>480</v>
      </c>
      <c r="G49" s="28">
        <f t="shared" si="3"/>
        <v>1200</v>
      </c>
      <c r="H49" s="28">
        <f t="shared" si="3"/>
        <v>-4680</v>
      </c>
      <c r="I49" s="28">
        <f t="shared" si="3"/>
        <v>-4159.9999999999982</v>
      </c>
    </row>
    <row r="50" spans="1:12" x14ac:dyDescent="0.2">
      <c r="B50" t="str">
        <f>EV[[#Totals],[Posten]]</f>
        <v>Gesamt</v>
      </c>
      <c r="C50" s="28">
        <f>EV[[#Totals],[1]]-AC[[#Totals],[1]]</f>
        <v>-280</v>
      </c>
      <c r="D50" s="28">
        <f>EV[[#Totals],[2]]-AC[[#Totals],[2]]</f>
        <v>-318460</v>
      </c>
      <c r="E50" s="28">
        <f>EV[[#Totals],[3]]-AC[[#Totals],[3]]</f>
        <v>-493040</v>
      </c>
      <c r="F50" s="28">
        <f>EV[[#Totals],[4]]-AC[[#Totals],[4]]</f>
        <v>-538020</v>
      </c>
      <c r="G50" s="28">
        <f>EV[[#Totals],[5]]-AC[[#Totals],[5]]</f>
        <v>-507750</v>
      </c>
      <c r="H50" s="28">
        <f>EV[[#Totals],[6]]-AC[[#Totals],[6]]</f>
        <v>-437280</v>
      </c>
      <c r="I50" s="28">
        <f>EV[[#Totals],[7]]-AC[[#Totals],[7]]</f>
        <v>-271510</v>
      </c>
      <c r="K50">
        <f>SUM(CV[1])</f>
        <v>-280</v>
      </c>
    </row>
    <row r="51" spans="1:12" x14ac:dyDescent="0.2">
      <c r="K51">
        <f>SUM(CV[7])</f>
        <v>-271510</v>
      </c>
    </row>
    <row r="53" spans="1:12" ht="23.25" x14ac:dyDescent="0.35">
      <c r="A53" s="27" t="s">
        <v>33</v>
      </c>
    </row>
    <row r="55" spans="1:12" x14ac:dyDescent="0.2">
      <c r="B55" t="s">
        <v>16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I55" t="s">
        <v>25</v>
      </c>
    </row>
    <row r="56" spans="1:12" x14ac:dyDescent="0.2">
      <c r="B56" t="str">
        <f t="shared" ref="B56:B62" si="4">B43</f>
        <v>Anforderungsanalyse</v>
      </c>
      <c r="C56" s="28">
        <f t="shared" ref="C56:I62" si="5">C30-C4</f>
        <v>2400</v>
      </c>
      <c r="D56" s="28">
        <f t="shared" si="5"/>
        <v>-88800</v>
      </c>
      <c r="E56" s="28">
        <f t="shared" si="5"/>
        <v>-129600</v>
      </c>
      <c r="F56" s="28">
        <f t="shared" si="5"/>
        <v>-100800</v>
      </c>
      <c r="G56" s="28">
        <f t="shared" si="5"/>
        <v>-72000</v>
      </c>
      <c r="H56" s="28">
        <f t="shared" si="5"/>
        <v>-28800</v>
      </c>
      <c r="I56" s="28">
        <f t="shared" si="5"/>
        <v>-14400</v>
      </c>
      <c r="K56" t="s">
        <v>18</v>
      </c>
      <c r="L56" t="s">
        <v>38</v>
      </c>
    </row>
    <row r="57" spans="1:12" x14ac:dyDescent="0.2">
      <c r="B57" t="str">
        <f t="shared" si="4"/>
        <v>Design und Architektur</v>
      </c>
      <c r="C57" s="28">
        <f t="shared" si="5"/>
        <v>0</v>
      </c>
      <c r="D57" s="28">
        <f t="shared" si="5"/>
        <v>0</v>
      </c>
      <c r="E57" s="28">
        <f t="shared" si="5"/>
        <v>-20000</v>
      </c>
      <c r="F57" s="28">
        <f t="shared" si="5"/>
        <v>-40200</v>
      </c>
      <c r="G57" s="28">
        <f t="shared" si="5"/>
        <v>-84200</v>
      </c>
      <c r="H57" s="28">
        <f t="shared" si="5"/>
        <v>-128400</v>
      </c>
      <c r="I57" s="28">
        <f t="shared" si="5"/>
        <v>-77600</v>
      </c>
    </row>
    <row r="58" spans="1:12" x14ac:dyDescent="0.2">
      <c r="B58" t="str">
        <f t="shared" si="4"/>
        <v>Implementierung</v>
      </c>
      <c r="C58" s="28">
        <f t="shared" si="5"/>
        <v>0</v>
      </c>
      <c r="D58" s="28">
        <f t="shared" si="5"/>
        <v>0</v>
      </c>
      <c r="E58" s="28">
        <f t="shared" si="5"/>
        <v>0</v>
      </c>
      <c r="F58" s="28">
        <f t="shared" si="5"/>
        <v>-24000</v>
      </c>
      <c r="G58" s="28">
        <f t="shared" si="5"/>
        <v>-64000</v>
      </c>
      <c r="H58" s="28">
        <f t="shared" si="5"/>
        <v>-72800</v>
      </c>
      <c r="I58" s="28">
        <f t="shared" si="5"/>
        <v>-62000</v>
      </c>
    </row>
    <row r="59" spans="1:12" x14ac:dyDescent="0.2">
      <c r="B59" t="str">
        <f t="shared" si="4"/>
        <v>Integration und Test</v>
      </c>
      <c r="C59" s="28">
        <f t="shared" si="5"/>
        <v>0</v>
      </c>
      <c r="D59" s="28">
        <f t="shared" si="5"/>
        <v>0</v>
      </c>
      <c r="E59" s="28">
        <f t="shared" si="5"/>
        <v>0</v>
      </c>
      <c r="F59" s="28">
        <f t="shared" si="5"/>
        <v>0</v>
      </c>
      <c r="G59" s="28">
        <f t="shared" si="5"/>
        <v>0</v>
      </c>
      <c r="H59" s="28">
        <f t="shared" si="5"/>
        <v>0</v>
      </c>
      <c r="I59" s="28">
        <f t="shared" si="5"/>
        <v>47000</v>
      </c>
    </row>
    <row r="60" spans="1:12" x14ac:dyDescent="0.2">
      <c r="B60" t="str">
        <f t="shared" si="4"/>
        <v>Projektmanagement</v>
      </c>
      <c r="C60" s="28">
        <f t="shared" si="5"/>
        <v>880</v>
      </c>
      <c r="D60" s="28">
        <f t="shared" si="5"/>
        <v>-29700</v>
      </c>
      <c r="E60" s="28">
        <f t="shared" si="5"/>
        <v>-23100</v>
      </c>
      <c r="F60" s="28">
        <f t="shared" si="5"/>
        <v>-30800</v>
      </c>
      <c r="G60" s="28">
        <f t="shared" si="5"/>
        <v>-24200</v>
      </c>
      <c r="H60" s="28">
        <f t="shared" si="5"/>
        <v>-17600</v>
      </c>
      <c r="I60" s="28">
        <f t="shared" si="5"/>
        <v>-11000</v>
      </c>
    </row>
    <row r="61" spans="1:12" x14ac:dyDescent="0.2">
      <c r="B61" t="str">
        <f t="shared" si="4"/>
        <v>Puffer für unerwartetes</v>
      </c>
      <c r="C61" s="28">
        <f t="shared" si="5"/>
        <v>320</v>
      </c>
      <c r="D61" s="28">
        <f t="shared" si="5"/>
        <v>-10800</v>
      </c>
      <c r="E61" s="28">
        <f t="shared" si="5"/>
        <v>-13600</v>
      </c>
      <c r="F61" s="28">
        <f t="shared" si="5"/>
        <v>-11200</v>
      </c>
      <c r="G61" s="28">
        <f t="shared" si="5"/>
        <v>-8800</v>
      </c>
      <c r="H61" s="28">
        <f t="shared" si="5"/>
        <v>-1200</v>
      </c>
      <c r="I61" s="28">
        <f t="shared" si="5"/>
        <v>1200.0000000000073</v>
      </c>
    </row>
    <row r="62" spans="1:12" x14ac:dyDescent="0.2">
      <c r="B62" t="str">
        <f t="shared" si="4"/>
        <v>Materialkosten</v>
      </c>
      <c r="C62" s="28">
        <f t="shared" si="5"/>
        <v>-280</v>
      </c>
      <c r="D62" s="28">
        <f t="shared" si="5"/>
        <v>-560</v>
      </c>
      <c r="E62" s="28">
        <f t="shared" si="5"/>
        <v>-1840</v>
      </c>
      <c r="F62" s="28">
        <f t="shared" si="5"/>
        <v>-3120</v>
      </c>
      <c r="G62" s="28">
        <f t="shared" si="5"/>
        <v>-4400</v>
      </c>
      <c r="H62" s="28">
        <f t="shared" si="5"/>
        <v>-5680</v>
      </c>
      <c r="I62" s="28">
        <f t="shared" si="5"/>
        <v>-8959.9999999999982</v>
      </c>
      <c r="K62">
        <f>SUM(SV[1])</f>
        <v>3320</v>
      </c>
    </row>
    <row r="63" spans="1:12" x14ac:dyDescent="0.2">
      <c r="B63" t="str">
        <f>CV[[#Totals],[Posten]]</f>
        <v>Gesamt</v>
      </c>
      <c r="C63" s="28">
        <f>SUM(SV[1])</f>
        <v>3320</v>
      </c>
      <c r="D63" s="28">
        <f>SUM(SV[2])</f>
        <v>-129860</v>
      </c>
      <c r="E63" s="28">
        <f>SUM(SV[3])</f>
        <v>-188140</v>
      </c>
      <c r="F63" s="28">
        <f>SUM(SV[4])</f>
        <v>-210120</v>
      </c>
      <c r="G63" s="28">
        <f>SUM(SV[5])</f>
        <v>-257600</v>
      </c>
      <c r="H63" s="28">
        <f>SUM(SV[6])</f>
        <v>-254480</v>
      </c>
      <c r="I63" s="28">
        <f>SUM(SV[7])</f>
        <v>-125760</v>
      </c>
      <c r="K63">
        <f>SUM(SV[7])</f>
        <v>-125760</v>
      </c>
    </row>
    <row r="66" spans="1:20" ht="23.25" x14ac:dyDescent="0.35">
      <c r="A66" s="27" t="s">
        <v>34</v>
      </c>
      <c r="N66" s="27" t="s">
        <v>41</v>
      </c>
    </row>
    <row r="68" spans="1:20" x14ac:dyDescent="0.2">
      <c r="B68" t="s">
        <v>16</v>
      </c>
      <c r="C68" t="s">
        <v>19</v>
      </c>
      <c r="D68" t="s">
        <v>20</v>
      </c>
      <c r="E68" t="s">
        <v>21</v>
      </c>
      <c r="F68" t="s">
        <v>22</v>
      </c>
      <c r="G68" t="s">
        <v>23</v>
      </c>
      <c r="H68" t="s">
        <v>24</v>
      </c>
      <c r="I68" t="s">
        <v>25</v>
      </c>
      <c r="N68" t="s">
        <v>19</v>
      </c>
      <c r="O68" t="s">
        <v>20</v>
      </c>
      <c r="P68" t="s">
        <v>21</v>
      </c>
      <c r="Q68" t="s">
        <v>22</v>
      </c>
      <c r="R68" t="s">
        <v>23</v>
      </c>
      <c r="S68" t="s">
        <v>24</v>
      </c>
      <c r="T68" t="s">
        <v>25</v>
      </c>
    </row>
    <row r="69" spans="1:20" x14ac:dyDescent="0.2">
      <c r="B69" t="str">
        <f t="shared" ref="B69:B75" si="6">B56</f>
        <v>Anforderungsanalyse</v>
      </c>
      <c r="C69" s="29">
        <f t="shared" ref="C69:H75" si="7">IF(C17=0,$L$70,C30/C17)</f>
        <v>1.1858823529411764</v>
      </c>
      <c r="D69" s="29">
        <f t="shared" si="7"/>
        <v>8.4705882352941173E-2</v>
      </c>
      <c r="E69" s="29">
        <f t="shared" si="7"/>
        <v>0.11000763941940413</v>
      </c>
      <c r="F69" s="29">
        <f t="shared" si="7"/>
        <v>0.31964483906770258</v>
      </c>
      <c r="G69" s="29">
        <f t="shared" si="7"/>
        <v>0.53274139844617097</v>
      </c>
      <c r="H69" s="29">
        <f t="shared" si="7"/>
        <v>0.85238623751387343</v>
      </c>
      <c r="I69" s="29">
        <f t="shared" ref="I69:I75" si="8">IF(I17=0,"-",I30/I17)</f>
        <v>0.95893451720310763</v>
      </c>
      <c r="K69" t="s">
        <v>18</v>
      </c>
      <c r="L69" t="s">
        <v>72</v>
      </c>
      <c r="M69" t="s">
        <v>36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</row>
    <row r="70" spans="1:20" x14ac:dyDescent="0.2">
      <c r="B70" t="str">
        <f t="shared" si="6"/>
        <v>Design und Architektur</v>
      </c>
      <c r="C70" s="29" t="str">
        <f t="shared" si="7"/>
        <v>-</v>
      </c>
      <c r="D70" s="29" t="str">
        <f t="shared" si="7"/>
        <v>-</v>
      </c>
      <c r="E70" s="29" t="str">
        <f t="shared" si="7"/>
        <v>-</v>
      </c>
      <c r="F70" s="29">
        <f t="shared" si="7"/>
        <v>0.27764705882352941</v>
      </c>
      <c r="G70" s="29">
        <f t="shared" si="7"/>
        <v>0.19831932773109243</v>
      </c>
      <c r="H70" s="29">
        <f t="shared" si="7"/>
        <v>0.29854522454142945</v>
      </c>
      <c r="I70" s="29">
        <f t="shared" si="8"/>
        <v>1.0782410051399201</v>
      </c>
      <c r="K70" t="s">
        <v>64</v>
      </c>
      <c r="L70" t="s">
        <v>65</v>
      </c>
    </row>
    <row r="71" spans="1:20" x14ac:dyDescent="0.2">
      <c r="B71" t="str">
        <f t="shared" si="6"/>
        <v>Implementierung</v>
      </c>
      <c r="C71" s="29" t="str">
        <f t="shared" si="7"/>
        <v>-</v>
      </c>
      <c r="D71" s="29" t="str">
        <f t="shared" si="7"/>
        <v>-</v>
      </c>
      <c r="E71" s="29" t="str">
        <f t="shared" si="7"/>
        <v>-</v>
      </c>
      <c r="F71" s="29" t="str">
        <f t="shared" si="7"/>
        <v>-</v>
      </c>
      <c r="G71" s="29" t="str">
        <f t="shared" si="7"/>
        <v>-</v>
      </c>
      <c r="H71" s="29">
        <f t="shared" si="7"/>
        <v>1.8447058823529412</v>
      </c>
      <c r="I71" s="29">
        <f t="shared" si="8"/>
        <v>2.3058823529411763</v>
      </c>
    </row>
    <row r="72" spans="1:20" x14ac:dyDescent="0.2">
      <c r="B72" t="str">
        <f t="shared" si="6"/>
        <v>Integration und Test</v>
      </c>
      <c r="C72" s="29" t="str">
        <f t="shared" si="7"/>
        <v>-</v>
      </c>
      <c r="D72" s="29" t="str">
        <f t="shared" si="7"/>
        <v>-</v>
      </c>
      <c r="E72" s="29" t="str">
        <f t="shared" si="7"/>
        <v>-</v>
      </c>
      <c r="F72" s="29" t="str">
        <f t="shared" si="7"/>
        <v>-</v>
      </c>
      <c r="G72" s="29" t="str">
        <f t="shared" si="7"/>
        <v>-</v>
      </c>
      <c r="H72" s="29" t="str">
        <f t="shared" si="7"/>
        <v>-</v>
      </c>
      <c r="I72" s="29">
        <f t="shared" si="8"/>
        <v>2.1176470588235294</v>
      </c>
    </row>
    <row r="73" spans="1:20" x14ac:dyDescent="0.2">
      <c r="B73" t="str">
        <f t="shared" si="6"/>
        <v>Projektmanagement</v>
      </c>
      <c r="C73" s="29">
        <f t="shared" si="7"/>
        <v>0.89725490196078428</v>
      </c>
      <c r="D73" s="29">
        <f t="shared" si="7"/>
        <v>0.15294117647058825</v>
      </c>
      <c r="E73" s="29">
        <f t="shared" si="7"/>
        <v>0.33647058823529413</v>
      </c>
      <c r="F73" s="29">
        <f t="shared" si="7"/>
        <v>0.3738562091503268</v>
      </c>
      <c r="G73" s="29">
        <f t="shared" si="7"/>
        <v>0.50470588235294123</v>
      </c>
      <c r="H73" s="29">
        <f t="shared" si="7"/>
        <v>0.61176470588235299</v>
      </c>
      <c r="I73" s="29">
        <f t="shared" si="8"/>
        <v>0.7009803921568627</v>
      </c>
    </row>
    <row r="74" spans="1:20" x14ac:dyDescent="0.2">
      <c r="B74" t="str">
        <f t="shared" si="6"/>
        <v>Puffer für unerwartetes</v>
      </c>
      <c r="C74" s="29">
        <f t="shared" si="7"/>
        <v>0.61176470588235299</v>
      </c>
      <c r="D74" s="29">
        <f t="shared" si="7"/>
        <v>3.1212484993997598E-2</v>
      </c>
      <c r="E74" s="29">
        <f t="shared" si="7"/>
        <v>3.4368803701255786E-2</v>
      </c>
      <c r="F74" s="29">
        <f t="shared" si="7"/>
        <v>6.1023910811207276E-2</v>
      </c>
      <c r="G74" s="29">
        <f t="shared" si="7"/>
        <v>9.040857722399305E-2</v>
      </c>
      <c r="H74" s="29">
        <f t="shared" si="7"/>
        <v>0.13396307428080723</v>
      </c>
      <c r="I74" s="29">
        <f t="shared" si="8"/>
        <v>0.16176470588235295</v>
      </c>
    </row>
    <row r="75" spans="1:20" x14ac:dyDescent="0.2">
      <c r="B75" t="str">
        <f t="shared" si="6"/>
        <v>Materialkosten</v>
      </c>
      <c r="C75" s="29">
        <f t="shared" si="7"/>
        <v>0.86</v>
      </c>
      <c r="D75" s="29">
        <f t="shared" si="7"/>
        <v>0.98285714285714287</v>
      </c>
      <c r="E75" s="29">
        <f t="shared" si="7"/>
        <v>1.0530612244897959</v>
      </c>
      <c r="F75" s="29">
        <f t="shared" si="7"/>
        <v>1.075</v>
      </c>
      <c r="G75" s="29">
        <f t="shared" si="7"/>
        <v>1.1621621621621621</v>
      </c>
      <c r="H75" s="29">
        <f t="shared" si="7"/>
        <v>0.68799999999999994</v>
      </c>
      <c r="I75" s="29">
        <f t="shared" si="8"/>
        <v>0.74320987654321002</v>
      </c>
    </row>
    <row r="76" spans="1:20" x14ac:dyDescent="0.2">
      <c r="B76" t="str">
        <f>SV[[#Totals],[Posten]]</f>
        <v>Gesamt</v>
      </c>
      <c r="C76" s="29">
        <f>EV[[#Totals],[1]]/AC[[#Totals],[1]]</f>
        <v>0.99665071770334923</v>
      </c>
      <c r="D76" s="29">
        <f>EV[[#Totals],[2]]/AC[[#Totals],[2]]</f>
        <v>8.6460126219162367E-2</v>
      </c>
      <c r="E76" s="29">
        <f>EV[[#Totals],[3]]/AC[[#Totals],[3]]</f>
        <v>0.12875066266124757</v>
      </c>
      <c r="F76" s="29">
        <f>EV[[#Totals],[4]]/AC[[#Totals],[4]]</f>
        <v>0.20634311845404926</v>
      </c>
      <c r="G76" s="29">
        <f>EV[[#Totals],[5]]/AC[[#Totals],[5]]</f>
        <v>0.29198912361430662</v>
      </c>
      <c r="H76" s="29">
        <f>EV[[#Totals],[6]]/AC[[#Totals],[6]]</f>
        <v>0.44422979156075243</v>
      </c>
      <c r="I76" s="29">
        <f>EV[[#Totals],[7]]/AC[[#Totals],[7]]</f>
        <v>0.68747050359712225</v>
      </c>
    </row>
    <row r="79" spans="1:20" ht="23.25" x14ac:dyDescent="0.35">
      <c r="A79" s="27" t="s">
        <v>35</v>
      </c>
    </row>
    <row r="81" spans="1:17" x14ac:dyDescent="0.2">
      <c r="B81" t="s">
        <v>16</v>
      </c>
      <c r="C81" t="s">
        <v>19</v>
      </c>
      <c r="D81" t="s">
        <v>20</v>
      </c>
      <c r="E81" t="s">
        <v>21</v>
      </c>
      <c r="F81" t="s">
        <v>22</v>
      </c>
      <c r="G81" t="s">
        <v>23</v>
      </c>
      <c r="H81" t="s">
        <v>24</v>
      </c>
      <c r="I81" t="s">
        <v>25</v>
      </c>
    </row>
    <row r="82" spans="1:17" x14ac:dyDescent="0.2">
      <c r="B82" t="str">
        <f t="shared" ref="B82:B88" si="9">B69</f>
        <v>Anforderungsanalyse</v>
      </c>
      <c r="C82" s="29">
        <f t="shared" ref="C82:H88" si="10">IF(C4=0,$L$70,C30/C4)</f>
        <v>1.05</v>
      </c>
      <c r="D82" s="29">
        <f t="shared" si="10"/>
        <v>7.4999999999999997E-2</v>
      </c>
      <c r="E82" s="29">
        <f t="shared" si="10"/>
        <v>0.1</v>
      </c>
      <c r="F82" s="29">
        <f t="shared" si="10"/>
        <v>0.3</v>
      </c>
      <c r="G82" s="29">
        <f t="shared" si="10"/>
        <v>0.5</v>
      </c>
      <c r="H82" s="29">
        <f t="shared" si="10"/>
        <v>0.8</v>
      </c>
      <c r="I82" s="29">
        <f t="shared" ref="I82:I88" si="11">IF(I4=0,"-",I30/I4)</f>
        <v>0.9</v>
      </c>
      <c r="K82" t="s">
        <v>18</v>
      </c>
      <c r="L82" t="s">
        <v>39</v>
      </c>
      <c r="M82" t="s">
        <v>36</v>
      </c>
    </row>
    <row r="83" spans="1:17" x14ac:dyDescent="0.2">
      <c r="B83" t="str">
        <f t="shared" si="9"/>
        <v>Design und Architektur</v>
      </c>
      <c r="C83" s="29" t="str">
        <f t="shared" si="10"/>
        <v>-</v>
      </c>
      <c r="D83" s="29" t="str">
        <f t="shared" si="10"/>
        <v>-</v>
      </c>
      <c r="E83" s="29">
        <f t="shared" si="10"/>
        <v>0</v>
      </c>
      <c r="F83" s="29">
        <f t="shared" si="10"/>
        <v>0.22692307692307692</v>
      </c>
      <c r="G83" s="29">
        <f t="shared" si="10"/>
        <v>0.12291666666666666</v>
      </c>
      <c r="H83" s="29">
        <f t="shared" si="10"/>
        <v>0.15526315789473685</v>
      </c>
      <c r="I83" s="29">
        <f t="shared" si="11"/>
        <v>0.5488372093023256</v>
      </c>
    </row>
    <row r="84" spans="1:17" x14ac:dyDescent="0.2">
      <c r="B84" t="str">
        <f t="shared" si="9"/>
        <v>Implementierung</v>
      </c>
      <c r="C84" s="29" t="str">
        <f t="shared" si="10"/>
        <v>-</v>
      </c>
      <c r="D84" s="29" t="str">
        <f t="shared" si="10"/>
        <v>-</v>
      </c>
      <c r="E84" s="29" t="str">
        <f t="shared" si="10"/>
        <v>-</v>
      </c>
      <c r="F84" s="29">
        <f t="shared" si="10"/>
        <v>0</v>
      </c>
      <c r="G84" s="29">
        <f t="shared" si="10"/>
        <v>0</v>
      </c>
      <c r="H84" s="29">
        <f t="shared" si="10"/>
        <v>0.35</v>
      </c>
      <c r="I84" s="29">
        <f t="shared" si="11"/>
        <v>0.61250000000000004</v>
      </c>
    </row>
    <row r="85" spans="1:17" x14ac:dyDescent="0.2">
      <c r="B85" t="str">
        <f t="shared" si="9"/>
        <v>Integration und Test</v>
      </c>
      <c r="C85" s="29" t="str">
        <f t="shared" si="10"/>
        <v>-</v>
      </c>
      <c r="D85" s="29" t="str">
        <f t="shared" si="10"/>
        <v>-</v>
      </c>
      <c r="E85" s="29" t="str">
        <f t="shared" si="10"/>
        <v>-</v>
      </c>
      <c r="F85" s="29" t="str">
        <f t="shared" si="10"/>
        <v>-</v>
      </c>
      <c r="G85" s="29" t="str">
        <f t="shared" si="10"/>
        <v>-</v>
      </c>
      <c r="H85" s="29" t="str">
        <f t="shared" si="10"/>
        <v>-</v>
      </c>
      <c r="I85" s="29">
        <f t="shared" si="11"/>
        <v>3.9375</v>
      </c>
    </row>
    <row r="86" spans="1:17" x14ac:dyDescent="0.2">
      <c r="B86" t="str">
        <f t="shared" si="9"/>
        <v>Projektmanagement</v>
      </c>
      <c r="C86" s="29">
        <f t="shared" si="10"/>
        <v>1.04</v>
      </c>
      <c r="D86" s="29">
        <f t="shared" si="10"/>
        <v>0.32500000000000001</v>
      </c>
      <c r="E86" s="29">
        <f t="shared" si="10"/>
        <v>0.65</v>
      </c>
      <c r="F86" s="29">
        <f t="shared" si="10"/>
        <v>0.65</v>
      </c>
      <c r="G86" s="29">
        <f t="shared" si="10"/>
        <v>0.78</v>
      </c>
      <c r="H86" s="29">
        <f t="shared" si="10"/>
        <v>0.8666666666666667</v>
      </c>
      <c r="I86" s="29">
        <f t="shared" si="11"/>
        <v>0.9285714285714286</v>
      </c>
    </row>
    <row r="87" spans="1:17" x14ac:dyDescent="0.2">
      <c r="B87" t="str">
        <f t="shared" si="9"/>
        <v>Puffer für unerwartetes</v>
      </c>
      <c r="C87" s="29">
        <f t="shared" si="10"/>
        <v>1.04</v>
      </c>
      <c r="D87" s="29">
        <f t="shared" si="10"/>
        <v>0.32500000000000001</v>
      </c>
      <c r="E87" s="29">
        <f t="shared" si="10"/>
        <v>0.43333333333333335</v>
      </c>
      <c r="F87" s="29">
        <f t="shared" si="10"/>
        <v>0.65</v>
      </c>
      <c r="G87" s="29">
        <f t="shared" si="10"/>
        <v>0.78</v>
      </c>
      <c r="H87" s="29">
        <f t="shared" si="10"/>
        <v>0.97499999999999998</v>
      </c>
      <c r="I87" s="29">
        <f t="shared" si="11"/>
        <v>1.0214285714285716</v>
      </c>
    </row>
    <row r="88" spans="1:17" x14ac:dyDescent="0.2">
      <c r="B88" t="str">
        <f t="shared" si="9"/>
        <v>Materialkosten</v>
      </c>
      <c r="C88" s="29">
        <f t="shared" si="10"/>
        <v>0.86</v>
      </c>
      <c r="D88" s="29">
        <f t="shared" si="10"/>
        <v>0.86</v>
      </c>
      <c r="E88" s="29">
        <f t="shared" si="10"/>
        <v>0.7371428571428571</v>
      </c>
      <c r="F88" s="29">
        <f t="shared" si="10"/>
        <v>0.68799999999999994</v>
      </c>
      <c r="G88" s="29">
        <f t="shared" si="10"/>
        <v>0.66153846153846152</v>
      </c>
      <c r="H88" s="29">
        <f t="shared" si="10"/>
        <v>0.64500000000000002</v>
      </c>
      <c r="I88" s="29">
        <f t="shared" si="11"/>
        <v>0.57333333333333347</v>
      </c>
    </row>
    <row r="89" spans="1:17" x14ac:dyDescent="0.2">
      <c r="B89" t="str">
        <f>CPI[[#Totals],[Posten]]</f>
        <v>Gesamt</v>
      </c>
      <c r="C89" s="29">
        <f>EV[[#Totals],[1]]/PV[[#Totals],[1]]</f>
        <v>1.0415000000000001</v>
      </c>
      <c r="D89" s="29">
        <f>EV[[#Totals],[2]]/PV[[#Totals],[2]]</f>
        <v>0.18837499999999999</v>
      </c>
      <c r="E89" s="29">
        <f>EV[[#Totals],[3]]/PV[[#Totals],[3]]</f>
        <v>0.27915708812260537</v>
      </c>
      <c r="F89" s="29">
        <f>EV[[#Totals],[4]]/PV[[#Totals],[4]]</f>
        <v>0.39965714285714288</v>
      </c>
      <c r="G89" s="29">
        <f>EV[[#Totals],[5]]/PV[[#Totals],[5]]</f>
        <v>0.44839400428265525</v>
      </c>
      <c r="H89" s="29">
        <f>EV[[#Totals],[6]]/PV[[#Totals],[6]]</f>
        <v>0.57867549668874174</v>
      </c>
      <c r="I89" s="29">
        <f>EV[[#Totals],[7]]/PV[[#Totals],[7]]</f>
        <v>0.82605809128630703</v>
      </c>
    </row>
    <row r="92" spans="1:17" ht="23.25" x14ac:dyDescent="0.35">
      <c r="A92" s="33" t="s">
        <v>69</v>
      </c>
      <c r="E92">
        <v>1500000</v>
      </c>
    </row>
    <row r="94" spans="1:17" ht="23.25" x14ac:dyDescent="0.35">
      <c r="A94" s="27" t="s">
        <v>67</v>
      </c>
    </row>
    <row r="96" spans="1:17" x14ac:dyDescent="0.2">
      <c r="B96" t="s">
        <v>16</v>
      </c>
      <c r="C96" t="s">
        <v>73</v>
      </c>
      <c r="D96" t="s">
        <v>74</v>
      </c>
      <c r="E96" t="s">
        <v>75</v>
      </c>
      <c r="F96" t="s">
        <v>76</v>
      </c>
      <c r="G96" t="s">
        <v>77</v>
      </c>
      <c r="H96" t="s">
        <v>78</v>
      </c>
      <c r="I96" t="s">
        <v>79</v>
      </c>
      <c r="N96" t="s">
        <v>82</v>
      </c>
      <c r="O96" t="s">
        <v>83</v>
      </c>
      <c r="P96" t="s">
        <v>84</v>
      </c>
      <c r="Q96" t="s">
        <v>82</v>
      </c>
    </row>
    <row r="97" spans="1:17" x14ac:dyDescent="0.2">
      <c r="B97" t="str">
        <f t="shared" ref="B97:B103" si="12">B82</f>
        <v>Anforderungsanalyse</v>
      </c>
      <c r="C97" s="29">
        <f>IF(C69=$L$70,$L$70,('Budgetierte Kosten'!$P2-C30)/(C69*1000))</f>
        <v>78.928571428571431</v>
      </c>
      <c r="D97" s="29">
        <f>IF(D69=$L$70,$L$70,('Budgetierte Kosten'!$P2-D30)/(D69*1000))</f>
        <v>1615</v>
      </c>
      <c r="E97" s="29">
        <f>IF(E69=$L$70,$L$70,('Budgetierte Kosten'!$P2-E30)/(E69*1000))</f>
        <v>1178.0999999999999</v>
      </c>
      <c r="F97" s="29">
        <f>IF(F69=$L$70,$L$70,('Budgetierte Kosten'!$P2-F30)/(F69*1000))</f>
        <v>315.34999999999997</v>
      </c>
      <c r="G97" s="29">
        <f>IF(G69=$L$70,$L$70,('Budgetierte Kosten'!$P2-G30)/(G69*1000))</f>
        <v>135.15</v>
      </c>
      <c r="H97" s="29">
        <f>IF(H69=$L$70,$L$70,('Budgetierte Kosten'!$P2-H30)/(H69*1000))</f>
        <v>33.787500000000001</v>
      </c>
      <c r="I97" s="29">
        <f>IF(I69=$L$70,$L$70,('Budgetierte Kosten'!$P2-I30)/(I69*1000))</f>
        <v>15.016666666666667</v>
      </c>
      <c r="K97" t="s">
        <v>18</v>
      </c>
      <c r="L97" t="s">
        <v>68</v>
      </c>
      <c r="N97">
        <f>ETC[[#This Row],[7 '[k €']]]*I69</f>
        <v>14.4</v>
      </c>
      <c r="O97">
        <f>'Budgetierte Kosten'!P2</f>
        <v>144000</v>
      </c>
      <c r="P97" s="28">
        <f>I30</f>
        <v>129600</v>
      </c>
      <c r="Q97" s="28">
        <f>O97-P97</f>
        <v>14400</v>
      </c>
    </row>
    <row r="98" spans="1:17" x14ac:dyDescent="0.2">
      <c r="B98" t="str">
        <f t="shared" si="12"/>
        <v>Design und Architektur</v>
      </c>
      <c r="C98" s="29" t="str">
        <f>IF(C70=$L$70,$L$70,('Budgetierte Kosten'!$P3-C31)/(C70*1000))</f>
        <v>-</v>
      </c>
      <c r="D98" s="29" t="str">
        <f>IF(D70=$L$70,$L$70,('Budgetierte Kosten'!$P3-D31)/(D70*1000))</f>
        <v>-</v>
      </c>
      <c r="E98" s="29" t="str">
        <f>IF(E70=$L$70,$L$70,('Budgetierte Kosten'!$P3-E31)/(E70*1000))</f>
        <v>-</v>
      </c>
      <c r="F98" s="29">
        <f>IF(F70=$L$70,$L$70,('Budgetierte Kosten'!$P3-F31)/(F70*1000))</f>
        <v>807.50000000000011</v>
      </c>
      <c r="G98" s="29">
        <f>IF(G70=$L$70,$L$70,('Budgetierte Kosten'!$P3-G31)/(G70*1000))</f>
        <v>1130.5000000000002</v>
      </c>
      <c r="H98" s="29">
        <f>IF(H70=$L$70,$L$70,('Budgetierte Kosten'!$P3-H31)/(H70*1000))</f>
        <v>711.45</v>
      </c>
      <c r="I98" s="29">
        <f>IF(I70=$L$70,$L$70,('Budgetierte Kosten'!$P3-I31)/(I70*1000))</f>
        <v>131.32499999999999</v>
      </c>
      <c r="N98">
        <f>ETC[[#This Row],[7 '[k €']]]*I70</f>
        <v>141.6</v>
      </c>
      <c r="O98">
        <f>'Budgetierte Kosten'!P3</f>
        <v>236000</v>
      </c>
      <c r="P98" s="28">
        <f t="shared" ref="P98:P103" si="13">I31</f>
        <v>94400</v>
      </c>
      <c r="Q98" s="28">
        <f t="shared" ref="Q98:Q103" si="14">O98-P98</f>
        <v>141600</v>
      </c>
    </row>
    <row r="99" spans="1:17" x14ac:dyDescent="0.2">
      <c r="B99" t="str">
        <f t="shared" si="12"/>
        <v>Implementierung</v>
      </c>
      <c r="C99" s="29" t="str">
        <f>IF(C71=$L$70,$L$70,('Budgetierte Kosten'!$P4-C32)/(C71*1000))</f>
        <v>-</v>
      </c>
      <c r="D99" s="29" t="str">
        <f>IF(D71=$L$70,$L$70,('Budgetierte Kosten'!$P4-D32)/(D71*1000))</f>
        <v>-</v>
      </c>
      <c r="E99" s="29" t="str">
        <f>IF(E71=$L$70,$L$70,('Budgetierte Kosten'!$P4-E32)/(E71*1000))</f>
        <v>-</v>
      </c>
      <c r="F99" s="29" t="str">
        <f>IF(F71=$L$70,$L$70,('Budgetierte Kosten'!$P4-F32)/(F71*1000))</f>
        <v>-</v>
      </c>
      <c r="G99" s="29" t="str">
        <f>IF(G71=$L$70,$L$70,('Budgetierte Kosten'!$P4-G32)/(G71*1000))</f>
        <v>-</v>
      </c>
      <c r="H99" s="29">
        <f>IF(H71=$L$70,$L$70,('Budgetierte Kosten'!$P4-H32)/(H71*1000))</f>
        <v>191.25</v>
      </c>
      <c r="I99" s="29">
        <f>IF(I71=$L$70,$L$70,('Budgetierte Kosten'!$P4-I32)/(I71*1000))</f>
        <v>127.50000000000001</v>
      </c>
      <c r="N99">
        <f>ETC[[#This Row],[7 '[k €']]]*I71</f>
        <v>294</v>
      </c>
      <c r="O99">
        <f>'Budgetierte Kosten'!P4</f>
        <v>392000</v>
      </c>
      <c r="P99" s="28">
        <f t="shared" si="13"/>
        <v>98000</v>
      </c>
      <c r="Q99" s="28">
        <f t="shared" si="14"/>
        <v>294000</v>
      </c>
    </row>
    <row r="100" spans="1:17" x14ac:dyDescent="0.2">
      <c r="B100" t="str">
        <f t="shared" si="12"/>
        <v>Integration und Test</v>
      </c>
      <c r="C100" s="29" t="str">
        <f>IF(C72=$L$70,$L$70,('Budgetierte Kosten'!$P5-C33)/(C72*1000))</f>
        <v>-</v>
      </c>
      <c r="D100" s="29" t="str">
        <f>IF(D72=$L$70,$L$70,('Budgetierte Kosten'!$P5-D33)/(D72*1000))</f>
        <v>-</v>
      </c>
      <c r="E100" s="29" t="str">
        <f>IF(E72=$L$70,$L$70,('Budgetierte Kosten'!$P5-E33)/(E72*1000))</f>
        <v>-</v>
      </c>
      <c r="F100" s="29" t="str">
        <f>IF(F72=$L$70,$L$70,('Budgetierte Kosten'!$P5-F33)/(F72*1000))</f>
        <v>-</v>
      </c>
      <c r="G100" s="29" t="str">
        <f>IF(G72=$L$70,$L$70,('Budgetierte Kosten'!$P5-G33)/(G72*1000))</f>
        <v>-</v>
      </c>
      <c r="H100" s="29" t="str">
        <f>IF(H72=$L$70,$L$70,('Budgetierte Kosten'!$P5-H33)/(H72*1000))</f>
        <v>-</v>
      </c>
      <c r="I100" s="29">
        <f>IF(I72=$L$70,$L$70,('Budgetierte Kosten'!$P5-I33)/(I72*1000))</f>
        <v>89.25</v>
      </c>
      <c r="N100">
        <f>ETC[[#This Row],[7 '[k €']]]*I72</f>
        <v>189</v>
      </c>
      <c r="O100">
        <f>'Budgetierte Kosten'!P5</f>
        <v>252000</v>
      </c>
      <c r="P100" s="28">
        <f t="shared" si="13"/>
        <v>63000</v>
      </c>
      <c r="Q100" s="28">
        <f t="shared" si="14"/>
        <v>189000</v>
      </c>
    </row>
    <row r="101" spans="1:17" x14ac:dyDescent="0.2">
      <c r="B101" t="str">
        <f t="shared" si="12"/>
        <v>Projektmanagement</v>
      </c>
      <c r="C101" s="29">
        <f>IF(C73=$L$70,$L$70,('Budgetierte Kosten'!$P6-C34)/(C73*1000))</f>
        <v>293.25</v>
      </c>
      <c r="D101" s="29">
        <f>IF(D73=$L$70,$L$70,('Budgetierte Kosten'!$P6-D34)/(D73*1000))</f>
        <v>1776.4999999999998</v>
      </c>
      <c r="E101" s="29">
        <f>IF(E73=$L$70,$L$70,('Budgetierte Kosten'!$P6-E34)/(E73*1000))</f>
        <v>722.49999999999989</v>
      </c>
      <c r="F101" s="29">
        <f>IF(F73=$L$70,$L$70,('Budgetierte Kosten'!$P6-F34)/(F73*1000))</f>
        <v>612</v>
      </c>
      <c r="G101" s="29">
        <f>IF(G73=$L$70,$L$70,('Budgetierte Kosten'!$P6-G34)/(G73*1000))</f>
        <v>396.66666666666663</v>
      </c>
      <c r="H101" s="29">
        <f>IF(H73=$L$70,$L$70,('Budgetierte Kosten'!$P6-H34)/(H73*1000))</f>
        <v>280.49999999999994</v>
      </c>
      <c r="I101" s="29">
        <f>IF(I73=$L$70,$L$70,('Budgetierte Kosten'!$P6-I34)/(I73*1000))</f>
        <v>204.00000000000003</v>
      </c>
      <c r="N101">
        <f>ETC[[#This Row],[7 '[k €']]]*I73</f>
        <v>143</v>
      </c>
      <c r="O101">
        <f>'Budgetierte Kosten'!P6</f>
        <v>286000</v>
      </c>
      <c r="P101" s="28">
        <f t="shared" si="13"/>
        <v>143000</v>
      </c>
      <c r="Q101" s="28">
        <f t="shared" si="14"/>
        <v>143000</v>
      </c>
    </row>
    <row r="102" spans="1:17" x14ac:dyDescent="0.2">
      <c r="B102" t="str">
        <f t="shared" si="12"/>
        <v>Puffer für unerwartetes</v>
      </c>
      <c r="C102" s="29">
        <f>IF(C74=$L$70,$L$70,('Budgetierte Kosten'!$P7-C35)/(C74*1000))</f>
        <v>156.39999999999998</v>
      </c>
      <c r="D102" s="29">
        <f>IF(D74=$L$70,$L$70,('Budgetierte Kosten'!$P7-D35)/(D74*1000))</f>
        <v>3165.4</v>
      </c>
      <c r="E102" s="29">
        <f>IF(E74=$L$70,$L$70,('Budgetierte Kosten'!$P7-E35)/(E74*1000))</f>
        <v>2723.3999999999996</v>
      </c>
      <c r="F102" s="29">
        <f>IF(F74=$L$70,$L$70,('Budgetierte Kosten'!$P7-F35)/(F74*1000))</f>
        <v>1363.4</v>
      </c>
      <c r="G102" s="29">
        <f>IF(G74=$L$70,$L$70,('Budgetierte Kosten'!$P7-G35)/(G74*1000))</f>
        <v>805.23333333333335</v>
      </c>
      <c r="H102" s="29">
        <f>IF(H74=$L$70,$L$70,('Budgetierte Kosten'!$P7-H35)/(H74*1000))</f>
        <v>426.98333333333329</v>
      </c>
      <c r="I102" s="29">
        <f>IF(I74=$L$70,$L$70,('Budgetierte Kosten'!$P7-I35)/(I74*1000))</f>
        <v>289.30909090909086</v>
      </c>
      <c r="N102">
        <f>ETC[[#This Row],[7 '[k €']]]*I74</f>
        <v>46.8</v>
      </c>
      <c r="O102">
        <f>'Budgetierte Kosten'!P7</f>
        <v>104000</v>
      </c>
      <c r="P102" s="28">
        <f t="shared" si="13"/>
        <v>57200.000000000007</v>
      </c>
      <c r="Q102" s="28">
        <f t="shared" si="14"/>
        <v>46799.999999999993</v>
      </c>
    </row>
    <row r="103" spans="1:17" x14ac:dyDescent="0.2">
      <c r="B103" t="str">
        <f t="shared" si="12"/>
        <v>Materialkosten</v>
      </c>
      <c r="C103" s="29">
        <f>IF(C75=$L$70,$L$70,('Budgetierte Kosten'!$O11-C36)/(C75*1000))</f>
        <v>98</v>
      </c>
      <c r="D103" s="29">
        <f>IF(D75=$L$70,$L$70,('Budgetierte Kosten'!$O11-D36)/(D75*1000))</f>
        <v>84</v>
      </c>
      <c r="E103" s="29">
        <f>IF(E75=$L$70,$L$70,('Budgetierte Kosten'!$O11-E36)/(E75*1000))</f>
        <v>76.766666666666666</v>
      </c>
      <c r="F103" s="29">
        <f>IF(F75=$L$70,$L$70,('Budgetierte Kosten'!$O11-F36)/(F75*1000))</f>
        <v>73.599999999999994</v>
      </c>
      <c r="G103" s="29">
        <f>IF(G75=$L$70,$L$70,('Budgetierte Kosten'!$O11-G36)/(G75*1000))</f>
        <v>66.600000000000009</v>
      </c>
      <c r="H103" s="29">
        <f>IF(H75=$L$70,$L$70,('Budgetierte Kosten'!$O11-H36)/(H75*1000))</f>
        <v>110</v>
      </c>
      <c r="I103" s="29">
        <f>IF(I75=$L$70,$L$70,('Budgetierte Kosten'!$O11-I36)/(I75*1000))</f>
        <v>99.514285714285691</v>
      </c>
      <c r="N103">
        <f>ETC[[#This Row],[7 '[k €']]]*I75</f>
        <v>73.959999999999994</v>
      </c>
      <c r="O103">
        <f>'Budgetierte Kosten'!O11</f>
        <v>86000</v>
      </c>
      <c r="P103" s="28">
        <f t="shared" si="13"/>
        <v>12040.000000000002</v>
      </c>
      <c r="Q103" s="28">
        <f t="shared" si="14"/>
        <v>73960</v>
      </c>
    </row>
    <row r="104" spans="1:17" x14ac:dyDescent="0.2">
      <c r="B104" t="str">
        <f>SPI[[#Totals],[Posten]]</f>
        <v>Gesamt</v>
      </c>
      <c r="C104" s="29">
        <f>($E$92-EV[[#Totals],[1]])/(CPI[[#Totals],[1]]*1000)</f>
        <v>1421.4408065290447</v>
      </c>
      <c r="D104" s="29">
        <f>($E$92-EV[[#Totals],[2]])/(CPI[[#Totals],[2]]*1000)</f>
        <v>17000.437823490378</v>
      </c>
      <c r="E104" s="29">
        <f>($E$92-EV[[#Totals],[3]])/(CPI[[#Totals],[3]]*1000)</f>
        <v>11084.525473510843</v>
      </c>
      <c r="F104" s="29">
        <f>($E$92-EV[[#Totals],[4]])/(CPI[[#Totals],[4]]*1000)</f>
        <v>6591.5452387760943</v>
      </c>
      <c r="G104" s="29">
        <f>($E$92-EV[[#Totals],[5]])/(CPI[[#Totals],[5]]*1000)</f>
        <v>4420.0276504297999</v>
      </c>
      <c r="H104" s="29">
        <f>($E$92-EV[[#Totals],[6]])/(CPI[[#Totals],[6]]*1000)</f>
        <v>2589.8308079652097</v>
      </c>
      <c r="I104" s="29">
        <f>($E$92-EV[[#Totals],[7]])/(CPI[[#Totals],[7]]*1000)</f>
        <v>1313.1617942535665</v>
      </c>
    </row>
    <row r="106" spans="1:17" x14ac:dyDescent="0.2">
      <c r="L106">
        <f>SUM(ETC[7 '[k €']])</f>
        <v>955.91504329004329</v>
      </c>
    </row>
    <row r="107" spans="1:17" ht="23.25" x14ac:dyDescent="0.35">
      <c r="A107" s="33" t="s">
        <v>70</v>
      </c>
    </row>
    <row r="109" spans="1:17" x14ac:dyDescent="0.2">
      <c r="B109" t="s">
        <v>16</v>
      </c>
      <c r="C109" t="s">
        <v>73</v>
      </c>
      <c r="D109" t="s">
        <v>74</v>
      </c>
      <c r="E109" t="s">
        <v>75</v>
      </c>
      <c r="F109" t="s">
        <v>76</v>
      </c>
      <c r="G109" t="s">
        <v>77</v>
      </c>
      <c r="H109" t="s">
        <v>78</v>
      </c>
      <c r="I109" t="s">
        <v>79</v>
      </c>
    </row>
    <row r="110" spans="1:17" x14ac:dyDescent="0.2">
      <c r="B110" t="str">
        <f t="shared" ref="B110:B116" si="15">B97</f>
        <v>Anforderungsanalyse</v>
      </c>
      <c r="C110" s="29">
        <f>IF(C69=$L$70,$L$70,'Budgetierte Kosten'!$P2/(C69*1000))</f>
        <v>121.42857142857144</v>
      </c>
      <c r="D110" s="29">
        <f>IF(D69=$L$70,$L$70,'Budgetierte Kosten'!$P2/(D69*1000))</f>
        <v>1700</v>
      </c>
      <c r="E110" s="29">
        <f>IF(E69=$L$70,$L$70,'Budgetierte Kosten'!$P2/(E69*1000))</f>
        <v>1309</v>
      </c>
      <c r="F110" s="29">
        <f>IF(F69=$L$70,$L$70,'Budgetierte Kosten'!$P2/(F69*1000))</f>
        <v>450.49999999999994</v>
      </c>
      <c r="G110" s="29">
        <f>IF(G69=$L$70,$L$70,'Budgetierte Kosten'!$P2/(G69*1000))</f>
        <v>270.3</v>
      </c>
      <c r="H110" s="29">
        <f>IF(H69=$L$70,$L$70,'Budgetierte Kosten'!$P2/(H69*1000))</f>
        <v>168.9375</v>
      </c>
      <c r="I110" s="29">
        <f>IF(I69=$L$70,$L$70,'Budgetierte Kosten'!$P2/(I69*1000))</f>
        <v>150.16666666666669</v>
      </c>
      <c r="K110" t="s">
        <v>18</v>
      </c>
      <c r="L110" t="s">
        <v>71</v>
      </c>
    </row>
    <row r="111" spans="1:17" x14ac:dyDescent="0.2">
      <c r="B111" t="str">
        <f t="shared" si="15"/>
        <v>Design und Architektur</v>
      </c>
      <c r="C111" s="29" t="str">
        <f>IF(C70=$L$70,$L$70,'Budgetierte Kosten'!$P3/(C70*1000))</f>
        <v>-</v>
      </c>
      <c r="D111" s="29" t="str">
        <f>IF(D70=$L$70,$L$70,'Budgetierte Kosten'!$P3/(D70*1000))</f>
        <v>-</v>
      </c>
      <c r="E111" s="29" t="str">
        <f>IF(E70=$L$70,$L$70,'Budgetierte Kosten'!$P3/(E70*1000))</f>
        <v>-</v>
      </c>
      <c r="F111" s="29">
        <f>IF(F70=$L$70,$L$70,'Budgetierte Kosten'!$P3/(F70*1000))</f>
        <v>850.00000000000011</v>
      </c>
      <c r="G111" s="29">
        <f>IF(G70=$L$70,$L$70,'Budgetierte Kosten'!$P3/(G70*1000))</f>
        <v>1190.0000000000002</v>
      </c>
      <c r="H111" s="29">
        <f>IF(H70=$L$70,$L$70,'Budgetierte Kosten'!$P3/(H70*1000))</f>
        <v>790.50000000000011</v>
      </c>
      <c r="I111" s="29">
        <f>IF(I70=$L$70,$L$70,'Budgetierte Kosten'!$P3/(I70*1000))</f>
        <v>218.87499999999997</v>
      </c>
    </row>
    <row r="112" spans="1:17" x14ac:dyDescent="0.2">
      <c r="B112" t="str">
        <f t="shared" si="15"/>
        <v>Implementierung</v>
      </c>
      <c r="C112" s="29" t="str">
        <f>IF(C71=$L$70,$L$70,'Budgetierte Kosten'!$P4/(C71*1000))</f>
        <v>-</v>
      </c>
      <c r="D112" s="29" t="str">
        <f>IF(D71=$L$70,$L$70,'Budgetierte Kosten'!$P4/(D71*1000))</f>
        <v>-</v>
      </c>
      <c r="E112" s="29" t="str">
        <f>IF(E71=$L$70,$L$70,'Budgetierte Kosten'!$P4/(E71*1000))</f>
        <v>-</v>
      </c>
      <c r="F112" s="29" t="str">
        <f>IF(F71=$L$70,$L$70,'Budgetierte Kosten'!$P4/(F71*1000))</f>
        <v>-</v>
      </c>
      <c r="G112" s="29" t="str">
        <f>IF(G71=$L$70,$L$70,'Budgetierte Kosten'!$P4/(G71*1000))</f>
        <v>-</v>
      </c>
      <c r="H112" s="29">
        <f>IF(H71=$L$70,$L$70,'Budgetierte Kosten'!$P4/(H71*1000))</f>
        <v>212.5</v>
      </c>
      <c r="I112" s="29">
        <f>IF(I71=$L$70,$L$70,'Budgetierte Kosten'!$P4/(I71*1000))</f>
        <v>170.00000000000003</v>
      </c>
    </row>
    <row r="113" spans="2:13" x14ac:dyDescent="0.2">
      <c r="B113" t="str">
        <f t="shared" si="15"/>
        <v>Integration und Test</v>
      </c>
      <c r="C113" s="29" t="str">
        <f>IF(C72=$L$70,$L$70,'Budgetierte Kosten'!$P5/(C72*1000))</f>
        <v>-</v>
      </c>
      <c r="D113" s="29" t="str">
        <f>IF(D72=$L$70,$L$70,'Budgetierte Kosten'!$P5/(D72*1000))</f>
        <v>-</v>
      </c>
      <c r="E113" s="29" t="str">
        <f>IF(E72=$L$70,$L$70,'Budgetierte Kosten'!$P5/(E72*1000))</f>
        <v>-</v>
      </c>
      <c r="F113" s="29" t="str">
        <f>IF(F72=$L$70,$L$70,'Budgetierte Kosten'!$P5/(F72*1000))</f>
        <v>-</v>
      </c>
      <c r="G113" s="29" t="str">
        <f>IF(G72=$L$70,$L$70,'Budgetierte Kosten'!$P5/(G72*1000))</f>
        <v>-</v>
      </c>
      <c r="H113" s="29" t="str">
        <f>IF(H72=$L$70,$L$70,'Budgetierte Kosten'!$P5/(H72*1000))</f>
        <v>-</v>
      </c>
      <c r="I113" s="29">
        <f>IF(I72=$L$70,$L$70,'Budgetierte Kosten'!$P5/(I72*1000))</f>
        <v>119.00000000000001</v>
      </c>
    </row>
    <row r="114" spans="2:13" x14ac:dyDescent="0.2">
      <c r="B114" t="str">
        <f t="shared" si="15"/>
        <v>Projektmanagement</v>
      </c>
      <c r="C114" s="29">
        <f>IF(C73=$L$70,$L$70,'Budgetierte Kosten'!$P6/(C73*1000))</f>
        <v>318.75</v>
      </c>
      <c r="D114" s="29">
        <f>IF(D73=$L$70,$L$70,'Budgetierte Kosten'!$P6/(D73*1000))</f>
        <v>1869.9999999999998</v>
      </c>
      <c r="E114" s="29">
        <f>IF(E73=$L$70,$L$70,'Budgetierte Kosten'!$P6/(E73*1000))</f>
        <v>849.99999999999989</v>
      </c>
      <c r="F114" s="29">
        <f>IF(F73=$L$70,$L$70,'Budgetierte Kosten'!$P6/(F73*1000))</f>
        <v>765</v>
      </c>
      <c r="G114" s="29">
        <f>IF(G73=$L$70,$L$70,'Budgetierte Kosten'!$P6/(G73*1000))</f>
        <v>566.66666666666663</v>
      </c>
      <c r="H114" s="29">
        <f>IF(H73=$L$70,$L$70,'Budgetierte Kosten'!$P6/(H73*1000))</f>
        <v>467.49999999999994</v>
      </c>
      <c r="I114" s="29">
        <f>IF(I73=$L$70,$L$70,'Budgetierte Kosten'!$P6/(I73*1000))</f>
        <v>408.00000000000006</v>
      </c>
    </row>
    <row r="115" spans="2:13" x14ac:dyDescent="0.2">
      <c r="B115" t="str">
        <f t="shared" si="15"/>
        <v>Puffer für unerwartetes</v>
      </c>
      <c r="C115" s="29">
        <f>IF(C74=$L$70,$L$70,'Budgetierte Kosten'!$P7/(C74*1000))</f>
        <v>169.99999999999997</v>
      </c>
      <c r="D115" s="29">
        <f>IF(D74=$L$70,$L$70,'Budgetierte Kosten'!$P7/(D74*1000))</f>
        <v>3332</v>
      </c>
      <c r="E115" s="29">
        <f>IF(E74=$L$70,$L$70,'Budgetierte Kosten'!$P7/(E74*1000))</f>
        <v>3026</v>
      </c>
      <c r="F115" s="29">
        <f>IF(F74=$L$70,$L$70,'Budgetierte Kosten'!$P7/(F74*1000))</f>
        <v>1704.25</v>
      </c>
      <c r="G115" s="29">
        <f>IF(G74=$L$70,$L$70,'Budgetierte Kosten'!$P7/(G74*1000))</f>
        <v>1150.3333333333333</v>
      </c>
      <c r="H115" s="29">
        <f>IF(H74=$L$70,$L$70,'Budgetierte Kosten'!$P7/(H74*1000))</f>
        <v>776.33333333333326</v>
      </c>
      <c r="I115" s="29">
        <f>IF(I74=$L$70,$L$70,'Budgetierte Kosten'!$P7/(I74*1000))</f>
        <v>642.90909090909088</v>
      </c>
    </row>
    <row r="116" spans="2:13" x14ac:dyDescent="0.2">
      <c r="B116" t="str">
        <f t="shared" si="15"/>
        <v>Materialkosten</v>
      </c>
      <c r="C116" s="29">
        <f>IF(C75=$L$70,$L$70,'Budgetierte Kosten'!$O11/(C75*1000))</f>
        <v>100</v>
      </c>
      <c r="D116" s="29">
        <f>IF(D75=$L$70,$L$70,'Budgetierte Kosten'!$O11/(D75*1000))</f>
        <v>87.5</v>
      </c>
      <c r="E116" s="29">
        <f>IF(E75=$L$70,$L$70,'Budgetierte Kosten'!$O11/(E75*1000))</f>
        <v>81.666666666666671</v>
      </c>
      <c r="F116" s="29">
        <f>IF(F75=$L$70,$L$70,'Budgetierte Kosten'!$O11/(F75*1000))</f>
        <v>80</v>
      </c>
      <c r="G116" s="29">
        <f>IF(G75=$L$70,$L$70,'Budgetierte Kosten'!$O11/(G75*1000))</f>
        <v>74</v>
      </c>
      <c r="H116" s="29">
        <f>IF(H75=$L$70,$L$70,'Budgetierte Kosten'!$O11/(H75*1000))</f>
        <v>125</v>
      </c>
      <c r="I116" s="29">
        <f>IF(I75=$L$70,$L$70,'Budgetierte Kosten'!$O11/(I75*1000))</f>
        <v>115.71428571428569</v>
      </c>
    </row>
    <row r="117" spans="2:13" x14ac:dyDescent="0.2">
      <c r="B117" t="str">
        <f>ETC[[#Totals],[Posten]]</f>
        <v>Gesamt</v>
      </c>
      <c r="C117" s="29">
        <f>$E$92/(CPI[[#Totals],[1]]*1000)</f>
        <v>1505.0408065290449</v>
      </c>
      <c r="D117" s="29">
        <f>$E$92/(CPI[[#Totals],[2]]*1000)</f>
        <v>17349.03782349038</v>
      </c>
      <c r="E117" s="29">
        <f>$E$92/(CPI[[#Totals],[3]]*1000)</f>
        <v>11650.425473510844</v>
      </c>
      <c r="F117" s="29">
        <f>$E$92/(CPI[[#Totals],[4]]*1000)</f>
        <v>7269.4452387760939</v>
      </c>
      <c r="G117" s="29">
        <f>$E$92/(CPI[[#Totals],[5]]*1000)</f>
        <v>5137.1776504297995</v>
      </c>
      <c r="H117" s="29">
        <f>$E$92/(CPI[[#Totals],[6]]*1000)</f>
        <v>3376.6308079652094</v>
      </c>
      <c r="I117" s="29">
        <f>$E$92/(CPI[[#Totals],[7]]*1000)</f>
        <v>2181.9117942535663</v>
      </c>
      <c r="L117">
        <f>I110*I69</f>
        <v>144</v>
      </c>
    </row>
    <row r="118" spans="2:13" x14ac:dyDescent="0.2">
      <c r="L118">
        <f t="shared" ref="L118:L124" si="16">I111*I70</f>
        <v>235.99999999999997</v>
      </c>
    </row>
    <row r="119" spans="2:13" x14ac:dyDescent="0.2">
      <c r="L119">
        <f t="shared" si="16"/>
        <v>392.00000000000006</v>
      </c>
    </row>
    <row r="120" spans="2:13" x14ac:dyDescent="0.2">
      <c r="L120">
        <f t="shared" si="16"/>
        <v>252.00000000000003</v>
      </c>
    </row>
    <row r="121" spans="2:13" x14ac:dyDescent="0.2">
      <c r="L121">
        <f t="shared" si="16"/>
        <v>286</v>
      </c>
    </row>
    <row r="122" spans="2:13" x14ac:dyDescent="0.2">
      <c r="L122">
        <f t="shared" si="16"/>
        <v>104</v>
      </c>
    </row>
    <row r="123" spans="2:13" x14ac:dyDescent="0.2">
      <c r="L123">
        <f t="shared" si="16"/>
        <v>86</v>
      </c>
    </row>
    <row r="124" spans="2:13" x14ac:dyDescent="0.2">
      <c r="L124">
        <f t="shared" si="16"/>
        <v>1499.9999999999998</v>
      </c>
      <c r="M124">
        <f>SUM(L117:L123)</f>
        <v>1500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F12" sqref="F12"/>
    </sheetView>
  </sheetViews>
  <sheetFormatPr baseColWidth="10" defaultRowHeight="12.75" x14ac:dyDescent="0.2"/>
  <cols>
    <col min="2" max="2" width="19.28515625" customWidth="1"/>
    <col min="5" max="5" width="16.140625" customWidth="1"/>
    <col min="6" max="6" width="12.42578125" bestFit="1" customWidth="1"/>
    <col min="8" max="8" width="14.42578125" customWidth="1"/>
    <col min="10" max="10" width="18.42578125" customWidth="1"/>
  </cols>
  <sheetData>
    <row r="2" spans="1:11" ht="23.25" x14ac:dyDescent="0.35">
      <c r="A2" s="27" t="s">
        <v>56</v>
      </c>
    </row>
    <row r="3" spans="1:11" x14ac:dyDescent="0.2">
      <c r="J3" t="s">
        <v>48</v>
      </c>
      <c r="K3">
        <v>0.5</v>
      </c>
    </row>
    <row r="4" spans="1:11" x14ac:dyDescent="0.2">
      <c r="B4" t="s">
        <v>16</v>
      </c>
      <c r="C4" t="s">
        <v>42</v>
      </c>
      <c r="D4" t="s">
        <v>43</v>
      </c>
      <c r="E4" t="s">
        <v>44</v>
      </c>
      <c r="F4" t="s">
        <v>47</v>
      </c>
      <c r="G4" t="s">
        <v>45</v>
      </c>
      <c r="H4" t="s">
        <v>46</v>
      </c>
      <c r="J4" t="s">
        <v>49</v>
      </c>
      <c r="K4">
        <v>1</v>
      </c>
    </row>
    <row r="5" spans="1:11" x14ac:dyDescent="0.2">
      <c r="B5" t="str">
        <f>Kennzahlen!B56</f>
        <v>Anforderungsanalyse</v>
      </c>
      <c r="C5" s="29">
        <f>Kennzahlen!I69</f>
        <v>0.95893451720310763</v>
      </c>
      <c r="D5" s="29">
        <f>Kennzahlen!I82</f>
        <v>0.9</v>
      </c>
      <c r="E5" s="30">
        <f>'Fertigstellungsgrad der Akt.'!H2</f>
        <v>0.9</v>
      </c>
      <c r="F5" s="31">
        <f>'Budgetierte Kosten'!P2/1000</f>
        <v>144</v>
      </c>
      <c r="G5" s="32" t="str">
        <f>IF(OR(Tabelle9[[#This Row],[CPI]]&lt;$K$3, Tabelle9[[#This Row],[SPI]]&lt;$K$3),$K$6, IF(OR(Tabelle9[[#This Row],[CPI]]&lt;$K$4, Tabelle9[[#This Row],[SPI]]&lt;$K$4),$K$7, $K$8))</f>
        <v>Gelb</v>
      </c>
      <c r="H5" t="str">
        <f>IF(C18=Kennzahlen!$L$70,Kennzahlen!$L$70,IF(OR(ABS(Tabelle9[[#This Row],[CPI]]-C18)&lt;=$K$13),$K$12, IF(OR(Tabelle9[[#This Row],[CPI]]&lt;C18,Tabelle9[[#This Row],[SPI]]&lt;D18), $K$11, $K$10)))</f>
        <v>POS</v>
      </c>
    </row>
    <row r="6" spans="1:11" x14ac:dyDescent="0.2">
      <c r="B6" t="str">
        <f>Kennzahlen!B57</f>
        <v>Design und Architektur</v>
      </c>
      <c r="C6" s="29">
        <f>Kennzahlen!I70</f>
        <v>1.0782410051399201</v>
      </c>
      <c r="D6" s="29">
        <f>Kennzahlen!I83</f>
        <v>0.5488372093023256</v>
      </c>
      <c r="E6" s="30">
        <f>'Fertigstellungsgrad der Akt.'!H3</f>
        <v>0.4</v>
      </c>
      <c r="F6" s="31">
        <f>'Budgetierte Kosten'!P3/1000</f>
        <v>236</v>
      </c>
      <c r="G6" s="32" t="str">
        <f>IF(OR(Tabelle9[[#This Row],[CPI]]&lt;$K$3, Tabelle9[[#This Row],[SPI]]&lt;$K$3),$K$6, IF(OR(Tabelle9[[#This Row],[CPI]]&lt;$K$4, Tabelle9[[#This Row],[SPI]]&lt;$K$4),$K$7, $K$8))</f>
        <v>Gelb</v>
      </c>
      <c r="H6" t="str">
        <f>IF(C19=Kennzahlen!$L$70,Kennzahlen!$L$70,IF(OR(ABS(Tabelle9[[#This Row],[CPI]]-C19)&lt;=$K$13),$K$12, IF(OR(Tabelle9[[#This Row],[CPI]]&lt;C19,Tabelle9[[#This Row],[SPI]]&lt;D19), $K$11, $K$10)))</f>
        <v>POS</v>
      </c>
      <c r="J6" t="s">
        <v>50</v>
      </c>
      <c r="K6" t="s">
        <v>51</v>
      </c>
    </row>
    <row r="7" spans="1:11" x14ac:dyDescent="0.2">
      <c r="B7" t="str">
        <f>Kennzahlen!B58</f>
        <v>Implementierung</v>
      </c>
      <c r="C7" s="29">
        <f>Kennzahlen!I71</f>
        <v>2.3058823529411763</v>
      </c>
      <c r="D7" s="29">
        <f>Kennzahlen!I84</f>
        <v>0.61250000000000004</v>
      </c>
      <c r="E7" s="30">
        <f>'Fertigstellungsgrad der Akt.'!H4</f>
        <v>0.25</v>
      </c>
      <c r="F7" s="31">
        <f>'Budgetierte Kosten'!P4/1000</f>
        <v>392</v>
      </c>
      <c r="G7" s="32" t="str">
        <f>IF(OR(Tabelle9[[#This Row],[CPI]]&lt;$K$3, Tabelle9[[#This Row],[SPI]]&lt;$K$3),$K$6, IF(OR(Tabelle9[[#This Row],[CPI]]&lt;$K$4, Tabelle9[[#This Row],[SPI]]&lt;$K$4),$K$7, $K$8))</f>
        <v>Gelb</v>
      </c>
      <c r="H7" t="str">
        <f>IF(C20=Kennzahlen!$L$70,Kennzahlen!$L$70,IF(OR(ABS(Tabelle9[[#This Row],[CPI]]-C20)&lt;=$K$13),$K$12, IF(OR(Tabelle9[[#This Row],[CPI]]&lt;C20,Tabelle9[[#This Row],[SPI]]&lt;D20), $K$11, $K$10)))</f>
        <v>POS</v>
      </c>
      <c r="J7" t="s">
        <v>52</v>
      </c>
      <c r="K7" t="s">
        <v>53</v>
      </c>
    </row>
    <row r="8" spans="1:11" x14ac:dyDescent="0.2">
      <c r="B8" t="str">
        <f>Kennzahlen!B59</f>
        <v>Integration und Test</v>
      </c>
      <c r="C8" s="29">
        <f>Kennzahlen!I72</f>
        <v>2.1176470588235294</v>
      </c>
      <c r="D8" s="29">
        <f>Kennzahlen!I85</f>
        <v>3.9375</v>
      </c>
      <c r="E8" s="30">
        <f>'Fertigstellungsgrad der Akt.'!H5</f>
        <v>0.25</v>
      </c>
      <c r="F8" s="31">
        <f>'Budgetierte Kosten'!P5/1000</f>
        <v>252</v>
      </c>
      <c r="G8" s="32" t="str">
        <f>IF(OR(Tabelle9[[#This Row],[CPI]]&lt;$K$3, Tabelle9[[#This Row],[SPI]]&lt;$K$3),$K$6, IF(OR(Tabelle9[[#This Row],[CPI]]&lt;$K$4, Tabelle9[[#This Row],[SPI]]&lt;$K$4),$K$7, $K$8))</f>
        <v>Grün</v>
      </c>
      <c r="H8" t="str">
        <f>IF(C21=Kennzahlen!$L$70,Kennzahlen!$L$70,IF(OR(ABS(Tabelle9[[#This Row],[CPI]]-C21)&lt;=$K$13),$K$12, IF(OR(Tabelle9[[#This Row],[CPI]]&lt;C21,Tabelle9[[#This Row],[SPI]]&lt;D21), $K$11, $K$10)))</f>
        <v>-</v>
      </c>
      <c r="J8" t="s">
        <v>54</v>
      </c>
      <c r="K8" t="s">
        <v>55</v>
      </c>
    </row>
    <row r="9" spans="1:11" x14ac:dyDescent="0.2">
      <c r="B9" t="str">
        <f>Kennzahlen!B60</f>
        <v>Projektmanagement</v>
      </c>
      <c r="C9" s="29">
        <f>Kennzahlen!I73</f>
        <v>0.7009803921568627</v>
      </c>
      <c r="D9" s="29">
        <f>Kennzahlen!I86</f>
        <v>0.9285714285714286</v>
      </c>
      <c r="E9" s="30">
        <f>'Fertigstellungsgrad der Akt.'!H6</f>
        <v>0.5</v>
      </c>
      <c r="F9" s="31">
        <f>'Budgetierte Kosten'!P6/1000</f>
        <v>286</v>
      </c>
      <c r="G9" s="32" t="str">
        <f>IF(OR(Tabelle9[[#This Row],[CPI]]&lt;$K$3, Tabelle9[[#This Row],[SPI]]&lt;$K$3),$K$6, IF(OR(Tabelle9[[#This Row],[CPI]]&lt;$K$4, Tabelle9[[#This Row],[SPI]]&lt;$K$4),$K$7, $K$8))</f>
        <v>Gelb</v>
      </c>
      <c r="H9" t="str">
        <f>IF(C22=Kennzahlen!$L$70,Kennzahlen!$L$70,IF(OR(ABS(Tabelle9[[#This Row],[CPI]]-C22)&lt;=$K$13),$K$12, IF(OR(Tabelle9[[#This Row],[CPI]]&lt;C22,Tabelle9[[#This Row],[SPI]]&lt;D22), $K$11, $K$10)))</f>
        <v>POS</v>
      </c>
    </row>
    <row r="10" spans="1:11" x14ac:dyDescent="0.2">
      <c r="B10" t="str">
        <f>Kennzahlen!B61</f>
        <v>Puffer für unerwartetes</v>
      </c>
      <c r="C10" s="29">
        <f>Kennzahlen!I74</f>
        <v>0.16176470588235295</v>
      </c>
      <c r="D10" s="29">
        <f>Kennzahlen!I87</f>
        <v>1.0214285714285716</v>
      </c>
      <c r="E10" s="30">
        <f>'Fertigstellungsgrad der Akt.'!H7</f>
        <v>0.55000000000000004</v>
      </c>
      <c r="F10" s="31">
        <f>'Budgetierte Kosten'!P7/1000</f>
        <v>104</v>
      </c>
      <c r="G10" s="32" t="str">
        <f>IF(OR(Tabelle9[[#This Row],[CPI]]&lt;$K$3, Tabelle9[[#This Row],[SPI]]&lt;$K$3),$K$6, IF(OR(Tabelle9[[#This Row],[CPI]]&lt;$K$4, Tabelle9[[#This Row],[SPI]]&lt;$K$4),$K$7, $K$8))</f>
        <v>Rot</v>
      </c>
      <c r="H10" t="str">
        <f>IF(C23=Kennzahlen!$L$70,Kennzahlen!$L$70,IF(OR(ABS(Tabelle9[[#This Row],[CPI]]-C23)&lt;=$K$13),$K$12, IF(OR(Tabelle9[[#This Row],[CPI]]&lt;C23,Tabelle9[[#This Row],[SPI]]&lt;D23), $K$11, $K$10)))</f>
        <v>EQ</v>
      </c>
      <c r="J10" t="s">
        <v>58</v>
      </c>
      <c r="K10" t="s">
        <v>60</v>
      </c>
    </row>
    <row r="11" spans="1:11" x14ac:dyDescent="0.2">
      <c r="B11" t="str">
        <f>Kennzahlen!B62</f>
        <v>Materialkosten</v>
      </c>
      <c r="C11" s="29">
        <f>Kennzahlen!I75</f>
        <v>0.74320987654321002</v>
      </c>
      <c r="D11" s="29">
        <f>Kennzahlen!I88</f>
        <v>0.57333333333333347</v>
      </c>
      <c r="E11" s="30">
        <f>'Fertigstellungsgrad der Akt.'!H8</f>
        <v>0.14000000000000001</v>
      </c>
      <c r="F11" s="31">
        <f>'Budgetierte Kosten'!O11/1000</f>
        <v>86</v>
      </c>
      <c r="G11" s="32" t="str">
        <f>IF(OR(Tabelle9[[#This Row],[CPI]]&lt;$K$3, Tabelle9[[#This Row],[SPI]]&lt;$K$3),$K$6, IF(OR(Tabelle9[[#This Row],[CPI]]&lt;$K$4, Tabelle9[[#This Row],[SPI]]&lt;$K$4),$K$7, $K$8))</f>
        <v>Gelb</v>
      </c>
      <c r="H11" t="str">
        <f>IF(C24=Kennzahlen!$L$70,Kennzahlen!$L$70,IF(OR(ABS(Tabelle9[[#This Row],[CPI]]-C24)&lt;=$K$13),$K$12, IF(OR(Tabelle9[[#This Row],[CPI]]&lt;C24,Tabelle9[[#This Row],[SPI]]&lt;D24), $K$11, $K$10)))</f>
        <v>NEG</v>
      </c>
      <c r="J11" t="s">
        <v>59</v>
      </c>
      <c r="K11" t="s">
        <v>61</v>
      </c>
    </row>
    <row r="12" spans="1:11" x14ac:dyDescent="0.2">
      <c r="B12" t="str">
        <f>Kennzahlen!B63</f>
        <v>Gesamt</v>
      </c>
      <c r="C12" s="29">
        <f>Kennzahlen!I76</f>
        <v>0.68747050359712225</v>
      </c>
      <c r="D12" s="29">
        <f>Kennzahlen!I89</f>
        <v>0.82605809128630703</v>
      </c>
      <c r="E12" s="30">
        <f>'Fertigstellungsgrad der Akt.'!H9</f>
        <v>0</v>
      </c>
      <c r="F12" s="31">
        <f>'Budgetierte Kosten'!P11/1000</f>
        <v>1500</v>
      </c>
      <c r="G12" s="34" t="str">
        <f>IF(OR(Tabelle9[[#This Row],[CPI]]&lt;$K$3, Tabelle9[[#This Row],[SPI]]&lt;$K$3),$K$6, IF(OR(Tabelle9[[#This Row],[CPI]]&lt;$K$4, Tabelle9[[#This Row],[SPI]]&lt;$K$4),$K$7, $K$8))</f>
        <v>Gelb</v>
      </c>
      <c r="H12" s="35" t="str">
        <f>IF(C25=Kennzahlen!$L$70,Kennzahlen!$L$70,IF(OR(ABS(Tabelle9[[#This Row],[CPI]]-C25)&lt;=$K$13),$K$12, IF(OR(Tabelle9[[#This Row],[CPI]]&lt;C25,Tabelle9[[#This Row],[SPI]]&lt;D25), $K$11, $K$10)))</f>
        <v>POS</v>
      </c>
      <c r="J12" t="s">
        <v>63</v>
      </c>
      <c r="K12" t="s">
        <v>62</v>
      </c>
    </row>
    <row r="13" spans="1:11" x14ac:dyDescent="0.2">
      <c r="J13" t="s">
        <v>66</v>
      </c>
      <c r="K13">
        <v>0.05</v>
      </c>
    </row>
    <row r="15" spans="1:11" ht="23.25" x14ac:dyDescent="0.35">
      <c r="A15" s="27" t="s">
        <v>57</v>
      </c>
    </row>
    <row r="17" spans="2:8" x14ac:dyDescent="0.2">
      <c r="B17" t="s">
        <v>16</v>
      </c>
      <c r="C17" t="s">
        <v>42</v>
      </c>
      <c r="D17" t="s">
        <v>43</v>
      </c>
      <c r="E17" t="s">
        <v>44</v>
      </c>
      <c r="F17" t="s">
        <v>47</v>
      </c>
      <c r="G17" t="s">
        <v>45</v>
      </c>
      <c r="H17" t="s">
        <v>46</v>
      </c>
    </row>
    <row r="18" spans="2:8" x14ac:dyDescent="0.2">
      <c r="B18" t="str">
        <f>Kennzahlen!B69</f>
        <v>Anforderungsanalyse</v>
      </c>
      <c r="C18" s="29">
        <f>Kennzahlen!H69</f>
        <v>0.85238623751387343</v>
      </c>
      <c r="D18" s="29">
        <f>Kennzahlen!H82</f>
        <v>0.8</v>
      </c>
      <c r="E18" s="30">
        <f>'Fertigstellungsgrad der Akt.'!G2</f>
        <v>0.8</v>
      </c>
      <c r="F18" s="31">
        <f>F5</f>
        <v>144</v>
      </c>
      <c r="G18" s="32" t="str">
        <f>IF(OR(Tabelle911[[#This Row],[CPI]]&lt;$K$3, Tabelle911[[#This Row],[SPI]]&lt;$K$3),$K$6, IF(OR(Tabelle911[[#This Row],[CPI]]&lt;$K$4, Tabelle911[[#This Row],[SPI]]&lt;$K$4),$K$7, $K$8))</f>
        <v>Gelb</v>
      </c>
    </row>
    <row r="19" spans="2:8" x14ac:dyDescent="0.2">
      <c r="B19" t="str">
        <f>Kennzahlen!B70</f>
        <v>Design und Architektur</v>
      </c>
      <c r="C19" s="29">
        <f>Kennzahlen!H70</f>
        <v>0.29854522454142945</v>
      </c>
      <c r="D19" s="29">
        <f>Kennzahlen!H83</f>
        <v>0.15526315789473685</v>
      </c>
      <c r="E19" s="30">
        <f>'Fertigstellungsgrad der Akt.'!G3</f>
        <v>0.1</v>
      </c>
      <c r="F19" s="31">
        <f t="shared" ref="F19:F25" si="0">F6</f>
        <v>236</v>
      </c>
      <c r="G19" s="32" t="str">
        <f>IF(OR(Tabelle911[[#This Row],[CPI]]&lt;$K$3, Tabelle911[[#This Row],[SPI]]&lt;$K$3),$K$6, IF(OR(Tabelle911[[#This Row],[CPI]]&lt;$K$4, Tabelle911[[#This Row],[SPI]]&lt;$K$4),$K$7, $K$8))</f>
        <v>Rot</v>
      </c>
    </row>
    <row r="20" spans="2:8" x14ac:dyDescent="0.2">
      <c r="B20" t="str">
        <f>Kennzahlen!B71</f>
        <v>Implementierung</v>
      </c>
      <c r="C20" s="29">
        <f>Kennzahlen!H71</f>
        <v>1.8447058823529412</v>
      </c>
      <c r="D20" s="29">
        <f>Kennzahlen!H84</f>
        <v>0.35</v>
      </c>
      <c r="E20" s="30">
        <f>'Fertigstellungsgrad der Akt.'!G4</f>
        <v>0.1</v>
      </c>
      <c r="F20" s="31">
        <f t="shared" si="0"/>
        <v>392</v>
      </c>
      <c r="G20" s="32" t="str">
        <f>IF(OR(Tabelle911[[#This Row],[CPI]]&lt;$K$3, Tabelle911[[#This Row],[SPI]]&lt;$K$3),$K$6, IF(OR(Tabelle911[[#This Row],[CPI]]&lt;$K$4, Tabelle911[[#This Row],[SPI]]&lt;$K$4),$K$7, $K$8))</f>
        <v>Rot</v>
      </c>
    </row>
    <row r="21" spans="2:8" x14ac:dyDescent="0.2">
      <c r="B21" t="str">
        <f>Kennzahlen!B72</f>
        <v>Integration und Test</v>
      </c>
      <c r="C21" s="29" t="str">
        <f>Kennzahlen!H72</f>
        <v>-</v>
      </c>
      <c r="D21" s="29" t="str">
        <f>Kennzahlen!H85</f>
        <v>-</v>
      </c>
      <c r="E21" s="30">
        <f>'Fertigstellungsgrad der Akt.'!G5</f>
        <v>0</v>
      </c>
      <c r="F21" s="31">
        <f t="shared" si="0"/>
        <v>252</v>
      </c>
      <c r="G21" s="32" t="str">
        <f>IF(OR(Tabelle911[[#This Row],[CPI]]&lt;$K$3, Tabelle911[[#This Row],[SPI]]&lt;$K$3),$K$6, IF(OR(Tabelle911[[#This Row],[CPI]]&lt;$K$4, Tabelle911[[#This Row],[SPI]]&lt;$K$4),$K$7, $K$8))</f>
        <v>Grün</v>
      </c>
    </row>
    <row r="22" spans="2:8" x14ac:dyDescent="0.2">
      <c r="B22" t="str">
        <f>Kennzahlen!B73</f>
        <v>Projektmanagement</v>
      </c>
      <c r="C22" s="29">
        <f>Kennzahlen!H73</f>
        <v>0.61176470588235299</v>
      </c>
      <c r="D22" s="29">
        <f>Kennzahlen!H86</f>
        <v>0.8666666666666667</v>
      </c>
      <c r="E22" s="30">
        <f>'Fertigstellungsgrad der Akt.'!G6</f>
        <v>0.4</v>
      </c>
      <c r="F22" s="31">
        <f t="shared" si="0"/>
        <v>286</v>
      </c>
      <c r="G22" s="32" t="str">
        <f>IF(OR(Tabelle911[[#This Row],[CPI]]&lt;$K$3, Tabelle911[[#This Row],[SPI]]&lt;$K$3),$K$6, IF(OR(Tabelle911[[#This Row],[CPI]]&lt;$K$4, Tabelle911[[#This Row],[SPI]]&lt;$K$4),$K$7, $K$8))</f>
        <v>Gelb</v>
      </c>
    </row>
    <row r="23" spans="2:8" x14ac:dyDescent="0.2">
      <c r="B23" t="str">
        <f>Kennzahlen!B74</f>
        <v>Puffer für unerwartetes</v>
      </c>
      <c r="C23" s="29">
        <f>Kennzahlen!H74</f>
        <v>0.13396307428080723</v>
      </c>
      <c r="D23" s="29">
        <f>Kennzahlen!H87</f>
        <v>0.97499999999999998</v>
      </c>
      <c r="E23" s="30">
        <f>'Fertigstellungsgrad der Akt.'!G7</f>
        <v>0.45</v>
      </c>
      <c r="F23" s="31">
        <f t="shared" si="0"/>
        <v>104</v>
      </c>
      <c r="G23" s="32" t="str">
        <f>IF(OR(Tabelle911[[#This Row],[CPI]]&lt;$K$3, Tabelle911[[#This Row],[SPI]]&lt;$K$3),$K$6, IF(OR(Tabelle911[[#This Row],[CPI]]&lt;$K$4, Tabelle911[[#This Row],[SPI]]&lt;$K$4),$K$7, $K$8))</f>
        <v>Rot</v>
      </c>
    </row>
    <row r="24" spans="2:8" x14ac:dyDescent="0.2">
      <c r="B24" t="str">
        <f>Kennzahlen!B75</f>
        <v>Materialkosten</v>
      </c>
      <c r="C24" s="29">
        <f>Kennzahlen!H75</f>
        <v>0.68799999999999994</v>
      </c>
      <c r="D24" s="29">
        <f>Kennzahlen!H88</f>
        <v>0.64500000000000002</v>
      </c>
      <c r="E24" s="30">
        <f>'Fertigstellungsgrad der Akt.'!G8</f>
        <v>0.12</v>
      </c>
      <c r="F24" s="31">
        <f t="shared" si="0"/>
        <v>86</v>
      </c>
      <c r="G24" s="32" t="str">
        <f>IF(OR(Tabelle911[[#This Row],[CPI]]&lt;$K$3, Tabelle911[[#This Row],[SPI]]&lt;$K$3),$K$6, IF(OR(Tabelle911[[#This Row],[CPI]]&lt;$K$4, Tabelle911[[#This Row],[SPI]]&lt;$K$4),$K$7, $K$8))</f>
        <v>Gelb</v>
      </c>
    </row>
    <row r="25" spans="2:8" x14ac:dyDescent="0.2">
      <c r="B25" t="str">
        <f>Kennzahlen!B76</f>
        <v>Gesamt</v>
      </c>
      <c r="C25" s="29">
        <f>Kennzahlen!H76</f>
        <v>0.44422979156075243</v>
      </c>
      <c r="D25" s="29">
        <f>Kennzahlen!H89</f>
        <v>0.57867549668874174</v>
      </c>
      <c r="E25" s="30">
        <f>'Fertigstellungsgrad der Akt.'!G9</f>
        <v>0</v>
      </c>
      <c r="F25" s="31">
        <f t="shared" si="0"/>
        <v>1500</v>
      </c>
      <c r="G25" s="34" t="str">
        <f>IF(OR(Tabelle911[[#This Row],[CPI]]&lt;$K$3, Tabelle911[[#This Row],[SPI]]&lt;$K$3),$K$6, IF(OR(Tabelle911[[#This Row],[CPI]]&lt;$K$4, Tabelle911[[#This Row],[SPI]]&lt;$K$4),$K$7, $K$8))</f>
        <v>Rot</v>
      </c>
    </row>
  </sheetData>
  <conditionalFormatting sqref="C5:D12 C18:D25">
    <cfRule type="cellIs" dxfId="16" priority="13" operator="greaterThanOrEqual">
      <formula>$K$4</formula>
    </cfRule>
    <cfRule type="cellIs" dxfId="15" priority="14" operator="lessThan">
      <formula>$K$3</formula>
    </cfRule>
    <cfRule type="cellIs" dxfId="14" priority="15" operator="lessThan">
      <formula>$K$4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E0B5B186-BB25-4080-B948-EED301F00D0A}">
            <xm:f>NOT(ISERROR(SEARCH($K$8,G5)))</xm:f>
            <xm:f>$K$8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id="{A789120A-4B68-43F8-9616-2D4E41C8BD80}">
            <xm:f>NOT(ISERROR(SEARCH($K$7,G5)))</xm:f>
            <xm:f>$K$7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1" operator="containsText" id="{531456C6-9606-47DB-9456-B0A7E2B1691B}">
            <xm:f>NOT(ISERROR(SEARCH($K$6,G5)))</xm:f>
            <xm:f>$K$6</xm:f>
            <x14:dxf>
              <fill>
                <patternFill>
                  <bgColor rgb="FFFF6969"/>
                </patternFill>
              </fill>
            </x14:dxf>
          </x14:cfRule>
          <xm:sqref>G5:G12 G18:G25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42" zoomScale="85" zoomScaleNormal="85" workbookViewId="0">
      <selection activeCell="V170" sqref="V170"/>
    </sheetView>
  </sheetViews>
  <sheetFormatPr baseColWidth="10" defaultRowHeight="12.75" x14ac:dyDescent="0.2"/>
  <sheetData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opLeftCell="D1" zoomScale="125" zoomScaleNormal="125" workbookViewId="0">
      <selection activeCell="O16" sqref="O16"/>
    </sheetView>
  </sheetViews>
  <sheetFormatPr baseColWidth="10" defaultRowHeight="12.95" customHeight="1" x14ac:dyDescent="0.2"/>
  <cols>
    <col min="1" max="1" width="34.42578125" customWidth="1"/>
    <col min="2" max="2" width="11.140625" customWidth="1"/>
    <col min="3" max="3" width="10.140625" customWidth="1"/>
    <col min="4" max="4" width="10.28515625" customWidth="1"/>
    <col min="5" max="13" width="9.42578125" customWidth="1"/>
    <col min="14" max="14" width="11" customWidth="1"/>
    <col min="15" max="15" width="15.42578125" customWidth="1"/>
    <col min="16" max="16" width="14.85546875" customWidth="1"/>
  </cols>
  <sheetData>
    <row r="1" spans="1:17" ht="12.95" customHeight="1" x14ac:dyDescent="0.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/>
      <c r="P1" s="3"/>
      <c r="Q1" s="4"/>
    </row>
    <row r="2" spans="1:17" ht="12.95" customHeight="1" x14ac:dyDescent="0.2">
      <c r="A2" s="5" t="s">
        <v>1</v>
      </c>
      <c r="B2">
        <v>600</v>
      </c>
      <c r="C2">
        <v>600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f t="shared" ref="O2:O7" si="0">SUM(B2:N2)</f>
        <v>1800</v>
      </c>
      <c r="P2" s="7">
        <f t="shared" ref="P2:P8" si="1">O2*$B$14</f>
        <v>144000</v>
      </c>
    </row>
    <row r="3" spans="1:17" ht="12.95" customHeight="1" x14ac:dyDescent="0.2">
      <c r="A3" s="5" t="s">
        <v>2</v>
      </c>
      <c r="B3">
        <v>0</v>
      </c>
      <c r="C3">
        <v>0</v>
      </c>
      <c r="D3">
        <v>250</v>
      </c>
      <c r="E3">
        <v>400</v>
      </c>
      <c r="F3">
        <v>550</v>
      </c>
      <c r="G3">
        <v>700</v>
      </c>
      <c r="H3">
        <v>250</v>
      </c>
      <c r="I3">
        <v>250</v>
      </c>
      <c r="J3">
        <v>200</v>
      </c>
      <c r="K3">
        <v>200</v>
      </c>
      <c r="L3">
        <v>150</v>
      </c>
      <c r="M3">
        <v>0</v>
      </c>
      <c r="N3">
        <v>0</v>
      </c>
      <c r="O3" s="6">
        <f t="shared" si="0"/>
        <v>2950</v>
      </c>
      <c r="P3" s="7">
        <f t="shared" si="1"/>
        <v>236000</v>
      </c>
    </row>
    <row r="4" spans="1:17" ht="12.95" customHeight="1" x14ac:dyDescent="0.2">
      <c r="A4" s="5" t="s">
        <v>3</v>
      </c>
      <c r="B4">
        <v>0</v>
      </c>
      <c r="C4">
        <v>0</v>
      </c>
      <c r="D4">
        <v>0</v>
      </c>
      <c r="E4">
        <v>300</v>
      </c>
      <c r="F4">
        <v>500</v>
      </c>
      <c r="G4">
        <v>600</v>
      </c>
      <c r="H4">
        <v>600</v>
      </c>
      <c r="I4">
        <v>600</v>
      </c>
      <c r="J4">
        <v>600</v>
      </c>
      <c r="K4">
        <v>600</v>
      </c>
      <c r="L4">
        <v>600</v>
      </c>
      <c r="M4">
        <v>350</v>
      </c>
      <c r="N4">
        <v>150</v>
      </c>
      <c r="O4" s="6">
        <f t="shared" si="0"/>
        <v>4900</v>
      </c>
      <c r="P4" s="7">
        <f t="shared" si="1"/>
        <v>392000</v>
      </c>
    </row>
    <row r="5" spans="1:17" ht="12.95" customHeight="1" x14ac:dyDescent="0.2">
      <c r="A5" s="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200</v>
      </c>
      <c r="I5">
        <v>300</v>
      </c>
      <c r="J5">
        <v>400</v>
      </c>
      <c r="K5">
        <v>600</v>
      </c>
      <c r="L5">
        <v>600</v>
      </c>
      <c r="M5">
        <v>600</v>
      </c>
      <c r="N5">
        <v>450</v>
      </c>
      <c r="O5" s="6">
        <f t="shared" si="0"/>
        <v>3150</v>
      </c>
      <c r="P5" s="7">
        <f t="shared" si="1"/>
        <v>252000</v>
      </c>
    </row>
    <row r="6" spans="1:17" ht="12.95" customHeight="1" x14ac:dyDescent="0.2">
      <c r="A6" s="5" t="s">
        <v>5</v>
      </c>
      <c r="B6">
        <v>275</v>
      </c>
      <c r="C6">
        <v>275</v>
      </c>
      <c r="D6">
        <v>275</v>
      </c>
      <c r="E6">
        <v>275</v>
      </c>
      <c r="F6">
        <v>275</v>
      </c>
      <c r="G6">
        <v>275</v>
      </c>
      <c r="H6">
        <v>275</v>
      </c>
      <c r="I6">
        <v>275</v>
      </c>
      <c r="J6">
        <v>275</v>
      </c>
      <c r="K6">
        <v>275</v>
      </c>
      <c r="L6">
        <v>275</v>
      </c>
      <c r="M6">
        <v>275</v>
      </c>
      <c r="N6">
        <v>275</v>
      </c>
      <c r="O6" s="6">
        <f t="shared" si="0"/>
        <v>3575</v>
      </c>
      <c r="P6" s="7">
        <f t="shared" si="1"/>
        <v>286000</v>
      </c>
    </row>
    <row r="7" spans="1:17" ht="12.95" customHeight="1" x14ac:dyDescent="0.2">
      <c r="A7" s="5" t="s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 s="6">
        <f t="shared" si="0"/>
        <v>1300</v>
      </c>
      <c r="P7" s="7">
        <f t="shared" si="1"/>
        <v>104000</v>
      </c>
    </row>
    <row r="8" spans="1:17" s="2" customFormat="1" ht="12.95" customHeight="1" x14ac:dyDescent="0.2">
      <c r="A8" s="1" t="s">
        <v>7</v>
      </c>
      <c r="B8" s="2">
        <f t="shared" ref="B8:O8" si="2">SUM(B2:B7)</f>
        <v>975</v>
      </c>
      <c r="C8" s="2">
        <f t="shared" si="2"/>
        <v>975</v>
      </c>
      <c r="D8" s="2">
        <f t="shared" si="2"/>
        <v>1225</v>
      </c>
      <c r="E8" s="2">
        <f t="shared" si="2"/>
        <v>1075</v>
      </c>
      <c r="F8" s="2">
        <f t="shared" si="2"/>
        <v>1425</v>
      </c>
      <c r="G8" s="2">
        <f t="shared" si="2"/>
        <v>1675</v>
      </c>
      <c r="H8" s="2">
        <f t="shared" si="2"/>
        <v>1425</v>
      </c>
      <c r="I8" s="2">
        <f t="shared" si="2"/>
        <v>1525</v>
      </c>
      <c r="J8" s="2">
        <f t="shared" si="2"/>
        <v>1575</v>
      </c>
      <c r="K8" s="2">
        <f t="shared" si="2"/>
        <v>1775</v>
      </c>
      <c r="L8" s="2">
        <f t="shared" si="2"/>
        <v>1725</v>
      </c>
      <c r="M8" s="2">
        <f t="shared" si="2"/>
        <v>1325</v>
      </c>
      <c r="N8" s="2">
        <f t="shared" si="2"/>
        <v>975</v>
      </c>
      <c r="O8" s="2">
        <f t="shared" si="2"/>
        <v>17675</v>
      </c>
      <c r="P8" s="8">
        <f t="shared" si="1"/>
        <v>1414000</v>
      </c>
    </row>
    <row r="9" spans="1:17" ht="12.95" customHeight="1" x14ac:dyDescent="0.2">
      <c r="A9" s="9"/>
      <c r="P9" s="10"/>
    </row>
    <row r="10" spans="1:17" ht="12.95" customHeight="1" x14ac:dyDescent="0.2">
      <c r="A10" s="11" t="s">
        <v>8</v>
      </c>
      <c r="B10" s="12">
        <f t="shared" ref="B10:N10" si="3">B8*$B$14</f>
        <v>78000</v>
      </c>
      <c r="C10" s="12">
        <f t="shared" si="3"/>
        <v>78000</v>
      </c>
      <c r="D10" s="12">
        <f t="shared" si="3"/>
        <v>98000</v>
      </c>
      <c r="E10" s="12">
        <f t="shared" si="3"/>
        <v>86000</v>
      </c>
      <c r="F10" s="12">
        <f t="shared" si="3"/>
        <v>114000</v>
      </c>
      <c r="G10" s="12">
        <f t="shared" si="3"/>
        <v>134000</v>
      </c>
      <c r="H10" s="12">
        <f t="shared" si="3"/>
        <v>114000</v>
      </c>
      <c r="I10" s="12">
        <f t="shared" si="3"/>
        <v>122000</v>
      </c>
      <c r="J10" s="12">
        <f t="shared" si="3"/>
        <v>126000</v>
      </c>
      <c r="K10" s="12">
        <f t="shared" si="3"/>
        <v>142000</v>
      </c>
      <c r="L10" s="12">
        <f t="shared" si="3"/>
        <v>138000</v>
      </c>
      <c r="M10" s="12">
        <f t="shared" si="3"/>
        <v>106000</v>
      </c>
      <c r="N10" s="12">
        <f t="shared" si="3"/>
        <v>78000</v>
      </c>
      <c r="O10" s="2" t="s">
        <v>9</v>
      </c>
      <c r="P10" s="10"/>
    </row>
    <row r="11" spans="1:17" ht="12.95" customHeight="1" x14ac:dyDescent="0.2">
      <c r="A11" s="11" t="s">
        <v>10</v>
      </c>
      <c r="B11" s="12">
        <v>2000</v>
      </c>
      <c r="C11" s="12">
        <v>2000</v>
      </c>
      <c r="D11" s="12">
        <v>3000</v>
      </c>
      <c r="E11" s="12">
        <v>3000</v>
      </c>
      <c r="F11" s="12">
        <v>3000</v>
      </c>
      <c r="G11" s="12">
        <v>3000</v>
      </c>
      <c r="H11" s="12">
        <v>5000</v>
      </c>
      <c r="I11" s="12">
        <v>5000</v>
      </c>
      <c r="J11" s="12">
        <v>15000</v>
      </c>
      <c r="K11" s="12">
        <v>15000</v>
      </c>
      <c r="L11" s="12">
        <v>15000</v>
      </c>
      <c r="M11" s="12">
        <v>10000</v>
      </c>
      <c r="N11" s="12">
        <v>5000</v>
      </c>
      <c r="O11" s="12">
        <f>SUM(B11:N11)</f>
        <v>86000</v>
      </c>
      <c r="P11" s="13">
        <f>O11+P8</f>
        <v>1500000</v>
      </c>
    </row>
    <row r="12" spans="1:17" s="2" customFormat="1" ht="12.95" customHeight="1" x14ac:dyDescent="0.2">
      <c r="A12" s="1" t="s">
        <v>11</v>
      </c>
      <c r="B12" s="14">
        <f t="shared" ref="B12:N12" si="4">SUM(B10:B11)</f>
        <v>80000</v>
      </c>
      <c r="C12" s="14">
        <f t="shared" si="4"/>
        <v>80000</v>
      </c>
      <c r="D12" s="14">
        <f t="shared" si="4"/>
        <v>101000</v>
      </c>
      <c r="E12" s="14">
        <f t="shared" si="4"/>
        <v>89000</v>
      </c>
      <c r="F12" s="14">
        <f t="shared" si="4"/>
        <v>117000</v>
      </c>
      <c r="G12" s="14">
        <f t="shared" si="4"/>
        <v>137000</v>
      </c>
      <c r="H12" s="14">
        <f t="shared" si="4"/>
        <v>119000</v>
      </c>
      <c r="I12" s="14">
        <f t="shared" si="4"/>
        <v>127000</v>
      </c>
      <c r="J12" s="14">
        <f t="shared" si="4"/>
        <v>141000</v>
      </c>
      <c r="K12" s="14">
        <f t="shared" si="4"/>
        <v>157000</v>
      </c>
      <c r="L12" s="14">
        <f t="shared" si="4"/>
        <v>153000</v>
      </c>
      <c r="M12" s="14">
        <f t="shared" si="4"/>
        <v>116000</v>
      </c>
      <c r="N12" s="14">
        <f t="shared" si="4"/>
        <v>83000</v>
      </c>
      <c r="P12" s="3"/>
    </row>
    <row r="13" spans="1:17" ht="12.95" customHeight="1" x14ac:dyDescent="0.2">
      <c r="A13" s="15"/>
      <c r="D13" s="16"/>
      <c r="E13" s="16"/>
      <c r="F13" s="16"/>
      <c r="G13" s="16"/>
      <c r="H13" s="16"/>
      <c r="I13" s="16"/>
      <c r="J13" s="17"/>
      <c r="K13" s="18"/>
      <c r="L13" s="18"/>
      <c r="M13" s="18"/>
      <c r="N13" s="18"/>
      <c r="O13" s="18"/>
    </row>
    <row r="14" spans="1:17" ht="12.95" customHeight="1" x14ac:dyDescent="0.2">
      <c r="A14" s="15" t="s">
        <v>12</v>
      </c>
      <c r="B14" s="19">
        <v>80</v>
      </c>
      <c r="C14" s="16" t="s">
        <v>13</v>
      </c>
      <c r="D14" s="16"/>
      <c r="E14" s="16"/>
      <c r="F14" s="16"/>
      <c r="G14" s="16"/>
      <c r="H14" s="16"/>
      <c r="I14" s="16"/>
      <c r="J14" s="17"/>
      <c r="K14" s="18"/>
      <c r="L14" s="18"/>
      <c r="M14" s="18"/>
      <c r="N14" s="18"/>
      <c r="O14" s="18"/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25" zoomScaleNormal="125" workbookViewId="0">
      <selection activeCell="B16" sqref="B16"/>
    </sheetView>
  </sheetViews>
  <sheetFormatPr baseColWidth="10" defaultRowHeight="12.95" customHeight="1" x14ac:dyDescent="0.2"/>
  <cols>
    <col min="1" max="1" width="35.42578125" customWidth="1"/>
    <col min="2" max="8" width="9.42578125" customWidth="1"/>
    <col min="9" max="9" width="13.7109375" style="20" customWidth="1"/>
    <col min="10" max="10" width="12.28515625" style="20" customWidth="1"/>
    <col min="11" max="12" width="11.42578125" style="20" customWidth="1"/>
    <col min="13" max="13" width="12.28515625" style="20" customWidth="1"/>
    <col min="14" max="15" width="11.42578125" style="20" customWidth="1"/>
    <col min="16" max="16" width="12.28515625" style="21" customWidth="1"/>
  </cols>
  <sheetData>
    <row r="1" spans="1:16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2"/>
      <c r="J1" s="22"/>
      <c r="M1" s="22"/>
      <c r="N1" s="22"/>
      <c r="O1" s="22"/>
      <c r="P1" s="23"/>
    </row>
    <row r="2" spans="1:16" ht="12.95" customHeight="1" x14ac:dyDescent="0.2">
      <c r="A2" s="15" t="s">
        <v>1</v>
      </c>
      <c r="B2">
        <v>500</v>
      </c>
      <c r="C2">
        <v>500</v>
      </c>
      <c r="D2">
        <v>540</v>
      </c>
      <c r="E2">
        <v>50</v>
      </c>
      <c r="F2">
        <v>0</v>
      </c>
      <c r="G2">
        <v>0</v>
      </c>
      <c r="H2">
        <v>0</v>
      </c>
    </row>
    <row r="3" spans="1:16" ht="12.95" customHeight="1" x14ac:dyDescent="0.2">
      <c r="A3" s="15" t="s">
        <v>2</v>
      </c>
      <c r="B3">
        <v>0</v>
      </c>
      <c r="C3">
        <v>0</v>
      </c>
      <c r="D3">
        <v>0</v>
      </c>
      <c r="E3">
        <v>500</v>
      </c>
      <c r="F3">
        <v>200</v>
      </c>
      <c r="G3">
        <v>230</v>
      </c>
      <c r="H3">
        <v>100</v>
      </c>
    </row>
    <row r="4" spans="1:16" ht="12.95" customHeight="1" x14ac:dyDescent="0.2">
      <c r="A4" s="15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250</v>
      </c>
      <c r="H4">
        <v>250</v>
      </c>
    </row>
    <row r="5" spans="1:16" ht="12.95" customHeight="1" x14ac:dyDescent="0.2">
      <c r="A5" s="1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350</v>
      </c>
    </row>
    <row r="6" spans="1:16" ht="12.95" customHeight="1" x14ac:dyDescent="0.2">
      <c r="A6" s="15" t="s">
        <v>5</v>
      </c>
      <c r="B6">
        <v>300</v>
      </c>
      <c r="C6">
        <v>800</v>
      </c>
      <c r="D6">
        <v>400</v>
      </c>
      <c r="E6">
        <v>300</v>
      </c>
      <c r="F6">
        <v>200</v>
      </c>
      <c r="G6">
        <v>200</v>
      </c>
      <c r="H6">
        <v>200</v>
      </c>
    </row>
    <row r="7" spans="1:16" ht="12.95" customHeight="1" x14ac:dyDescent="0.2">
      <c r="A7" s="15" t="s">
        <v>6</v>
      </c>
      <c r="B7">
        <v>160</v>
      </c>
      <c r="C7">
        <v>1800</v>
      </c>
      <c r="D7">
        <v>1600</v>
      </c>
      <c r="E7">
        <v>450</v>
      </c>
      <c r="F7">
        <v>50</v>
      </c>
      <c r="G7">
        <v>50</v>
      </c>
      <c r="H7">
        <v>50</v>
      </c>
    </row>
    <row r="8" spans="1:16" ht="12.95" customHeight="1" x14ac:dyDescent="0.2">
      <c r="A8" s="2" t="str">
        <f>'Budgetierte Kosten'!A8</f>
        <v>Summe Personenstunden pro Monat</v>
      </c>
      <c r="B8" s="2">
        <f t="shared" ref="B8:H8" si="0">SUM(B2:B7)</f>
        <v>960</v>
      </c>
      <c r="C8" s="2">
        <f t="shared" si="0"/>
        <v>3100</v>
      </c>
      <c r="D8" s="2">
        <f t="shared" si="0"/>
        <v>2540</v>
      </c>
      <c r="E8" s="2">
        <f t="shared" si="0"/>
        <v>1300</v>
      </c>
      <c r="F8" s="2">
        <f t="shared" si="0"/>
        <v>450</v>
      </c>
      <c r="G8" s="2">
        <f t="shared" si="0"/>
        <v>730</v>
      </c>
      <c r="H8" s="2">
        <f t="shared" si="0"/>
        <v>950</v>
      </c>
    </row>
    <row r="9" spans="1:16" ht="12.95" customHeight="1" x14ac:dyDescent="0.2">
      <c r="A9" s="2"/>
      <c r="B9" s="2"/>
      <c r="C9" s="2"/>
      <c r="D9" s="2"/>
      <c r="E9" s="2"/>
      <c r="F9" s="2"/>
      <c r="G9" s="2"/>
      <c r="H9" s="2"/>
    </row>
    <row r="10" spans="1:16" ht="12.95" customHeight="1" x14ac:dyDescent="0.2">
      <c r="A10" s="4" t="s">
        <v>8</v>
      </c>
      <c r="B10" s="12">
        <f t="shared" ref="B10:H10" si="1">B8*85</f>
        <v>81600</v>
      </c>
      <c r="C10" s="12">
        <f t="shared" si="1"/>
        <v>263500</v>
      </c>
      <c r="D10" s="12">
        <f t="shared" si="1"/>
        <v>215900</v>
      </c>
      <c r="E10" s="12">
        <f t="shared" si="1"/>
        <v>110500</v>
      </c>
      <c r="F10" s="12">
        <f t="shared" si="1"/>
        <v>38250</v>
      </c>
      <c r="G10" s="12">
        <f t="shared" si="1"/>
        <v>62050</v>
      </c>
      <c r="H10" s="12">
        <f t="shared" si="1"/>
        <v>80750</v>
      </c>
    </row>
    <row r="11" spans="1:16" ht="12.95" customHeight="1" x14ac:dyDescent="0.2">
      <c r="A11" s="4" t="s">
        <v>10</v>
      </c>
      <c r="B11" s="12">
        <v>2000</v>
      </c>
      <c r="C11" s="12">
        <v>1500</v>
      </c>
      <c r="D11" s="12">
        <v>1400</v>
      </c>
      <c r="E11" s="12">
        <v>1500</v>
      </c>
      <c r="F11" s="12">
        <v>1000</v>
      </c>
      <c r="G11" s="12">
        <v>7600</v>
      </c>
      <c r="H11" s="12">
        <v>1200</v>
      </c>
      <c r="I11" s="12"/>
      <c r="J11" s="12"/>
      <c r="K11" s="12"/>
      <c r="L11" s="12"/>
      <c r="M11" s="12"/>
      <c r="N11" s="12"/>
      <c r="O11" s="12"/>
      <c r="P11" s="12"/>
    </row>
    <row r="12" spans="1:16" s="2" customFormat="1" ht="12.95" customHeight="1" x14ac:dyDescent="0.2">
      <c r="A12" s="2" t="s">
        <v>11</v>
      </c>
      <c r="B12" s="14">
        <f t="shared" ref="B12:H12" si="2">SUM(B10:B11)</f>
        <v>83600</v>
      </c>
      <c r="C12" s="14">
        <f t="shared" si="2"/>
        <v>265000</v>
      </c>
      <c r="D12" s="14">
        <f t="shared" si="2"/>
        <v>217300</v>
      </c>
      <c r="E12" s="14">
        <f t="shared" si="2"/>
        <v>112000</v>
      </c>
      <c r="F12" s="14">
        <f t="shared" si="2"/>
        <v>39250</v>
      </c>
      <c r="G12" s="14">
        <f t="shared" si="2"/>
        <v>69650</v>
      </c>
      <c r="H12" s="14">
        <f t="shared" si="2"/>
        <v>81950</v>
      </c>
      <c r="I12" s="24"/>
      <c r="J12" s="24"/>
      <c r="K12" s="24"/>
      <c r="L12" s="24"/>
      <c r="M12" s="24"/>
      <c r="N12" s="24"/>
      <c r="O12" s="24"/>
      <c r="P12" s="25"/>
    </row>
    <row r="15" spans="1:16" ht="12.95" customHeight="1" x14ac:dyDescent="0.2">
      <c r="A15" t="s">
        <v>27</v>
      </c>
      <c r="B15">
        <v>85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9" sqref="B9"/>
    </sheetView>
  </sheetViews>
  <sheetFormatPr baseColWidth="10" defaultRowHeight="12.95" customHeight="1" x14ac:dyDescent="0.2"/>
  <cols>
    <col min="1" max="1" width="35.42578125" customWidth="1"/>
    <col min="2" max="3" width="10.140625" customWidth="1"/>
    <col min="4" max="8" width="11.42578125" customWidth="1"/>
    <col min="9" max="11" width="4" customWidth="1"/>
    <col min="12" max="13" width="5" customWidth="1"/>
  </cols>
  <sheetData>
    <row r="1" spans="1:13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/>
      <c r="J1" s="2"/>
      <c r="K1" s="2"/>
      <c r="L1" s="2"/>
      <c r="M1" s="2"/>
    </row>
    <row r="2" spans="1:13" ht="12.95" customHeight="1" x14ac:dyDescent="0.2">
      <c r="A2" s="15" t="str">
        <f>'Budgetierte Kosten'!A2</f>
        <v>Anforderungsanalyse</v>
      </c>
      <c r="B2" s="26">
        <v>0.35</v>
      </c>
      <c r="C2" s="26">
        <v>0.05</v>
      </c>
      <c r="D2" s="26">
        <v>0.1</v>
      </c>
      <c r="E2" s="26">
        <v>0.3</v>
      </c>
      <c r="F2" s="26">
        <v>0.5</v>
      </c>
      <c r="G2" s="26">
        <v>0.8</v>
      </c>
      <c r="H2" s="26">
        <v>0.9</v>
      </c>
    </row>
    <row r="3" spans="1:13" ht="12.95" customHeight="1" x14ac:dyDescent="0.2">
      <c r="A3" s="15" t="str">
        <f>'Budgetierte Kosten'!A3</f>
        <v>Design und Architektur</v>
      </c>
      <c r="B3" s="26">
        <v>0</v>
      </c>
      <c r="C3" s="26">
        <v>0</v>
      </c>
      <c r="D3" s="26">
        <v>0</v>
      </c>
      <c r="E3" s="26">
        <v>0.05</v>
      </c>
      <c r="F3" s="26">
        <v>0.05</v>
      </c>
      <c r="G3" s="26">
        <v>0.1</v>
      </c>
      <c r="H3" s="26">
        <v>0.4</v>
      </c>
    </row>
    <row r="4" spans="1:13" ht="12.95" customHeight="1" x14ac:dyDescent="0.2">
      <c r="A4" s="15" t="str">
        <f>'Budgetierte Kosten'!A4</f>
        <v>Implementierung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0.1</v>
      </c>
      <c r="H4" s="26">
        <v>0.25</v>
      </c>
    </row>
    <row r="5" spans="1:13" ht="12.95" customHeight="1" x14ac:dyDescent="0.2">
      <c r="A5" s="15" t="str">
        <f>'Budgetierte Kosten'!A5</f>
        <v>Integration und Test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0.25</v>
      </c>
    </row>
    <row r="6" spans="1:13" ht="12.95" customHeight="1" x14ac:dyDescent="0.2">
      <c r="A6" s="15" t="str">
        <f>'Budgetierte Kosten'!A6</f>
        <v>Projektmanagement</v>
      </c>
      <c r="B6" s="26">
        <v>0.08</v>
      </c>
      <c r="C6" s="26">
        <v>0.05</v>
      </c>
      <c r="D6" s="26">
        <v>0.15</v>
      </c>
      <c r="E6" s="26">
        <v>0.2</v>
      </c>
      <c r="F6" s="26">
        <v>0.3</v>
      </c>
      <c r="G6" s="26">
        <v>0.4</v>
      </c>
      <c r="H6" s="26">
        <v>0.5</v>
      </c>
    </row>
    <row r="7" spans="1:13" ht="12.95" customHeight="1" x14ac:dyDescent="0.2">
      <c r="A7" s="15" t="str">
        <f>'Budgetierte Kosten'!A7</f>
        <v>Puffer für unerwartetes</v>
      </c>
      <c r="B7" s="26">
        <v>0.08</v>
      </c>
      <c r="C7" s="26">
        <v>0.05</v>
      </c>
      <c r="D7" s="26">
        <v>0.1</v>
      </c>
      <c r="E7" s="26">
        <v>0.2</v>
      </c>
      <c r="F7" s="26">
        <v>0.3</v>
      </c>
      <c r="G7" s="26">
        <v>0.45</v>
      </c>
      <c r="H7" s="26">
        <v>0.55000000000000004</v>
      </c>
    </row>
    <row r="8" spans="1:13" ht="12.95" customHeight="1" x14ac:dyDescent="0.2">
      <c r="A8" t="s">
        <v>14</v>
      </c>
      <c r="B8" s="26">
        <v>0.02</v>
      </c>
      <c r="C8" s="26">
        <v>0.04</v>
      </c>
      <c r="D8" s="26">
        <v>0.06</v>
      </c>
      <c r="E8" s="26">
        <v>0.08</v>
      </c>
      <c r="F8" s="26">
        <v>0.1</v>
      </c>
      <c r="G8" s="26">
        <v>0.12</v>
      </c>
      <c r="H8" s="26">
        <v>0.14000000000000001</v>
      </c>
      <c r="I8" s="2"/>
      <c r="J8" s="2"/>
      <c r="K8" s="2"/>
      <c r="L8" s="2"/>
      <c r="M8" s="2"/>
    </row>
    <row r="9" spans="1:13" ht="12.95" customHeight="1" x14ac:dyDescent="0.2">
      <c r="A9" t="s">
        <v>15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Kennzahlen</vt:lpstr>
      <vt:lpstr>RAG</vt:lpstr>
      <vt:lpstr>Diagramme</vt:lpstr>
      <vt:lpstr>Budgetierte Kosten</vt:lpstr>
      <vt:lpstr>Tatsächliche Kosten</vt:lpstr>
      <vt:lpstr>Fertigstellungsgrad der Akt.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Benesch</cp:lastModifiedBy>
  <dcterms:created xsi:type="dcterms:W3CDTF">2017-03-20T21:53:57Z</dcterms:created>
  <dcterms:modified xsi:type="dcterms:W3CDTF">2017-03-21T12:16:22Z</dcterms:modified>
</cp:coreProperties>
</file>