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Daniel\Documents\Karriere\TU\2017SS\SwPBC\swpbc\Lab1\"/>
    </mc:Choice>
  </mc:AlternateContent>
  <bookViews>
    <workbookView xWindow="0" yWindow="0" windowWidth="23445" windowHeight="10950" tabRatio="587"/>
  </bookViews>
  <sheets>
    <sheet name="Kennzahlen" sheetId="4" r:id="rId1"/>
    <sheet name="RAG" sheetId="6" r:id="rId2"/>
    <sheet name="Diagramme" sheetId="5" r:id="rId3"/>
    <sheet name="Budgetierte Kosten" sheetId="1" r:id="rId4"/>
    <sheet name="Tatsächliche Kosten" sheetId="2" r:id="rId5"/>
    <sheet name="Fertigstellungsgrad der Akt." sheetId="3" r:id="rId6"/>
  </sheets>
  <calcPr calcId="171027"/>
</workbook>
</file>

<file path=xl/calcChain.xml><?xml version="1.0" encoding="utf-8"?>
<calcChain xmlns="http://schemas.openxmlformats.org/spreadsheetml/2006/main">
  <c r="E92" i="4" l="1"/>
  <c r="B110" i="4" l="1"/>
  <c r="B111" i="4"/>
  <c r="B112" i="4"/>
  <c r="B113" i="4"/>
  <c r="B114" i="4"/>
  <c r="B115" i="4"/>
  <c r="B116" i="4"/>
  <c r="B97" i="4"/>
  <c r="B98" i="4"/>
  <c r="B99" i="4"/>
  <c r="B100" i="4"/>
  <c r="B101" i="4"/>
  <c r="B102" i="4"/>
  <c r="B103" i="4"/>
  <c r="B30" i="4"/>
  <c r="B31" i="4"/>
  <c r="B32" i="4"/>
  <c r="B33" i="4"/>
  <c r="B34" i="4"/>
  <c r="B35" i="4"/>
  <c r="B36" i="4"/>
  <c r="B17" i="4"/>
  <c r="B18" i="4"/>
  <c r="B19" i="4"/>
  <c r="B20" i="4"/>
  <c r="B21" i="4"/>
  <c r="B22" i="4"/>
  <c r="B23" i="4"/>
  <c r="E18" i="6" l="1"/>
  <c r="E19" i="6"/>
  <c r="E20" i="6"/>
  <c r="E21" i="6"/>
  <c r="E22" i="6"/>
  <c r="E23" i="6"/>
  <c r="E24" i="6"/>
  <c r="F11" i="6"/>
  <c r="F6" i="6"/>
  <c r="F7" i="6"/>
  <c r="F8" i="6"/>
  <c r="F9" i="6"/>
  <c r="F10" i="6"/>
  <c r="F5" i="6"/>
  <c r="E6" i="6"/>
  <c r="E7" i="6"/>
  <c r="E8" i="6"/>
  <c r="E9" i="6"/>
  <c r="E10" i="6"/>
  <c r="E11" i="6"/>
  <c r="E5" i="6"/>
  <c r="D23" i="4" l="1"/>
  <c r="E23" i="4"/>
  <c r="F23" i="4"/>
  <c r="G23" i="4"/>
  <c r="H23" i="4"/>
  <c r="I23" i="4"/>
  <c r="C23" i="4"/>
  <c r="C18" i="4"/>
  <c r="C70" i="4" s="1"/>
  <c r="D18" i="4"/>
  <c r="D70" i="4" s="1"/>
  <c r="E18" i="4"/>
  <c r="E70" i="4" s="1"/>
  <c r="F18" i="4"/>
  <c r="G18" i="4"/>
  <c r="H18" i="4"/>
  <c r="I18" i="4"/>
  <c r="C19" i="4"/>
  <c r="C71" i="4" s="1"/>
  <c r="D19" i="4"/>
  <c r="D71" i="4" s="1"/>
  <c r="E19" i="4"/>
  <c r="E71" i="4" s="1"/>
  <c r="F19" i="4"/>
  <c r="F71" i="4" s="1"/>
  <c r="G19" i="4"/>
  <c r="G71" i="4" s="1"/>
  <c r="H19" i="4"/>
  <c r="I19" i="4"/>
  <c r="C20" i="4"/>
  <c r="C72" i="4" s="1"/>
  <c r="D20" i="4"/>
  <c r="D72" i="4" s="1"/>
  <c r="E20" i="4"/>
  <c r="E72" i="4" s="1"/>
  <c r="F20" i="4"/>
  <c r="F72" i="4" s="1"/>
  <c r="G20" i="4"/>
  <c r="G72" i="4" s="1"/>
  <c r="H20" i="4"/>
  <c r="H72" i="4" s="1"/>
  <c r="I20" i="4"/>
  <c r="C21" i="4"/>
  <c r="D21" i="4"/>
  <c r="E21" i="4"/>
  <c r="F21" i="4"/>
  <c r="G21" i="4"/>
  <c r="H21" i="4"/>
  <c r="I21" i="4"/>
  <c r="C22" i="4"/>
  <c r="D22" i="4"/>
  <c r="E22" i="4"/>
  <c r="F22" i="4"/>
  <c r="G22" i="4"/>
  <c r="H22" i="4"/>
  <c r="I22" i="4"/>
  <c r="D17" i="4"/>
  <c r="E17" i="4"/>
  <c r="F17" i="4"/>
  <c r="G17" i="4"/>
  <c r="H17" i="4"/>
  <c r="I17" i="4"/>
  <c r="C17" i="4"/>
  <c r="B49" i="4"/>
  <c r="B62" i="4" s="1"/>
  <c r="D10" i="4"/>
  <c r="E10" i="4"/>
  <c r="F10" i="4"/>
  <c r="G10" i="4"/>
  <c r="H10" i="4"/>
  <c r="I10" i="4"/>
  <c r="I36" i="4" s="1"/>
  <c r="C10" i="4"/>
  <c r="D4" i="4"/>
  <c r="E4" i="4"/>
  <c r="F4" i="4"/>
  <c r="G4" i="4"/>
  <c r="H4" i="4"/>
  <c r="I4" i="4"/>
  <c r="I30" i="4" s="1"/>
  <c r="D5" i="4"/>
  <c r="E5" i="4"/>
  <c r="F5" i="4"/>
  <c r="G5" i="4"/>
  <c r="H5" i="4"/>
  <c r="I5" i="4"/>
  <c r="I31" i="4" s="1"/>
  <c r="I57" i="4" s="1"/>
  <c r="D6" i="4"/>
  <c r="E6" i="4"/>
  <c r="F6" i="4"/>
  <c r="G6" i="4"/>
  <c r="H6" i="4"/>
  <c r="I6" i="4"/>
  <c r="I32" i="4" s="1"/>
  <c r="I58" i="4" s="1"/>
  <c r="D7" i="4"/>
  <c r="E7" i="4"/>
  <c r="F7" i="4"/>
  <c r="G7" i="4"/>
  <c r="H7" i="4"/>
  <c r="I7" i="4"/>
  <c r="I33" i="4" s="1"/>
  <c r="D8" i="4"/>
  <c r="E8" i="4"/>
  <c r="F8" i="4"/>
  <c r="G8" i="4"/>
  <c r="H8" i="4"/>
  <c r="I8" i="4"/>
  <c r="I34" i="4" s="1"/>
  <c r="D9" i="4"/>
  <c r="E9" i="4"/>
  <c r="F9" i="4"/>
  <c r="G9" i="4"/>
  <c r="H9" i="4"/>
  <c r="I9" i="4"/>
  <c r="I35" i="4" s="1"/>
  <c r="I61" i="4" s="1"/>
  <c r="C5" i="4"/>
  <c r="C6" i="4"/>
  <c r="C7" i="4"/>
  <c r="C8" i="4"/>
  <c r="C9" i="4"/>
  <c r="C4" i="4"/>
  <c r="B5" i="4"/>
  <c r="B6" i="4"/>
  <c r="B7" i="4"/>
  <c r="B8" i="4"/>
  <c r="B9" i="4"/>
  <c r="B4" i="4"/>
  <c r="B43" i="4" s="1"/>
  <c r="B56" i="4" s="1"/>
  <c r="O2" i="1"/>
  <c r="P2" i="1"/>
  <c r="O3" i="1"/>
  <c r="P3" i="1"/>
  <c r="O4" i="1"/>
  <c r="P4" i="1"/>
  <c r="O5" i="1"/>
  <c r="P5" i="1"/>
  <c r="O6" i="1"/>
  <c r="P6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 s="1"/>
  <c r="P11" i="1" s="1"/>
  <c r="B10" i="1"/>
  <c r="C10" i="1"/>
  <c r="D10" i="1"/>
  <c r="D12" i="1" s="1"/>
  <c r="E10" i="1"/>
  <c r="F10" i="1"/>
  <c r="G10" i="1"/>
  <c r="H10" i="1"/>
  <c r="H12" i="1" s="1"/>
  <c r="I10" i="1"/>
  <c r="J10" i="1"/>
  <c r="K10" i="1"/>
  <c r="L10" i="1"/>
  <c r="L12" i="1" s="1"/>
  <c r="M10" i="1"/>
  <c r="N10" i="1"/>
  <c r="O11" i="1"/>
  <c r="B12" i="1"/>
  <c r="C12" i="1"/>
  <c r="E12" i="1"/>
  <c r="F12" i="1"/>
  <c r="G12" i="1"/>
  <c r="I12" i="1"/>
  <c r="J12" i="1"/>
  <c r="K12" i="1"/>
  <c r="M12" i="1"/>
  <c r="N12" i="1"/>
  <c r="A2" i="3"/>
  <c r="A3" i="3"/>
  <c r="A4" i="3"/>
  <c r="A5" i="3"/>
  <c r="A6" i="3"/>
  <c r="A7" i="3"/>
  <c r="A8" i="2"/>
  <c r="B8" i="2"/>
  <c r="C8" i="2"/>
  <c r="D8" i="2"/>
  <c r="E8" i="2"/>
  <c r="F8" i="2"/>
  <c r="G8" i="2"/>
  <c r="H8" i="2"/>
  <c r="B10" i="2"/>
  <c r="C10" i="2"/>
  <c r="D10" i="2"/>
  <c r="E10" i="2"/>
  <c r="F10" i="2"/>
  <c r="G10" i="2"/>
  <c r="H10" i="2"/>
  <c r="B12" i="2"/>
  <c r="C12" i="2"/>
  <c r="D12" i="2"/>
  <c r="E12" i="2"/>
  <c r="F12" i="2"/>
  <c r="G12" i="2"/>
  <c r="H12" i="2"/>
  <c r="E100" i="4" l="1"/>
  <c r="E113" i="4"/>
  <c r="D99" i="4"/>
  <c r="D112" i="4"/>
  <c r="C98" i="4"/>
  <c r="C111" i="4"/>
  <c r="C21" i="6"/>
  <c r="H8" i="6" s="1"/>
  <c r="H113" i="4"/>
  <c r="H100" i="4"/>
  <c r="D113" i="4"/>
  <c r="D100" i="4"/>
  <c r="G112" i="4"/>
  <c r="G99" i="4"/>
  <c r="C112" i="4"/>
  <c r="C99" i="4"/>
  <c r="G113" i="4"/>
  <c r="G100" i="4"/>
  <c r="C113" i="4"/>
  <c r="C100" i="4"/>
  <c r="F112" i="4"/>
  <c r="F99" i="4"/>
  <c r="E111" i="4"/>
  <c r="E98" i="4"/>
  <c r="F100" i="4"/>
  <c r="F113" i="4"/>
  <c r="E99" i="4"/>
  <c r="E112" i="4"/>
  <c r="D98" i="4"/>
  <c r="D111" i="4"/>
  <c r="B75" i="4"/>
  <c r="B11" i="6"/>
  <c r="B69" i="4"/>
  <c r="B5" i="6"/>
  <c r="G36" i="4"/>
  <c r="G62" i="4" s="1"/>
  <c r="G88" i="4"/>
  <c r="C33" i="4"/>
  <c r="C59" i="4" s="1"/>
  <c r="C85" i="4"/>
  <c r="H35" i="4"/>
  <c r="H74" i="4" s="1"/>
  <c r="F23" i="6"/>
  <c r="D35" i="4"/>
  <c r="D48" i="4" s="1"/>
  <c r="F34" i="4"/>
  <c r="F60" i="4" s="1"/>
  <c r="H33" i="4"/>
  <c r="H59" i="4" s="1"/>
  <c r="F21" i="6"/>
  <c r="H85" i="4"/>
  <c r="D21" i="6" s="1"/>
  <c r="D33" i="4"/>
  <c r="D59" i="4" s="1"/>
  <c r="D85" i="4"/>
  <c r="F32" i="4"/>
  <c r="F58" i="4" s="1"/>
  <c r="H31" i="4"/>
  <c r="H57" i="4" s="1"/>
  <c r="F19" i="6"/>
  <c r="D31" i="4"/>
  <c r="D44" i="4" s="1"/>
  <c r="D83" i="4"/>
  <c r="F30" i="4"/>
  <c r="F69" i="4" s="1"/>
  <c r="E36" i="4"/>
  <c r="E75" i="4" s="1"/>
  <c r="C30" i="4"/>
  <c r="C82" i="4" s="1"/>
  <c r="C32" i="4"/>
  <c r="C58" i="4" s="1"/>
  <c r="C84" i="4"/>
  <c r="G35" i="4"/>
  <c r="G87" i="4" s="1"/>
  <c r="E34" i="4"/>
  <c r="E73" i="4" s="1"/>
  <c r="G33" i="4"/>
  <c r="G59" i="4" s="1"/>
  <c r="G85" i="4"/>
  <c r="E32" i="4"/>
  <c r="E45" i="4" s="1"/>
  <c r="E84" i="4"/>
  <c r="G31" i="4"/>
  <c r="G83" i="4" s="1"/>
  <c r="E30" i="4"/>
  <c r="E69" i="4" s="1"/>
  <c r="E82" i="4"/>
  <c r="H36" i="4"/>
  <c r="H49" i="4" s="1"/>
  <c r="F24" i="6"/>
  <c r="D36" i="4"/>
  <c r="D49" i="4" s="1"/>
  <c r="D88" i="4"/>
  <c r="C35" i="4"/>
  <c r="C48" i="4" s="1"/>
  <c r="C87" i="4"/>
  <c r="C31" i="4"/>
  <c r="C57" i="4" s="1"/>
  <c r="C83" i="4"/>
  <c r="F35" i="4"/>
  <c r="F61" i="4" s="1"/>
  <c r="H34" i="4"/>
  <c r="H60" i="4" s="1"/>
  <c r="F22" i="6"/>
  <c r="D34" i="4"/>
  <c r="D60" i="4" s="1"/>
  <c r="F33" i="4"/>
  <c r="F46" i="4" s="1"/>
  <c r="F85" i="4"/>
  <c r="H32" i="4"/>
  <c r="H84" i="4" s="1"/>
  <c r="D20" i="6" s="1"/>
  <c r="F20" i="6"/>
  <c r="D32" i="4"/>
  <c r="D45" i="4" s="1"/>
  <c r="D84" i="4"/>
  <c r="F31" i="4"/>
  <c r="F57" i="4" s="1"/>
  <c r="H30" i="4"/>
  <c r="H56" i="4" s="1"/>
  <c r="H82" i="4"/>
  <c r="D18" i="6" s="1"/>
  <c r="F18" i="6"/>
  <c r="D30" i="4"/>
  <c r="D56" i="4" s="1"/>
  <c r="C34" i="4"/>
  <c r="C60" i="4" s="1"/>
  <c r="E35" i="4"/>
  <c r="E61" i="4" s="1"/>
  <c r="G34" i="4"/>
  <c r="G60" i="4" s="1"/>
  <c r="E33" i="4"/>
  <c r="E46" i="4" s="1"/>
  <c r="E85" i="4"/>
  <c r="G32" i="4"/>
  <c r="G58" i="4" s="1"/>
  <c r="E31" i="4"/>
  <c r="E57" i="4" s="1"/>
  <c r="G30" i="4"/>
  <c r="G56" i="4" s="1"/>
  <c r="C36" i="4"/>
  <c r="C62" i="4" s="1"/>
  <c r="F36" i="4"/>
  <c r="F62" i="4" s="1"/>
  <c r="C74" i="4"/>
  <c r="I72" i="4"/>
  <c r="G75" i="4"/>
  <c r="I47" i="4"/>
  <c r="I43" i="4"/>
  <c r="I85" i="4"/>
  <c r="D8" i="6" s="1"/>
  <c r="F48" i="4"/>
  <c r="I73" i="4"/>
  <c r="I74" i="4"/>
  <c r="I70" i="4"/>
  <c r="I75" i="4"/>
  <c r="I69" i="4"/>
  <c r="I82" i="4"/>
  <c r="D5" i="6" s="1"/>
  <c r="I71" i="4"/>
  <c r="I62" i="4"/>
  <c r="H43" i="4"/>
  <c r="G48" i="4"/>
  <c r="I46" i="4"/>
  <c r="I45" i="4"/>
  <c r="H44" i="4"/>
  <c r="F56" i="4"/>
  <c r="I59" i="4"/>
  <c r="H58" i="4"/>
  <c r="I86" i="4"/>
  <c r="D9" i="6" s="1"/>
  <c r="I48" i="4"/>
  <c r="I44" i="4"/>
  <c r="E44" i="4"/>
  <c r="I49" i="4"/>
  <c r="F43" i="4"/>
  <c r="F47" i="4"/>
  <c r="I56" i="4"/>
  <c r="I60" i="4"/>
  <c r="E60" i="4"/>
  <c r="I87" i="4"/>
  <c r="D10" i="6" s="1"/>
  <c r="I83" i="4"/>
  <c r="D6" i="6" s="1"/>
  <c r="E43" i="4"/>
  <c r="I88" i="4"/>
  <c r="D11" i="6" s="1"/>
  <c r="I84" i="4"/>
  <c r="D7" i="6" s="1"/>
  <c r="B48" i="4"/>
  <c r="B61" i="4" s="1"/>
  <c r="B44" i="4"/>
  <c r="B57" i="4" s="1"/>
  <c r="B45" i="4"/>
  <c r="B58" i="4" s="1"/>
  <c r="B47" i="4"/>
  <c r="B60" i="4" s="1"/>
  <c r="B46" i="4"/>
  <c r="B59" i="4" s="1"/>
  <c r="C7" i="6" l="1"/>
  <c r="I99" i="4"/>
  <c r="I112" i="4"/>
  <c r="C6" i="6"/>
  <c r="I111" i="4"/>
  <c r="I98" i="4"/>
  <c r="C9" i="6"/>
  <c r="I114" i="4"/>
  <c r="I101" i="4"/>
  <c r="C102" i="4"/>
  <c r="C115" i="4"/>
  <c r="C10" i="6"/>
  <c r="G10" i="6" s="1"/>
  <c r="I115" i="4"/>
  <c r="I102" i="4"/>
  <c r="G116" i="4"/>
  <c r="G103" i="4"/>
  <c r="E114" i="4"/>
  <c r="E101" i="4"/>
  <c r="D57" i="4"/>
  <c r="E48" i="4"/>
  <c r="D61" i="4"/>
  <c r="C5" i="6"/>
  <c r="I110" i="4"/>
  <c r="I97" i="4"/>
  <c r="F49" i="4"/>
  <c r="C8" i="6"/>
  <c r="I100" i="4"/>
  <c r="I113" i="4"/>
  <c r="E103" i="4"/>
  <c r="E116" i="4"/>
  <c r="C23" i="6"/>
  <c r="H102" i="4"/>
  <c r="H115" i="4"/>
  <c r="G49" i="4"/>
  <c r="C61" i="4"/>
  <c r="C11" i="6"/>
  <c r="I103" i="4"/>
  <c r="I116" i="4"/>
  <c r="C49" i="4"/>
  <c r="F73" i="4"/>
  <c r="E110" i="4"/>
  <c r="E97" i="4"/>
  <c r="F97" i="4"/>
  <c r="F110" i="4"/>
  <c r="G21" i="6"/>
  <c r="D87" i="4"/>
  <c r="B88" i="4"/>
  <c r="B24" i="6"/>
  <c r="D69" i="4"/>
  <c r="G46" i="4"/>
  <c r="E59" i="4"/>
  <c r="G7" i="6"/>
  <c r="E58" i="4"/>
  <c r="E74" i="4"/>
  <c r="E86" i="4"/>
  <c r="D73" i="4"/>
  <c r="D43" i="4"/>
  <c r="H46" i="4"/>
  <c r="G9" i="6"/>
  <c r="D47" i="4"/>
  <c r="E47" i="4"/>
  <c r="D86" i="4"/>
  <c r="F74" i="4"/>
  <c r="B72" i="4"/>
  <c r="B8" i="6"/>
  <c r="B73" i="4"/>
  <c r="B9" i="6"/>
  <c r="B74" i="4"/>
  <c r="B10" i="6"/>
  <c r="C44" i="4"/>
  <c r="F59" i="4"/>
  <c r="G6" i="6"/>
  <c r="C88" i="4"/>
  <c r="E83" i="4"/>
  <c r="E87" i="4"/>
  <c r="D82" i="4"/>
  <c r="F87" i="4"/>
  <c r="B70" i="4"/>
  <c r="B6" i="6"/>
  <c r="G11" i="6"/>
  <c r="F82" i="4"/>
  <c r="F86" i="4"/>
  <c r="D74" i="4"/>
  <c r="B71" i="4"/>
  <c r="B7" i="6"/>
  <c r="F88" i="4"/>
  <c r="G82" i="4"/>
  <c r="G84" i="4"/>
  <c r="G86" i="4"/>
  <c r="C86" i="4"/>
  <c r="B82" i="4"/>
  <c r="B18" i="6"/>
  <c r="F45" i="4"/>
  <c r="H61" i="4"/>
  <c r="G45" i="4"/>
  <c r="H87" i="4"/>
  <c r="D23" i="6" s="1"/>
  <c r="G23" i="6" s="1"/>
  <c r="E62" i="4"/>
  <c r="C45" i="4"/>
  <c r="G5" i="6"/>
  <c r="C75" i="4"/>
  <c r="E88" i="4"/>
  <c r="F84" i="4"/>
  <c r="C73" i="4"/>
  <c r="H10" i="6"/>
  <c r="G61" i="4"/>
  <c r="C56" i="4"/>
  <c r="G70" i="4"/>
  <c r="H73" i="4"/>
  <c r="F75" i="4"/>
  <c r="D75" i="4"/>
  <c r="G73" i="4"/>
  <c r="C69" i="4"/>
  <c r="C43" i="4"/>
  <c r="G44" i="4"/>
  <c r="E49" i="4"/>
  <c r="G43" i="4"/>
  <c r="G57" i="4"/>
  <c r="D62" i="4"/>
  <c r="D46" i="4"/>
  <c r="H47" i="4"/>
  <c r="H71" i="4"/>
  <c r="G74" i="4"/>
  <c r="H88" i="4"/>
  <c r="D24" i="6" s="1"/>
  <c r="H83" i="4"/>
  <c r="D19" i="6" s="1"/>
  <c r="H75" i="4"/>
  <c r="E56" i="4"/>
  <c r="H45" i="4"/>
  <c r="C46" i="4"/>
  <c r="D58" i="4"/>
  <c r="H62" i="4"/>
  <c r="C47" i="4"/>
  <c r="G47" i="4"/>
  <c r="H48" i="4"/>
  <c r="F44" i="4"/>
  <c r="G8" i="6"/>
  <c r="F83" i="4"/>
  <c r="H86" i="4"/>
  <c r="D22" i="6" s="1"/>
  <c r="G69" i="4"/>
  <c r="F70" i="4"/>
  <c r="H69" i="4"/>
  <c r="H70" i="4"/>
  <c r="F111" i="4" l="1"/>
  <c r="F98" i="4"/>
  <c r="C110" i="4"/>
  <c r="C97" i="4"/>
  <c r="C22" i="6"/>
  <c r="H114" i="4"/>
  <c r="H101" i="4"/>
  <c r="C116" i="4"/>
  <c r="C103" i="4"/>
  <c r="D114" i="4"/>
  <c r="D101" i="4"/>
  <c r="F101" i="4"/>
  <c r="F114" i="4"/>
  <c r="G97" i="4"/>
  <c r="G110" i="4"/>
  <c r="G101" i="4"/>
  <c r="G114" i="4"/>
  <c r="G98" i="4"/>
  <c r="G111" i="4"/>
  <c r="C101" i="4"/>
  <c r="C114" i="4"/>
  <c r="D102" i="4"/>
  <c r="D115" i="4"/>
  <c r="F115" i="4"/>
  <c r="F102" i="4"/>
  <c r="C19" i="6"/>
  <c r="H98" i="4"/>
  <c r="H111" i="4"/>
  <c r="G102" i="4"/>
  <c r="G115" i="4"/>
  <c r="D103" i="4"/>
  <c r="D116" i="4"/>
  <c r="E115" i="4"/>
  <c r="E102" i="4"/>
  <c r="C18" i="6"/>
  <c r="G18" i="6" s="1"/>
  <c r="H110" i="4"/>
  <c r="H97" i="4"/>
  <c r="C24" i="6"/>
  <c r="H103" i="4"/>
  <c r="H116" i="4"/>
  <c r="C20" i="6"/>
  <c r="H99" i="4"/>
  <c r="H112" i="4"/>
  <c r="F116" i="4"/>
  <c r="F103" i="4"/>
  <c r="D110" i="4"/>
  <c r="D97" i="4"/>
  <c r="B83" i="4"/>
  <c r="B19" i="6"/>
  <c r="B86" i="4"/>
  <c r="B22" i="6"/>
  <c r="B84" i="4"/>
  <c r="B20" i="6"/>
  <c r="B87" i="4"/>
  <c r="B23" i="6"/>
  <c r="B85" i="4"/>
  <c r="B21" i="6"/>
  <c r="H6" i="6"/>
  <c r="G19" i="6"/>
  <c r="H5" i="6"/>
  <c r="H11" i="6"/>
  <c r="G24" i="6"/>
  <c r="H7" i="6"/>
  <c r="G20" i="6"/>
  <c r="H9" i="6"/>
  <c r="G22" i="6"/>
</calcChain>
</file>

<file path=xl/sharedStrings.xml><?xml version="1.0" encoding="utf-8"?>
<sst xmlns="http://schemas.openxmlformats.org/spreadsheetml/2006/main" count="175" uniqueCount="75">
  <si>
    <t>Aktivität / Monat</t>
  </si>
  <si>
    <t>Anforderungsanalyse</t>
  </si>
  <si>
    <t>Design und Architektur</t>
  </si>
  <si>
    <t>Implementierung</t>
  </si>
  <si>
    <t>Integration und Test</t>
  </si>
  <si>
    <t>Projektmanagement</t>
  </si>
  <si>
    <t>Puffer für unerwartetes</t>
  </si>
  <si>
    <t>Summe Personenstunden pro Monat</t>
  </si>
  <si>
    <t>Personalkosten in Euro pro Monat</t>
  </si>
  <si>
    <t>Summe Material</t>
  </si>
  <si>
    <t>Materialkosten in Euro pro Monat</t>
  </si>
  <si>
    <t>Summe Kosten pro Monat</t>
  </si>
  <si>
    <t>Durchschnittliche Stundenkosten:</t>
  </si>
  <si>
    <t>pro Stunde</t>
  </si>
  <si>
    <t>Material</t>
  </si>
  <si>
    <t>Fertigstellungsgrad am Monatsende in %</t>
  </si>
  <si>
    <t>Posten</t>
  </si>
  <si>
    <t>EV (Earned Value)</t>
  </si>
  <si>
    <t>Formel:</t>
  </si>
  <si>
    <t>1</t>
  </si>
  <si>
    <t>2</t>
  </si>
  <si>
    <t>3</t>
  </si>
  <si>
    <t>4</t>
  </si>
  <si>
    <t>5</t>
  </si>
  <si>
    <t>6</t>
  </si>
  <si>
    <t>7</t>
  </si>
  <si>
    <t>Materialkosten</t>
  </si>
  <si>
    <t>PV (Planed Value)</t>
  </si>
  <si>
    <t>Tatsächlicher Stundensatz</t>
  </si>
  <si>
    <t>Summe(Kosten bis IST-Zustand)</t>
  </si>
  <si>
    <t>Summe(Stunden bis IST-Zustand) * Stundensatz (80 €)</t>
  </si>
  <si>
    <t>Summe(Stunden bis IST-Zustand) * Stundensatz (85 €)</t>
  </si>
  <si>
    <t>PlannedValue * Fertigstellungsgrad</t>
  </si>
  <si>
    <t>CV (Cost Variance)</t>
  </si>
  <si>
    <t>SV (Schedule Variance)</t>
  </si>
  <si>
    <t>CPI (Cost Performance Index)</t>
  </si>
  <si>
    <t>SPI (Schedule Performance Index)</t>
  </si>
  <si>
    <t>€ / € =&gt; %</t>
  </si>
  <si>
    <t>EV - AC</t>
  </si>
  <si>
    <t>EV - PV</t>
  </si>
  <si>
    <t>EV / PV</t>
  </si>
  <si>
    <t>AC (Actual Cost)</t>
  </si>
  <si>
    <t>Baseline</t>
  </si>
  <si>
    <t>CPI</t>
  </si>
  <si>
    <t>SPI</t>
  </si>
  <si>
    <t>Abgeschlossen</t>
  </si>
  <si>
    <t>Status</t>
  </si>
  <si>
    <t>Trend</t>
  </si>
  <si>
    <t>Budget [k €]</t>
  </si>
  <si>
    <t>Rot Grenze</t>
  </si>
  <si>
    <t>Grün Grenze</t>
  </si>
  <si>
    <t>Rot Text</t>
  </si>
  <si>
    <t>Rot</t>
  </si>
  <si>
    <t>Gelb Text</t>
  </si>
  <si>
    <t>Gelb</t>
  </si>
  <si>
    <t>Grün Text</t>
  </si>
  <si>
    <t>Grün</t>
  </si>
  <si>
    <t>Stand Monat 7</t>
  </si>
  <si>
    <t>Stand Monat 6</t>
  </si>
  <si>
    <t>Aufsteigender Trend</t>
  </si>
  <si>
    <t>Abfallender Trend</t>
  </si>
  <si>
    <t>POS</t>
  </si>
  <si>
    <t>NEG</t>
  </si>
  <si>
    <t>EQ</t>
  </si>
  <si>
    <t>Gleichbleibend</t>
  </si>
  <si>
    <t>DIV#0</t>
  </si>
  <si>
    <t>-</t>
  </si>
  <si>
    <t>Gleichbleibend Epsilon</t>
  </si>
  <si>
    <t>ETC (Estimate to complete)</t>
  </si>
  <si>
    <t>(BAC - EV) / CPI</t>
  </si>
  <si>
    <t>€</t>
  </si>
  <si>
    <t>BAC (Budget at Completion)</t>
  </si>
  <si>
    <t>EAC (Estimate at Completion)</t>
  </si>
  <si>
    <t>BAC / CPI</t>
  </si>
  <si>
    <t>EV / 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</si>
</sst>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&quot;€ &quot;#,##0"/>
    <numFmt numFmtId="165" formatCode="&quot;€ &quot;#,##0.00"/>
    <numFmt numFmtId="166" formatCode="#,##0_ ;[Red]\-#,##0\ "/>
    <numFmt numFmtId="167" formatCode="#,##0.00_ ;[Red]\-#,##0.00\ "/>
    <numFmt numFmtId="168" formatCode="#,##0\ &quot;€&quot;"/>
  </numFmts>
  <fonts count="19" x14ac:knownFonts="1">
    <font>
      <sz val="10"/>
      <name val="Arial"/>
      <family val="2"/>
    </font>
    <font>
      <sz val="10"/>
      <name val="Arial"/>
    </font>
    <font>
      <b/>
      <sz val="24"/>
      <color indexed="8"/>
      <name val="Arial"/>
      <family val="2"/>
    </font>
    <font>
      <sz val="18"/>
      <color indexed="8"/>
      <name val="Arial"/>
      <family val="2"/>
    </font>
    <font>
      <sz val="12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10"/>
      <color indexed="6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</font>
    <font>
      <sz val="10"/>
      <color indexed="19"/>
      <name val="Arial"/>
      <family val="2"/>
    </font>
    <font>
      <sz val="10"/>
      <name val="Arial"/>
      <family val="2"/>
    </font>
    <font>
      <sz val="1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9"/>
      </left>
      <right/>
      <top/>
      <bottom/>
      <diagonal/>
    </border>
    <border>
      <left/>
      <right style="thin">
        <color indexed="59"/>
      </right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" fillId="2" borderId="1" applyNumberFormat="0" applyAlignment="0" applyProtection="0"/>
    <xf numFmtId="0" fontId="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1" fillId="8" borderId="0" applyNumberFormat="0" applyBorder="0" applyAlignment="0" applyProtection="0"/>
  </cellStyleXfs>
  <cellXfs count="34">
    <xf numFmtId="0" fontId="0" fillId="0" borderId="0" xfId="0"/>
    <xf numFmtId="0" fontId="13" fillId="0" borderId="2" xfId="0" applyFont="1" applyBorder="1"/>
    <xf numFmtId="0" fontId="13" fillId="0" borderId="0" xfId="0" applyFont="1"/>
    <xf numFmtId="0" fontId="13" fillId="0" borderId="3" xfId="0" applyFont="1" applyBorder="1"/>
    <xf numFmtId="0" fontId="0" fillId="0" borderId="0" xfId="0" applyFont="1"/>
    <xf numFmtId="0" fontId="14" fillId="0" borderId="2" xfId="0" applyFont="1" applyBorder="1"/>
    <xf numFmtId="0" fontId="1" fillId="0" borderId="0" xfId="0" applyFont="1"/>
    <xf numFmtId="164" fontId="1" fillId="0" borderId="3" xfId="0" applyNumberFormat="1" applyFont="1" applyBorder="1"/>
    <xf numFmtId="164" fontId="15" fillId="0" borderId="3" xfId="0" applyNumberFormat="1" applyFont="1" applyBorder="1"/>
    <xf numFmtId="0" fontId="0" fillId="0" borderId="2" xfId="0" applyBorder="1"/>
    <xf numFmtId="165" fontId="0" fillId="0" borderId="3" xfId="0" applyNumberFormat="1" applyBorder="1"/>
    <xf numFmtId="0" fontId="1" fillId="0" borderId="2" xfId="0" applyFont="1" applyBorder="1"/>
    <xf numFmtId="164" fontId="0" fillId="0" borderId="0" xfId="0" applyNumberFormat="1"/>
    <xf numFmtId="164" fontId="13" fillId="0" borderId="3" xfId="0" applyNumberFormat="1" applyFont="1" applyBorder="1"/>
    <xf numFmtId="164" fontId="13" fillId="0" borderId="0" xfId="0" applyNumberFormat="1" applyFont="1"/>
    <xf numFmtId="0" fontId="14" fillId="0" borderId="0" xfId="0" applyFont="1"/>
    <xf numFmtId="9" fontId="16" fillId="0" borderId="0" xfId="0" applyNumberFormat="1" applyFont="1"/>
    <xf numFmtId="9" fontId="13" fillId="0" borderId="0" xfId="0" applyNumberFormat="1" applyFont="1"/>
    <xf numFmtId="0" fontId="13" fillId="0" borderId="0" xfId="0" applyNumberFormat="1" applyFont="1"/>
    <xf numFmtId="164" fontId="16" fillId="0" borderId="0" xfId="0" applyNumberFormat="1" applyFont="1"/>
    <xf numFmtId="166" fontId="0" fillId="0" borderId="0" xfId="0" applyNumberFormat="1"/>
    <xf numFmtId="167" fontId="0" fillId="0" borderId="0" xfId="0" applyNumberFormat="1"/>
    <xf numFmtId="166" fontId="0" fillId="0" borderId="0" xfId="0" applyNumberFormat="1" applyFont="1"/>
    <xf numFmtId="167" fontId="0" fillId="0" borderId="0" xfId="0" applyNumberFormat="1" applyFont="1"/>
    <xf numFmtId="166" fontId="13" fillId="0" borderId="0" xfId="0" applyNumberFormat="1" applyFont="1"/>
    <xf numFmtId="167" fontId="13" fillId="0" borderId="0" xfId="0" applyNumberFormat="1" applyFont="1"/>
    <xf numFmtId="9" fontId="0" fillId="0" borderId="0" xfId="0" applyNumberFormat="1" applyBorder="1"/>
    <xf numFmtId="0" fontId="3" fillId="0" borderId="0" xfId="2"/>
    <xf numFmtId="168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/>
  </cellXfs>
  <cellStyles count="17">
    <cellStyle name="Accent" xfId="13"/>
    <cellStyle name="Accent 1" xfId="14"/>
    <cellStyle name="Accent 2" xfId="15"/>
    <cellStyle name="Accent 3" xfId="16"/>
    <cellStyle name="Bad" xfId="10"/>
    <cellStyle name="Error" xfId="12"/>
    <cellStyle name="Footnote" xfId="6"/>
    <cellStyle name="Good" xfId="8"/>
    <cellStyle name="Heading" xfId="1"/>
    <cellStyle name="Heading 1" xfId="2"/>
    <cellStyle name="Heading 2" xfId="3"/>
    <cellStyle name="Neutral" xfId="9" builtinId="28" customBuiltin="1"/>
    <cellStyle name="Note" xfId="5"/>
    <cellStyle name="Standard" xfId="0" builtinId="0"/>
    <cellStyle name="Status" xfId="7"/>
    <cellStyle name="Text" xfId="4"/>
    <cellStyle name="Warning" xfId="11"/>
  </cellStyles>
  <dxfs count="73"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" formatCode="0"/>
    </dxf>
    <dxf>
      <numFmt numFmtId="13" formatCode="0%"/>
    </dxf>
    <dxf>
      <numFmt numFmtId="2" formatCode="0.00"/>
    </dxf>
    <dxf>
      <numFmt numFmtId="2" formatCode="0.00"/>
    </dxf>
    <dxf>
      <fill>
        <patternFill>
          <bgColor rgb="FFFF6969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rgb="FFFF6969"/>
        </patternFill>
      </fill>
    </dxf>
    <dxf>
      <fill>
        <patternFill>
          <bgColor rgb="FF92D05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0" formatCode="General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numFmt numFmtId="168" formatCode="#,##0\ &quot;€&quot;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rgb="FFF6F8FC"/>
          <bgColor rgb="FFF0F3FA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8" tint="-0.24994659260841701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 style="thin">
          <color theme="4" tint="0.39994506668294322"/>
        </vertical>
        <horizontal style="thin">
          <color theme="4" tint="0.39997558519241921"/>
        </horizontal>
      </border>
    </dxf>
  </dxfs>
  <tableStyles count="1" defaultTableStyle="SpBC" defaultPivotStyle="PivotStyleLight16">
    <tableStyle name="SpBC" pivot="0" count="7">
      <tableStyleElement type="wholeTable" dxfId="72"/>
      <tableStyleElement type="headerRow" dxfId="71"/>
      <tableStyleElement type="totalRow" dxfId="70"/>
      <tableStyleElement type="firstColumn" dxfId="69"/>
      <tableStyleElement type="lastColumn" dxfId="68"/>
      <tableStyleElement type="firstRowStripe" dxfId="67"/>
      <tableStyleElement type="firstColumnStripe" dxfId="6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CC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CC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E3436"/>
      <rgbColor rgb="00996600"/>
      <rgbColor rgb="00993366"/>
      <rgbColor rgb="00333399"/>
      <rgbColor rgb="00333333"/>
    </indexedColors>
    <mruColors>
      <color rgb="FFFF6969"/>
      <color rgb="FFFF9797"/>
      <color rgb="FFFF3300"/>
      <color rgb="FFF56859"/>
      <color rgb="FFFFDE75"/>
      <color rgb="FFF49078"/>
      <color rgb="FFED502B"/>
      <color rgb="FFF0F3FA"/>
      <color rgb="FFF6F8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Kennzahlen!$C$4:$I$4</c:f>
              <c:numCache>
                <c:formatCode>#,##0\ "€"</c:formatCode>
                <c:ptCount val="7"/>
                <c:pt idx="0">
                  <c:v>48000</c:v>
                </c:pt>
                <c:pt idx="1">
                  <c:v>96000</c:v>
                </c:pt>
                <c:pt idx="2">
                  <c:v>144000</c:v>
                </c:pt>
                <c:pt idx="3">
                  <c:v>144000</c:v>
                </c:pt>
                <c:pt idx="4">
                  <c:v>144000</c:v>
                </c:pt>
                <c:pt idx="5">
                  <c:v>144000</c:v>
                </c:pt>
                <c:pt idx="6">
                  <c:v>144000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64-4632-AB2D-5EEFF68B5D2E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Kennzahlen!$C$17:$I$17</c:f>
              <c:numCache>
                <c:formatCode>#,##0\ "€"</c:formatCode>
                <c:ptCount val="7"/>
                <c:pt idx="0">
                  <c:v>42500</c:v>
                </c:pt>
                <c:pt idx="1">
                  <c:v>85000</c:v>
                </c:pt>
                <c:pt idx="2">
                  <c:v>130900</c:v>
                </c:pt>
                <c:pt idx="3">
                  <c:v>135150</c:v>
                </c:pt>
                <c:pt idx="4">
                  <c:v>135150</c:v>
                </c:pt>
                <c:pt idx="5">
                  <c:v>135150</c:v>
                </c:pt>
                <c:pt idx="6">
                  <c:v>135150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64-4632-AB2D-5EEFF68B5D2E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Kennzahlen!$C$30:$I$30</c:f>
              <c:numCache>
                <c:formatCode>#,##0\ "€"</c:formatCode>
                <c:ptCount val="7"/>
                <c:pt idx="0">
                  <c:v>16800</c:v>
                </c:pt>
                <c:pt idx="1">
                  <c:v>4800</c:v>
                </c:pt>
                <c:pt idx="2">
                  <c:v>14400</c:v>
                </c:pt>
                <c:pt idx="3">
                  <c:v>43200</c:v>
                </c:pt>
                <c:pt idx="4">
                  <c:v>72000</c:v>
                </c:pt>
                <c:pt idx="5">
                  <c:v>115200</c:v>
                </c:pt>
                <c:pt idx="6">
                  <c:v>129600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64-4632-AB2D-5EEFF68B5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Kennzahlen!$C$71:$I$71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0.5270588235294118</c:v>
                </c:pt>
                <c:pt idx="6">
                  <c:v>0.94117647058823528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8-4561-BFEB-32AD9818C416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Kennzahlen!$C$84:$I$84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A8-4561-BFEB-32AD9818C416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A8-4561-BFEB-32AD9818C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Kennzahlen!$C$72:$I$72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0.13445378151260504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3-43EF-B16D-2463182CCA54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Kennzahlen!$C$85:$I$85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3-43EF-B16D-2463182CCA54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B3-43EF-B16D-2463182CC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Kennzahlen!$C$73:$I$73</c:f>
              <c:numCache>
                <c:formatCode>0.00</c:formatCode>
                <c:ptCount val="7"/>
                <c:pt idx="0">
                  <c:v>6.9019607843137251E-2</c:v>
                </c:pt>
                <c:pt idx="1">
                  <c:v>2.3529411764705882E-2</c:v>
                </c:pt>
                <c:pt idx="2">
                  <c:v>7.7647058823529416E-2</c:v>
                </c:pt>
                <c:pt idx="3">
                  <c:v>0.11503267973856209</c:v>
                </c:pt>
                <c:pt idx="4">
                  <c:v>0.19411764705882353</c:v>
                </c:pt>
                <c:pt idx="5">
                  <c:v>0.28235294117647058</c:v>
                </c:pt>
                <c:pt idx="6">
                  <c:v>0.37745098039215685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66-4064-B00C-96B24F5312D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Kennzahlen!$C$86:$I$86</c:f>
              <c:numCache>
                <c:formatCode>0.00</c:formatCode>
                <c:ptCount val="7"/>
                <c:pt idx="0">
                  <c:v>0.08</c:v>
                </c:pt>
                <c:pt idx="1">
                  <c:v>0.05</c:v>
                </c:pt>
                <c:pt idx="2">
                  <c:v>0.15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66-4064-B00C-96B24F5312D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66-4064-B00C-96B24F53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Kennzahlen!$C$74:$I$74</c:f>
              <c:numCache>
                <c:formatCode>0.00</c:formatCode>
                <c:ptCount val="7"/>
                <c:pt idx="0">
                  <c:v>4.7058823529411764E-2</c:v>
                </c:pt>
                <c:pt idx="1">
                  <c:v>4.8019207683073226E-3</c:v>
                </c:pt>
                <c:pt idx="2">
                  <c:v>7.9312623925974889E-3</c:v>
                </c:pt>
                <c:pt idx="3">
                  <c:v>1.8776587941909929E-2</c:v>
                </c:pt>
                <c:pt idx="4">
                  <c:v>3.4772529701535784E-2</c:v>
                </c:pt>
                <c:pt idx="5">
                  <c:v>6.1829111206526406E-2</c:v>
                </c:pt>
                <c:pt idx="6">
                  <c:v>8.7104072398190055E-2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2-4E4F-AD94-FB1E7366DE05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Kennzahlen!$C$87:$I$87</c:f>
              <c:numCache>
                <c:formatCode>0.00</c:formatCode>
                <c:ptCount val="7"/>
                <c:pt idx="0">
                  <c:v>0.08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0.45</c:v>
                </c:pt>
                <c:pt idx="6">
                  <c:v>0.55000000000000004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2-4E4F-AD94-FB1E7366DE05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52-4E4F-AD94-FB1E7366D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Kennzahlen!$C$75:$I$75</c:f>
              <c:numCache>
                <c:formatCode>0.00</c:formatCode>
                <c:ptCount val="7"/>
                <c:pt idx="0">
                  <c:v>0.02</c:v>
                </c:pt>
                <c:pt idx="1">
                  <c:v>4.5714285714285714E-2</c:v>
                </c:pt>
                <c:pt idx="2">
                  <c:v>8.5714285714285715E-2</c:v>
                </c:pt>
                <c:pt idx="3">
                  <c:v>0.125</c:v>
                </c:pt>
                <c:pt idx="4">
                  <c:v>0.17567567567567569</c:v>
                </c:pt>
                <c:pt idx="5">
                  <c:v>0.128</c:v>
                </c:pt>
                <c:pt idx="6">
                  <c:v>0.18148148148148152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D-4DE9-8EA3-88B6C1FAFAD9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Kennzahlen!$C$88:$I$88</c:f>
              <c:numCache>
                <c:formatCode>0.00</c:formatCode>
                <c:ptCount val="7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D-4DE9-8EA3-88B6C1FAFAD9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D-4DE9-8EA3-88B6C1FA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Anforderungsanalyse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Kennzahlen!$C$97:$I$97</c:f>
              <c:numCache>
                <c:formatCode>0.00</c:formatCode>
                <c:ptCount val="7"/>
                <c:pt idx="0">
                  <c:v>3752142.8571428573</c:v>
                </c:pt>
                <c:pt idx="1">
                  <c:v>26477500</c:v>
                </c:pt>
                <c:pt idx="2">
                  <c:v>13504516.666666666</c:v>
                </c:pt>
                <c:pt idx="3">
                  <c:v>4557558.333333333</c:v>
                </c:pt>
                <c:pt idx="4">
                  <c:v>2680475</c:v>
                </c:pt>
                <c:pt idx="5">
                  <c:v>1624615.625</c:v>
                </c:pt>
                <c:pt idx="6">
                  <c:v>1429086.1111111112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F-47F6-ACF8-67F3B6711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250192"/>
        <c:axId val="388253472"/>
      </c:scatterChart>
      <c:valAx>
        <c:axId val="3882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253472"/>
        <c:crosses val="autoZero"/>
        <c:crossBetween val="midCat"/>
      </c:valAx>
      <c:valAx>
        <c:axId val="38825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25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Kennzahlen!$C$5:$I$5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20000</c:v>
                </c:pt>
                <c:pt idx="3">
                  <c:v>52000</c:v>
                </c:pt>
                <c:pt idx="4">
                  <c:v>96000</c:v>
                </c:pt>
                <c:pt idx="5">
                  <c:v>152000</c:v>
                </c:pt>
                <c:pt idx="6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F6-49E9-857B-A47863D0E35C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Kennzahlen!$C$18:$I$18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42500</c:v>
                </c:pt>
                <c:pt idx="4">
                  <c:v>59500</c:v>
                </c:pt>
                <c:pt idx="5">
                  <c:v>79050</c:v>
                </c:pt>
                <c:pt idx="6">
                  <c:v>87550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F6-49E9-857B-A47863D0E35C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Kennzahlen!$C$31:$I$31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2600</c:v>
                </c:pt>
                <c:pt idx="4">
                  <c:v>4800</c:v>
                </c:pt>
                <c:pt idx="5">
                  <c:v>15200</c:v>
                </c:pt>
                <c:pt idx="6">
                  <c:v>68800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F6-49E9-857B-A47863D0E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Kennzahlen!$B$6</c:f>
          <c:strCache>
            <c:ptCount val="1"/>
            <c:pt idx="0">
              <c:v>Implementierung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Kennzahlen!$C$6:$I$6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24000</c:v>
                </c:pt>
                <c:pt idx="4">
                  <c:v>64000</c:v>
                </c:pt>
                <c:pt idx="5">
                  <c:v>112000</c:v>
                </c:pt>
                <c:pt idx="6">
                  <c:v>160000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A-4A65-9C6D-F6EDD23394B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Kennzahlen!$C$19:$I$19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21250</c:v>
                </c:pt>
                <c:pt idx="6">
                  <c:v>42500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1A-4A65-9C6D-F6EDD23394B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Kennzahlen!$C$32:$I$32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11200</c:v>
                </c:pt>
                <c:pt idx="6">
                  <c:v>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1A-4A65-9C6D-F6EDD233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Kennzahlen!$B$7</c:f>
          <c:strCache>
            <c:ptCount val="1"/>
            <c:pt idx="0">
              <c:v>Integration und Test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Kennzahlen!$C$7:$I$7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3D-44BA-901E-BF215EB510E9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Kennzahlen!$C$20:$I$20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3D-44BA-901E-BF215EB510E9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Kennzahlen!$C$33:$I$33</c:f>
              <c:numCache>
                <c:formatCode>#,##0\ "€"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3D-44BA-901E-BF215EB5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Kennzahlen!$B$8</c:f>
          <c:strCache>
            <c:ptCount val="1"/>
            <c:pt idx="0">
              <c:v>Projektmanagement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Kennzahlen!$C$8:$I$8</c:f>
              <c:numCache>
                <c:formatCode>#,##0\ "€"</c:formatCode>
                <c:ptCount val="7"/>
                <c:pt idx="0">
                  <c:v>22000</c:v>
                </c:pt>
                <c:pt idx="1">
                  <c:v>44000</c:v>
                </c:pt>
                <c:pt idx="2">
                  <c:v>66000</c:v>
                </c:pt>
                <c:pt idx="3">
                  <c:v>88000</c:v>
                </c:pt>
                <c:pt idx="4">
                  <c:v>110000</c:v>
                </c:pt>
                <c:pt idx="5">
                  <c:v>132000</c:v>
                </c:pt>
                <c:pt idx="6">
                  <c:v>154000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B1-4E98-999B-335B95417254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Kennzahlen!$C$21:$I$21</c:f>
              <c:numCache>
                <c:formatCode>#,##0\ "€"</c:formatCode>
                <c:ptCount val="7"/>
                <c:pt idx="0">
                  <c:v>25500</c:v>
                </c:pt>
                <c:pt idx="1">
                  <c:v>93500</c:v>
                </c:pt>
                <c:pt idx="2">
                  <c:v>127500</c:v>
                </c:pt>
                <c:pt idx="3">
                  <c:v>153000</c:v>
                </c:pt>
                <c:pt idx="4">
                  <c:v>170000</c:v>
                </c:pt>
                <c:pt idx="5">
                  <c:v>187000</c:v>
                </c:pt>
                <c:pt idx="6">
                  <c:v>204000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B1-4E98-999B-335B95417254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Kennzahlen!$C$34:$I$34</c:f>
              <c:numCache>
                <c:formatCode>#,##0\ "€"</c:formatCode>
                <c:ptCount val="7"/>
                <c:pt idx="0">
                  <c:v>1760</c:v>
                </c:pt>
                <c:pt idx="1">
                  <c:v>2200</c:v>
                </c:pt>
                <c:pt idx="2">
                  <c:v>9900</c:v>
                </c:pt>
                <c:pt idx="3">
                  <c:v>17600</c:v>
                </c:pt>
                <c:pt idx="4">
                  <c:v>33000</c:v>
                </c:pt>
                <c:pt idx="5">
                  <c:v>52800</c:v>
                </c:pt>
                <c:pt idx="6">
                  <c:v>77000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B1-4E98-999B-335B95417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Kennzahlen!$B$9</c:f>
          <c:strCache>
            <c:ptCount val="1"/>
            <c:pt idx="0">
              <c:v>Puffer für unerwartetes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Kennzahlen!$C$9:$I$9</c:f>
              <c:numCache>
                <c:formatCode>#,##0\ "€"</c:formatCode>
                <c:ptCount val="7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  <c:pt idx="5">
                  <c:v>48000</c:v>
                </c:pt>
                <c:pt idx="6">
                  <c:v>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4-451D-833E-2F3946712DF1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Kennzahlen!$C$22:$I$22</c:f>
              <c:numCache>
                <c:formatCode>#,##0\ "€"</c:formatCode>
                <c:ptCount val="7"/>
                <c:pt idx="0">
                  <c:v>13600</c:v>
                </c:pt>
                <c:pt idx="1">
                  <c:v>166600</c:v>
                </c:pt>
                <c:pt idx="2">
                  <c:v>302600</c:v>
                </c:pt>
                <c:pt idx="3">
                  <c:v>340850</c:v>
                </c:pt>
                <c:pt idx="4">
                  <c:v>345100</c:v>
                </c:pt>
                <c:pt idx="5">
                  <c:v>349350</c:v>
                </c:pt>
                <c:pt idx="6">
                  <c:v>353600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4-451D-833E-2F3946712DF1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Kennzahlen!$C$35:$I$35</c:f>
              <c:numCache>
                <c:formatCode>#,##0\ "€"</c:formatCode>
                <c:ptCount val="7"/>
                <c:pt idx="0">
                  <c:v>640</c:v>
                </c:pt>
                <c:pt idx="1">
                  <c:v>800</c:v>
                </c:pt>
                <c:pt idx="2">
                  <c:v>2400</c:v>
                </c:pt>
                <c:pt idx="3">
                  <c:v>6400</c:v>
                </c:pt>
                <c:pt idx="4">
                  <c:v>12000</c:v>
                </c:pt>
                <c:pt idx="5">
                  <c:v>21600</c:v>
                </c:pt>
                <c:pt idx="6">
                  <c:v>30800.000000000004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4-451D-833E-2F3946712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Kennzahlen!$B$10</c:f>
          <c:strCache>
            <c:ptCount val="1"/>
            <c:pt idx="0">
              <c:v>Materialkosten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Kennzahlen!$A$1</c:f>
              <c:strCache>
                <c:ptCount val="1"/>
                <c:pt idx="0">
                  <c:v>PV (Planed Value)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Kennzahlen!$C$10:$I$10</c:f>
              <c:numCache>
                <c:formatCode>#,##0\ "€"</c:formatCode>
                <c:ptCount val="7"/>
                <c:pt idx="0">
                  <c:v>2000</c:v>
                </c:pt>
                <c:pt idx="1">
                  <c:v>4000</c:v>
                </c:pt>
                <c:pt idx="2">
                  <c:v>7000</c:v>
                </c:pt>
                <c:pt idx="3">
                  <c:v>10000</c:v>
                </c:pt>
                <c:pt idx="4">
                  <c:v>13000</c:v>
                </c:pt>
                <c:pt idx="5">
                  <c:v>16000</c:v>
                </c:pt>
                <c:pt idx="6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8A-4103-B646-D9FC31AB35AD}"/>
            </c:ext>
          </c:extLst>
        </c:ser>
        <c:ser>
          <c:idx val="1"/>
          <c:order val="1"/>
          <c:tx>
            <c:strRef>
              <c:f>Kennzahlen!$A$14</c:f>
              <c:strCache>
                <c:ptCount val="1"/>
                <c:pt idx="0">
                  <c:v>AC (Actual Cost)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Kennzahlen!$C$23:$I$23</c:f>
              <c:numCache>
                <c:formatCode>#,##0\ "€"</c:formatCode>
                <c:ptCount val="7"/>
                <c:pt idx="0">
                  <c:v>2000</c:v>
                </c:pt>
                <c:pt idx="1">
                  <c:v>3500</c:v>
                </c:pt>
                <c:pt idx="2">
                  <c:v>4900</c:v>
                </c:pt>
                <c:pt idx="3">
                  <c:v>6400</c:v>
                </c:pt>
                <c:pt idx="4">
                  <c:v>7400</c:v>
                </c:pt>
                <c:pt idx="5">
                  <c:v>15000</c:v>
                </c:pt>
                <c:pt idx="6">
                  <c:v>16200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8A-4103-B646-D9FC31AB35AD}"/>
            </c:ext>
          </c:extLst>
        </c:ser>
        <c:ser>
          <c:idx val="2"/>
          <c:order val="2"/>
          <c:tx>
            <c:strRef>
              <c:f>Kennzahlen!$A$27</c:f>
              <c:strCache>
                <c:ptCount val="1"/>
                <c:pt idx="0">
                  <c:v>EV (Earned Value)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Kennzahlen!$C$29:$I$29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Kennzahlen!$C$36:$I$36</c:f>
              <c:numCache>
                <c:formatCode>#,##0\ "€"</c:formatCode>
                <c:ptCount val="7"/>
                <c:pt idx="0">
                  <c:v>40</c:v>
                </c:pt>
                <c:pt idx="1">
                  <c:v>160</c:v>
                </c:pt>
                <c:pt idx="2">
                  <c:v>420</c:v>
                </c:pt>
                <c:pt idx="3">
                  <c:v>800</c:v>
                </c:pt>
                <c:pt idx="4">
                  <c:v>1300</c:v>
                </c:pt>
                <c:pt idx="5">
                  <c:v>1920</c:v>
                </c:pt>
                <c:pt idx="6">
                  <c:v>2940.0000000000005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8A-4103-B646-D9FC31AB3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14559638378542"/>
          <c:y val="0.15941065313967398"/>
          <c:w val="0.22107702682997959"/>
          <c:h val="0.22607804650946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Kennzahlen!$B$4</c:f>
          <c:strCache>
            <c:ptCount val="1"/>
            <c:pt idx="0">
              <c:v>Anforderungsanalyse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Kennzahlen!$C$69:$I$69</c:f>
              <c:numCache>
                <c:formatCode>0.00</c:formatCode>
                <c:ptCount val="7"/>
                <c:pt idx="0">
                  <c:v>0.3952941176470588</c:v>
                </c:pt>
                <c:pt idx="1">
                  <c:v>5.647058823529412E-2</c:v>
                </c:pt>
                <c:pt idx="2">
                  <c:v>0.11000763941940413</c:v>
                </c:pt>
                <c:pt idx="3">
                  <c:v>0.31964483906770258</c:v>
                </c:pt>
                <c:pt idx="4">
                  <c:v>0.53274139844617097</c:v>
                </c:pt>
                <c:pt idx="5">
                  <c:v>0.85238623751387343</c:v>
                </c:pt>
                <c:pt idx="6">
                  <c:v>0.95893451720310763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3-4B78-B980-B574DD518EBA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Kennzahlen!$C$82:$I$82</c:f>
              <c:numCache>
                <c:formatCode>0.00</c:formatCode>
                <c:ptCount val="7"/>
                <c:pt idx="0">
                  <c:v>0.35</c:v>
                </c:pt>
                <c:pt idx="1">
                  <c:v>0.05</c:v>
                </c:pt>
                <c:pt idx="2">
                  <c:v>0.1</c:v>
                </c:pt>
                <c:pt idx="3">
                  <c:v>0.3</c:v>
                </c:pt>
                <c:pt idx="4">
                  <c:v>0.5</c:v>
                </c:pt>
                <c:pt idx="5">
                  <c:v>0.8</c:v>
                </c:pt>
                <c:pt idx="6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3-4B78-B980-B574DD518EBA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403-4B78-B980-B574DD51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Kennzahlen!$B$5</c:f>
          <c:strCache>
            <c:ptCount val="1"/>
            <c:pt idx="0">
              <c:v>Design und Architektur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294564221132536E-2"/>
          <c:y val="0.16563310728177633"/>
          <c:w val="0.69513460558686635"/>
          <c:h val="0.636074691954060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Kennzahlen!$A$66</c:f>
              <c:strCache>
                <c:ptCount val="1"/>
                <c:pt idx="0">
                  <c:v>CPI (Cost Performance Index)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strRef>
              <c:f>Kennzahlen!$C$3:$I$3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Kennzahlen!$C$70:$I$70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6.1176470588235297E-2</c:v>
                </c:pt>
                <c:pt idx="4">
                  <c:v>8.067226890756303E-2</c:v>
                </c:pt>
                <c:pt idx="5">
                  <c:v>0.19228336495888679</c:v>
                </c:pt>
                <c:pt idx="6">
                  <c:v>0.78583666476299252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9F-4A71-95F7-7005E3C04E3D}"/>
            </c:ext>
          </c:extLst>
        </c:ser>
        <c:ser>
          <c:idx val="1"/>
          <c:order val="1"/>
          <c:tx>
            <c:strRef>
              <c:f>Kennzahlen!$A$79</c:f>
              <c:strCache>
                <c:ptCount val="1"/>
                <c:pt idx="0">
                  <c:v>SPI (Schedule Performance Index)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Kennzahlen!$C$16:$I$16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Kennzahlen!$C$83:$I$83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9F-4A71-95F7-7005E3C04E3D}"/>
            </c:ext>
          </c:extLst>
        </c:ser>
        <c:ser>
          <c:idx val="2"/>
          <c:order val="2"/>
          <c:tx>
            <c:v>Baseline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Kennzahlen!$N$68:$T$68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xVal>
          <c:yVal>
            <c:numRef>
              <c:f>Kennzahlen!$N$69:$T$69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9F-4A71-95F7-7005E3C0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3336"/>
        <c:axId val="270221696"/>
      </c:scatterChart>
      <c:valAx>
        <c:axId val="27022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Monat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1696"/>
        <c:crosses val="autoZero"/>
        <c:crossBetween val="midCat"/>
      </c:valAx>
      <c:valAx>
        <c:axId val="27022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0223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122258819490042"/>
          <c:y val="0.15941065313967398"/>
          <c:w val="0.19300011049188981"/>
          <c:h val="0.531444917608876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155120</xdr:rowOff>
    </xdr:from>
    <xdr:to>
      <xdr:col>8</xdr:col>
      <xdr:colOff>1</xdr:colOff>
      <xdr:row>19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89BB46-88B2-4BB3-B453-D3E83DB77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8</xdr:col>
      <xdr:colOff>0</xdr:colOff>
      <xdr:row>39</xdr:row>
      <xdr:rowOff>2723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679A914-13A5-4124-9617-4A7D821E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0</xdr:colOff>
      <xdr:row>59</xdr:row>
      <xdr:rowOff>2722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779522B-52EC-407E-9F34-CA583F9577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8</xdr:col>
      <xdr:colOff>0</xdr:colOff>
      <xdr:row>79</xdr:row>
      <xdr:rowOff>2722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F3688F2-6E57-46FD-B0AC-7BF28E1926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0</xdr:colOff>
      <xdr:row>99</xdr:row>
      <xdr:rowOff>2722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359715B-4D46-4D75-BB6B-18F7D8D2A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8</xdr:col>
      <xdr:colOff>0</xdr:colOff>
      <xdr:row>119</xdr:row>
      <xdr:rowOff>2723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8BDD8B1-3C4A-4A86-B388-1A9D909CE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8</xdr:col>
      <xdr:colOff>0</xdr:colOff>
      <xdr:row>139</xdr:row>
      <xdr:rowOff>2723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375F8B2-F6B9-4443-9DED-F30169D9E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0</xdr:row>
      <xdr:rowOff>155120</xdr:rowOff>
    </xdr:from>
    <xdr:to>
      <xdr:col>15</xdr:col>
      <xdr:colOff>772887</xdr:colOff>
      <xdr:row>19</xdr:row>
      <xdr:rowOff>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2CE01661-55C3-4A09-87B6-430655272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15</xdr:col>
      <xdr:colOff>772887</xdr:colOff>
      <xdr:row>39</xdr:row>
      <xdr:rowOff>4963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BC59FB-FC54-44BB-9343-4A0A257D77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41</xdr:row>
      <xdr:rowOff>0</xdr:rowOff>
    </xdr:from>
    <xdr:to>
      <xdr:col>15</xdr:col>
      <xdr:colOff>772887</xdr:colOff>
      <xdr:row>59</xdr:row>
      <xdr:rowOff>4964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6EB7920A-5880-42CC-9FA1-DEC87C3C35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61</xdr:row>
      <xdr:rowOff>0</xdr:rowOff>
    </xdr:from>
    <xdr:to>
      <xdr:col>15</xdr:col>
      <xdr:colOff>772887</xdr:colOff>
      <xdr:row>79</xdr:row>
      <xdr:rowOff>4963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6A1E9B7D-FBD9-48F3-8A8D-04B5437E0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15</xdr:col>
      <xdr:colOff>772887</xdr:colOff>
      <xdr:row>99</xdr:row>
      <xdr:rowOff>4964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AC4E8A42-2F91-4329-A5EB-5FAC36982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101</xdr:row>
      <xdr:rowOff>0</xdr:rowOff>
    </xdr:from>
    <xdr:to>
      <xdr:col>15</xdr:col>
      <xdr:colOff>772887</xdr:colOff>
      <xdr:row>119</xdr:row>
      <xdr:rowOff>4963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B519E7B-D24D-4F81-9183-A4AE4C2CA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121</xdr:row>
      <xdr:rowOff>0</xdr:rowOff>
    </xdr:from>
    <xdr:to>
      <xdr:col>15</xdr:col>
      <xdr:colOff>772887</xdr:colOff>
      <xdr:row>139</xdr:row>
      <xdr:rowOff>4963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066FB1EC-CCBD-42DE-8178-16608FA5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543483</xdr:colOff>
      <xdr:row>1</xdr:row>
      <xdr:rowOff>40341</xdr:rowOff>
    </xdr:from>
    <xdr:to>
      <xdr:col>22</xdr:col>
      <xdr:colOff>543483</xdr:colOff>
      <xdr:row>18</xdr:row>
      <xdr:rowOff>116541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CC8165B6-1761-4DE5-B9E3-9DF725461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EV" displayName="EV" ref="B3:I10" totalsRowShown="0">
  <autoFilter ref="B3:I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/>
    <tableColumn id="2" name="1" dataDxfId="65">
      <calculatedColumnFormula>SUM('Budgetierte Kosten'!$B2:'Budgetierte Kosten'!B2)*'Budgetierte Kosten'!$B$14*'Fertigstellungsgrad der Akt.'!B2</calculatedColumnFormula>
    </tableColumn>
    <tableColumn id="3" name="2" dataDxfId="64">
      <calculatedColumnFormula>SUM('Budgetierte Kosten'!$B2:'Budgetierte Kosten'!C2)*'Budgetierte Kosten'!$B$14*'Fertigstellungsgrad der Akt.'!C2</calculatedColumnFormula>
    </tableColumn>
    <tableColumn id="4" name="3" dataDxfId="63">
      <calculatedColumnFormula>SUM('Budgetierte Kosten'!$B2:'Budgetierte Kosten'!D2)*'Budgetierte Kosten'!$B$14*'Fertigstellungsgrad der Akt.'!D2</calculatedColumnFormula>
    </tableColumn>
    <tableColumn id="5" name="4" dataDxfId="62">
      <calculatedColumnFormula>SUM('Budgetierte Kosten'!$B2:'Budgetierte Kosten'!E2)*'Budgetierte Kosten'!$B$14*'Fertigstellungsgrad der Akt.'!E2</calculatedColumnFormula>
    </tableColumn>
    <tableColumn id="6" name="5" dataDxfId="61">
      <calculatedColumnFormula>SUM('Budgetierte Kosten'!$B2:'Budgetierte Kosten'!F2)*'Budgetierte Kosten'!$B$14*'Fertigstellungsgrad der Akt.'!F2</calculatedColumnFormula>
    </tableColumn>
    <tableColumn id="7" name="6" dataDxfId="60">
      <calculatedColumnFormula>SUM('Budgetierte Kosten'!$B2:'Budgetierte Kosten'!G2)*'Budgetierte Kosten'!$B$14*'Fertigstellungsgrad der Akt.'!G2</calculatedColumnFormula>
    </tableColumn>
    <tableColumn id="8" name="7" dataDxfId="59">
      <calculatedColumnFormula>SUM('Budgetierte Kosten'!$B2:'Budgetierte Kosten'!H2)*'Budgetierte Kosten'!$B$14*'Fertigstellungsgrad der Akt.'!H2</calculatedColumnFormula>
    </tableColumn>
  </tableColumns>
  <tableStyleInfo name="SpBC" showFirstColumn="1" showLastColumn="0" showRowStripes="1" showColumnStripes="0"/>
</table>
</file>

<file path=xl/tables/table10.xml><?xml version="1.0" encoding="utf-8"?>
<table xmlns="http://schemas.openxmlformats.org/spreadsheetml/2006/main" id="12" name="Tabelle46781213" displayName="Tabelle46781213" ref="B109:I116" totalsRowShown="0">
  <autoFilter ref="B109:I116"/>
  <tableColumns count="8">
    <tableColumn id="1" name="Posten" dataDxfId="24">
      <calculatedColumnFormula>B97</calculatedColumnFormula>
    </tableColumn>
    <tableColumn id="2" name="1" dataDxfId="23">
      <calculatedColumnFormula>IF(C69=$L$70,$L$70,$E$92/C69)</calculatedColumnFormula>
    </tableColumn>
    <tableColumn id="3" name="2" dataDxfId="22">
      <calculatedColumnFormula>IF(D69=$L$70,$L$70,$E$92/D69)</calculatedColumnFormula>
    </tableColumn>
    <tableColumn id="4" name="3" dataDxfId="21">
      <calculatedColumnFormula>IF(E69=$L$70,$L$70,$E$92/E69)</calculatedColumnFormula>
    </tableColumn>
    <tableColumn id="5" name="4" dataDxfId="20">
      <calculatedColumnFormula>IF(F69=$L$70,$L$70,$E$92/F69)</calculatedColumnFormula>
    </tableColumn>
    <tableColumn id="6" name="5" dataDxfId="19">
      <calculatedColumnFormula>IF(G69=$L$70,$L$70,$E$92/G69)</calculatedColumnFormula>
    </tableColumn>
    <tableColumn id="7" name="6" dataDxfId="18">
      <calculatedColumnFormula>IF(H69=$L$70,$L$70,$E$92/H69)</calculatedColumnFormula>
    </tableColumn>
    <tableColumn id="8" name="7" dataDxfId="17">
      <calculatedColumnFormula>IF(I69=$L$70,$L$70,$E$92/I69)</calculatedColumnFormula>
    </tableColumn>
  </tableColumns>
  <tableStyleInfo name="SpBC" showFirstColumn="1" showLastColumn="0" showRowStripes="1" showColumnStripes="0"/>
</table>
</file>

<file path=xl/tables/table11.xml><?xml version="1.0" encoding="utf-8"?>
<table xmlns="http://schemas.openxmlformats.org/spreadsheetml/2006/main" id="9" name="Tabelle9" displayName="Tabelle9" ref="B4:H11" totalsRowShown="0">
  <autoFilter ref="B4:H11"/>
  <tableColumns count="7">
    <tableColumn id="1" name="Posten">
      <calculatedColumnFormula>Kennzahlen!B56</calculatedColumnFormula>
    </tableColumn>
    <tableColumn id="2" name="CPI" dataDxfId="10">
      <calculatedColumnFormula>Kennzahlen!I69</calculatedColumnFormula>
    </tableColumn>
    <tableColumn id="3" name="SPI" dataDxfId="9">
      <calculatedColumnFormula>Kennzahlen!I82</calculatedColumnFormula>
    </tableColumn>
    <tableColumn id="4" name="Abgeschlossen" dataDxfId="8">
      <calculatedColumnFormula>'Fertigstellungsgrad der Akt.'!H2</calculatedColumnFormula>
    </tableColumn>
    <tableColumn id="5" name="Budget [k €]" dataDxfId="7"/>
    <tableColumn id="6" name="Status" dataDxfId="6">
      <calculatedColumnFormula>IF(OR(Tabelle9[[#This Row],[CPI]]&lt;$K$3, Tabelle9[[#This Row],[SPI]]&lt;$K$3),$K$6, IF(OR(Tabelle9[[#This Row],[CPI]]&lt;$K$4, Tabelle9[[#This Row],[SPI]]&lt;$K$4),$K$7, $K$8))</calculatedColumnFormula>
    </tableColumn>
    <tableColumn id="7" name="Trend" dataDxfId="5">
      <calculatedColumnFormula>IF(C18=Kennzahlen!$L$70,Kennzahlen!$L$70,IF(OR(ABS(Tabelle9[[#This Row],[CPI]]-C18)&lt;=$K$13),$K$12, IF(OR(Tabelle9[[#This Row],[CPI]]&lt;C18,Tabelle9[[#This Row],[SPI]]&lt;D18), $K$11, $K$10)))</calculatedColumnFormula>
    </tableColumn>
  </tableColumns>
  <tableStyleInfo name="SpBC" showFirstColumn="0" showLastColumn="0" showRowStripes="1" showColumnStripes="0"/>
</table>
</file>

<file path=xl/tables/table12.xml><?xml version="1.0" encoding="utf-8"?>
<table xmlns="http://schemas.openxmlformats.org/spreadsheetml/2006/main" id="10" name="Tabelle911" displayName="Tabelle911" ref="B17:H24" totalsRowShown="0">
  <autoFilter ref="B17:H24"/>
  <tableColumns count="7">
    <tableColumn id="1" name="Posten">
      <calculatedColumnFormula>Kennzahlen!B69</calculatedColumnFormula>
    </tableColumn>
    <tableColumn id="2" name="CPI" dataDxfId="4">
      <calculatedColumnFormula>Kennzahlen!H69</calculatedColumnFormula>
    </tableColumn>
    <tableColumn id="3" name="SPI" dataDxfId="3">
      <calculatedColumnFormula>Kennzahlen!H82</calculatedColumnFormula>
    </tableColumn>
    <tableColumn id="4" name="Abgeschlossen" dataDxfId="2">
      <calculatedColumnFormula>'Fertigstellungsgrad der Akt.'!G2</calculatedColumnFormula>
    </tableColumn>
    <tableColumn id="5" name="Budget [k €]" dataDxfId="1">
      <calculatedColumnFormula>Kennzahlen!H4/1000</calculatedColumnFormula>
    </tableColumn>
    <tableColumn id="6" name="Status" dataDxfId="0">
      <calculatedColumnFormula>IF(OR(Tabelle911[[#This Row],[CPI]]&lt;$K$3, Tabelle911[[#This Row],[SPI]]&lt;$K$3),$K$6, IF(OR(Tabelle911[[#This Row],[CPI]]&lt;$K$4, Tabelle911[[#This Row],[SPI]]&lt;$K$4),$K$7, $K$8))</calculatedColumnFormula>
    </tableColumn>
    <tableColumn id="7" name="Trend"/>
  </tableColumns>
  <tableStyleInfo name="SpBC" showFirstColumn="0" showLastColumn="0" showRowStripes="1" showColumnStripes="0"/>
</table>
</file>

<file path=xl/tables/table2.xml><?xml version="1.0" encoding="utf-8"?>
<table xmlns="http://schemas.openxmlformats.org/spreadsheetml/2006/main" id="2" name="Tabelle2" displayName="Tabelle2" ref="B29:I36" totalsRowShown="0">
  <autoFilter ref="B29:I3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dataDxfId="58">
      <calculatedColumnFormula>B17</calculatedColumnFormula>
    </tableColumn>
    <tableColumn id="2" name="1" dataDxfId="57">
      <calculatedColumnFormula>C4*'Fertigstellungsgrad der Akt.'!B2</calculatedColumnFormula>
    </tableColumn>
    <tableColumn id="3" name="2">
      <calculatedColumnFormula>D4*'Fertigstellungsgrad der Akt.'!C2</calculatedColumnFormula>
    </tableColumn>
    <tableColumn id="4" name="3">
      <calculatedColumnFormula>E4*'Fertigstellungsgrad der Akt.'!D2</calculatedColumnFormula>
    </tableColumn>
    <tableColumn id="5" name="4">
      <calculatedColumnFormula>F4*'Fertigstellungsgrad der Akt.'!E2</calculatedColumnFormula>
    </tableColumn>
    <tableColumn id="6" name="5">
      <calculatedColumnFormula>G4*'Fertigstellungsgrad der Akt.'!F2</calculatedColumnFormula>
    </tableColumn>
    <tableColumn id="7" name="6">
      <calculatedColumnFormula>H4*'Fertigstellungsgrad der Akt.'!G2</calculatedColumnFormula>
    </tableColumn>
    <tableColumn id="8" name="7">
      <calculatedColumnFormula>I4*'Fertigstellungsgrad der Akt.'!H2</calculatedColumnFormula>
    </tableColumn>
  </tableColumns>
  <tableStyleInfo name="SpBC" showFirstColumn="1" showLastColumn="0" showRowStripes="1" showColumnStripes="0"/>
</table>
</file>

<file path=xl/tables/table3.xml><?xml version="1.0" encoding="utf-8"?>
<table xmlns="http://schemas.openxmlformats.org/spreadsheetml/2006/main" id="3" name="Tabelle3" displayName="Tabelle3" ref="B16:I23" totalsRowShown="0">
  <autoFilter ref="B16:I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 dataDxfId="56">
      <calculatedColumnFormula>B4</calculatedColumnFormula>
    </tableColumn>
    <tableColumn id="2" name="1" dataDxfId="55">
      <calculatedColumnFormula>'Tatsächliche Kosten'!B2*'Tatsächliche Kosten'!$B$15</calculatedColumnFormula>
    </tableColumn>
    <tableColumn id="3" name="2" dataDxfId="54"/>
    <tableColumn id="4" name="3" dataDxfId="53"/>
    <tableColumn id="5" name="4" dataDxfId="52"/>
    <tableColumn id="6" name="5" dataDxfId="51"/>
    <tableColumn id="7" name="6" dataDxfId="50"/>
    <tableColumn id="8" name="7" dataDxfId="49"/>
  </tableColumns>
  <tableStyleInfo name="SpBC" showFirstColumn="1" showLastColumn="0" showRowStripes="1" showColumnStripes="0"/>
</table>
</file>

<file path=xl/tables/table4.xml><?xml version="1.0" encoding="utf-8"?>
<table xmlns="http://schemas.openxmlformats.org/spreadsheetml/2006/main" id="4" name="Tabelle4" displayName="Tabelle4" ref="B42:I49" totalsRowShown="0">
  <autoFilter ref="B42:I4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name="Posten">
      <calculatedColumnFormula>B30</calculatedColumnFormula>
    </tableColumn>
    <tableColumn id="2" name="1" dataDxfId="48">
      <calculatedColumnFormula>C30-C17</calculatedColumnFormula>
    </tableColumn>
    <tableColumn id="3" name="2">
      <calculatedColumnFormula>D30-D17</calculatedColumnFormula>
    </tableColumn>
    <tableColumn id="4" name="3">
      <calculatedColumnFormula>E30-E17</calculatedColumnFormula>
    </tableColumn>
    <tableColumn id="5" name="4">
      <calculatedColumnFormula>F30-F17</calculatedColumnFormula>
    </tableColumn>
    <tableColumn id="6" name="5">
      <calculatedColumnFormula>G30-G17</calculatedColumnFormula>
    </tableColumn>
    <tableColumn id="7" name="6">
      <calculatedColumnFormula>H30-H17</calculatedColumnFormula>
    </tableColumn>
    <tableColumn id="8" name="7">
      <calculatedColumnFormula>I30-I17</calculatedColumnFormula>
    </tableColumn>
  </tableColumns>
  <tableStyleInfo name="SpBC" showFirstColumn="1" showLastColumn="0" showRowStripes="1" showColumnStripes="0"/>
</table>
</file>

<file path=xl/tables/table5.xml><?xml version="1.0" encoding="utf-8"?>
<table xmlns="http://schemas.openxmlformats.org/spreadsheetml/2006/main" id="5" name="Tabelle46" displayName="Tabelle46" ref="B55:I62" totalsRowShown="0">
  <autoFilter ref="B55:I62"/>
  <tableColumns count="8">
    <tableColumn id="1" name="Posten">
      <calculatedColumnFormula>B43</calculatedColumnFormula>
    </tableColumn>
    <tableColumn id="2" name="1" dataDxfId="47">
      <calculatedColumnFormula>C30-C4</calculatedColumnFormula>
    </tableColumn>
    <tableColumn id="3" name="2">
      <calculatedColumnFormula>D30-D4</calculatedColumnFormula>
    </tableColumn>
    <tableColumn id="4" name="3">
      <calculatedColumnFormula>E30-E4</calculatedColumnFormula>
    </tableColumn>
    <tableColumn id="5" name="4">
      <calculatedColumnFormula>F30-F4</calculatedColumnFormula>
    </tableColumn>
    <tableColumn id="6" name="5">
      <calculatedColumnFormula>G30-G4</calculatedColumnFormula>
    </tableColumn>
    <tableColumn id="7" name="6">
      <calculatedColumnFormula>H30-H4</calculatedColumnFormula>
    </tableColumn>
    <tableColumn id="8" name="7">
      <calculatedColumnFormula>I30-I4</calculatedColumnFormula>
    </tableColumn>
  </tableColumns>
  <tableStyleInfo name="SpBC" showFirstColumn="1" showLastColumn="0" showRowStripes="1" showColumnStripes="0"/>
</table>
</file>

<file path=xl/tables/table6.xml><?xml version="1.0" encoding="utf-8"?>
<table xmlns="http://schemas.openxmlformats.org/spreadsheetml/2006/main" id="6" name="Tabelle467" displayName="Tabelle467" ref="B68:I75" totalsRowShown="0">
  <autoFilter ref="B68:I75"/>
  <tableColumns count="8">
    <tableColumn id="1" name="Posten">
      <calculatedColumnFormula>B56</calculatedColumnFormula>
    </tableColumn>
    <tableColumn id="2" name="1" dataDxfId="46">
      <calculatedColumnFormula>IF(C17=0,$L$70,C30/C17)</calculatedColumnFormula>
    </tableColumn>
    <tableColumn id="3" name="2" dataDxfId="45">
      <calculatedColumnFormula>IF(D17=0,$L$70,D30/D17)</calculatedColumnFormula>
    </tableColumn>
    <tableColumn id="4" name="3" dataDxfId="44">
      <calculatedColumnFormula>IF(E17=0,$L$70,E30/E17)</calculatedColumnFormula>
    </tableColumn>
    <tableColumn id="5" name="4" dataDxfId="43">
      <calculatedColumnFormula>IF(F17=0,$L$70,F30/F17)</calculatedColumnFormula>
    </tableColumn>
    <tableColumn id="6" name="5" dataDxfId="42">
      <calculatedColumnFormula>IF(G17=0,$L$70,G30/G17)</calculatedColumnFormula>
    </tableColumn>
    <tableColumn id="7" name="6" dataDxfId="41">
      <calculatedColumnFormula>IF(H17=0,$L$70,H30/H17)</calculatedColumnFormula>
    </tableColumn>
    <tableColumn id="8" name="7" dataDxfId="40">
      <calculatedColumnFormula>IF(I17=0,"-",I30/I17)</calculatedColumnFormula>
    </tableColumn>
  </tableColumns>
  <tableStyleInfo name="SpBC" showFirstColumn="1" showLastColumn="0" showRowStripes="1" showColumnStripes="0"/>
</table>
</file>

<file path=xl/tables/table7.xml><?xml version="1.0" encoding="utf-8"?>
<table xmlns="http://schemas.openxmlformats.org/spreadsheetml/2006/main" id="7" name="Tabelle4678" displayName="Tabelle4678" ref="B81:I88" totalsRowShown="0">
  <autoFilter ref="B81:I88"/>
  <tableColumns count="8">
    <tableColumn id="1" name="Posten">
      <calculatedColumnFormula>B69</calculatedColumnFormula>
    </tableColumn>
    <tableColumn id="2" name="1" dataDxfId="39">
      <calculatedColumnFormula>IF(C4=0,$L$70,C30/C4)</calculatedColumnFormula>
    </tableColumn>
    <tableColumn id="3" name="2" dataDxfId="38">
      <calculatedColumnFormula>IF(D4=0,$L$70,D30/D4)</calculatedColumnFormula>
    </tableColumn>
    <tableColumn id="4" name="3" dataDxfId="37">
      <calculatedColumnFormula>IF(E4=0,$L$70,E30/E4)</calculatedColumnFormula>
    </tableColumn>
    <tableColumn id="5" name="4" dataDxfId="36">
      <calculatedColumnFormula>IF(F4=0,$L$70,F30/F4)</calculatedColumnFormula>
    </tableColumn>
    <tableColumn id="6" name="5" dataDxfId="35">
      <calculatedColumnFormula>IF(G4=0,$L$70,G30/G4)</calculatedColumnFormula>
    </tableColumn>
    <tableColumn id="7" name="6" dataDxfId="34">
      <calculatedColumnFormula>IF(H4=0,$L$70,H30/H4)</calculatedColumnFormula>
    </tableColumn>
    <tableColumn id="8" name="7" dataDxfId="33">
      <calculatedColumnFormula>IF(I4=0,"-",I30/I4)</calculatedColumnFormula>
    </tableColumn>
  </tableColumns>
  <tableStyleInfo name="SpBC" showFirstColumn="1" showLastColumn="0" showRowStripes="1" showColumnStripes="0"/>
</table>
</file>

<file path=xl/tables/table8.xml><?xml version="1.0" encoding="utf-8"?>
<table xmlns="http://schemas.openxmlformats.org/spreadsheetml/2006/main" id="8" name="Tabelle8" displayName="Tabelle8" ref="N68:T69" totalsRowShown="0">
  <autoFilter ref="N68:T69"/>
  <tableColumns count="7"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SpBC" showFirstColumn="0" showLastColumn="0" showRowStripes="1" showColumnStripes="0"/>
</table>
</file>

<file path=xl/tables/table9.xml><?xml version="1.0" encoding="utf-8"?>
<table xmlns="http://schemas.openxmlformats.org/spreadsheetml/2006/main" id="11" name="Tabelle467812" displayName="Tabelle467812" ref="B96:I103" totalsRowShown="0">
  <autoFilter ref="B96:I103"/>
  <tableColumns count="8">
    <tableColumn id="1" name="Posten" dataDxfId="32">
      <calculatedColumnFormula>B82</calculatedColumnFormula>
    </tableColumn>
    <tableColumn id="2" name="1" dataDxfId="31">
      <calculatedColumnFormula>IF(C69=$L$70,$L$70,($E$92-C30)/C69)</calculatedColumnFormula>
    </tableColumn>
    <tableColumn id="3" name="2" dataDxfId="30">
      <calculatedColumnFormula>IF(D69=$L$70,$L$70,($E$92-D30)/D69)</calculatedColumnFormula>
    </tableColumn>
    <tableColumn id="4" name="3" dataDxfId="29">
      <calculatedColumnFormula>IF(E69=$L$70,$L$70,($E$92-E30)/E69)</calculatedColumnFormula>
    </tableColumn>
    <tableColumn id="5" name="4" dataDxfId="28">
      <calculatedColumnFormula>IF(F69=$L$70,$L$70,($E$92-F30)/F69)</calculatedColumnFormula>
    </tableColumn>
    <tableColumn id="6" name="5" dataDxfId="27">
      <calculatedColumnFormula>IF(G69=$L$70,$L$70,($E$92-G30)/G69)</calculatedColumnFormula>
    </tableColumn>
    <tableColumn id="7" name="6" dataDxfId="26">
      <calculatedColumnFormula>IF(H69=$L$70,$L$70,($E$92-H30)/H69)</calculatedColumnFormula>
    </tableColumn>
    <tableColumn id="8" name="7" dataDxfId="25">
      <calculatedColumnFormula>IF(I69=$L$70,$L$70,($E$92-I30)/I69)</calculatedColumnFormula>
    </tableColumn>
  </tableColumns>
  <tableStyleInfo name="SpBC" showFirstColumn="1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6"/>
  <sheetViews>
    <sheetView tabSelected="1" topLeftCell="A76" workbookViewId="0">
      <selection activeCell="J90" sqref="J90"/>
    </sheetView>
  </sheetViews>
  <sheetFormatPr baseColWidth="10" defaultRowHeight="12.75" x14ac:dyDescent="0.2"/>
  <cols>
    <col min="1" max="1" width="7.42578125" customWidth="1"/>
    <col min="2" max="2" width="21.85546875" customWidth="1"/>
  </cols>
  <sheetData>
    <row r="1" spans="1:12" ht="23.25" x14ac:dyDescent="0.35">
      <c r="A1" s="27" t="s">
        <v>27</v>
      </c>
    </row>
    <row r="3" spans="1:12" x14ac:dyDescent="0.2">
      <c r="B3" t="s">
        <v>16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24</v>
      </c>
      <c r="I3" t="s">
        <v>25</v>
      </c>
      <c r="K3" t="s">
        <v>18</v>
      </c>
      <c r="L3" t="s">
        <v>30</v>
      </c>
    </row>
    <row r="4" spans="1:12" x14ac:dyDescent="0.2">
      <c r="B4" t="str">
        <f>'Budgetierte Kosten'!A2</f>
        <v>Anforderungsanalyse</v>
      </c>
      <c r="C4" s="28">
        <f>SUM('Budgetierte Kosten'!$B2:'Budgetierte Kosten'!B2)*'Budgetierte Kosten'!$B$14</f>
        <v>48000</v>
      </c>
      <c r="D4" s="28">
        <f>SUM('Budgetierte Kosten'!$B2:'Budgetierte Kosten'!C2)*'Budgetierte Kosten'!$B$14</f>
        <v>96000</v>
      </c>
      <c r="E4" s="28">
        <f>SUM('Budgetierte Kosten'!$B2:'Budgetierte Kosten'!D2)*'Budgetierte Kosten'!$B$14</f>
        <v>144000</v>
      </c>
      <c r="F4" s="28">
        <f>SUM('Budgetierte Kosten'!$B2:'Budgetierte Kosten'!E2)*'Budgetierte Kosten'!$B$14</f>
        <v>144000</v>
      </c>
      <c r="G4" s="28">
        <f>SUM('Budgetierte Kosten'!$B2:'Budgetierte Kosten'!F2)*'Budgetierte Kosten'!$B$14</f>
        <v>144000</v>
      </c>
      <c r="H4" s="28">
        <f>SUM('Budgetierte Kosten'!$B2:'Budgetierte Kosten'!G2)*'Budgetierte Kosten'!$B$14</f>
        <v>144000</v>
      </c>
      <c r="I4" s="28">
        <f>SUM('Budgetierte Kosten'!$B2:'Budgetierte Kosten'!H2)*'Budgetierte Kosten'!$B$14</f>
        <v>144000</v>
      </c>
    </row>
    <row r="5" spans="1:12" x14ac:dyDescent="0.2">
      <c r="B5" t="str">
        <f>'Budgetierte Kosten'!A3</f>
        <v>Design und Architektur</v>
      </c>
      <c r="C5" s="28">
        <f>SUM('Budgetierte Kosten'!$B3:'Budgetierte Kosten'!B3)*'Budgetierte Kosten'!$B$14</f>
        <v>0</v>
      </c>
      <c r="D5" s="28">
        <f>SUM('Budgetierte Kosten'!$B3:'Budgetierte Kosten'!C3)*'Budgetierte Kosten'!$B$14</f>
        <v>0</v>
      </c>
      <c r="E5" s="28">
        <f>SUM('Budgetierte Kosten'!$B3:'Budgetierte Kosten'!D3)*'Budgetierte Kosten'!$B$14</f>
        <v>20000</v>
      </c>
      <c r="F5" s="28">
        <f>SUM('Budgetierte Kosten'!$B3:'Budgetierte Kosten'!E3)*'Budgetierte Kosten'!$B$14</f>
        <v>52000</v>
      </c>
      <c r="G5" s="28">
        <f>SUM('Budgetierte Kosten'!$B3:'Budgetierte Kosten'!F3)*'Budgetierte Kosten'!$B$14</f>
        <v>96000</v>
      </c>
      <c r="H5" s="28">
        <f>SUM('Budgetierte Kosten'!$B3:'Budgetierte Kosten'!G3)*'Budgetierte Kosten'!$B$14</f>
        <v>152000</v>
      </c>
      <c r="I5" s="28">
        <f>SUM('Budgetierte Kosten'!$B3:'Budgetierte Kosten'!H3)*'Budgetierte Kosten'!$B$14</f>
        <v>172000</v>
      </c>
    </row>
    <row r="6" spans="1:12" x14ac:dyDescent="0.2">
      <c r="B6" t="str">
        <f>'Budgetierte Kosten'!A4</f>
        <v>Implementierung</v>
      </c>
      <c r="C6" s="28">
        <f>SUM('Budgetierte Kosten'!$B4:'Budgetierte Kosten'!B4)*'Budgetierte Kosten'!$B$14</f>
        <v>0</v>
      </c>
      <c r="D6" s="28">
        <f>SUM('Budgetierte Kosten'!$B4:'Budgetierte Kosten'!C4)*'Budgetierte Kosten'!$B$14</f>
        <v>0</v>
      </c>
      <c r="E6" s="28">
        <f>SUM('Budgetierte Kosten'!$B4:'Budgetierte Kosten'!D4)*'Budgetierte Kosten'!$B$14</f>
        <v>0</v>
      </c>
      <c r="F6" s="28">
        <f>SUM('Budgetierte Kosten'!$B4:'Budgetierte Kosten'!E4)*'Budgetierte Kosten'!$B$14</f>
        <v>24000</v>
      </c>
      <c r="G6" s="28">
        <f>SUM('Budgetierte Kosten'!$B4:'Budgetierte Kosten'!F4)*'Budgetierte Kosten'!$B$14</f>
        <v>64000</v>
      </c>
      <c r="H6" s="28">
        <f>SUM('Budgetierte Kosten'!$B4:'Budgetierte Kosten'!G4)*'Budgetierte Kosten'!$B$14</f>
        <v>112000</v>
      </c>
      <c r="I6" s="28">
        <f>SUM('Budgetierte Kosten'!$B4:'Budgetierte Kosten'!H4)*'Budgetierte Kosten'!$B$14</f>
        <v>160000</v>
      </c>
    </row>
    <row r="7" spans="1:12" x14ac:dyDescent="0.2">
      <c r="B7" t="str">
        <f>'Budgetierte Kosten'!A5</f>
        <v>Integration und Test</v>
      </c>
      <c r="C7" s="28">
        <f>SUM('Budgetierte Kosten'!$B5:'Budgetierte Kosten'!B5)*'Budgetierte Kosten'!$B$14</f>
        <v>0</v>
      </c>
      <c r="D7" s="28">
        <f>SUM('Budgetierte Kosten'!$B5:'Budgetierte Kosten'!C5)*'Budgetierte Kosten'!$B$14</f>
        <v>0</v>
      </c>
      <c r="E7" s="28">
        <f>SUM('Budgetierte Kosten'!$B5:'Budgetierte Kosten'!D5)*'Budgetierte Kosten'!$B$14</f>
        <v>0</v>
      </c>
      <c r="F7" s="28">
        <f>SUM('Budgetierte Kosten'!$B5:'Budgetierte Kosten'!E5)*'Budgetierte Kosten'!$B$14</f>
        <v>0</v>
      </c>
      <c r="G7" s="28">
        <f>SUM('Budgetierte Kosten'!$B5:'Budgetierte Kosten'!F5)*'Budgetierte Kosten'!$B$14</f>
        <v>0</v>
      </c>
      <c r="H7" s="28">
        <f>SUM('Budgetierte Kosten'!$B5:'Budgetierte Kosten'!G5)*'Budgetierte Kosten'!$B$14</f>
        <v>0</v>
      </c>
      <c r="I7" s="28">
        <f>SUM('Budgetierte Kosten'!$B5:'Budgetierte Kosten'!H5)*'Budgetierte Kosten'!$B$14</f>
        <v>16000</v>
      </c>
    </row>
    <row r="8" spans="1:12" x14ac:dyDescent="0.2">
      <c r="B8" t="str">
        <f>'Budgetierte Kosten'!A6</f>
        <v>Projektmanagement</v>
      </c>
      <c r="C8" s="28">
        <f>SUM('Budgetierte Kosten'!$B6:'Budgetierte Kosten'!B6)*'Budgetierte Kosten'!$B$14</f>
        <v>22000</v>
      </c>
      <c r="D8" s="28">
        <f>SUM('Budgetierte Kosten'!$B6:'Budgetierte Kosten'!C6)*'Budgetierte Kosten'!$B$14</f>
        <v>44000</v>
      </c>
      <c r="E8" s="28">
        <f>SUM('Budgetierte Kosten'!$B6:'Budgetierte Kosten'!D6)*'Budgetierte Kosten'!$B$14</f>
        <v>66000</v>
      </c>
      <c r="F8" s="28">
        <f>SUM('Budgetierte Kosten'!$B6:'Budgetierte Kosten'!E6)*'Budgetierte Kosten'!$B$14</f>
        <v>88000</v>
      </c>
      <c r="G8" s="28">
        <f>SUM('Budgetierte Kosten'!$B6:'Budgetierte Kosten'!F6)*'Budgetierte Kosten'!$B$14</f>
        <v>110000</v>
      </c>
      <c r="H8" s="28">
        <f>SUM('Budgetierte Kosten'!$B6:'Budgetierte Kosten'!G6)*'Budgetierte Kosten'!$B$14</f>
        <v>132000</v>
      </c>
      <c r="I8" s="28">
        <f>SUM('Budgetierte Kosten'!$B6:'Budgetierte Kosten'!H6)*'Budgetierte Kosten'!$B$14</f>
        <v>154000</v>
      </c>
    </row>
    <row r="9" spans="1:12" x14ac:dyDescent="0.2">
      <c r="B9" t="str">
        <f>'Budgetierte Kosten'!A7</f>
        <v>Puffer für unerwartetes</v>
      </c>
      <c r="C9" s="28">
        <f>SUM('Budgetierte Kosten'!$B7:'Budgetierte Kosten'!B7)*'Budgetierte Kosten'!$B$14</f>
        <v>8000</v>
      </c>
      <c r="D9" s="28">
        <f>SUM('Budgetierte Kosten'!$B7:'Budgetierte Kosten'!C7)*'Budgetierte Kosten'!$B$14</f>
        <v>16000</v>
      </c>
      <c r="E9" s="28">
        <f>SUM('Budgetierte Kosten'!$B7:'Budgetierte Kosten'!D7)*'Budgetierte Kosten'!$B$14</f>
        <v>24000</v>
      </c>
      <c r="F9" s="28">
        <f>SUM('Budgetierte Kosten'!$B7:'Budgetierte Kosten'!E7)*'Budgetierte Kosten'!$B$14</f>
        <v>32000</v>
      </c>
      <c r="G9" s="28">
        <f>SUM('Budgetierte Kosten'!$B7:'Budgetierte Kosten'!F7)*'Budgetierte Kosten'!$B$14</f>
        <v>40000</v>
      </c>
      <c r="H9" s="28">
        <f>SUM('Budgetierte Kosten'!$B7:'Budgetierte Kosten'!G7)*'Budgetierte Kosten'!$B$14</f>
        <v>48000</v>
      </c>
      <c r="I9" s="28">
        <f>SUM('Budgetierte Kosten'!$B7:'Budgetierte Kosten'!H7)*'Budgetierte Kosten'!$B$14</f>
        <v>56000</v>
      </c>
    </row>
    <row r="10" spans="1:12" x14ac:dyDescent="0.2">
      <c r="B10" t="s">
        <v>26</v>
      </c>
      <c r="C10" s="28">
        <f>SUM('Budgetierte Kosten'!$B11:'Budgetierte Kosten'!B11)</f>
        <v>2000</v>
      </c>
      <c r="D10" s="28">
        <f>SUM('Budgetierte Kosten'!$B11:'Budgetierte Kosten'!C11)</f>
        <v>4000</v>
      </c>
      <c r="E10" s="28">
        <f>SUM('Budgetierte Kosten'!$B11:'Budgetierte Kosten'!D11)</f>
        <v>7000</v>
      </c>
      <c r="F10" s="28">
        <f>SUM('Budgetierte Kosten'!$B11:'Budgetierte Kosten'!E11)</f>
        <v>10000</v>
      </c>
      <c r="G10" s="28">
        <f>SUM('Budgetierte Kosten'!$B11:'Budgetierte Kosten'!F11)</f>
        <v>13000</v>
      </c>
      <c r="H10" s="28">
        <f>SUM('Budgetierte Kosten'!$B11:'Budgetierte Kosten'!G11)</f>
        <v>16000</v>
      </c>
      <c r="I10" s="28">
        <f>SUM('Budgetierte Kosten'!$B11:'Budgetierte Kosten'!H11)</f>
        <v>21000</v>
      </c>
      <c r="K10" t="s">
        <v>18</v>
      </c>
      <c r="L10" t="s">
        <v>29</v>
      </c>
    </row>
    <row r="14" spans="1:12" ht="23.25" x14ac:dyDescent="0.35">
      <c r="A14" s="27" t="s">
        <v>41</v>
      </c>
    </row>
    <row r="16" spans="1:12" x14ac:dyDescent="0.2">
      <c r="B16" t="s">
        <v>16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24</v>
      </c>
      <c r="I16" t="s">
        <v>25</v>
      </c>
    </row>
    <row r="17" spans="1:12" x14ac:dyDescent="0.2">
      <c r="B17" t="str">
        <f t="shared" ref="B17:B23" si="0">B4</f>
        <v>Anforderungsanalyse</v>
      </c>
      <c r="C17" s="28">
        <f>SUM('Tatsächliche Kosten'!$B2:'Tatsächliche Kosten'!B2)*'Tatsächliche Kosten'!$B$15</f>
        <v>42500</v>
      </c>
      <c r="D17" s="28">
        <f>SUM('Tatsächliche Kosten'!$B2:'Tatsächliche Kosten'!C2)*'Tatsächliche Kosten'!$B$15</f>
        <v>85000</v>
      </c>
      <c r="E17" s="28">
        <f>SUM('Tatsächliche Kosten'!$B2:'Tatsächliche Kosten'!D2)*'Tatsächliche Kosten'!$B$15</f>
        <v>130900</v>
      </c>
      <c r="F17" s="28">
        <f>SUM('Tatsächliche Kosten'!$B2:'Tatsächliche Kosten'!E2)*'Tatsächliche Kosten'!$B$15</f>
        <v>135150</v>
      </c>
      <c r="G17" s="28">
        <f>SUM('Tatsächliche Kosten'!$B2:'Tatsächliche Kosten'!F2)*'Tatsächliche Kosten'!$B$15</f>
        <v>135150</v>
      </c>
      <c r="H17" s="28">
        <f>SUM('Tatsächliche Kosten'!$B2:'Tatsächliche Kosten'!G2)*'Tatsächliche Kosten'!$B$15</f>
        <v>135150</v>
      </c>
      <c r="I17" s="28">
        <f>SUM('Tatsächliche Kosten'!$B2:'Tatsächliche Kosten'!H2)*'Tatsächliche Kosten'!$B$15</f>
        <v>135150</v>
      </c>
      <c r="K17" t="s">
        <v>18</v>
      </c>
      <c r="L17" t="s">
        <v>31</v>
      </c>
    </row>
    <row r="18" spans="1:12" x14ac:dyDescent="0.2">
      <c r="B18" t="str">
        <f t="shared" si="0"/>
        <v>Design und Architektur</v>
      </c>
      <c r="C18" s="28">
        <f>SUM('Tatsächliche Kosten'!$B3:'Tatsächliche Kosten'!B3)*'Tatsächliche Kosten'!$B$15</f>
        <v>0</v>
      </c>
      <c r="D18" s="28">
        <f>SUM('Tatsächliche Kosten'!$B3:'Tatsächliche Kosten'!C3)*'Tatsächliche Kosten'!$B$15</f>
        <v>0</v>
      </c>
      <c r="E18" s="28">
        <f>SUM('Tatsächliche Kosten'!$B3:'Tatsächliche Kosten'!D3)*'Tatsächliche Kosten'!$B$15</f>
        <v>0</v>
      </c>
      <c r="F18" s="28">
        <f>SUM('Tatsächliche Kosten'!$B3:'Tatsächliche Kosten'!E3)*'Tatsächliche Kosten'!$B$15</f>
        <v>42500</v>
      </c>
      <c r="G18" s="28">
        <f>SUM('Tatsächliche Kosten'!$B3:'Tatsächliche Kosten'!F3)*'Tatsächliche Kosten'!$B$15</f>
        <v>59500</v>
      </c>
      <c r="H18" s="28">
        <f>SUM('Tatsächliche Kosten'!$B3:'Tatsächliche Kosten'!G3)*'Tatsächliche Kosten'!$B$15</f>
        <v>79050</v>
      </c>
      <c r="I18" s="28">
        <f>SUM('Tatsächliche Kosten'!$B3:'Tatsächliche Kosten'!H3)*'Tatsächliche Kosten'!$B$15</f>
        <v>87550</v>
      </c>
    </row>
    <row r="19" spans="1:12" x14ac:dyDescent="0.2">
      <c r="B19" t="str">
        <f t="shared" si="0"/>
        <v>Implementierung</v>
      </c>
      <c r="C19" s="28">
        <f>SUM('Tatsächliche Kosten'!$B4:'Tatsächliche Kosten'!B4)*'Tatsächliche Kosten'!$B$15</f>
        <v>0</v>
      </c>
      <c r="D19" s="28">
        <f>SUM('Tatsächliche Kosten'!$B4:'Tatsächliche Kosten'!C4)*'Tatsächliche Kosten'!$B$15</f>
        <v>0</v>
      </c>
      <c r="E19" s="28">
        <f>SUM('Tatsächliche Kosten'!$B4:'Tatsächliche Kosten'!D4)*'Tatsächliche Kosten'!$B$15</f>
        <v>0</v>
      </c>
      <c r="F19" s="28">
        <f>SUM('Tatsächliche Kosten'!$B4:'Tatsächliche Kosten'!E4)*'Tatsächliche Kosten'!$B$15</f>
        <v>0</v>
      </c>
      <c r="G19" s="28">
        <f>SUM('Tatsächliche Kosten'!$B4:'Tatsächliche Kosten'!F4)*'Tatsächliche Kosten'!$B$15</f>
        <v>0</v>
      </c>
      <c r="H19" s="28">
        <f>SUM('Tatsächliche Kosten'!$B4:'Tatsächliche Kosten'!G4)*'Tatsächliche Kosten'!$B$15</f>
        <v>21250</v>
      </c>
      <c r="I19" s="28">
        <f>SUM('Tatsächliche Kosten'!$B4:'Tatsächliche Kosten'!H4)*'Tatsächliche Kosten'!$B$15</f>
        <v>42500</v>
      </c>
    </row>
    <row r="20" spans="1:12" x14ac:dyDescent="0.2">
      <c r="B20" t="str">
        <f t="shared" si="0"/>
        <v>Integration und Test</v>
      </c>
      <c r="C20" s="28">
        <f>SUM('Tatsächliche Kosten'!$B5:'Tatsächliche Kosten'!B5)*'Tatsächliche Kosten'!$B$15</f>
        <v>0</v>
      </c>
      <c r="D20" s="28">
        <f>SUM('Tatsächliche Kosten'!$B5:'Tatsächliche Kosten'!C5)*'Tatsächliche Kosten'!$B$15</f>
        <v>0</v>
      </c>
      <c r="E20" s="28">
        <f>SUM('Tatsächliche Kosten'!$B5:'Tatsächliche Kosten'!D5)*'Tatsächliche Kosten'!$B$15</f>
        <v>0</v>
      </c>
      <c r="F20" s="28">
        <f>SUM('Tatsächliche Kosten'!$B5:'Tatsächliche Kosten'!E5)*'Tatsächliche Kosten'!$B$15</f>
        <v>0</v>
      </c>
      <c r="G20" s="28">
        <f>SUM('Tatsächliche Kosten'!$B5:'Tatsächliche Kosten'!F5)*'Tatsächliche Kosten'!$B$15</f>
        <v>0</v>
      </c>
      <c r="H20" s="28">
        <f>SUM('Tatsächliche Kosten'!$B5:'Tatsächliche Kosten'!G5)*'Tatsächliche Kosten'!$B$15</f>
        <v>0</v>
      </c>
      <c r="I20" s="28">
        <f>SUM('Tatsächliche Kosten'!$B5:'Tatsächliche Kosten'!H5)*'Tatsächliche Kosten'!$B$15</f>
        <v>29750</v>
      </c>
    </row>
    <row r="21" spans="1:12" x14ac:dyDescent="0.2">
      <c r="B21" t="str">
        <f t="shared" si="0"/>
        <v>Projektmanagement</v>
      </c>
      <c r="C21" s="28">
        <f>SUM('Tatsächliche Kosten'!$B6:'Tatsächliche Kosten'!B6)*'Tatsächliche Kosten'!$B$15</f>
        <v>25500</v>
      </c>
      <c r="D21" s="28">
        <f>SUM('Tatsächliche Kosten'!$B6:'Tatsächliche Kosten'!C6)*'Tatsächliche Kosten'!$B$15</f>
        <v>93500</v>
      </c>
      <c r="E21" s="28">
        <f>SUM('Tatsächliche Kosten'!$B6:'Tatsächliche Kosten'!D6)*'Tatsächliche Kosten'!$B$15</f>
        <v>127500</v>
      </c>
      <c r="F21" s="28">
        <f>SUM('Tatsächliche Kosten'!$B6:'Tatsächliche Kosten'!E6)*'Tatsächliche Kosten'!$B$15</f>
        <v>153000</v>
      </c>
      <c r="G21" s="28">
        <f>SUM('Tatsächliche Kosten'!$B6:'Tatsächliche Kosten'!F6)*'Tatsächliche Kosten'!$B$15</f>
        <v>170000</v>
      </c>
      <c r="H21" s="28">
        <f>SUM('Tatsächliche Kosten'!$B6:'Tatsächliche Kosten'!G6)*'Tatsächliche Kosten'!$B$15</f>
        <v>187000</v>
      </c>
      <c r="I21" s="28">
        <f>SUM('Tatsächliche Kosten'!$B6:'Tatsächliche Kosten'!H6)*'Tatsächliche Kosten'!$B$15</f>
        <v>204000</v>
      </c>
    </row>
    <row r="22" spans="1:12" x14ac:dyDescent="0.2">
      <c r="B22" t="str">
        <f t="shared" si="0"/>
        <v>Puffer für unerwartetes</v>
      </c>
      <c r="C22" s="28">
        <f>SUM('Tatsächliche Kosten'!$B7:'Tatsächliche Kosten'!B7)*'Tatsächliche Kosten'!$B$15</f>
        <v>13600</v>
      </c>
      <c r="D22" s="28">
        <f>SUM('Tatsächliche Kosten'!$B7:'Tatsächliche Kosten'!C7)*'Tatsächliche Kosten'!$B$15</f>
        <v>166600</v>
      </c>
      <c r="E22" s="28">
        <f>SUM('Tatsächliche Kosten'!$B7:'Tatsächliche Kosten'!D7)*'Tatsächliche Kosten'!$B$15</f>
        <v>302600</v>
      </c>
      <c r="F22" s="28">
        <f>SUM('Tatsächliche Kosten'!$B7:'Tatsächliche Kosten'!E7)*'Tatsächliche Kosten'!$B$15</f>
        <v>340850</v>
      </c>
      <c r="G22" s="28">
        <f>SUM('Tatsächliche Kosten'!$B7:'Tatsächliche Kosten'!F7)*'Tatsächliche Kosten'!$B$15</f>
        <v>345100</v>
      </c>
      <c r="H22" s="28">
        <f>SUM('Tatsächliche Kosten'!$B7:'Tatsächliche Kosten'!G7)*'Tatsächliche Kosten'!$B$15</f>
        <v>349350</v>
      </c>
      <c r="I22" s="28">
        <f>SUM('Tatsächliche Kosten'!$B7:'Tatsächliche Kosten'!H7)*'Tatsächliche Kosten'!$B$15</f>
        <v>353600</v>
      </c>
    </row>
    <row r="23" spans="1:12" x14ac:dyDescent="0.2">
      <c r="B23" t="str">
        <f t="shared" si="0"/>
        <v>Materialkosten</v>
      </c>
      <c r="C23" s="28">
        <f>SUM('Tatsächliche Kosten'!$B11:'Tatsächliche Kosten'!B11)</f>
        <v>2000</v>
      </c>
      <c r="D23" s="28">
        <f>SUM('Tatsächliche Kosten'!$B11:'Tatsächliche Kosten'!C11)</f>
        <v>3500</v>
      </c>
      <c r="E23" s="28">
        <f>SUM('Tatsächliche Kosten'!$B11:'Tatsächliche Kosten'!D11)</f>
        <v>4900</v>
      </c>
      <c r="F23" s="28">
        <f>SUM('Tatsächliche Kosten'!$B11:'Tatsächliche Kosten'!E11)</f>
        <v>6400</v>
      </c>
      <c r="G23" s="28">
        <f>SUM('Tatsächliche Kosten'!$B11:'Tatsächliche Kosten'!F11)</f>
        <v>7400</v>
      </c>
      <c r="H23" s="28">
        <f>SUM('Tatsächliche Kosten'!$B11:'Tatsächliche Kosten'!G11)</f>
        <v>15000</v>
      </c>
      <c r="I23" s="28">
        <f>SUM('Tatsächliche Kosten'!$B11:'Tatsächliche Kosten'!H11)</f>
        <v>16200</v>
      </c>
    </row>
    <row r="27" spans="1:12" ht="23.25" x14ac:dyDescent="0.35">
      <c r="A27" s="27" t="s">
        <v>17</v>
      </c>
    </row>
    <row r="29" spans="1:12" x14ac:dyDescent="0.2">
      <c r="B29" t="s">
        <v>16</v>
      </c>
      <c r="C29" t="s">
        <v>19</v>
      </c>
      <c r="D29" t="s">
        <v>20</v>
      </c>
      <c r="E29" t="s">
        <v>21</v>
      </c>
      <c r="F29" t="s">
        <v>22</v>
      </c>
      <c r="G29" t="s">
        <v>23</v>
      </c>
      <c r="H29" t="s">
        <v>24</v>
      </c>
      <c r="I29" t="s">
        <v>25</v>
      </c>
    </row>
    <row r="30" spans="1:12" x14ac:dyDescent="0.2">
      <c r="B30" t="str">
        <f t="shared" ref="B30:B36" si="1">B17</f>
        <v>Anforderungsanalyse</v>
      </c>
      <c r="C30" s="28">
        <f>C4*'Fertigstellungsgrad der Akt.'!B2</f>
        <v>16800</v>
      </c>
      <c r="D30" s="28">
        <f>D4*'Fertigstellungsgrad der Akt.'!C2</f>
        <v>4800</v>
      </c>
      <c r="E30" s="28">
        <f>E4*'Fertigstellungsgrad der Akt.'!D2</f>
        <v>14400</v>
      </c>
      <c r="F30" s="28">
        <f>F4*'Fertigstellungsgrad der Akt.'!E2</f>
        <v>43200</v>
      </c>
      <c r="G30" s="28">
        <f>G4*'Fertigstellungsgrad der Akt.'!F2</f>
        <v>72000</v>
      </c>
      <c r="H30" s="28">
        <f>H4*'Fertigstellungsgrad der Akt.'!G2</f>
        <v>115200</v>
      </c>
      <c r="I30" s="28">
        <f>I4*'Fertigstellungsgrad der Akt.'!H2</f>
        <v>129600</v>
      </c>
      <c r="K30" t="s">
        <v>18</v>
      </c>
      <c r="L30" t="s">
        <v>32</v>
      </c>
    </row>
    <row r="31" spans="1:12" x14ac:dyDescent="0.2">
      <c r="B31" t="str">
        <f t="shared" si="1"/>
        <v>Design und Architektur</v>
      </c>
      <c r="C31" s="28">
        <f>C5*'Fertigstellungsgrad der Akt.'!B3</f>
        <v>0</v>
      </c>
      <c r="D31" s="28">
        <f>D5*'Fertigstellungsgrad der Akt.'!C3</f>
        <v>0</v>
      </c>
      <c r="E31" s="28">
        <f>E5*'Fertigstellungsgrad der Akt.'!D3</f>
        <v>0</v>
      </c>
      <c r="F31" s="28">
        <f>F5*'Fertigstellungsgrad der Akt.'!E3</f>
        <v>2600</v>
      </c>
      <c r="G31" s="28">
        <f>G5*'Fertigstellungsgrad der Akt.'!F3</f>
        <v>4800</v>
      </c>
      <c r="H31" s="28">
        <f>H5*'Fertigstellungsgrad der Akt.'!G3</f>
        <v>15200</v>
      </c>
      <c r="I31" s="28">
        <f>I5*'Fertigstellungsgrad der Akt.'!H3</f>
        <v>68800</v>
      </c>
    </row>
    <row r="32" spans="1:12" x14ac:dyDescent="0.2">
      <c r="B32" t="str">
        <f t="shared" si="1"/>
        <v>Implementierung</v>
      </c>
      <c r="C32" s="28">
        <f>C6*'Fertigstellungsgrad der Akt.'!B4</f>
        <v>0</v>
      </c>
      <c r="D32" s="28">
        <f>D6*'Fertigstellungsgrad der Akt.'!C4</f>
        <v>0</v>
      </c>
      <c r="E32" s="28">
        <f>E6*'Fertigstellungsgrad der Akt.'!D4</f>
        <v>0</v>
      </c>
      <c r="F32" s="28">
        <f>F6*'Fertigstellungsgrad der Akt.'!E4</f>
        <v>0</v>
      </c>
      <c r="G32" s="28">
        <f>G6*'Fertigstellungsgrad der Akt.'!F4</f>
        <v>0</v>
      </c>
      <c r="H32" s="28">
        <f>H6*'Fertigstellungsgrad der Akt.'!G4</f>
        <v>11200</v>
      </c>
      <c r="I32" s="28">
        <f>I6*'Fertigstellungsgrad der Akt.'!H4</f>
        <v>40000</v>
      </c>
    </row>
    <row r="33" spans="1:12" x14ac:dyDescent="0.2">
      <c r="B33" t="str">
        <f t="shared" si="1"/>
        <v>Integration und Test</v>
      </c>
      <c r="C33" s="28">
        <f>C7*'Fertigstellungsgrad der Akt.'!B5</f>
        <v>0</v>
      </c>
      <c r="D33" s="28">
        <f>D7*'Fertigstellungsgrad der Akt.'!C5</f>
        <v>0</v>
      </c>
      <c r="E33" s="28">
        <f>E7*'Fertigstellungsgrad der Akt.'!D5</f>
        <v>0</v>
      </c>
      <c r="F33" s="28">
        <f>F7*'Fertigstellungsgrad der Akt.'!E5</f>
        <v>0</v>
      </c>
      <c r="G33" s="28">
        <f>G7*'Fertigstellungsgrad der Akt.'!F5</f>
        <v>0</v>
      </c>
      <c r="H33" s="28">
        <f>H7*'Fertigstellungsgrad der Akt.'!G5</f>
        <v>0</v>
      </c>
      <c r="I33" s="28">
        <f>I7*'Fertigstellungsgrad der Akt.'!H5</f>
        <v>4000</v>
      </c>
    </row>
    <row r="34" spans="1:12" x14ac:dyDescent="0.2">
      <c r="B34" t="str">
        <f t="shared" si="1"/>
        <v>Projektmanagement</v>
      </c>
      <c r="C34" s="28">
        <f>C8*'Fertigstellungsgrad der Akt.'!B6</f>
        <v>1760</v>
      </c>
      <c r="D34" s="28">
        <f>D8*'Fertigstellungsgrad der Akt.'!C6</f>
        <v>2200</v>
      </c>
      <c r="E34" s="28">
        <f>E8*'Fertigstellungsgrad der Akt.'!D6</f>
        <v>9900</v>
      </c>
      <c r="F34" s="28">
        <f>F8*'Fertigstellungsgrad der Akt.'!E6</f>
        <v>17600</v>
      </c>
      <c r="G34" s="28">
        <f>G8*'Fertigstellungsgrad der Akt.'!F6</f>
        <v>33000</v>
      </c>
      <c r="H34" s="28">
        <f>H8*'Fertigstellungsgrad der Akt.'!G6</f>
        <v>52800</v>
      </c>
      <c r="I34" s="28">
        <f>I8*'Fertigstellungsgrad der Akt.'!H6</f>
        <v>77000</v>
      </c>
    </row>
    <row r="35" spans="1:12" x14ac:dyDescent="0.2">
      <c r="B35" t="str">
        <f t="shared" si="1"/>
        <v>Puffer für unerwartetes</v>
      </c>
      <c r="C35" s="28">
        <f>C9*'Fertigstellungsgrad der Akt.'!B7</f>
        <v>640</v>
      </c>
      <c r="D35" s="28">
        <f>D9*'Fertigstellungsgrad der Akt.'!C7</f>
        <v>800</v>
      </c>
      <c r="E35" s="28">
        <f>E9*'Fertigstellungsgrad der Akt.'!D7</f>
        <v>2400</v>
      </c>
      <c r="F35" s="28">
        <f>F9*'Fertigstellungsgrad der Akt.'!E7</f>
        <v>6400</v>
      </c>
      <c r="G35" s="28">
        <f>G9*'Fertigstellungsgrad der Akt.'!F7</f>
        <v>12000</v>
      </c>
      <c r="H35" s="28">
        <f>H9*'Fertigstellungsgrad der Akt.'!G7</f>
        <v>21600</v>
      </c>
      <c r="I35" s="28">
        <f>I9*'Fertigstellungsgrad der Akt.'!H7</f>
        <v>30800.000000000004</v>
      </c>
    </row>
    <row r="36" spans="1:12" x14ac:dyDescent="0.2">
      <c r="B36" t="str">
        <f t="shared" si="1"/>
        <v>Materialkosten</v>
      </c>
      <c r="C36" s="28">
        <f>C10*'Fertigstellungsgrad der Akt.'!B8</f>
        <v>40</v>
      </c>
      <c r="D36" s="28">
        <f>D10*'Fertigstellungsgrad der Akt.'!C8</f>
        <v>160</v>
      </c>
      <c r="E36" s="28">
        <f>E10*'Fertigstellungsgrad der Akt.'!D8</f>
        <v>420</v>
      </c>
      <c r="F36" s="28">
        <f>F10*'Fertigstellungsgrad der Akt.'!E8</f>
        <v>800</v>
      </c>
      <c r="G36" s="28">
        <f>G10*'Fertigstellungsgrad der Akt.'!F8</f>
        <v>1300</v>
      </c>
      <c r="H36" s="28">
        <f>H10*'Fertigstellungsgrad der Akt.'!G8</f>
        <v>1920</v>
      </c>
      <c r="I36" s="28">
        <f>I10*'Fertigstellungsgrad der Akt.'!H8</f>
        <v>2940.0000000000005</v>
      </c>
    </row>
    <row r="40" spans="1:12" ht="23.25" x14ac:dyDescent="0.35">
      <c r="A40" s="27" t="s">
        <v>33</v>
      </c>
    </row>
    <row r="42" spans="1:12" x14ac:dyDescent="0.2">
      <c r="B42" t="s">
        <v>16</v>
      </c>
      <c r="C42" t="s">
        <v>19</v>
      </c>
      <c r="D42" t="s">
        <v>20</v>
      </c>
      <c r="E42" t="s">
        <v>21</v>
      </c>
      <c r="F42" t="s">
        <v>22</v>
      </c>
      <c r="G42" t="s">
        <v>23</v>
      </c>
      <c r="H42" t="s">
        <v>24</v>
      </c>
      <c r="I42" t="s">
        <v>25</v>
      </c>
    </row>
    <row r="43" spans="1:12" x14ac:dyDescent="0.2">
      <c r="B43" t="str">
        <f>B30</f>
        <v>Anforderungsanalyse</v>
      </c>
      <c r="C43" s="28">
        <f t="shared" ref="C43:I43" si="2">C30-C17</f>
        <v>-25700</v>
      </c>
      <c r="D43" s="28">
        <f t="shared" si="2"/>
        <v>-80200</v>
      </c>
      <c r="E43" s="28">
        <f t="shared" si="2"/>
        <v>-116500</v>
      </c>
      <c r="F43" s="28">
        <f t="shared" si="2"/>
        <v>-91950</v>
      </c>
      <c r="G43" s="28">
        <f t="shared" si="2"/>
        <v>-63150</v>
      </c>
      <c r="H43" s="28">
        <f t="shared" si="2"/>
        <v>-19950</v>
      </c>
      <c r="I43" s="28">
        <f t="shared" si="2"/>
        <v>-5550</v>
      </c>
      <c r="K43" t="s">
        <v>18</v>
      </c>
      <c r="L43" t="s">
        <v>38</v>
      </c>
    </row>
    <row r="44" spans="1:12" x14ac:dyDescent="0.2">
      <c r="B44" t="str">
        <f t="shared" ref="B44:B48" si="3">B31</f>
        <v>Design und Architektur</v>
      </c>
      <c r="C44" s="28">
        <f t="shared" ref="C44:I44" si="4">C31-C18</f>
        <v>0</v>
      </c>
      <c r="D44" s="28">
        <f t="shared" si="4"/>
        <v>0</v>
      </c>
      <c r="E44" s="28">
        <f t="shared" si="4"/>
        <v>0</v>
      </c>
      <c r="F44" s="28">
        <f t="shared" si="4"/>
        <v>-39900</v>
      </c>
      <c r="G44" s="28">
        <f t="shared" si="4"/>
        <v>-54700</v>
      </c>
      <c r="H44" s="28">
        <f t="shared" si="4"/>
        <v>-63850</v>
      </c>
      <c r="I44" s="28">
        <f t="shared" si="4"/>
        <v>-18750</v>
      </c>
    </row>
    <row r="45" spans="1:12" x14ac:dyDescent="0.2">
      <c r="B45" t="str">
        <f t="shared" si="3"/>
        <v>Implementierung</v>
      </c>
      <c r="C45" s="28">
        <f t="shared" ref="C45:I45" si="5">C32-C19</f>
        <v>0</v>
      </c>
      <c r="D45" s="28">
        <f t="shared" si="5"/>
        <v>0</v>
      </c>
      <c r="E45" s="28">
        <f t="shared" si="5"/>
        <v>0</v>
      </c>
      <c r="F45" s="28">
        <f t="shared" si="5"/>
        <v>0</v>
      </c>
      <c r="G45" s="28">
        <f t="shared" si="5"/>
        <v>0</v>
      </c>
      <c r="H45" s="28">
        <f t="shared" si="5"/>
        <v>-10050</v>
      </c>
      <c r="I45" s="28">
        <f t="shared" si="5"/>
        <v>-2500</v>
      </c>
    </row>
    <row r="46" spans="1:12" x14ac:dyDescent="0.2">
      <c r="B46" t="str">
        <f t="shared" si="3"/>
        <v>Integration und Test</v>
      </c>
      <c r="C46" s="28">
        <f t="shared" ref="C46:I46" si="6">C33-C20</f>
        <v>0</v>
      </c>
      <c r="D46" s="28">
        <f t="shared" si="6"/>
        <v>0</v>
      </c>
      <c r="E46" s="28">
        <f t="shared" si="6"/>
        <v>0</v>
      </c>
      <c r="F46" s="28">
        <f t="shared" si="6"/>
        <v>0</v>
      </c>
      <c r="G46" s="28">
        <f t="shared" si="6"/>
        <v>0</v>
      </c>
      <c r="H46" s="28">
        <f t="shared" si="6"/>
        <v>0</v>
      </c>
      <c r="I46" s="28">
        <f t="shared" si="6"/>
        <v>-25750</v>
      </c>
    </row>
    <row r="47" spans="1:12" x14ac:dyDescent="0.2">
      <c r="B47" t="str">
        <f t="shared" si="3"/>
        <v>Projektmanagement</v>
      </c>
      <c r="C47" s="28">
        <f t="shared" ref="C47:I47" si="7">C34-C21</f>
        <v>-23740</v>
      </c>
      <c r="D47" s="28">
        <f t="shared" si="7"/>
        <v>-91300</v>
      </c>
      <c r="E47" s="28">
        <f t="shared" si="7"/>
        <v>-117600</v>
      </c>
      <c r="F47" s="28">
        <f t="shared" si="7"/>
        <v>-135400</v>
      </c>
      <c r="G47" s="28">
        <f t="shared" si="7"/>
        <v>-137000</v>
      </c>
      <c r="H47" s="28">
        <f t="shared" si="7"/>
        <v>-134200</v>
      </c>
      <c r="I47" s="28">
        <f t="shared" si="7"/>
        <v>-127000</v>
      </c>
    </row>
    <row r="48" spans="1:12" x14ac:dyDescent="0.2">
      <c r="B48" t="str">
        <f t="shared" si="3"/>
        <v>Puffer für unerwartetes</v>
      </c>
      <c r="C48" s="28">
        <f t="shared" ref="C48:I48" si="8">C35-C22</f>
        <v>-12960</v>
      </c>
      <c r="D48" s="28">
        <f t="shared" si="8"/>
        <v>-165800</v>
      </c>
      <c r="E48" s="28">
        <f t="shared" si="8"/>
        <v>-300200</v>
      </c>
      <c r="F48" s="28">
        <f t="shared" si="8"/>
        <v>-334450</v>
      </c>
      <c r="G48" s="28">
        <f t="shared" si="8"/>
        <v>-333100</v>
      </c>
      <c r="H48" s="28">
        <f t="shared" si="8"/>
        <v>-327750</v>
      </c>
      <c r="I48" s="28">
        <f t="shared" si="8"/>
        <v>-322800</v>
      </c>
    </row>
    <row r="49" spans="1:12" x14ac:dyDescent="0.2">
      <c r="B49" t="str">
        <f>B36</f>
        <v>Materialkosten</v>
      </c>
      <c r="C49" s="28">
        <f t="shared" ref="C49:I49" si="9">C36-C23</f>
        <v>-1960</v>
      </c>
      <c r="D49" s="28">
        <f t="shared" si="9"/>
        <v>-3340</v>
      </c>
      <c r="E49" s="28">
        <f t="shared" si="9"/>
        <v>-4480</v>
      </c>
      <c r="F49" s="28">
        <f t="shared" si="9"/>
        <v>-5600</v>
      </c>
      <c r="G49" s="28">
        <f t="shared" si="9"/>
        <v>-6100</v>
      </c>
      <c r="H49" s="28">
        <f t="shared" si="9"/>
        <v>-13080</v>
      </c>
      <c r="I49" s="28">
        <f t="shared" si="9"/>
        <v>-13260</v>
      </c>
    </row>
    <row r="53" spans="1:12" ht="23.25" x14ac:dyDescent="0.35">
      <c r="A53" s="27" t="s">
        <v>34</v>
      </c>
    </row>
    <row r="55" spans="1:12" x14ac:dyDescent="0.2">
      <c r="B55" t="s">
        <v>16</v>
      </c>
      <c r="C55" t="s">
        <v>19</v>
      </c>
      <c r="D55" t="s">
        <v>20</v>
      </c>
      <c r="E55" t="s">
        <v>21</v>
      </c>
      <c r="F55" t="s">
        <v>22</v>
      </c>
      <c r="G55" t="s">
        <v>23</v>
      </c>
      <c r="H55" t="s">
        <v>24</v>
      </c>
      <c r="I55" t="s">
        <v>25</v>
      </c>
    </row>
    <row r="56" spans="1:12" x14ac:dyDescent="0.2">
      <c r="B56" t="str">
        <f>B43</f>
        <v>Anforderungsanalyse</v>
      </c>
      <c r="C56" s="28">
        <f t="shared" ref="C56:I56" si="10">C30-C4</f>
        <v>-31200</v>
      </c>
      <c r="D56" s="28">
        <f t="shared" si="10"/>
        <v>-91200</v>
      </c>
      <c r="E56" s="28">
        <f t="shared" si="10"/>
        <v>-129600</v>
      </c>
      <c r="F56" s="28">
        <f t="shared" si="10"/>
        <v>-100800</v>
      </c>
      <c r="G56" s="28">
        <f t="shared" si="10"/>
        <v>-72000</v>
      </c>
      <c r="H56" s="28">
        <f t="shared" si="10"/>
        <v>-28800</v>
      </c>
      <c r="I56" s="28">
        <f t="shared" si="10"/>
        <v>-14400</v>
      </c>
      <c r="K56" t="s">
        <v>18</v>
      </c>
      <c r="L56" t="s">
        <v>39</v>
      </c>
    </row>
    <row r="57" spans="1:12" x14ac:dyDescent="0.2">
      <c r="B57" t="str">
        <f t="shared" ref="B57:B61" si="11">B44</f>
        <v>Design und Architektur</v>
      </c>
      <c r="C57" s="28">
        <f t="shared" ref="C57:I57" si="12">C31-C5</f>
        <v>0</v>
      </c>
      <c r="D57" s="28">
        <f t="shared" si="12"/>
        <v>0</v>
      </c>
      <c r="E57" s="28">
        <f t="shared" si="12"/>
        <v>-20000</v>
      </c>
      <c r="F57" s="28">
        <f t="shared" si="12"/>
        <v>-49400</v>
      </c>
      <c r="G57" s="28">
        <f t="shared" si="12"/>
        <v>-91200</v>
      </c>
      <c r="H57" s="28">
        <f t="shared" si="12"/>
        <v>-136800</v>
      </c>
      <c r="I57" s="28">
        <f t="shared" si="12"/>
        <v>-103200</v>
      </c>
    </row>
    <row r="58" spans="1:12" x14ac:dyDescent="0.2">
      <c r="B58" t="str">
        <f t="shared" si="11"/>
        <v>Implementierung</v>
      </c>
      <c r="C58" s="28">
        <f t="shared" ref="C58:I58" si="13">C32-C6</f>
        <v>0</v>
      </c>
      <c r="D58" s="28">
        <f t="shared" si="13"/>
        <v>0</v>
      </c>
      <c r="E58" s="28">
        <f t="shared" si="13"/>
        <v>0</v>
      </c>
      <c r="F58" s="28">
        <f t="shared" si="13"/>
        <v>-24000</v>
      </c>
      <c r="G58" s="28">
        <f t="shared" si="13"/>
        <v>-64000</v>
      </c>
      <c r="H58" s="28">
        <f t="shared" si="13"/>
        <v>-100800</v>
      </c>
      <c r="I58" s="28">
        <f t="shared" si="13"/>
        <v>-120000</v>
      </c>
    </row>
    <row r="59" spans="1:12" x14ac:dyDescent="0.2">
      <c r="B59" t="str">
        <f t="shared" si="11"/>
        <v>Integration und Test</v>
      </c>
      <c r="C59" s="28">
        <f t="shared" ref="C59:I59" si="14">C33-C7</f>
        <v>0</v>
      </c>
      <c r="D59" s="28">
        <f t="shared" si="14"/>
        <v>0</v>
      </c>
      <c r="E59" s="28">
        <f t="shared" si="14"/>
        <v>0</v>
      </c>
      <c r="F59" s="28">
        <f t="shared" si="14"/>
        <v>0</v>
      </c>
      <c r="G59" s="28">
        <f t="shared" si="14"/>
        <v>0</v>
      </c>
      <c r="H59" s="28">
        <f t="shared" si="14"/>
        <v>0</v>
      </c>
      <c r="I59" s="28">
        <f t="shared" si="14"/>
        <v>-12000</v>
      </c>
    </row>
    <row r="60" spans="1:12" x14ac:dyDescent="0.2">
      <c r="B60" t="str">
        <f t="shared" si="11"/>
        <v>Projektmanagement</v>
      </c>
      <c r="C60" s="28">
        <f t="shared" ref="C60:I60" si="15">C34-C8</f>
        <v>-20240</v>
      </c>
      <c r="D60" s="28">
        <f t="shared" si="15"/>
        <v>-41800</v>
      </c>
      <c r="E60" s="28">
        <f t="shared" si="15"/>
        <v>-56100</v>
      </c>
      <c r="F60" s="28">
        <f t="shared" si="15"/>
        <v>-70400</v>
      </c>
      <c r="G60" s="28">
        <f t="shared" si="15"/>
        <v>-77000</v>
      </c>
      <c r="H60" s="28">
        <f t="shared" si="15"/>
        <v>-79200</v>
      </c>
      <c r="I60" s="28">
        <f t="shared" si="15"/>
        <v>-77000</v>
      </c>
    </row>
    <row r="61" spans="1:12" x14ac:dyDescent="0.2">
      <c r="B61" t="str">
        <f t="shared" si="11"/>
        <v>Puffer für unerwartetes</v>
      </c>
      <c r="C61" s="28">
        <f t="shared" ref="C61:I61" si="16">C35-C9</f>
        <v>-7360</v>
      </c>
      <c r="D61" s="28">
        <f t="shared" si="16"/>
        <v>-15200</v>
      </c>
      <c r="E61" s="28">
        <f t="shared" si="16"/>
        <v>-21600</v>
      </c>
      <c r="F61" s="28">
        <f t="shared" si="16"/>
        <v>-25600</v>
      </c>
      <c r="G61" s="28">
        <f t="shared" si="16"/>
        <v>-28000</v>
      </c>
      <c r="H61" s="28">
        <f t="shared" si="16"/>
        <v>-26400</v>
      </c>
      <c r="I61" s="28">
        <f t="shared" si="16"/>
        <v>-25199.999999999996</v>
      </c>
    </row>
    <row r="62" spans="1:12" x14ac:dyDescent="0.2">
      <c r="B62" t="str">
        <f>B49</f>
        <v>Materialkosten</v>
      </c>
      <c r="C62" s="28">
        <f t="shared" ref="C62:I62" si="17">C36-C10</f>
        <v>-1960</v>
      </c>
      <c r="D62" s="28">
        <f t="shared" si="17"/>
        <v>-3840</v>
      </c>
      <c r="E62" s="28">
        <f t="shared" si="17"/>
        <v>-6580</v>
      </c>
      <c r="F62" s="28">
        <f t="shared" si="17"/>
        <v>-9200</v>
      </c>
      <c r="G62" s="28">
        <f t="shared" si="17"/>
        <v>-11700</v>
      </c>
      <c r="H62" s="28">
        <f t="shared" si="17"/>
        <v>-14080</v>
      </c>
      <c r="I62" s="28">
        <f t="shared" si="17"/>
        <v>-18060</v>
      </c>
    </row>
    <row r="66" spans="1:20" ht="23.25" x14ac:dyDescent="0.35">
      <c r="A66" s="27" t="s">
        <v>35</v>
      </c>
      <c r="N66" s="27" t="s">
        <v>42</v>
      </c>
    </row>
    <row r="68" spans="1:20" x14ac:dyDescent="0.2">
      <c r="B68" t="s">
        <v>16</v>
      </c>
      <c r="C68" t="s">
        <v>19</v>
      </c>
      <c r="D68" t="s">
        <v>20</v>
      </c>
      <c r="E68" t="s">
        <v>21</v>
      </c>
      <c r="F68" t="s">
        <v>22</v>
      </c>
      <c r="G68" t="s">
        <v>23</v>
      </c>
      <c r="H68" t="s">
        <v>24</v>
      </c>
      <c r="I68" t="s">
        <v>25</v>
      </c>
      <c r="N68" t="s">
        <v>19</v>
      </c>
      <c r="O68" t="s">
        <v>20</v>
      </c>
      <c r="P68" t="s">
        <v>21</v>
      </c>
      <c r="Q68" t="s">
        <v>22</v>
      </c>
      <c r="R68" t="s">
        <v>23</v>
      </c>
      <c r="S68" t="s">
        <v>24</v>
      </c>
      <c r="T68" t="s">
        <v>25</v>
      </c>
    </row>
    <row r="69" spans="1:20" x14ac:dyDescent="0.2">
      <c r="B69" t="str">
        <f>B56</f>
        <v>Anforderungsanalyse</v>
      </c>
      <c r="C69" s="29">
        <f t="shared" ref="C69:C75" si="18">IF(C17=0,$L$70,C30/C17)</f>
        <v>0.3952941176470588</v>
      </c>
      <c r="D69" s="29">
        <f t="shared" ref="D69:D75" si="19">IF(D17=0,$L$70,D30/D17)</f>
        <v>5.647058823529412E-2</v>
      </c>
      <c r="E69" s="29">
        <f t="shared" ref="E69:E75" si="20">IF(E17=0,$L$70,E30/E17)</f>
        <v>0.11000763941940413</v>
      </c>
      <c r="F69" s="29">
        <f t="shared" ref="F69:F75" si="21">IF(F17=0,$L$70,F30/F17)</f>
        <v>0.31964483906770258</v>
      </c>
      <c r="G69" s="29">
        <f t="shared" ref="G69:G75" si="22">IF(G17=0,$L$70,G30/G17)</f>
        <v>0.53274139844617097</v>
      </c>
      <c r="H69" s="29">
        <f t="shared" ref="H69:H75" si="23">IF(H17=0,$L$70,H30/H17)</f>
        <v>0.85238623751387343</v>
      </c>
      <c r="I69" s="29">
        <f t="shared" ref="I69" si="24">IF(I17=0,"-",I30/I17)</f>
        <v>0.95893451720310763</v>
      </c>
      <c r="K69" t="s">
        <v>18</v>
      </c>
      <c r="L69" t="s">
        <v>74</v>
      </c>
      <c r="M69" t="s">
        <v>37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</row>
    <row r="70" spans="1:20" x14ac:dyDescent="0.2">
      <c r="B70" t="str">
        <f t="shared" ref="B70:B74" si="25">B57</f>
        <v>Design und Architektur</v>
      </c>
      <c r="C70" s="29" t="str">
        <f t="shared" si="18"/>
        <v>-</v>
      </c>
      <c r="D70" s="29" t="str">
        <f t="shared" si="19"/>
        <v>-</v>
      </c>
      <c r="E70" s="29" t="str">
        <f t="shared" si="20"/>
        <v>-</v>
      </c>
      <c r="F70" s="29">
        <f t="shared" si="21"/>
        <v>6.1176470588235297E-2</v>
      </c>
      <c r="G70" s="29">
        <f t="shared" si="22"/>
        <v>8.067226890756303E-2</v>
      </c>
      <c r="H70" s="29">
        <f t="shared" si="23"/>
        <v>0.19228336495888679</v>
      </c>
      <c r="I70" s="29">
        <f t="shared" ref="I70" si="26">IF(I18=0,"-",I31/I18)</f>
        <v>0.78583666476299252</v>
      </c>
      <c r="K70" t="s">
        <v>65</v>
      </c>
      <c r="L70" t="s">
        <v>66</v>
      </c>
    </row>
    <row r="71" spans="1:20" x14ac:dyDescent="0.2">
      <c r="B71" t="str">
        <f t="shared" si="25"/>
        <v>Implementierung</v>
      </c>
      <c r="C71" s="29" t="str">
        <f t="shared" si="18"/>
        <v>-</v>
      </c>
      <c r="D71" s="29" t="str">
        <f t="shared" si="19"/>
        <v>-</v>
      </c>
      <c r="E71" s="29" t="str">
        <f t="shared" si="20"/>
        <v>-</v>
      </c>
      <c r="F71" s="29" t="str">
        <f t="shared" si="21"/>
        <v>-</v>
      </c>
      <c r="G71" s="29" t="str">
        <f t="shared" si="22"/>
        <v>-</v>
      </c>
      <c r="H71" s="29">
        <f t="shared" si="23"/>
        <v>0.5270588235294118</v>
      </c>
      <c r="I71" s="29">
        <f t="shared" ref="I71" si="27">IF(I19=0,"-",I32/I19)</f>
        <v>0.94117647058823528</v>
      </c>
    </row>
    <row r="72" spans="1:20" x14ac:dyDescent="0.2">
      <c r="B72" t="str">
        <f t="shared" si="25"/>
        <v>Integration und Test</v>
      </c>
      <c r="C72" s="29" t="str">
        <f t="shared" si="18"/>
        <v>-</v>
      </c>
      <c r="D72" s="29" t="str">
        <f t="shared" si="19"/>
        <v>-</v>
      </c>
      <c r="E72" s="29" t="str">
        <f t="shared" si="20"/>
        <v>-</v>
      </c>
      <c r="F72" s="29" t="str">
        <f t="shared" si="21"/>
        <v>-</v>
      </c>
      <c r="G72" s="29" t="str">
        <f t="shared" si="22"/>
        <v>-</v>
      </c>
      <c r="H72" s="29" t="str">
        <f t="shared" si="23"/>
        <v>-</v>
      </c>
      <c r="I72" s="29">
        <f t="shared" ref="I72" si="28">IF(I20=0,"-",I33/I20)</f>
        <v>0.13445378151260504</v>
      </c>
    </row>
    <row r="73" spans="1:20" x14ac:dyDescent="0.2">
      <c r="B73" t="str">
        <f t="shared" si="25"/>
        <v>Projektmanagement</v>
      </c>
      <c r="C73" s="29">
        <f t="shared" si="18"/>
        <v>6.9019607843137251E-2</v>
      </c>
      <c r="D73" s="29">
        <f t="shared" si="19"/>
        <v>2.3529411764705882E-2</v>
      </c>
      <c r="E73" s="29">
        <f t="shared" si="20"/>
        <v>7.7647058823529416E-2</v>
      </c>
      <c r="F73" s="29">
        <f t="shared" si="21"/>
        <v>0.11503267973856209</v>
      </c>
      <c r="G73" s="29">
        <f t="shared" si="22"/>
        <v>0.19411764705882353</v>
      </c>
      <c r="H73" s="29">
        <f t="shared" si="23"/>
        <v>0.28235294117647058</v>
      </c>
      <c r="I73" s="29">
        <f t="shared" ref="I73" si="29">IF(I21=0,"-",I34/I21)</f>
        <v>0.37745098039215685</v>
      </c>
    </row>
    <row r="74" spans="1:20" x14ac:dyDescent="0.2">
      <c r="B74" t="str">
        <f t="shared" si="25"/>
        <v>Puffer für unerwartetes</v>
      </c>
      <c r="C74" s="29">
        <f t="shared" si="18"/>
        <v>4.7058823529411764E-2</v>
      </c>
      <c r="D74" s="29">
        <f t="shared" si="19"/>
        <v>4.8019207683073226E-3</v>
      </c>
      <c r="E74" s="29">
        <f t="shared" si="20"/>
        <v>7.9312623925974889E-3</v>
      </c>
      <c r="F74" s="29">
        <f t="shared" si="21"/>
        <v>1.8776587941909929E-2</v>
      </c>
      <c r="G74" s="29">
        <f t="shared" si="22"/>
        <v>3.4772529701535784E-2</v>
      </c>
      <c r="H74" s="29">
        <f t="shared" si="23"/>
        <v>6.1829111206526406E-2</v>
      </c>
      <c r="I74" s="29">
        <f t="shared" ref="I74" si="30">IF(I22=0,"-",I35/I22)</f>
        <v>8.7104072398190055E-2</v>
      </c>
    </row>
    <row r="75" spans="1:20" x14ac:dyDescent="0.2">
      <c r="B75" t="str">
        <f>B62</f>
        <v>Materialkosten</v>
      </c>
      <c r="C75" s="29">
        <f t="shared" si="18"/>
        <v>0.02</v>
      </c>
      <c r="D75" s="29">
        <f t="shared" si="19"/>
        <v>4.5714285714285714E-2</v>
      </c>
      <c r="E75" s="29">
        <f t="shared" si="20"/>
        <v>8.5714285714285715E-2</v>
      </c>
      <c r="F75" s="29">
        <f t="shared" si="21"/>
        <v>0.125</v>
      </c>
      <c r="G75" s="29">
        <f t="shared" si="22"/>
        <v>0.17567567567567569</v>
      </c>
      <c r="H75" s="29">
        <f t="shared" si="23"/>
        <v>0.128</v>
      </c>
      <c r="I75" s="29">
        <f>IF(I23=0,"-",I36/I23)</f>
        <v>0.18148148148148152</v>
      </c>
    </row>
    <row r="79" spans="1:20" ht="23.25" x14ac:dyDescent="0.35">
      <c r="A79" s="27" t="s">
        <v>36</v>
      </c>
    </row>
    <row r="81" spans="1:13" x14ac:dyDescent="0.2">
      <c r="B81" t="s">
        <v>16</v>
      </c>
      <c r="C81" t="s">
        <v>19</v>
      </c>
      <c r="D81" t="s">
        <v>20</v>
      </c>
      <c r="E81" t="s">
        <v>21</v>
      </c>
      <c r="F81" t="s">
        <v>22</v>
      </c>
      <c r="G81" t="s">
        <v>23</v>
      </c>
      <c r="H81" t="s">
        <v>24</v>
      </c>
      <c r="I81" t="s">
        <v>25</v>
      </c>
    </row>
    <row r="82" spans="1:13" x14ac:dyDescent="0.2">
      <c r="B82" t="str">
        <f>B69</f>
        <v>Anforderungsanalyse</v>
      </c>
      <c r="C82" s="29">
        <f t="shared" ref="C82:C88" si="31">IF(C4=0,$L$70,C30/C4)</f>
        <v>0.35</v>
      </c>
      <c r="D82" s="29">
        <f t="shared" ref="D82:D88" si="32">IF(D4=0,$L$70,D30/D4)</f>
        <v>0.05</v>
      </c>
      <c r="E82" s="29">
        <f t="shared" ref="E82:E88" si="33">IF(E4=0,$L$70,E30/E4)</f>
        <v>0.1</v>
      </c>
      <c r="F82" s="29">
        <f t="shared" ref="F82:F88" si="34">IF(F4=0,$L$70,F30/F4)</f>
        <v>0.3</v>
      </c>
      <c r="G82" s="29">
        <f t="shared" ref="G82:G88" si="35">IF(G4=0,$L$70,G30/G4)</f>
        <v>0.5</v>
      </c>
      <c r="H82" s="29">
        <f t="shared" ref="H82:H88" si="36">IF(H4=0,$L$70,H30/H4)</f>
        <v>0.8</v>
      </c>
      <c r="I82" s="29">
        <f t="shared" ref="I82" si="37">IF(I4=0,"-",I30/I4)</f>
        <v>0.9</v>
      </c>
      <c r="K82" t="s">
        <v>18</v>
      </c>
      <c r="L82" t="s">
        <v>40</v>
      </c>
      <c r="M82" t="s">
        <v>37</v>
      </c>
    </row>
    <row r="83" spans="1:13" x14ac:dyDescent="0.2">
      <c r="B83" t="str">
        <f t="shared" ref="B83:B87" si="38">B70</f>
        <v>Design und Architektur</v>
      </c>
      <c r="C83" s="29" t="str">
        <f t="shared" si="31"/>
        <v>-</v>
      </c>
      <c r="D83" s="29" t="str">
        <f t="shared" si="32"/>
        <v>-</v>
      </c>
      <c r="E83" s="29">
        <f t="shared" si="33"/>
        <v>0</v>
      </c>
      <c r="F83" s="29">
        <f t="shared" si="34"/>
        <v>0.05</v>
      </c>
      <c r="G83" s="29">
        <f t="shared" si="35"/>
        <v>0.05</v>
      </c>
      <c r="H83" s="29">
        <f t="shared" si="36"/>
        <v>0.1</v>
      </c>
      <c r="I83" s="29">
        <f t="shared" ref="I83" si="39">IF(I5=0,"-",I31/I5)</f>
        <v>0.4</v>
      </c>
    </row>
    <row r="84" spans="1:13" x14ac:dyDescent="0.2">
      <c r="B84" t="str">
        <f t="shared" si="38"/>
        <v>Implementierung</v>
      </c>
      <c r="C84" s="29" t="str">
        <f t="shared" si="31"/>
        <v>-</v>
      </c>
      <c r="D84" s="29" t="str">
        <f t="shared" si="32"/>
        <v>-</v>
      </c>
      <c r="E84" s="29" t="str">
        <f t="shared" si="33"/>
        <v>-</v>
      </c>
      <c r="F84" s="29">
        <f t="shared" si="34"/>
        <v>0</v>
      </c>
      <c r="G84" s="29">
        <f t="shared" si="35"/>
        <v>0</v>
      </c>
      <c r="H84" s="29">
        <f t="shared" si="36"/>
        <v>0.1</v>
      </c>
      <c r="I84" s="29">
        <f t="shared" ref="I84" si="40">IF(I6=0,"-",I32/I6)</f>
        <v>0.25</v>
      </c>
    </row>
    <row r="85" spans="1:13" x14ac:dyDescent="0.2">
      <c r="B85" t="str">
        <f t="shared" si="38"/>
        <v>Integration und Test</v>
      </c>
      <c r="C85" s="29" t="str">
        <f t="shared" si="31"/>
        <v>-</v>
      </c>
      <c r="D85" s="29" t="str">
        <f t="shared" si="32"/>
        <v>-</v>
      </c>
      <c r="E85" s="29" t="str">
        <f t="shared" si="33"/>
        <v>-</v>
      </c>
      <c r="F85" s="29" t="str">
        <f t="shared" si="34"/>
        <v>-</v>
      </c>
      <c r="G85" s="29" t="str">
        <f t="shared" si="35"/>
        <v>-</v>
      </c>
      <c r="H85" s="29" t="str">
        <f t="shared" si="36"/>
        <v>-</v>
      </c>
      <c r="I85" s="29">
        <f t="shared" ref="I85" si="41">IF(I7=0,"-",I33/I7)</f>
        <v>0.25</v>
      </c>
    </row>
    <row r="86" spans="1:13" x14ac:dyDescent="0.2">
      <c r="B86" t="str">
        <f t="shared" si="38"/>
        <v>Projektmanagement</v>
      </c>
      <c r="C86" s="29">
        <f t="shared" si="31"/>
        <v>0.08</v>
      </c>
      <c r="D86" s="29">
        <f t="shared" si="32"/>
        <v>0.05</v>
      </c>
      <c r="E86" s="29">
        <f t="shared" si="33"/>
        <v>0.15</v>
      </c>
      <c r="F86" s="29">
        <f t="shared" si="34"/>
        <v>0.2</v>
      </c>
      <c r="G86" s="29">
        <f t="shared" si="35"/>
        <v>0.3</v>
      </c>
      <c r="H86" s="29">
        <f t="shared" si="36"/>
        <v>0.4</v>
      </c>
      <c r="I86" s="29">
        <f t="shared" ref="I86" si="42">IF(I8=0,"-",I34/I8)</f>
        <v>0.5</v>
      </c>
    </row>
    <row r="87" spans="1:13" x14ac:dyDescent="0.2">
      <c r="B87" t="str">
        <f t="shared" si="38"/>
        <v>Puffer für unerwartetes</v>
      </c>
      <c r="C87" s="29">
        <f t="shared" si="31"/>
        <v>0.08</v>
      </c>
      <c r="D87" s="29">
        <f t="shared" si="32"/>
        <v>0.05</v>
      </c>
      <c r="E87" s="29">
        <f t="shared" si="33"/>
        <v>0.1</v>
      </c>
      <c r="F87" s="29">
        <f t="shared" si="34"/>
        <v>0.2</v>
      </c>
      <c r="G87" s="29">
        <f t="shared" si="35"/>
        <v>0.3</v>
      </c>
      <c r="H87" s="29">
        <f t="shared" si="36"/>
        <v>0.45</v>
      </c>
      <c r="I87" s="29">
        <f t="shared" ref="I87" si="43">IF(I9=0,"-",I35/I9)</f>
        <v>0.55000000000000004</v>
      </c>
    </row>
    <row r="88" spans="1:13" x14ac:dyDescent="0.2">
      <c r="B88" t="str">
        <f>B75</f>
        <v>Materialkosten</v>
      </c>
      <c r="C88" s="29">
        <f t="shared" si="31"/>
        <v>0.02</v>
      </c>
      <c r="D88" s="29">
        <f t="shared" si="32"/>
        <v>0.04</v>
      </c>
      <c r="E88" s="29">
        <f t="shared" si="33"/>
        <v>0.06</v>
      </c>
      <c r="F88" s="29">
        <f t="shared" si="34"/>
        <v>0.08</v>
      </c>
      <c r="G88" s="29">
        <f t="shared" si="35"/>
        <v>0.1</v>
      </c>
      <c r="H88" s="29">
        <f t="shared" si="36"/>
        <v>0.12</v>
      </c>
      <c r="I88" s="29">
        <f t="shared" ref="I88" si="44">IF(I10=0,"-",I36/I10)</f>
        <v>0.14000000000000001</v>
      </c>
    </row>
    <row r="92" spans="1:13" ht="23.25" x14ac:dyDescent="0.35">
      <c r="A92" s="33" t="s">
        <v>71</v>
      </c>
      <c r="E92">
        <f>'Budgetierte Kosten'!$P$11</f>
        <v>1500000</v>
      </c>
      <c r="F92" t="s">
        <v>70</v>
      </c>
    </row>
    <row r="94" spans="1:13" ht="23.25" x14ac:dyDescent="0.35">
      <c r="A94" s="27" t="s">
        <v>68</v>
      </c>
    </row>
    <row r="96" spans="1:13" x14ac:dyDescent="0.2">
      <c r="B96" t="s">
        <v>16</v>
      </c>
      <c r="C96" t="s">
        <v>19</v>
      </c>
      <c r="D96" t="s">
        <v>20</v>
      </c>
      <c r="E96" t="s">
        <v>21</v>
      </c>
      <c r="F96" t="s">
        <v>22</v>
      </c>
      <c r="G96" t="s">
        <v>23</v>
      </c>
      <c r="H96" t="s">
        <v>24</v>
      </c>
      <c r="I96" t="s">
        <v>25</v>
      </c>
    </row>
    <row r="97" spans="1:12" x14ac:dyDescent="0.2">
      <c r="B97" t="str">
        <f t="shared" ref="B97:B103" si="45">B82</f>
        <v>Anforderungsanalyse</v>
      </c>
      <c r="C97" s="29">
        <f t="shared" ref="C97:I97" si="46">IF(C69=$L$70,$L$70,($E$92-C30)/C69)</f>
        <v>3752142.8571428573</v>
      </c>
      <c r="D97" s="29">
        <f t="shared" si="46"/>
        <v>26477500</v>
      </c>
      <c r="E97" s="29">
        <f t="shared" si="46"/>
        <v>13504516.666666666</v>
      </c>
      <c r="F97" s="29">
        <f t="shared" si="46"/>
        <v>4557558.333333333</v>
      </c>
      <c r="G97" s="29">
        <f t="shared" si="46"/>
        <v>2680475</v>
      </c>
      <c r="H97" s="29">
        <f t="shared" si="46"/>
        <v>1624615.625</v>
      </c>
      <c r="I97" s="29">
        <f t="shared" si="46"/>
        <v>1429086.1111111112</v>
      </c>
      <c r="K97" t="s">
        <v>18</v>
      </c>
      <c r="L97" t="s">
        <v>69</v>
      </c>
    </row>
    <row r="98" spans="1:12" x14ac:dyDescent="0.2">
      <c r="B98" t="str">
        <f t="shared" si="45"/>
        <v>Design und Architektur</v>
      </c>
      <c r="C98" s="29" t="str">
        <f t="shared" ref="C98:I98" si="47">IF(C70=$L$70,$L$70,($E$92-C31)/C70)</f>
        <v>-</v>
      </c>
      <c r="D98" s="29" t="str">
        <f t="shared" si="47"/>
        <v>-</v>
      </c>
      <c r="E98" s="29" t="str">
        <f t="shared" si="47"/>
        <v>-</v>
      </c>
      <c r="F98" s="29">
        <f t="shared" si="47"/>
        <v>24476730.769230768</v>
      </c>
      <c r="G98" s="29">
        <f t="shared" si="47"/>
        <v>18534250</v>
      </c>
      <c r="H98" s="29">
        <f t="shared" si="47"/>
        <v>7721936.8421052629</v>
      </c>
      <c r="I98" s="29">
        <f t="shared" si="47"/>
        <v>1821243.6046511629</v>
      </c>
    </row>
    <row r="99" spans="1:12" x14ac:dyDescent="0.2">
      <c r="B99" t="str">
        <f t="shared" si="45"/>
        <v>Implementierung</v>
      </c>
      <c r="C99" s="29" t="str">
        <f t="shared" ref="C99:I99" si="48">IF(C71=$L$70,$L$70,($E$92-C32)/C71)</f>
        <v>-</v>
      </c>
      <c r="D99" s="29" t="str">
        <f t="shared" si="48"/>
        <v>-</v>
      </c>
      <c r="E99" s="29" t="str">
        <f t="shared" si="48"/>
        <v>-</v>
      </c>
      <c r="F99" s="29" t="str">
        <f t="shared" si="48"/>
        <v>-</v>
      </c>
      <c r="G99" s="29" t="str">
        <f t="shared" si="48"/>
        <v>-</v>
      </c>
      <c r="H99" s="29">
        <f t="shared" si="48"/>
        <v>2824732.1428571427</v>
      </c>
      <c r="I99" s="29">
        <f t="shared" si="48"/>
        <v>1551250</v>
      </c>
    </row>
    <row r="100" spans="1:12" x14ac:dyDescent="0.2">
      <c r="B100" t="str">
        <f t="shared" si="45"/>
        <v>Integration und Test</v>
      </c>
      <c r="C100" s="29" t="str">
        <f t="shared" ref="C100:I100" si="49">IF(C72=$L$70,$L$70,($E$92-C33)/C72)</f>
        <v>-</v>
      </c>
      <c r="D100" s="29" t="str">
        <f t="shared" si="49"/>
        <v>-</v>
      </c>
      <c r="E100" s="29" t="str">
        <f t="shared" si="49"/>
        <v>-</v>
      </c>
      <c r="F100" s="29" t="str">
        <f t="shared" si="49"/>
        <v>-</v>
      </c>
      <c r="G100" s="29" t="str">
        <f t="shared" si="49"/>
        <v>-</v>
      </c>
      <c r="H100" s="29" t="str">
        <f t="shared" si="49"/>
        <v>-</v>
      </c>
      <c r="I100" s="29">
        <f t="shared" si="49"/>
        <v>11126500</v>
      </c>
    </row>
    <row r="101" spans="1:12" x14ac:dyDescent="0.2">
      <c r="B101" t="str">
        <f t="shared" si="45"/>
        <v>Projektmanagement</v>
      </c>
      <c r="C101" s="29">
        <f t="shared" ref="C101:I101" si="50">IF(C73=$L$70,$L$70,($E$92-C34)/C73)</f>
        <v>21707454.545454547</v>
      </c>
      <c r="D101" s="29">
        <f t="shared" si="50"/>
        <v>63656500</v>
      </c>
      <c r="E101" s="29">
        <f t="shared" si="50"/>
        <v>19190681.818181816</v>
      </c>
      <c r="F101" s="29">
        <f t="shared" si="50"/>
        <v>12886772.727272728</v>
      </c>
      <c r="G101" s="29">
        <f t="shared" si="50"/>
        <v>7557272.7272727275</v>
      </c>
      <c r="H101" s="29">
        <f t="shared" si="50"/>
        <v>5125500</v>
      </c>
      <c r="I101" s="29">
        <f t="shared" si="50"/>
        <v>3770025.9740259741</v>
      </c>
    </row>
    <row r="102" spans="1:12" x14ac:dyDescent="0.2">
      <c r="B102" t="str">
        <f t="shared" si="45"/>
        <v>Puffer für unerwartetes</v>
      </c>
      <c r="C102" s="29">
        <f t="shared" ref="C102:I102" si="51">IF(C74=$L$70,$L$70,($E$92-C35)/C74)</f>
        <v>31861400</v>
      </c>
      <c r="D102" s="29">
        <f t="shared" si="51"/>
        <v>312208400</v>
      </c>
      <c r="E102" s="29">
        <f t="shared" si="51"/>
        <v>188822400</v>
      </c>
      <c r="F102" s="29">
        <f t="shared" si="51"/>
        <v>79545868.75</v>
      </c>
      <c r="G102" s="29">
        <f t="shared" si="51"/>
        <v>42792400</v>
      </c>
      <c r="H102" s="29">
        <f t="shared" si="51"/>
        <v>23911066.666666668</v>
      </c>
      <c r="I102" s="29">
        <f t="shared" si="51"/>
        <v>16867179.220779218</v>
      </c>
    </row>
    <row r="103" spans="1:12" x14ac:dyDescent="0.2">
      <c r="B103" t="str">
        <f t="shared" si="45"/>
        <v>Materialkosten</v>
      </c>
      <c r="C103" s="29">
        <f t="shared" ref="C103:I103" si="52">IF(C75=$L$70,$L$70,($E$92-C36)/C75)</f>
        <v>74998000</v>
      </c>
      <c r="D103" s="29">
        <f t="shared" si="52"/>
        <v>32809000</v>
      </c>
      <c r="E103" s="29">
        <f t="shared" si="52"/>
        <v>17495100</v>
      </c>
      <c r="F103" s="29">
        <f t="shared" si="52"/>
        <v>11993600</v>
      </c>
      <c r="G103" s="29">
        <f t="shared" si="52"/>
        <v>8531061.538461538</v>
      </c>
      <c r="H103" s="29">
        <f t="shared" si="52"/>
        <v>11703750</v>
      </c>
      <c r="I103" s="29">
        <f t="shared" si="52"/>
        <v>8249106.122448978</v>
      </c>
    </row>
    <row r="107" spans="1:12" ht="23.25" x14ac:dyDescent="0.35">
      <c r="A107" s="33" t="s">
        <v>72</v>
      </c>
    </row>
    <row r="109" spans="1:12" x14ac:dyDescent="0.2">
      <c r="B109" t="s">
        <v>16</v>
      </c>
      <c r="C109" t="s">
        <v>19</v>
      </c>
      <c r="D109" t="s">
        <v>20</v>
      </c>
      <c r="E109" t="s">
        <v>21</v>
      </c>
      <c r="F109" t="s">
        <v>22</v>
      </c>
      <c r="G109" t="s">
        <v>23</v>
      </c>
      <c r="H109" t="s">
        <v>24</v>
      </c>
      <c r="I109" t="s">
        <v>25</v>
      </c>
    </row>
    <row r="110" spans="1:12" x14ac:dyDescent="0.2">
      <c r="B110" t="str">
        <f t="shared" ref="B110:B116" si="53">B97</f>
        <v>Anforderungsanalyse</v>
      </c>
      <c r="C110" s="29">
        <f t="shared" ref="C110:I110" si="54">IF(C69=$L$70,$L$70,$E$92/C69)</f>
        <v>3794642.8571428573</v>
      </c>
      <c r="D110" s="29">
        <f t="shared" si="54"/>
        <v>26562500</v>
      </c>
      <c r="E110" s="29">
        <f t="shared" si="54"/>
        <v>13635416.666666666</v>
      </c>
      <c r="F110" s="29">
        <f t="shared" si="54"/>
        <v>4692708.333333333</v>
      </c>
      <c r="G110" s="29">
        <f t="shared" si="54"/>
        <v>2815624.9999999995</v>
      </c>
      <c r="H110" s="29">
        <f t="shared" si="54"/>
        <v>1759765.625</v>
      </c>
      <c r="I110" s="29">
        <f t="shared" si="54"/>
        <v>1564236.1111111112</v>
      </c>
      <c r="K110" t="s">
        <v>18</v>
      </c>
      <c r="L110" t="s">
        <v>73</v>
      </c>
    </row>
    <row r="111" spans="1:12" x14ac:dyDescent="0.2">
      <c r="B111" t="str">
        <f t="shared" si="53"/>
        <v>Design und Architektur</v>
      </c>
      <c r="C111" s="29" t="str">
        <f t="shared" ref="C111:I111" si="55">IF(C70=$L$70,$L$70,$E$92/C70)</f>
        <v>-</v>
      </c>
      <c r="D111" s="29" t="str">
        <f t="shared" si="55"/>
        <v>-</v>
      </c>
      <c r="E111" s="29" t="str">
        <f t="shared" si="55"/>
        <v>-</v>
      </c>
      <c r="F111" s="29">
        <f t="shared" si="55"/>
        <v>24519230.769230768</v>
      </c>
      <c r="G111" s="29">
        <f t="shared" si="55"/>
        <v>18593750</v>
      </c>
      <c r="H111" s="29">
        <f t="shared" si="55"/>
        <v>7800986.8421052629</v>
      </c>
      <c r="I111" s="29">
        <f t="shared" si="55"/>
        <v>1908793.6046511629</v>
      </c>
    </row>
    <row r="112" spans="1:12" x14ac:dyDescent="0.2">
      <c r="B112" t="str">
        <f t="shared" si="53"/>
        <v>Implementierung</v>
      </c>
      <c r="C112" s="29" t="str">
        <f t="shared" ref="C112:I112" si="56">IF(C71=$L$70,$L$70,$E$92/C71)</f>
        <v>-</v>
      </c>
      <c r="D112" s="29" t="str">
        <f t="shared" si="56"/>
        <v>-</v>
      </c>
      <c r="E112" s="29" t="str">
        <f t="shared" si="56"/>
        <v>-</v>
      </c>
      <c r="F112" s="29" t="str">
        <f t="shared" si="56"/>
        <v>-</v>
      </c>
      <c r="G112" s="29" t="str">
        <f t="shared" si="56"/>
        <v>-</v>
      </c>
      <c r="H112" s="29">
        <f t="shared" si="56"/>
        <v>2845982.1428571427</v>
      </c>
      <c r="I112" s="29">
        <f t="shared" si="56"/>
        <v>1593750</v>
      </c>
    </row>
    <row r="113" spans="2:9" x14ac:dyDescent="0.2">
      <c r="B113" t="str">
        <f t="shared" si="53"/>
        <v>Integration und Test</v>
      </c>
      <c r="C113" s="29" t="str">
        <f t="shared" ref="C113:I113" si="57">IF(C72=$L$70,$L$70,$E$92/C72)</f>
        <v>-</v>
      </c>
      <c r="D113" s="29" t="str">
        <f t="shared" si="57"/>
        <v>-</v>
      </c>
      <c r="E113" s="29" t="str">
        <f t="shared" si="57"/>
        <v>-</v>
      </c>
      <c r="F113" s="29" t="str">
        <f t="shared" si="57"/>
        <v>-</v>
      </c>
      <c r="G113" s="29" t="str">
        <f t="shared" si="57"/>
        <v>-</v>
      </c>
      <c r="H113" s="29" t="str">
        <f t="shared" si="57"/>
        <v>-</v>
      </c>
      <c r="I113" s="29">
        <f t="shared" si="57"/>
        <v>11156250</v>
      </c>
    </row>
    <row r="114" spans="2:9" x14ac:dyDescent="0.2">
      <c r="B114" t="str">
        <f t="shared" si="53"/>
        <v>Projektmanagement</v>
      </c>
      <c r="C114" s="29">
        <f t="shared" ref="C114:I114" si="58">IF(C73=$L$70,$L$70,$E$92/C73)</f>
        <v>21732954.545454547</v>
      </c>
      <c r="D114" s="29">
        <f t="shared" si="58"/>
        <v>63750000</v>
      </c>
      <c r="E114" s="29">
        <f t="shared" si="58"/>
        <v>19318181.818181816</v>
      </c>
      <c r="F114" s="29">
        <f t="shared" si="58"/>
        <v>13039772.727272728</v>
      </c>
      <c r="G114" s="29">
        <f t="shared" si="58"/>
        <v>7727272.7272727275</v>
      </c>
      <c r="H114" s="29">
        <f t="shared" si="58"/>
        <v>5312500</v>
      </c>
      <c r="I114" s="29">
        <f t="shared" si="58"/>
        <v>3974025.9740259741</v>
      </c>
    </row>
    <row r="115" spans="2:9" x14ac:dyDescent="0.2">
      <c r="B115" t="str">
        <f t="shared" si="53"/>
        <v>Puffer für unerwartetes</v>
      </c>
      <c r="C115" s="29">
        <f t="shared" ref="C115:I115" si="59">IF(C74=$L$70,$L$70,$E$92/C74)</f>
        <v>31875000</v>
      </c>
      <c r="D115" s="29">
        <f t="shared" si="59"/>
        <v>312375000</v>
      </c>
      <c r="E115" s="29">
        <f t="shared" si="59"/>
        <v>189125000</v>
      </c>
      <c r="F115" s="29">
        <f t="shared" si="59"/>
        <v>79886718.75</v>
      </c>
      <c r="G115" s="29">
        <f t="shared" si="59"/>
        <v>43137500</v>
      </c>
      <c r="H115" s="29">
        <f t="shared" si="59"/>
        <v>24260416.666666668</v>
      </c>
      <c r="I115" s="29">
        <f t="shared" si="59"/>
        <v>17220779.220779218</v>
      </c>
    </row>
    <row r="116" spans="2:9" x14ac:dyDescent="0.2">
      <c r="B116" t="str">
        <f t="shared" si="53"/>
        <v>Materialkosten</v>
      </c>
      <c r="C116" s="29">
        <f t="shared" ref="C116:I116" si="60">IF(C75=$L$70,$L$70,$E$92/C75)</f>
        <v>75000000</v>
      </c>
      <c r="D116" s="29">
        <f t="shared" si="60"/>
        <v>32812500</v>
      </c>
      <c r="E116" s="29">
        <f t="shared" si="60"/>
        <v>17500000</v>
      </c>
      <c r="F116" s="29">
        <f t="shared" si="60"/>
        <v>12000000</v>
      </c>
      <c r="G116" s="29">
        <f t="shared" si="60"/>
        <v>8538461.538461538</v>
      </c>
      <c r="H116" s="29">
        <f t="shared" si="60"/>
        <v>11718750</v>
      </c>
      <c r="I116" s="29">
        <f t="shared" si="60"/>
        <v>8265306.122448978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4"/>
  <sheetViews>
    <sheetView topLeftCell="A4" workbookViewId="0">
      <selection activeCell="B30" sqref="B30"/>
    </sheetView>
  </sheetViews>
  <sheetFormatPr baseColWidth="10" defaultRowHeight="12.75" x14ac:dyDescent="0.2"/>
  <cols>
    <col min="2" max="2" width="19.28515625" customWidth="1"/>
    <col min="5" max="5" width="16.140625" customWidth="1"/>
    <col min="6" max="6" width="12.42578125" bestFit="1" customWidth="1"/>
    <col min="8" max="8" width="14.42578125" customWidth="1"/>
    <col min="10" max="10" width="18.42578125" customWidth="1"/>
  </cols>
  <sheetData>
    <row r="2" spans="1:11" ht="23.25" x14ac:dyDescent="0.35">
      <c r="A2" s="27" t="s">
        <v>57</v>
      </c>
    </row>
    <row r="3" spans="1:11" x14ac:dyDescent="0.2">
      <c r="J3" t="s">
        <v>49</v>
      </c>
      <c r="K3">
        <v>0.5</v>
      </c>
    </row>
    <row r="4" spans="1:11" x14ac:dyDescent="0.2">
      <c r="B4" t="s">
        <v>16</v>
      </c>
      <c r="C4" t="s">
        <v>43</v>
      </c>
      <c r="D4" t="s">
        <v>44</v>
      </c>
      <c r="E4" t="s">
        <v>45</v>
      </c>
      <c r="F4" t="s">
        <v>48</v>
      </c>
      <c r="G4" t="s">
        <v>46</v>
      </c>
      <c r="H4" t="s">
        <v>47</v>
      </c>
      <c r="J4" t="s">
        <v>50</v>
      </c>
      <c r="K4">
        <v>1</v>
      </c>
    </row>
    <row r="5" spans="1:11" x14ac:dyDescent="0.2">
      <c r="B5" t="str">
        <f>Kennzahlen!B56</f>
        <v>Anforderungsanalyse</v>
      </c>
      <c r="C5" s="29">
        <f>Kennzahlen!I69</f>
        <v>0.95893451720310763</v>
      </c>
      <c r="D5" s="29">
        <f>Kennzahlen!I82</f>
        <v>0.9</v>
      </c>
      <c r="E5" s="30">
        <f>'Fertigstellungsgrad der Akt.'!H2</f>
        <v>0.9</v>
      </c>
      <c r="F5" s="31">
        <f>'Budgetierte Kosten'!P2/1000</f>
        <v>144</v>
      </c>
      <c r="G5" s="32" t="str">
        <f>IF(OR(Tabelle9[[#This Row],[CPI]]&lt;$K$3, Tabelle9[[#This Row],[SPI]]&lt;$K$3),$K$6, IF(OR(Tabelle9[[#This Row],[CPI]]&lt;$K$4, Tabelle9[[#This Row],[SPI]]&lt;$K$4),$K$7, $K$8))</f>
        <v>Gelb</v>
      </c>
      <c r="H5" t="str">
        <f>IF(C18=Kennzahlen!$L$70,Kennzahlen!$L$70,IF(OR(ABS(Tabelle9[[#This Row],[CPI]]-C18)&lt;=$K$13),$K$12, IF(OR(Tabelle9[[#This Row],[CPI]]&lt;C18,Tabelle9[[#This Row],[SPI]]&lt;D18), $K$11, $K$10)))</f>
        <v>POS</v>
      </c>
    </row>
    <row r="6" spans="1:11" x14ac:dyDescent="0.2">
      <c r="B6" t="str">
        <f>Kennzahlen!B57</f>
        <v>Design und Architektur</v>
      </c>
      <c r="C6" s="29">
        <f>Kennzahlen!I70</f>
        <v>0.78583666476299252</v>
      </c>
      <c r="D6" s="29">
        <f>Kennzahlen!I83</f>
        <v>0.4</v>
      </c>
      <c r="E6" s="30">
        <f>'Fertigstellungsgrad der Akt.'!H3</f>
        <v>0.4</v>
      </c>
      <c r="F6" s="31">
        <f>'Budgetierte Kosten'!P3/1000</f>
        <v>236</v>
      </c>
      <c r="G6" s="32" t="str">
        <f>IF(OR(Tabelle9[[#This Row],[CPI]]&lt;$K$3, Tabelle9[[#This Row],[SPI]]&lt;$K$3),$K$6, IF(OR(Tabelle9[[#This Row],[CPI]]&lt;$K$4, Tabelle9[[#This Row],[SPI]]&lt;$K$4),$K$7, $K$8))</f>
        <v>Rot</v>
      </c>
      <c r="H6" t="str">
        <f>IF(C19=Kennzahlen!$L$70,Kennzahlen!$L$70,IF(OR(ABS(Tabelle9[[#This Row],[CPI]]-C19)&lt;=$K$13),$K$12, IF(OR(Tabelle9[[#This Row],[CPI]]&lt;C19,Tabelle9[[#This Row],[SPI]]&lt;D19), $K$11, $K$10)))</f>
        <v>POS</v>
      </c>
      <c r="J6" t="s">
        <v>51</v>
      </c>
      <c r="K6" t="s">
        <v>52</v>
      </c>
    </row>
    <row r="7" spans="1:11" x14ac:dyDescent="0.2">
      <c r="B7" t="str">
        <f>Kennzahlen!B58</f>
        <v>Implementierung</v>
      </c>
      <c r="C7" s="29">
        <f>Kennzahlen!I71</f>
        <v>0.94117647058823528</v>
      </c>
      <c r="D7" s="29">
        <f>Kennzahlen!I84</f>
        <v>0.25</v>
      </c>
      <c r="E7" s="30">
        <f>'Fertigstellungsgrad der Akt.'!H4</f>
        <v>0.25</v>
      </c>
      <c r="F7" s="31">
        <f>'Budgetierte Kosten'!P4/1000</f>
        <v>392</v>
      </c>
      <c r="G7" s="32" t="str">
        <f>IF(OR(Tabelle9[[#This Row],[CPI]]&lt;$K$3, Tabelle9[[#This Row],[SPI]]&lt;$K$3),$K$6, IF(OR(Tabelle9[[#This Row],[CPI]]&lt;$K$4, Tabelle9[[#This Row],[SPI]]&lt;$K$4),$K$7, $K$8))</f>
        <v>Rot</v>
      </c>
      <c r="H7" t="str">
        <f>IF(C20=Kennzahlen!$L$70,Kennzahlen!$L$70,IF(OR(ABS(Tabelle9[[#This Row],[CPI]]-C20)&lt;=$K$13),$K$12, IF(OR(Tabelle9[[#This Row],[CPI]]&lt;C20,Tabelle9[[#This Row],[SPI]]&lt;D20), $K$11, $K$10)))</f>
        <v>POS</v>
      </c>
      <c r="J7" t="s">
        <v>53</v>
      </c>
      <c r="K7" t="s">
        <v>54</v>
      </c>
    </row>
    <row r="8" spans="1:11" x14ac:dyDescent="0.2">
      <c r="B8" t="str">
        <f>Kennzahlen!B59</f>
        <v>Integration und Test</v>
      </c>
      <c r="C8" s="29">
        <f>Kennzahlen!I72</f>
        <v>0.13445378151260504</v>
      </c>
      <c r="D8" s="29">
        <f>Kennzahlen!I85</f>
        <v>0.25</v>
      </c>
      <c r="E8" s="30">
        <f>'Fertigstellungsgrad der Akt.'!H5</f>
        <v>0.25</v>
      </c>
      <c r="F8" s="31">
        <f>'Budgetierte Kosten'!P5/1000</f>
        <v>252</v>
      </c>
      <c r="G8" s="32" t="str">
        <f>IF(OR(Tabelle9[[#This Row],[CPI]]&lt;$K$3, Tabelle9[[#This Row],[SPI]]&lt;$K$3),$K$6, IF(OR(Tabelle9[[#This Row],[CPI]]&lt;$K$4, Tabelle9[[#This Row],[SPI]]&lt;$K$4),$K$7, $K$8))</f>
        <v>Rot</v>
      </c>
      <c r="H8" t="str">
        <f>IF(C21=Kennzahlen!$L$70,Kennzahlen!$L$70,IF(OR(ABS(Tabelle9[[#This Row],[CPI]]-C21)&lt;=$K$13),$K$12, IF(OR(Tabelle9[[#This Row],[CPI]]&lt;C21,Tabelle9[[#This Row],[SPI]]&lt;D21), $K$11, $K$10)))</f>
        <v>-</v>
      </c>
      <c r="J8" t="s">
        <v>55</v>
      </c>
      <c r="K8" t="s">
        <v>56</v>
      </c>
    </row>
    <row r="9" spans="1:11" x14ac:dyDescent="0.2">
      <c r="B9" t="str">
        <f>Kennzahlen!B60</f>
        <v>Projektmanagement</v>
      </c>
      <c r="C9" s="29">
        <f>Kennzahlen!I73</f>
        <v>0.37745098039215685</v>
      </c>
      <c r="D9" s="29">
        <f>Kennzahlen!I86</f>
        <v>0.5</v>
      </c>
      <c r="E9" s="30">
        <f>'Fertigstellungsgrad der Akt.'!H6</f>
        <v>0.5</v>
      </c>
      <c r="F9" s="31">
        <f>'Budgetierte Kosten'!P6/1000</f>
        <v>286</v>
      </c>
      <c r="G9" s="32" t="str">
        <f>IF(OR(Tabelle9[[#This Row],[CPI]]&lt;$K$3, Tabelle9[[#This Row],[SPI]]&lt;$K$3),$K$6, IF(OR(Tabelle9[[#This Row],[CPI]]&lt;$K$4, Tabelle9[[#This Row],[SPI]]&lt;$K$4),$K$7, $K$8))</f>
        <v>Rot</v>
      </c>
      <c r="H9" t="str">
        <f>IF(C22=Kennzahlen!$L$70,Kennzahlen!$L$70,IF(OR(ABS(Tabelle9[[#This Row],[CPI]]-C22)&lt;=$K$13),$K$12, IF(OR(Tabelle9[[#This Row],[CPI]]&lt;C22,Tabelle9[[#This Row],[SPI]]&lt;D22), $K$11, $K$10)))</f>
        <v>POS</v>
      </c>
    </row>
    <row r="10" spans="1:11" x14ac:dyDescent="0.2">
      <c r="B10" t="str">
        <f>Kennzahlen!B61</f>
        <v>Puffer für unerwartetes</v>
      </c>
      <c r="C10" s="29">
        <f>Kennzahlen!I74</f>
        <v>8.7104072398190055E-2</v>
      </c>
      <c r="D10" s="29">
        <f>Kennzahlen!I87</f>
        <v>0.55000000000000004</v>
      </c>
      <c r="E10" s="30">
        <f>'Fertigstellungsgrad der Akt.'!H7</f>
        <v>0.55000000000000004</v>
      </c>
      <c r="F10" s="31">
        <f>'Budgetierte Kosten'!P7/1000</f>
        <v>104</v>
      </c>
      <c r="G10" s="32" t="str">
        <f>IF(OR(Tabelle9[[#This Row],[CPI]]&lt;$K$3, Tabelle9[[#This Row],[SPI]]&lt;$K$3),$K$6, IF(OR(Tabelle9[[#This Row],[CPI]]&lt;$K$4, Tabelle9[[#This Row],[SPI]]&lt;$K$4),$K$7, $K$8))</f>
        <v>Rot</v>
      </c>
      <c r="H10" t="str">
        <f>IF(C23=Kennzahlen!$L$70,Kennzahlen!$L$70,IF(OR(ABS(Tabelle9[[#This Row],[CPI]]-C23)&lt;=$K$13),$K$12, IF(OR(Tabelle9[[#This Row],[CPI]]&lt;C23,Tabelle9[[#This Row],[SPI]]&lt;D23), $K$11, $K$10)))</f>
        <v>EQ</v>
      </c>
      <c r="J10" t="s">
        <v>59</v>
      </c>
      <c r="K10" t="s">
        <v>61</v>
      </c>
    </row>
    <row r="11" spans="1:11" x14ac:dyDescent="0.2">
      <c r="B11" t="str">
        <f>Kennzahlen!B62</f>
        <v>Materialkosten</v>
      </c>
      <c r="C11" s="29">
        <f>Kennzahlen!I75</f>
        <v>0.18148148148148152</v>
      </c>
      <c r="D11" s="29">
        <f>Kennzahlen!I88</f>
        <v>0.14000000000000001</v>
      </c>
      <c r="E11" s="30">
        <f>'Fertigstellungsgrad der Akt.'!H8</f>
        <v>0.14000000000000001</v>
      </c>
      <c r="F11" s="31">
        <f>'Budgetierte Kosten'!O11/1000</f>
        <v>86</v>
      </c>
      <c r="G11" s="32" t="str">
        <f>IF(OR(Tabelle9[[#This Row],[CPI]]&lt;$K$3, Tabelle9[[#This Row],[SPI]]&lt;$K$3),$K$6, IF(OR(Tabelle9[[#This Row],[CPI]]&lt;$K$4, Tabelle9[[#This Row],[SPI]]&lt;$K$4),$K$7, $K$8))</f>
        <v>Rot</v>
      </c>
      <c r="H11" t="str">
        <f>IF(C24=Kennzahlen!$L$70,Kennzahlen!$L$70,IF(OR(ABS(Tabelle9[[#This Row],[CPI]]-C24)&lt;=$K$13),$K$12, IF(OR(Tabelle9[[#This Row],[CPI]]&lt;C24,Tabelle9[[#This Row],[SPI]]&lt;D24), $K$11, $K$10)))</f>
        <v>POS</v>
      </c>
      <c r="J11" t="s">
        <v>60</v>
      </c>
      <c r="K11" t="s">
        <v>62</v>
      </c>
    </row>
    <row r="12" spans="1:11" x14ac:dyDescent="0.2">
      <c r="J12" t="s">
        <v>64</v>
      </c>
      <c r="K12" t="s">
        <v>63</v>
      </c>
    </row>
    <row r="13" spans="1:11" x14ac:dyDescent="0.2">
      <c r="J13" t="s">
        <v>67</v>
      </c>
      <c r="K13">
        <v>0.05</v>
      </c>
    </row>
    <row r="15" spans="1:11" ht="23.25" x14ac:dyDescent="0.35">
      <c r="A15" s="27" t="s">
        <v>58</v>
      </c>
    </row>
    <row r="17" spans="2:8" x14ac:dyDescent="0.2">
      <c r="B17" t="s">
        <v>16</v>
      </c>
      <c r="C17" t="s">
        <v>43</v>
      </c>
      <c r="D17" t="s">
        <v>44</v>
      </c>
      <c r="E17" t="s">
        <v>45</v>
      </c>
      <c r="F17" t="s">
        <v>48</v>
      </c>
      <c r="G17" t="s">
        <v>46</v>
      </c>
      <c r="H17" t="s">
        <v>47</v>
      </c>
    </row>
    <row r="18" spans="2:8" x14ac:dyDescent="0.2">
      <c r="B18" t="str">
        <f>Kennzahlen!B69</f>
        <v>Anforderungsanalyse</v>
      </c>
      <c r="C18" s="29">
        <f>Kennzahlen!H69</f>
        <v>0.85238623751387343</v>
      </c>
      <c r="D18" s="29">
        <f>Kennzahlen!H82</f>
        <v>0.8</v>
      </c>
      <c r="E18" s="30">
        <f>'Fertigstellungsgrad der Akt.'!G2</f>
        <v>0.8</v>
      </c>
      <c r="F18" s="31">
        <f>Kennzahlen!H4/1000</f>
        <v>144</v>
      </c>
      <c r="G18" s="32" t="str">
        <f>IF(OR(Tabelle911[[#This Row],[CPI]]&lt;$K$3, Tabelle911[[#This Row],[SPI]]&lt;$K$3),$K$6, IF(OR(Tabelle911[[#This Row],[CPI]]&lt;$K$4, Tabelle911[[#This Row],[SPI]]&lt;$K$4),$K$7, $K$8))</f>
        <v>Gelb</v>
      </c>
    </row>
    <row r="19" spans="2:8" x14ac:dyDescent="0.2">
      <c r="B19" t="str">
        <f>Kennzahlen!B70</f>
        <v>Design und Architektur</v>
      </c>
      <c r="C19" s="29">
        <f>Kennzahlen!H70</f>
        <v>0.19228336495888679</v>
      </c>
      <c r="D19" s="29">
        <f>Kennzahlen!H83</f>
        <v>0.1</v>
      </c>
      <c r="E19" s="30">
        <f>'Fertigstellungsgrad der Akt.'!G3</f>
        <v>0.1</v>
      </c>
      <c r="F19" s="31">
        <f>Kennzahlen!H5/1000</f>
        <v>152</v>
      </c>
      <c r="G19" s="32" t="str">
        <f>IF(OR(Tabelle911[[#This Row],[CPI]]&lt;$K$3, Tabelle911[[#This Row],[SPI]]&lt;$K$3),$K$6, IF(OR(Tabelle911[[#This Row],[CPI]]&lt;$K$4, Tabelle911[[#This Row],[SPI]]&lt;$K$4),$K$7, $K$8))</f>
        <v>Rot</v>
      </c>
    </row>
    <row r="20" spans="2:8" x14ac:dyDescent="0.2">
      <c r="B20" t="str">
        <f>Kennzahlen!B71</f>
        <v>Implementierung</v>
      </c>
      <c r="C20" s="29">
        <f>Kennzahlen!H71</f>
        <v>0.5270588235294118</v>
      </c>
      <c r="D20" s="29">
        <f>Kennzahlen!H84</f>
        <v>0.1</v>
      </c>
      <c r="E20" s="30">
        <f>'Fertigstellungsgrad der Akt.'!G4</f>
        <v>0.1</v>
      </c>
      <c r="F20" s="31">
        <f>Kennzahlen!H6/1000</f>
        <v>112</v>
      </c>
      <c r="G20" s="32" t="str">
        <f>IF(OR(Tabelle911[[#This Row],[CPI]]&lt;$K$3, Tabelle911[[#This Row],[SPI]]&lt;$K$3),$K$6, IF(OR(Tabelle911[[#This Row],[CPI]]&lt;$K$4, Tabelle911[[#This Row],[SPI]]&lt;$K$4),$K$7, $K$8))</f>
        <v>Rot</v>
      </c>
    </row>
    <row r="21" spans="2:8" x14ac:dyDescent="0.2">
      <c r="B21" t="str">
        <f>Kennzahlen!B72</f>
        <v>Integration und Test</v>
      </c>
      <c r="C21" s="29" t="str">
        <f>Kennzahlen!H72</f>
        <v>-</v>
      </c>
      <c r="D21" s="29" t="str">
        <f>Kennzahlen!H85</f>
        <v>-</v>
      </c>
      <c r="E21" s="30">
        <f>'Fertigstellungsgrad der Akt.'!G5</f>
        <v>0</v>
      </c>
      <c r="F21" s="31">
        <f>Kennzahlen!H7/1000</f>
        <v>0</v>
      </c>
      <c r="G21" s="32" t="str">
        <f>IF(OR(Tabelle911[[#This Row],[CPI]]&lt;$K$3, Tabelle911[[#This Row],[SPI]]&lt;$K$3),$K$6, IF(OR(Tabelle911[[#This Row],[CPI]]&lt;$K$4, Tabelle911[[#This Row],[SPI]]&lt;$K$4),$K$7, $K$8))</f>
        <v>Grün</v>
      </c>
    </row>
    <row r="22" spans="2:8" x14ac:dyDescent="0.2">
      <c r="B22" t="str">
        <f>Kennzahlen!B73</f>
        <v>Projektmanagement</v>
      </c>
      <c r="C22" s="29">
        <f>Kennzahlen!H73</f>
        <v>0.28235294117647058</v>
      </c>
      <c r="D22" s="29">
        <f>Kennzahlen!H86</f>
        <v>0.4</v>
      </c>
      <c r="E22" s="30">
        <f>'Fertigstellungsgrad der Akt.'!G6</f>
        <v>0.4</v>
      </c>
      <c r="F22" s="31">
        <f>Kennzahlen!H8/1000</f>
        <v>132</v>
      </c>
      <c r="G22" s="32" t="str">
        <f>IF(OR(Tabelle911[[#This Row],[CPI]]&lt;$K$3, Tabelle911[[#This Row],[SPI]]&lt;$K$3),$K$6, IF(OR(Tabelle911[[#This Row],[CPI]]&lt;$K$4, Tabelle911[[#This Row],[SPI]]&lt;$K$4),$K$7, $K$8))</f>
        <v>Rot</v>
      </c>
    </row>
    <row r="23" spans="2:8" x14ac:dyDescent="0.2">
      <c r="B23" t="str">
        <f>Kennzahlen!B74</f>
        <v>Puffer für unerwartetes</v>
      </c>
      <c r="C23" s="29">
        <f>Kennzahlen!H74</f>
        <v>6.1829111206526406E-2</v>
      </c>
      <c r="D23" s="29">
        <f>Kennzahlen!H87</f>
        <v>0.45</v>
      </c>
      <c r="E23" s="30">
        <f>'Fertigstellungsgrad der Akt.'!G7</f>
        <v>0.45</v>
      </c>
      <c r="F23" s="31">
        <f>Kennzahlen!H9/1000</f>
        <v>48</v>
      </c>
      <c r="G23" s="32" t="str">
        <f>IF(OR(Tabelle911[[#This Row],[CPI]]&lt;$K$3, Tabelle911[[#This Row],[SPI]]&lt;$K$3),$K$6, IF(OR(Tabelle911[[#This Row],[CPI]]&lt;$K$4, Tabelle911[[#This Row],[SPI]]&lt;$K$4),$K$7, $K$8))</f>
        <v>Rot</v>
      </c>
    </row>
    <row r="24" spans="2:8" x14ac:dyDescent="0.2">
      <c r="B24" t="str">
        <f>Kennzahlen!B75</f>
        <v>Materialkosten</v>
      </c>
      <c r="C24" s="29">
        <f>Kennzahlen!H75</f>
        <v>0.128</v>
      </c>
      <c r="D24" s="29">
        <f>Kennzahlen!H88</f>
        <v>0.12</v>
      </c>
      <c r="E24" s="30">
        <f>'Fertigstellungsgrad der Akt.'!G8</f>
        <v>0.12</v>
      </c>
      <c r="F24" s="31">
        <f>Kennzahlen!H10/1000</f>
        <v>16</v>
      </c>
      <c r="G24" s="32" t="str">
        <f>IF(OR(Tabelle911[[#This Row],[CPI]]&lt;$K$3, Tabelle911[[#This Row],[SPI]]&lt;$K$3),$K$6, IF(OR(Tabelle911[[#This Row],[CPI]]&lt;$K$4, Tabelle911[[#This Row],[SPI]]&lt;$K$4),$K$7, $K$8))</f>
        <v>Rot</v>
      </c>
    </row>
  </sheetData>
  <conditionalFormatting sqref="C5:D11 C18:D24">
    <cfRule type="cellIs" dxfId="16" priority="13" operator="greaterThanOrEqual">
      <formula>$K$4</formula>
    </cfRule>
    <cfRule type="cellIs" dxfId="15" priority="14" operator="lessThan">
      <formula>$K$3</formula>
    </cfRule>
    <cfRule type="cellIs" dxfId="14" priority="15" operator="lessThan">
      <formula>$K$4</formula>
    </cfRule>
  </conditionalFormatting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9" operator="containsText" id="{E0B5B186-BB25-4080-B948-EED301F00D0A}">
            <xm:f>NOT(ISERROR(SEARCH($K$8,G5)))</xm:f>
            <xm:f>$K$8</xm:f>
            <x14:dxf>
              <fill>
                <patternFill>
                  <bgColor rgb="FF92D050"/>
                </patternFill>
              </fill>
            </x14:dxf>
          </x14:cfRule>
          <x14:cfRule type="containsText" priority="20" operator="containsText" id="{A789120A-4B68-43F8-9616-2D4E41C8BD80}">
            <xm:f>NOT(ISERROR(SEARCH($K$7,G5)))</xm:f>
            <xm:f>$K$7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1" operator="containsText" id="{531456C6-9606-47DB-9456-B0A7E2B1691B}">
            <xm:f>NOT(ISERROR(SEARCH($K$6,G5)))</xm:f>
            <xm:f>$K$6</xm:f>
            <x14:dxf>
              <fill>
                <patternFill>
                  <bgColor rgb="FFFF6969"/>
                </patternFill>
              </fill>
            </x14:dxf>
          </x14:cfRule>
          <xm:sqref>G5:G11 G18:G24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85" zoomScaleNormal="85" workbookViewId="0">
      <selection activeCell="R23" sqref="R23"/>
    </sheetView>
  </sheetViews>
  <sheetFormatPr baseColWidth="10" defaultRowHeight="12.75" x14ac:dyDescent="0.2"/>
  <sheetData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opLeftCell="D1" zoomScale="125" zoomScaleNormal="125" workbookViewId="0">
      <selection activeCell="C15" sqref="C15"/>
    </sheetView>
  </sheetViews>
  <sheetFormatPr baseColWidth="10" defaultRowHeight="12.95" customHeight="1" x14ac:dyDescent="0.2"/>
  <cols>
    <col min="1" max="1" width="34.42578125" customWidth="1"/>
    <col min="2" max="2" width="11.140625" customWidth="1"/>
    <col min="3" max="3" width="10.140625" customWidth="1"/>
    <col min="4" max="4" width="10.28515625" customWidth="1"/>
    <col min="5" max="13" width="9.42578125" customWidth="1"/>
    <col min="14" max="14" width="11" customWidth="1"/>
    <col min="15" max="15" width="15.42578125" customWidth="1"/>
    <col min="16" max="16" width="14.85546875" customWidth="1"/>
  </cols>
  <sheetData>
    <row r="1" spans="1:17" ht="12.95" customHeight="1" x14ac:dyDescent="0.2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/>
      <c r="P1" s="3"/>
      <c r="Q1" s="4"/>
    </row>
    <row r="2" spans="1:17" ht="12.95" customHeight="1" x14ac:dyDescent="0.2">
      <c r="A2" s="5" t="s">
        <v>1</v>
      </c>
      <c r="B2">
        <v>600</v>
      </c>
      <c r="C2">
        <v>600</v>
      </c>
      <c r="D2">
        <v>600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s="6">
        <f t="shared" ref="O2:O7" si="0">SUM(B2:N2)</f>
        <v>1800</v>
      </c>
      <c r="P2" s="7">
        <f t="shared" ref="P2:P8" si="1">O2*$B$14</f>
        <v>144000</v>
      </c>
    </row>
    <row r="3" spans="1:17" ht="12.95" customHeight="1" x14ac:dyDescent="0.2">
      <c r="A3" s="5" t="s">
        <v>2</v>
      </c>
      <c r="B3">
        <v>0</v>
      </c>
      <c r="C3">
        <v>0</v>
      </c>
      <c r="D3">
        <v>250</v>
      </c>
      <c r="E3">
        <v>400</v>
      </c>
      <c r="F3">
        <v>550</v>
      </c>
      <c r="G3">
        <v>700</v>
      </c>
      <c r="H3">
        <v>250</v>
      </c>
      <c r="I3">
        <v>250</v>
      </c>
      <c r="J3">
        <v>200</v>
      </c>
      <c r="K3">
        <v>200</v>
      </c>
      <c r="L3">
        <v>150</v>
      </c>
      <c r="M3">
        <v>0</v>
      </c>
      <c r="N3">
        <v>0</v>
      </c>
      <c r="O3" s="6">
        <f t="shared" si="0"/>
        <v>2950</v>
      </c>
      <c r="P3" s="7">
        <f t="shared" si="1"/>
        <v>236000</v>
      </c>
    </row>
    <row r="4" spans="1:17" ht="12.95" customHeight="1" x14ac:dyDescent="0.2">
      <c r="A4" s="5" t="s">
        <v>3</v>
      </c>
      <c r="B4">
        <v>0</v>
      </c>
      <c r="C4">
        <v>0</v>
      </c>
      <c r="D4">
        <v>0</v>
      </c>
      <c r="E4">
        <v>300</v>
      </c>
      <c r="F4">
        <v>500</v>
      </c>
      <c r="G4">
        <v>600</v>
      </c>
      <c r="H4">
        <v>600</v>
      </c>
      <c r="I4">
        <v>600</v>
      </c>
      <c r="J4">
        <v>600</v>
      </c>
      <c r="K4">
        <v>600</v>
      </c>
      <c r="L4">
        <v>600</v>
      </c>
      <c r="M4">
        <v>350</v>
      </c>
      <c r="N4">
        <v>150</v>
      </c>
      <c r="O4" s="6">
        <f t="shared" si="0"/>
        <v>4900</v>
      </c>
      <c r="P4" s="7">
        <f t="shared" si="1"/>
        <v>392000</v>
      </c>
    </row>
    <row r="5" spans="1:17" ht="12.95" customHeight="1" x14ac:dyDescent="0.2">
      <c r="A5" s="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200</v>
      </c>
      <c r="I5">
        <v>300</v>
      </c>
      <c r="J5">
        <v>400</v>
      </c>
      <c r="K5">
        <v>600</v>
      </c>
      <c r="L5">
        <v>600</v>
      </c>
      <c r="M5">
        <v>600</v>
      </c>
      <c r="N5">
        <v>450</v>
      </c>
      <c r="O5" s="6">
        <f t="shared" si="0"/>
        <v>3150</v>
      </c>
      <c r="P5" s="7">
        <f t="shared" si="1"/>
        <v>252000</v>
      </c>
    </row>
    <row r="6" spans="1:17" ht="12.95" customHeight="1" x14ac:dyDescent="0.2">
      <c r="A6" s="5" t="s">
        <v>5</v>
      </c>
      <c r="B6">
        <v>275</v>
      </c>
      <c r="C6">
        <v>275</v>
      </c>
      <c r="D6">
        <v>275</v>
      </c>
      <c r="E6">
        <v>275</v>
      </c>
      <c r="F6">
        <v>275</v>
      </c>
      <c r="G6">
        <v>275</v>
      </c>
      <c r="H6">
        <v>275</v>
      </c>
      <c r="I6">
        <v>275</v>
      </c>
      <c r="J6">
        <v>275</v>
      </c>
      <c r="K6">
        <v>275</v>
      </c>
      <c r="L6">
        <v>275</v>
      </c>
      <c r="M6">
        <v>275</v>
      </c>
      <c r="N6">
        <v>275</v>
      </c>
      <c r="O6" s="6">
        <f t="shared" si="0"/>
        <v>3575</v>
      </c>
      <c r="P6" s="7">
        <f t="shared" si="1"/>
        <v>286000</v>
      </c>
    </row>
    <row r="7" spans="1:17" ht="12.95" customHeight="1" x14ac:dyDescent="0.2">
      <c r="A7" s="5" t="s">
        <v>6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 s="6">
        <f t="shared" si="0"/>
        <v>1300</v>
      </c>
      <c r="P7" s="7">
        <f t="shared" si="1"/>
        <v>104000</v>
      </c>
    </row>
    <row r="8" spans="1:17" s="2" customFormat="1" ht="12.95" customHeight="1" x14ac:dyDescent="0.2">
      <c r="A8" s="1" t="s">
        <v>7</v>
      </c>
      <c r="B8" s="2">
        <f t="shared" ref="B8:O8" si="2">SUM(B2:B7)</f>
        <v>975</v>
      </c>
      <c r="C8" s="2">
        <f t="shared" si="2"/>
        <v>975</v>
      </c>
      <c r="D8" s="2">
        <f t="shared" si="2"/>
        <v>1225</v>
      </c>
      <c r="E8" s="2">
        <f t="shared" si="2"/>
        <v>1075</v>
      </c>
      <c r="F8" s="2">
        <f t="shared" si="2"/>
        <v>1425</v>
      </c>
      <c r="G8" s="2">
        <f t="shared" si="2"/>
        <v>1675</v>
      </c>
      <c r="H8" s="2">
        <f t="shared" si="2"/>
        <v>1425</v>
      </c>
      <c r="I8" s="2">
        <f t="shared" si="2"/>
        <v>1525</v>
      </c>
      <c r="J8" s="2">
        <f t="shared" si="2"/>
        <v>1575</v>
      </c>
      <c r="K8" s="2">
        <f t="shared" si="2"/>
        <v>1775</v>
      </c>
      <c r="L8" s="2">
        <f t="shared" si="2"/>
        <v>1725</v>
      </c>
      <c r="M8" s="2">
        <f t="shared" si="2"/>
        <v>1325</v>
      </c>
      <c r="N8" s="2">
        <f t="shared" si="2"/>
        <v>975</v>
      </c>
      <c r="O8" s="2">
        <f t="shared" si="2"/>
        <v>17675</v>
      </c>
      <c r="P8" s="8">
        <f t="shared" si="1"/>
        <v>1414000</v>
      </c>
    </row>
    <row r="9" spans="1:17" ht="12.95" customHeight="1" x14ac:dyDescent="0.2">
      <c r="A9" s="9"/>
      <c r="P9" s="10"/>
    </row>
    <row r="10" spans="1:17" ht="12.95" customHeight="1" x14ac:dyDescent="0.2">
      <c r="A10" s="11" t="s">
        <v>8</v>
      </c>
      <c r="B10" s="12">
        <f t="shared" ref="B10:N10" si="3">B8*$B$14</f>
        <v>78000</v>
      </c>
      <c r="C10" s="12">
        <f t="shared" si="3"/>
        <v>78000</v>
      </c>
      <c r="D10" s="12">
        <f t="shared" si="3"/>
        <v>98000</v>
      </c>
      <c r="E10" s="12">
        <f t="shared" si="3"/>
        <v>86000</v>
      </c>
      <c r="F10" s="12">
        <f t="shared" si="3"/>
        <v>114000</v>
      </c>
      <c r="G10" s="12">
        <f t="shared" si="3"/>
        <v>134000</v>
      </c>
      <c r="H10" s="12">
        <f t="shared" si="3"/>
        <v>114000</v>
      </c>
      <c r="I10" s="12">
        <f t="shared" si="3"/>
        <v>122000</v>
      </c>
      <c r="J10" s="12">
        <f t="shared" si="3"/>
        <v>126000</v>
      </c>
      <c r="K10" s="12">
        <f t="shared" si="3"/>
        <v>142000</v>
      </c>
      <c r="L10" s="12">
        <f t="shared" si="3"/>
        <v>138000</v>
      </c>
      <c r="M10" s="12">
        <f t="shared" si="3"/>
        <v>106000</v>
      </c>
      <c r="N10" s="12">
        <f t="shared" si="3"/>
        <v>78000</v>
      </c>
      <c r="O10" s="2" t="s">
        <v>9</v>
      </c>
      <c r="P10" s="10"/>
    </row>
    <row r="11" spans="1:17" ht="12.95" customHeight="1" x14ac:dyDescent="0.2">
      <c r="A11" s="11" t="s">
        <v>10</v>
      </c>
      <c r="B11" s="12">
        <v>2000</v>
      </c>
      <c r="C11" s="12">
        <v>2000</v>
      </c>
      <c r="D11" s="12">
        <v>3000</v>
      </c>
      <c r="E11" s="12">
        <v>3000</v>
      </c>
      <c r="F11" s="12">
        <v>3000</v>
      </c>
      <c r="G11" s="12">
        <v>3000</v>
      </c>
      <c r="H11" s="12">
        <v>5000</v>
      </c>
      <c r="I11" s="12">
        <v>5000</v>
      </c>
      <c r="J11" s="12">
        <v>15000</v>
      </c>
      <c r="K11" s="12">
        <v>15000</v>
      </c>
      <c r="L11" s="12">
        <v>15000</v>
      </c>
      <c r="M11" s="12">
        <v>10000</v>
      </c>
      <c r="N11" s="12">
        <v>5000</v>
      </c>
      <c r="O11" s="12">
        <f>SUM(B11:N11)</f>
        <v>86000</v>
      </c>
      <c r="P11" s="13">
        <f>O11+P8</f>
        <v>1500000</v>
      </c>
    </row>
    <row r="12" spans="1:17" s="2" customFormat="1" ht="12.95" customHeight="1" x14ac:dyDescent="0.2">
      <c r="A12" s="1" t="s">
        <v>11</v>
      </c>
      <c r="B12" s="14">
        <f t="shared" ref="B12:N12" si="4">SUM(B10:B11)</f>
        <v>80000</v>
      </c>
      <c r="C12" s="14">
        <f t="shared" si="4"/>
        <v>80000</v>
      </c>
      <c r="D12" s="14">
        <f t="shared" si="4"/>
        <v>101000</v>
      </c>
      <c r="E12" s="14">
        <f t="shared" si="4"/>
        <v>89000</v>
      </c>
      <c r="F12" s="14">
        <f t="shared" si="4"/>
        <v>117000</v>
      </c>
      <c r="G12" s="14">
        <f t="shared" si="4"/>
        <v>137000</v>
      </c>
      <c r="H12" s="14">
        <f t="shared" si="4"/>
        <v>119000</v>
      </c>
      <c r="I12" s="14">
        <f t="shared" si="4"/>
        <v>127000</v>
      </c>
      <c r="J12" s="14">
        <f t="shared" si="4"/>
        <v>141000</v>
      </c>
      <c r="K12" s="14">
        <f t="shared" si="4"/>
        <v>157000</v>
      </c>
      <c r="L12" s="14">
        <f t="shared" si="4"/>
        <v>153000</v>
      </c>
      <c r="M12" s="14">
        <f t="shared" si="4"/>
        <v>116000</v>
      </c>
      <c r="N12" s="14">
        <f t="shared" si="4"/>
        <v>83000</v>
      </c>
      <c r="P12" s="3"/>
    </row>
    <row r="13" spans="1:17" ht="12.95" customHeight="1" x14ac:dyDescent="0.2">
      <c r="A13" s="15"/>
      <c r="D13" s="16"/>
      <c r="E13" s="16"/>
      <c r="F13" s="16"/>
      <c r="G13" s="16"/>
      <c r="H13" s="16"/>
      <c r="I13" s="16"/>
      <c r="J13" s="17"/>
      <c r="K13" s="18"/>
      <c r="L13" s="18"/>
      <c r="M13" s="18"/>
      <c r="N13" s="18"/>
      <c r="O13" s="18"/>
    </row>
    <row r="14" spans="1:17" ht="12.95" customHeight="1" x14ac:dyDescent="0.2">
      <c r="A14" s="15" t="s">
        <v>12</v>
      </c>
      <c r="B14" s="19">
        <v>80</v>
      </c>
      <c r="C14" s="16" t="s">
        <v>13</v>
      </c>
      <c r="D14" s="16"/>
      <c r="E14" s="16"/>
      <c r="F14" s="16"/>
      <c r="G14" s="16"/>
      <c r="H14" s="16"/>
      <c r="I14" s="16"/>
      <c r="J14" s="17"/>
      <c r="K14" s="18"/>
      <c r="L14" s="18"/>
      <c r="M14" s="18"/>
      <c r="N14" s="18"/>
      <c r="O14" s="18"/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zoomScale="125" zoomScaleNormal="125" workbookViewId="0">
      <selection activeCell="B16" sqref="B16"/>
    </sheetView>
  </sheetViews>
  <sheetFormatPr baseColWidth="10" defaultRowHeight="12.95" customHeight="1" x14ac:dyDescent="0.2"/>
  <cols>
    <col min="1" max="1" width="35.42578125" customWidth="1"/>
    <col min="2" max="8" width="9.42578125" customWidth="1"/>
    <col min="9" max="9" width="13.7109375" style="20" customWidth="1"/>
    <col min="10" max="10" width="12.28515625" style="20" customWidth="1"/>
    <col min="11" max="12" width="11.42578125" style="20" customWidth="1"/>
    <col min="13" max="13" width="12.28515625" style="20" customWidth="1"/>
    <col min="14" max="15" width="11.42578125" style="20" customWidth="1"/>
    <col min="16" max="16" width="12.28515625" style="21" customWidth="1"/>
  </cols>
  <sheetData>
    <row r="1" spans="1:16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2"/>
      <c r="J1" s="22"/>
      <c r="M1" s="22"/>
      <c r="N1" s="22"/>
      <c r="O1" s="22"/>
      <c r="P1" s="23"/>
    </row>
    <row r="2" spans="1:16" ht="12.95" customHeight="1" x14ac:dyDescent="0.2">
      <c r="A2" s="15" t="s">
        <v>1</v>
      </c>
      <c r="B2">
        <v>500</v>
      </c>
      <c r="C2">
        <v>500</v>
      </c>
      <c r="D2">
        <v>540</v>
      </c>
      <c r="E2">
        <v>50</v>
      </c>
      <c r="F2">
        <v>0</v>
      </c>
      <c r="G2">
        <v>0</v>
      </c>
      <c r="H2">
        <v>0</v>
      </c>
    </row>
    <row r="3" spans="1:16" ht="12.95" customHeight="1" x14ac:dyDescent="0.2">
      <c r="A3" s="15" t="s">
        <v>2</v>
      </c>
      <c r="B3">
        <v>0</v>
      </c>
      <c r="C3">
        <v>0</v>
      </c>
      <c r="D3">
        <v>0</v>
      </c>
      <c r="E3">
        <v>500</v>
      </c>
      <c r="F3">
        <v>200</v>
      </c>
      <c r="G3">
        <v>230</v>
      </c>
      <c r="H3">
        <v>100</v>
      </c>
    </row>
    <row r="4" spans="1:16" ht="12.95" customHeight="1" x14ac:dyDescent="0.2">
      <c r="A4" s="15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250</v>
      </c>
      <c r="H4">
        <v>250</v>
      </c>
    </row>
    <row r="5" spans="1:16" ht="12.95" customHeight="1" x14ac:dyDescent="0.2">
      <c r="A5" s="1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350</v>
      </c>
    </row>
    <row r="6" spans="1:16" ht="12.95" customHeight="1" x14ac:dyDescent="0.2">
      <c r="A6" s="15" t="s">
        <v>5</v>
      </c>
      <c r="B6">
        <v>300</v>
      </c>
      <c r="C6">
        <v>800</v>
      </c>
      <c r="D6">
        <v>400</v>
      </c>
      <c r="E6">
        <v>300</v>
      </c>
      <c r="F6">
        <v>200</v>
      </c>
      <c r="G6">
        <v>200</v>
      </c>
      <c r="H6">
        <v>200</v>
      </c>
    </row>
    <row r="7" spans="1:16" ht="12.95" customHeight="1" x14ac:dyDescent="0.2">
      <c r="A7" s="15" t="s">
        <v>6</v>
      </c>
      <c r="B7">
        <v>160</v>
      </c>
      <c r="C7">
        <v>1800</v>
      </c>
      <c r="D7">
        <v>1600</v>
      </c>
      <c r="E7">
        <v>450</v>
      </c>
      <c r="F7">
        <v>50</v>
      </c>
      <c r="G7">
        <v>50</v>
      </c>
      <c r="H7">
        <v>50</v>
      </c>
    </row>
    <row r="8" spans="1:16" ht="12.95" customHeight="1" x14ac:dyDescent="0.2">
      <c r="A8" s="2" t="str">
        <f>'Budgetierte Kosten'!A8</f>
        <v>Summe Personenstunden pro Monat</v>
      </c>
      <c r="B8" s="2">
        <f t="shared" ref="B8:H8" si="0">SUM(B2:B7)</f>
        <v>960</v>
      </c>
      <c r="C8" s="2">
        <f t="shared" si="0"/>
        <v>3100</v>
      </c>
      <c r="D8" s="2">
        <f t="shared" si="0"/>
        <v>2540</v>
      </c>
      <c r="E8" s="2">
        <f t="shared" si="0"/>
        <v>1300</v>
      </c>
      <c r="F8" s="2">
        <f t="shared" si="0"/>
        <v>450</v>
      </c>
      <c r="G8" s="2">
        <f t="shared" si="0"/>
        <v>730</v>
      </c>
      <c r="H8" s="2">
        <f t="shared" si="0"/>
        <v>950</v>
      </c>
    </row>
    <row r="9" spans="1:16" ht="12.95" customHeight="1" x14ac:dyDescent="0.2">
      <c r="A9" s="2"/>
      <c r="B9" s="2"/>
      <c r="C9" s="2"/>
      <c r="D9" s="2"/>
      <c r="E9" s="2"/>
      <c r="F9" s="2"/>
      <c r="G9" s="2"/>
      <c r="H9" s="2"/>
    </row>
    <row r="10" spans="1:16" ht="12.95" customHeight="1" x14ac:dyDescent="0.2">
      <c r="A10" s="4" t="s">
        <v>8</v>
      </c>
      <c r="B10" s="12">
        <f t="shared" ref="B10:H10" si="1">B8*85</f>
        <v>81600</v>
      </c>
      <c r="C10" s="12">
        <f t="shared" si="1"/>
        <v>263500</v>
      </c>
      <c r="D10" s="12">
        <f t="shared" si="1"/>
        <v>215900</v>
      </c>
      <c r="E10" s="12">
        <f t="shared" si="1"/>
        <v>110500</v>
      </c>
      <c r="F10" s="12">
        <f t="shared" si="1"/>
        <v>38250</v>
      </c>
      <c r="G10" s="12">
        <f t="shared" si="1"/>
        <v>62050</v>
      </c>
      <c r="H10" s="12">
        <f t="shared" si="1"/>
        <v>80750</v>
      </c>
    </row>
    <row r="11" spans="1:16" ht="12.95" customHeight="1" x14ac:dyDescent="0.2">
      <c r="A11" s="4" t="s">
        <v>10</v>
      </c>
      <c r="B11" s="12">
        <v>2000</v>
      </c>
      <c r="C11" s="12">
        <v>1500</v>
      </c>
      <c r="D11" s="12">
        <v>1400</v>
      </c>
      <c r="E11" s="12">
        <v>1500</v>
      </c>
      <c r="F11" s="12">
        <v>1000</v>
      </c>
      <c r="G11" s="12">
        <v>7600</v>
      </c>
      <c r="H11" s="12">
        <v>1200</v>
      </c>
      <c r="I11" s="12"/>
      <c r="J11" s="12"/>
      <c r="K11" s="12"/>
      <c r="L11" s="12"/>
      <c r="M11" s="12"/>
      <c r="N11" s="12"/>
      <c r="O11" s="12"/>
      <c r="P11" s="12"/>
    </row>
    <row r="12" spans="1:16" s="2" customFormat="1" ht="12.95" customHeight="1" x14ac:dyDescent="0.2">
      <c r="A12" s="2" t="s">
        <v>11</v>
      </c>
      <c r="B12" s="14">
        <f t="shared" ref="B12:H12" si="2">SUM(B10:B11)</f>
        <v>83600</v>
      </c>
      <c r="C12" s="14">
        <f t="shared" si="2"/>
        <v>265000</v>
      </c>
      <c r="D12" s="14">
        <f t="shared" si="2"/>
        <v>217300</v>
      </c>
      <c r="E12" s="14">
        <f t="shared" si="2"/>
        <v>112000</v>
      </c>
      <c r="F12" s="14">
        <f t="shared" si="2"/>
        <v>39250</v>
      </c>
      <c r="G12" s="14">
        <f t="shared" si="2"/>
        <v>69650</v>
      </c>
      <c r="H12" s="14">
        <f t="shared" si="2"/>
        <v>81950</v>
      </c>
      <c r="I12" s="24"/>
      <c r="J12" s="24"/>
      <c r="K12" s="24"/>
      <c r="L12" s="24"/>
      <c r="M12" s="24"/>
      <c r="N12" s="24"/>
      <c r="O12" s="24"/>
      <c r="P12" s="25"/>
    </row>
    <row r="15" spans="1:16" ht="12.95" customHeight="1" x14ac:dyDescent="0.2">
      <c r="A15" t="s">
        <v>28</v>
      </c>
      <c r="B15">
        <v>85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N31" sqref="N31"/>
    </sheetView>
  </sheetViews>
  <sheetFormatPr baseColWidth="10" defaultRowHeight="12.95" customHeight="1" x14ac:dyDescent="0.2"/>
  <cols>
    <col min="1" max="1" width="35.42578125" customWidth="1"/>
    <col min="2" max="3" width="10.140625" customWidth="1"/>
    <col min="4" max="8" width="11.42578125" customWidth="1"/>
    <col min="9" max="11" width="4" customWidth="1"/>
    <col min="12" max="13" width="5" customWidth="1"/>
  </cols>
  <sheetData>
    <row r="1" spans="1:13" ht="12.95" customHeight="1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/>
      <c r="J1" s="2"/>
      <c r="K1" s="2"/>
      <c r="L1" s="2"/>
      <c r="M1" s="2"/>
    </row>
    <row r="2" spans="1:13" ht="12.95" customHeight="1" x14ac:dyDescent="0.2">
      <c r="A2" s="15" t="str">
        <f>'Budgetierte Kosten'!A2</f>
        <v>Anforderungsanalyse</v>
      </c>
      <c r="B2" s="26">
        <v>0.35</v>
      </c>
      <c r="C2" s="26">
        <v>0.05</v>
      </c>
      <c r="D2" s="26">
        <v>0.1</v>
      </c>
      <c r="E2" s="26">
        <v>0.3</v>
      </c>
      <c r="F2" s="26">
        <v>0.5</v>
      </c>
      <c r="G2" s="26">
        <v>0.8</v>
      </c>
      <c r="H2" s="26">
        <v>0.9</v>
      </c>
    </row>
    <row r="3" spans="1:13" ht="12.95" customHeight="1" x14ac:dyDescent="0.2">
      <c r="A3" s="15" t="str">
        <f>'Budgetierte Kosten'!A3</f>
        <v>Design und Architektur</v>
      </c>
      <c r="B3" s="26">
        <v>0</v>
      </c>
      <c r="C3" s="26">
        <v>0</v>
      </c>
      <c r="D3" s="26">
        <v>0</v>
      </c>
      <c r="E3" s="26">
        <v>0.05</v>
      </c>
      <c r="F3" s="26">
        <v>0.05</v>
      </c>
      <c r="G3" s="26">
        <v>0.1</v>
      </c>
      <c r="H3" s="26">
        <v>0.4</v>
      </c>
    </row>
    <row r="4" spans="1:13" ht="12.95" customHeight="1" x14ac:dyDescent="0.2">
      <c r="A4" s="15" t="str">
        <f>'Budgetierte Kosten'!A4</f>
        <v>Implementierung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0.1</v>
      </c>
      <c r="H4" s="26">
        <v>0.25</v>
      </c>
    </row>
    <row r="5" spans="1:13" ht="12.95" customHeight="1" x14ac:dyDescent="0.2">
      <c r="A5" s="15" t="str">
        <f>'Budgetierte Kosten'!A5</f>
        <v>Integration und Test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0.25</v>
      </c>
    </row>
    <row r="6" spans="1:13" ht="12.95" customHeight="1" x14ac:dyDescent="0.2">
      <c r="A6" s="15" t="str">
        <f>'Budgetierte Kosten'!A6</f>
        <v>Projektmanagement</v>
      </c>
      <c r="B6" s="26">
        <v>0.08</v>
      </c>
      <c r="C6" s="26">
        <v>0.05</v>
      </c>
      <c r="D6" s="26">
        <v>0.15</v>
      </c>
      <c r="E6" s="26">
        <v>0.2</v>
      </c>
      <c r="F6" s="26">
        <v>0.3</v>
      </c>
      <c r="G6" s="26">
        <v>0.4</v>
      </c>
      <c r="H6" s="26">
        <v>0.5</v>
      </c>
    </row>
    <row r="7" spans="1:13" ht="12.95" customHeight="1" x14ac:dyDescent="0.2">
      <c r="A7" s="15" t="str">
        <f>'Budgetierte Kosten'!A7</f>
        <v>Puffer für unerwartetes</v>
      </c>
      <c r="B7" s="26">
        <v>0.08</v>
      </c>
      <c r="C7" s="26">
        <v>0.05</v>
      </c>
      <c r="D7" s="26">
        <v>0.1</v>
      </c>
      <c r="E7" s="26">
        <v>0.2</v>
      </c>
      <c r="F7" s="26">
        <v>0.3</v>
      </c>
      <c r="G7" s="26">
        <v>0.45</v>
      </c>
      <c r="H7" s="26">
        <v>0.55000000000000004</v>
      </c>
    </row>
    <row r="8" spans="1:13" ht="12.95" customHeight="1" x14ac:dyDescent="0.2">
      <c r="A8" t="s">
        <v>14</v>
      </c>
      <c r="B8" s="26">
        <v>0.02</v>
      </c>
      <c r="C8" s="26">
        <v>0.04</v>
      </c>
      <c r="D8" s="26">
        <v>0.06</v>
      </c>
      <c r="E8" s="26">
        <v>0.08</v>
      </c>
      <c r="F8" s="26">
        <v>0.1</v>
      </c>
      <c r="G8" s="26">
        <v>0.12</v>
      </c>
      <c r="H8" s="26">
        <v>0.14000000000000001</v>
      </c>
      <c r="I8" s="2"/>
      <c r="J8" s="2"/>
      <c r="K8" s="2"/>
      <c r="L8" s="2"/>
      <c r="M8" s="2"/>
    </row>
    <row r="9" spans="1:13" ht="12.95" customHeight="1" x14ac:dyDescent="0.2">
      <c r="A9" t="s">
        <v>15</v>
      </c>
    </row>
  </sheetData>
  <sheetProtection selectLockedCells="1" selectUnlockedCells="1"/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Kennzahlen</vt:lpstr>
      <vt:lpstr>RAG</vt:lpstr>
      <vt:lpstr>Diagramme</vt:lpstr>
      <vt:lpstr>Budgetierte Kosten</vt:lpstr>
      <vt:lpstr>Tatsächliche Kosten</vt:lpstr>
      <vt:lpstr>Fertigstellungsgrad der Akt.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Benesch</cp:lastModifiedBy>
  <dcterms:created xsi:type="dcterms:W3CDTF">2017-03-20T21:53:57Z</dcterms:created>
  <dcterms:modified xsi:type="dcterms:W3CDTF">2017-03-21T08:25:02Z</dcterms:modified>
</cp:coreProperties>
</file>