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K\Dropbox\033 534 - Bachelorstudium Software &amp; Information Engineering\__LVAs\Softwareprojekt-Beobachtung und -Controlling\UE1\swpbc\Lab1\"/>
    </mc:Choice>
  </mc:AlternateContent>
  <bookViews>
    <workbookView xWindow="0" yWindow="0" windowWidth="23445" windowHeight="10950" tabRatio="587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D36" i="4" l="1"/>
  <c r="E36" i="4"/>
  <c r="F36" i="4"/>
  <c r="G36" i="4"/>
  <c r="H36" i="4"/>
  <c r="I36" i="4"/>
  <c r="C36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D30" i="4"/>
  <c r="E30" i="4"/>
  <c r="F30" i="4"/>
  <c r="G30" i="4"/>
  <c r="H30" i="4"/>
  <c r="I30" i="4"/>
  <c r="C30" i="4"/>
  <c r="F19" i="6" l="1"/>
  <c r="F20" i="6"/>
  <c r="F21" i="6"/>
  <c r="F22" i="6"/>
  <c r="F23" i="6"/>
  <c r="F24" i="6"/>
  <c r="F25" i="6"/>
  <c r="F18" i="6"/>
  <c r="F12" i="6"/>
  <c r="F5" i="6"/>
  <c r="B25" i="6"/>
  <c r="E25" i="6"/>
  <c r="B12" i="6"/>
  <c r="E12" i="6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D11" i="4"/>
  <c r="E11" i="4"/>
  <c r="F11" i="4"/>
  <c r="G11" i="4"/>
  <c r="H11" i="4"/>
  <c r="I11" i="4"/>
  <c r="C11" i="4"/>
  <c r="B23" i="4" l="1"/>
  <c r="B36" i="4" s="1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B49" i="4"/>
  <c r="B62" i="4" s="1"/>
  <c r="D10" i="4"/>
  <c r="E10" i="4"/>
  <c r="F10" i="4"/>
  <c r="G10" i="4"/>
  <c r="H10" i="4"/>
  <c r="I10" i="4"/>
  <c r="C10" i="4"/>
  <c r="D4" i="4"/>
  <c r="E4" i="4"/>
  <c r="F4" i="4"/>
  <c r="G4" i="4"/>
  <c r="H4" i="4"/>
  <c r="I4" i="4"/>
  <c r="D5" i="4"/>
  <c r="E5" i="4"/>
  <c r="F5" i="4"/>
  <c r="G5" i="4"/>
  <c r="H5" i="4"/>
  <c r="I5" i="4"/>
  <c r="I57" i="4" s="1"/>
  <c r="D6" i="4"/>
  <c r="E6" i="4"/>
  <c r="F6" i="4"/>
  <c r="G6" i="4"/>
  <c r="H6" i="4"/>
  <c r="I6" i="4"/>
  <c r="I58" i="4" s="1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I37" i="4" l="1"/>
  <c r="B17" i="4"/>
  <c r="B30" i="4" s="1"/>
  <c r="B43" i="4" s="1"/>
  <c r="B56" i="4" s="1"/>
  <c r="C111" i="4"/>
  <c r="C98" i="4"/>
  <c r="H100" i="4"/>
  <c r="H113" i="4"/>
  <c r="D100" i="4"/>
  <c r="D113" i="4"/>
  <c r="G99" i="4"/>
  <c r="G112" i="4"/>
  <c r="C99" i="4"/>
  <c r="C112" i="4"/>
  <c r="D112" i="4"/>
  <c r="D99" i="4"/>
  <c r="G100" i="4"/>
  <c r="G113" i="4"/>
  <c r="C113" i="4"/>
  <c r="C100" i="4"/>
  <c r="F99" i="4"/>
  <c r="F112" i="4"/>
  <c r="E98" i="4"/>
  <c r="E111" i="4"/>
  <c r="E113" i="4"/>
  <c r="E100" i="4"/>
  <c r="F100" i="4"/>
  <c r="F113" i="4"/>
  <c r="E99" i="4"/>
  <c r="E112" i="4"/>
  <c r="D111" i="4"/>
  <c r="D98" i="4"/>
  <c r="C21" i="6"/>
  <c r="H8" i="6" s="1"/>
  <c r="B75" i="4"/>
  <c r="B11" i="6"/>
  <c r="G62" i="4"/>
  <c r="C59" i="4"/>
  <c r="C85" i="4"/>
  <c r="H74" i="4"/>
  <c r="D48" i="4"/>
  <c r="F60" i="4"/>
  <c r="H59" i="4"/>
  <c r="H85" i="4"/>
  <c r="D21" i="6" s="1"/>
  <c r="D59" i="4"/>
  <c r="D85" i="4"/>
  <c r="F58" i="4"/>
  <c r="H57" i="4"/>
  <c r="D44" i="4"/>
  <c r="D83" i="4"/>
  <c r="E75" i="4"/>
  <c r="C58" i="4"/>
  <c r="C84" i="4"/>
  <c r="G87" i="4"/>
  <c r="E73" i="4"/>
  <c r="G59" i="4"/>
  <c r="G85" i="4"/>
  <c r="E45" i="4"/>
  <c r="E84" i="4"/>
  <c r="G83" i="4"/>
  <c r="H49" i="4"/>
  <c r="D49" i="4"/>
  <c r="C48" i="4"/>
  <c r="C57" i="4"/>
  <c r="C83" i="4"/>
  <c r="F61" i="4"/>
  <c r="H60" i="4"/>
  <c r="D60" i="4"/>
  <c r="F46" i="4"/>
  <c r="F85" i="4"/>
  <c r="H84" i="4"/>
  <c r="D20" i="6" s="1"/>
  <c r="D45" i="4"/>
  <c r="D84" i="4"/>
  <c r="F57" i="4"/>
  <c r="C60" i="4"/>
  <c r="E61" i="4"/>
  <c r="G60" i="4"/>
  <c r="E46" i="4"/>
  <c r="E85" i="4"/>
  <c r="G58" i="4"/>
  <c r="E57" i="4"/>
  <c r="C62" i="4"/>
  <c r="F62" i="4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G56" i="4" l="1"/>
  <c r="G37" i="4"/>
  <c r="F69" i="4"/>
  <c r="F110" i="4" s="1"/>
  <c r="F37" i="4"/>
  <c r="H56" i="4"/>
  <c r="H37" i="4"/>
  <c r="I63" i="4"/>
  <c r="C82" i="4"/>
  <c r="C37" i="4"/>
  <c r="D56" i="4"/>
  <c r="D37" i="4"/>
  <c r="E69" i="4"/>
  <c r="E97" i="4" s="1"/>
  <c r="E37" i="4"/>
  <c r="I76" i="4"/>
  <c r="I104" i="4" s="1"/>
  <c r="I89" i="4"/>
  <c r="D12" i="6" s="1"/>
  <c r="I50" i="4"/>
  <c r="C74" i="4"/>
  <c r="C115" i="4" s="1"/>
  <c r="D5" i="6"/>
  <c r="F47" i="4"/>
  <c r="G48" i="4"/>
  <c r="C87" i="4"/>
  <c r="B5" i="6"/>
  <c r="B69" i="4"/>
  <c r="B18" i="6" s="1"/>
  <c r="I113" i="4"/>
  <c r="I100" i="4"/>
  <c r="I103" i="4"/>
  <c r="I116" i="4"/>
  <c r="I97" i="4"/>
  <c r="I110" i="4"/>
  <c r="E116" i="4"/>
  <c r="E103" i="4"/>
  <c r="I112" i="4"/>
  <c r="I99" i="4"/>
  <c r="I111" i="4"/>
  <c r="I98" i="4"/>
  <c r="I101" i="4"/>
  <c r="I114" i="4"/>
  <c r="I115" i="4"/>
  <c r="I102" i="4"/>
  <c r="E101" i="4"/>
  <c r="E114" i="4"/>
  <c r="H102" i="4"/>
  <c r="H115" i="4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G6" i="6" s="1"/>
  <c r="C9" i="6"/>
  <c r="G9" i="6" s="1"/>
  <c r="C10" i="6"/>
  <c r="G10" i="6" s="1"/>
  <c r="D57" i="4"/>
  <c r="E48" i="4"/>
  <c r="D61" i="4"/>
  <c r="C5" i="6"/>
  <c r="F49" i="4"/>
  <c r="C8" i="6"/>
  <c r="G8" i="6" s="1"/>
  <c r="C23" i="6"/>
  <c r="G49" i="4"/>
  <c r="C61" i="4"/>
  <c r="C11" i="6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C88" i="4"/>
  <c r="E83" i="4"/>
  <c r="E87" i="4"/>
  <c r="D82" i="4"/>
  <c r="F87" i="4"/>
  <c r="B70" i="4"/>
  <c r="B6" i="6"/>
  <c r="G11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C63" i="4" s="1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E63" i="4" l="1"/>
  <c r="C102" i="4"/>
  <c r="G5" i="6"/>
  <c r="E110" i="4"/>
  <c r="F50" i="4"/>
  <c r="F76" i="4"/>
  <c r="F117" i="4" s="1"/>
  <c r="F89" i="4"/>
  <c r="D76" i="4"/>
  <c r="D117" i="4" s="1"/>
  <c r="D89" i="4"/>
  <c r="D50" i="4"/>
  <c r="F97" i="4"/>
  <c r="C12" i="6"/>
  <c r="G12" i="6" s="1"/>
  <c r="I117" i="4"/>
  <c r="D63" i="4"/>
  <c r="H76" i="4"/>
  <c r="H89" i="4"/>
  <c r="D25" i="6" s="1"/>
  <c r="H104" i="4"/>
  <c r="H50" i="4"/>
  <c r="G89" i="4"/>
  <c r="G50" i="4"/>
  <c r="G76" i="4"/>
  <c r="G117" i="4" s="1"/>
  <c r="F63" i="4"/>
  <c r="E76" i="4"/>
  <c r="E117" i="4" s="1"/>
  <c r="E89" i="4"/>
  <c r="E50" i="4"/>
  <c r="C50" i="4"/>
  <c r="C89" i="4"/>
  <c r="C76" i="4"/>
  <c r="C117" i="4" s="1"/>
  <c r="H63" i="4"/>
  <c r="G63" i="4"/>
  <c r="H10" i="6"/>
  <c r="G23" i="6"/>
  <c r="C114" i="4"/>
  <c r="C101" i="4"/>
  <c r="H110" i="4"/>
  <c r="H97" i="4"/>
  <c r="G101" i="4"/>
  <c r="G114" i="4"/>
  <c r="G111" i="4"/>
  <c r="G98" i="4"/>
  <c r="F114" i="4"/>
  <c r="F101" i="4"/>
  <c r="H111" i="4"/>
  <c r="H98" i="4"/>
  <c r="C110" i="4"/>
  <c r="C97" i="4"/>
  <c r="F98" i="4"/>
  <c r="F111" i="4"/>
  <c r="D116" i="4"/>
  <c r="D103" i="4"/>
  <c r="D114" i="4"/>
  <c r="D101" i="4"/>
  <c r="H101" i="4"/>
  <c r="H114" i="4"/>
  <c r="E115" i="4"/>
  <c r="E102" i="4"/>
  <c r="D97" i="4"/>
  <c r="D110" i="4"/>
  <c r="G115" i="4"/>
  <c r="G102" i="4"/>
  <c r="G110" i="4"/>
  <c r="G97" i="4"/>
  <c r="H116" i="4"/>
  <c r="H103" i="4"/>
  <c r="H112" i="4"/>
  <c r="H99" i="4"/>
  <c r="F116" i="4"/>
  <c r="F103" i="4"/>
  <c r="C103" i="4"/>
  <c r="C116" i="4"/>
  <c r="D115" i="4"/>
  <c r="D102" i="4"/>
  <c r="F102" i="4"/>
  <c r="F115" i="4"/>
  <c r="G103" i="4"/>
  <c r="G116" i="4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C104" i="4" l="1"/>
  <c r="D104" i="4"/>
  <c r="E104" i="4"/>
  <c r="G104" i="4"/>
  <c r="C25" i="6"/>
  <c r="H12" i="6" s="1"/>
  <c r="H117" i="4"/>
  <c r="F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<sst xmlns="http://schemas.openxmlformats.org/spreadsheetml/2006/main" count="175" uniqueCount="82">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</sst>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9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6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05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50400</c:v>
                </c:pt>
                <c:pt idx="1">
                  <c:v>7200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1.8447058823529412</c:v>
                </c:pt>
                <c:pt idx="6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0.89725490196078428</c:v>
                </c:pt>
                <c:pt idx="1">
                  <c:v>0.15294117647058825</c:v>
                </c:pt>
                <c:pt idx="2">
                  <c:v>0.33647058823529413</c:v>
                </c:pt>
                <c:pt idx="3">
                  <c:v>0.3738562091503268</c:v>
                </c:pt>
                <c:pt idx="4">
                  <c:v>0.50470588235294123</c:v>
                </c:pt>
                <c:pt idx="5">
                  <c:v>0.61176470588235299</c:v>
                </c:pt>
                <c:pt idx="6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0.65</c:v>
                </c:pt>
                <c:pt idx="3">
                  <c:v>0.65</c:v>
                </c:pt>
                <c:pt idx="4">
                  <c:v>0.78</c:v>
                </c:pt>
                <c:pt idx="5">
                  <c:v>0.8666666666666667</c:v>
                </c:pt>
                <c:pt idx="6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0.61176470588235299</c:v>
                </c:pt>
                <c:pt idx="1">
                  <c:v>3.1212484993997598E-2</c:v>
                </c:pt>
                <c:pt idx="2">
                  <c:v>3.4368803701255786E-2</c:v>
                </c:pt>
                <c:pt idx="3">
                  <c:v>6.1023910811207276E-2</c:v>
                </c:pt>
                <c:pt idx="4">
                  <c:v>9.040857722399305E-2</c:v>
                </c:pt>
                <c:pt idx="5">
                  <c:v>0.13396307428080723</c:v>
                </c:pt>
                <c:pt idx="6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0.78</c:v>
                </c:pt>
                <c:pt idx="5">
                  <c:v>0.97499999999999998</c:v>
                </c:pt>
                <c:pt idx="6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0.86</c:v>
                </c:pt>
                <c:pt idx="1">
                  <c:v>0.98285714285714287</c:v>
                </c:pt>
                <c:pt idx="2">
                  <c:v>1.0530612244897959</c:v>
                </c:pt>
                <c:pt idx="3">
                  <c:v>1.075</c:v>
                </c:pt>
                <c:pt idx="4">
                  <c:v>1.1621621621621621</c:v>
                </c:pt>
                <c:pt idx="5">
                  <c:v>0.68799999999999994</c:v>
                </c:pt>
                <c:pt idx="6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0.86</c:v>
                </c:pt>
                <c:pt idx="1">
                  <c:v>0.86</c:v>
                </c:pt>
                <c:pt idx="2">
                  <c:v>0.7371428571428571</c:v>
                </c:pt>
                <c:pt idx="3">
                  <c:v>0.68799999999999994</c:v>
                </c:pt>
                <c:pt idx="4">
                  <c:v>0.66153846153846152</c:v>
                </c:pt>
                <c:pt idx="5">
                  <c:v>0.64500000000000002</c:v>
                </c:pt>
                <c:pt idx="6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Anforderungsanalyse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Kennzahlen!$C$97:$I$97</c:f>
              <c:numCache>
                <c:formatCode>0.00</c:formatCode>
                <c:ptCount val="7"/>
                <c:pt idx="0">
                  <c:v>1222.3809523809525</c:v>
                </c:pt>
                <c:pt idx="1">
                  <c:v>17623.333333333332</c:v>
                </c:pt>
                <c:pt idx="2">
                  <c:v>13504.516666666666</c:v>
                </c:pt>
                <c:pt idx="3">
                  <c:v>4557.5583333333325</c:v>
                </c:pt>
                <c:pt idx="4">
                  <c:v>2680.4749999999999</c:v>
                </c:pt>
                <c:pt idx="5">
                  <c:v>1624.6156250000001</c:v>
                </c:pt>
                <c:pt idx="6">
                  <c:v>1429.0861111111112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F-47F6-ACF8-67F3B671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50192"/>
        <c:axId val="388253472"/>
      </c:scatterChart>
      <c:valAx>
        <c:axId val="3882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53472"/>
        <c:crosses val="autoZero"/>
        <c:crossBetween val="midCat"/>
      </c:valAx>
      <c:valAx>
        <c:axId val="3882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5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1222.3809523809525</c:v>
                </c:pt>
                <c:pt idx="1">
                  <c:v>17623.333333333332</c:v>
                </c:pt>
                <c:pt idx="2">
                  <c:v>13504.516666666666</c:v>
                </c:pt>
                <c:pt idx="3">
                  <c:v>4557.5583333333325</c:v>
                </c:pt>
                <c:pt idx="4">
                  <c:v>2680.4749999999999</c:v>
                </c:pt>
                <c:pt idx="5">
                  <c:v>1624.6156250000001</c:v>
                </c:pt>
                <c:pt idx="6">
                  <c:v>1429.0861111111112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1264.8809523809525</c:v>
                </c:pt>
                <c:pt idx="1">
                  <c:v>17708.333333333332</c:v>
                </c:pt>
                <c:pt idx="2">
                  <c:v>13635.416666666666</c:v>
                </c:pt>
                <c:pt idx="3">
                  <c:v>4692.7083333333321</c:v>
                </c:pt>
                <c:pt idx="4">
                  <c:v>2815.625</c:v>
                </c:pt>
                <c:pt idx="5">
                  <c:v>1759.765625</c:v>
                </c:pt>
                <c:pt idx="6">
                  <c:v>1564.2361111111113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5360.0423728813566</c:v>
                </c:pt>
                <c:pt idx="4">
                  <c:v>7504.0593220338988</c:v>
                </c:pt>
                <c:pt idx="5">
                  <c:v>4945.314406779662</c:v>
                </c:pt>
                <c:pt idx="6">
                  <c:v>1303.604661016949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5402.5423728813566</c:v>
                </c:pt>
                <c:pt idx="4">
                  <c:v>7563.5593220338988</c:v>
                </c:pt>
                <c:pt idx="5">
                  <c:v>5024.3644067796613</c:v>
                </c:pt>
                <c:pt idx="6">
                  <c:v>1391.1546610169489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791.88775510204084</c:v>
                </c:pt>
                <c:pt idx="6">
                  <c:v>608.01020408163276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813.13775510204084</c:v>
                </c:pt>
                <c:pt idx="6">
                  <c:v>650.51020408163276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678.58333333333337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708.33333333333337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11800</c:v>
                </c:pt>
                <c:pt idx="4">
                  <c:v>11800</c:v>
                </c:pt>
                <c:pt idx="5">
                  <c:v>23600</c:v>
                </c:pt>
                <c:pt idx="6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1646.2657342657342</c:v>
                </c:pt>
                <c:pt idx="1">
                  <c:v>9714.1923076923067</c:v>
                </c:pt>
                <c:pt idx="2">
                  <c:v>4330.5419580419575</c:v>
                </c:pt>
                <c:pt idx="3">
                  <c:v>3859.2377622377626</c:v>
                </c:pt>
                <c:pt idx="4">
                  <c:v>2802.0279720279718</c:v>
                </c:pt>
                <c:pt idx="5">
                  <c:v>2264.9230769230767</c:v>
                </c:pt>
                <c:pt idx="6">
                  <c:v>1935.8601398601402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1671.7657342657342</c:v>
                </c:pt>
                <c:pt idx="1">
                  <c:v>9807.6923076923067</c:v>
                </c:pt>
                <c:pt idx="2">
                  <c:v>4458.0419580419575</c:v>
                </c:pt>
                <c:pt idx="3">
                  <c:v>4012.2377622377626</c:v>
                </c:pt>
                <c:pt idx="4">
                  <c:v>2972.0279720279718</c:v>
                </c:pt>
                <c:pt idx="5">
                  <c:v>2451.9230769230767</c:v>
                </c:pt>
                <c:pt idx="6">
                  <c:v>2139.86013986014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2438.3230769230763</c:v>
                </c:pt>
                <c:pt idx="1">
                  <c:v>47891.092307692306</c:v>
                </c:pt>
                <c:pt idx="2">
                  <c:v>43341.630769230767</c:v>
                </c:pt>
                <c:pt idx="3">
                  <c:v>24239.678846153849</c:v>
                </c:pt>
                <c:pt idx="4">
                  <c:v>16246.246153846154</c:v>
                </c:pt>
                <c:pt idx="5">
                  <c:v>10847.765384615383</c:v>
                </c:pt>
                <c:pt idx="6">
                  <c:v>8919.1272727272717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2451.9230769230767</c:v>
                </c:pt>
                <c:pt idx="1">
                  <c:v>48057.692307692305</c:v>
                </c:pt>
                <c:pt idx="2">
                  <c:v>43644.230769230766</c:v>
                </c:pt>
                <c:pt idx="3">
                  <c:v>24580.528846153848</c:v>
                </c:pt>
                <c:pt idx="4">
                  <c:v>16591.346153846152</c:v>
                </c:pt>
                <c:pt idx="5">
                  <c:v>11197.115384615383</c:v>
                </c:pt>
                <c:pt idx="6">
                  <c:v>9272.7272727272721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1742.1860465116279</c:v>
                </c:pt>
                <c:pt idx="1">
                  <c:v>1522.6627906976744</c:v>
                </c:pt>
                <c:pt idx="2">
                  <c:v>1419.5186046511628</c:v>
                </c:pt>
                <c:pt idx="3">
                  <c:v>1388.9488372093024</c:v>
                </c:pt>
                <c:pt idx="4">
                  <c:v>1283.2976744186049</c:v>
                </c:pt>
                <c:pt idx="5">
                  <c:v>2165.2325581395348</c:v>
                </c:pt>
                <c:pt idx="6">
                  <c:v>2002.0724252491689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1744.1860465116279</c:v>
                </c:pt>
                <c:pt idx="1">
                  <c:v>1526.1627906976744</c:v>
                </c:pt>
                <c:pt idx="2">
                  <c:v>1424.4186046511629</c:v>
                </c:pt>
                <c:pt idx="3">
                  <c:v>1395.3488372093022</c:v>
                </c:pt>
                <c:pt idx="4">
                  <c:v>1290.6976744186047</c:v>
                </c:pt>
                <c:pt idx="5">
                  <c:v>2180.2325581395348</c:v>
                </c:pt>
                <c:pt idx="6">
                  <c:v>2018.2724252491689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#,##0\ "€"</c:formatCode>
                <c:ptCount val="7"/>
                <c:pt idx="0">
                  <c:v>83320</c:v>
                </c:pt>
                <c:pt idx="1">
                  <c:v>30140</c:v>
                </c:pt>
                <c:pt idx="2">
                  <c:v>72860</c:v>
                </c:pt>
                <c:pt idx="3">
                  <c:v>139880</c:v>
                </c:pt>
                <c:pt idx="4">
                  <c:v>209400</c:v>
                </c:pt>
                <c:pt idx="5">
                  <c:v>349520</c:v>
                </c:pt>
                <c:pt idx="6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0.99665071770334923</c:v>
                </c:pt>
                <c:pt idx="1">
                  <c:v>8.6460126219162367E-2</c:v>
                </c:pt>
                <c:pt idx="2">
                  <c:v>0.12875066266124757</c:v>
                </c:pt>
                <c:pt idx="3">
                  <c:v>0.20634311845404926</c:v>
                </c:pt>
                <c:pt idx="4">
                  <c:v>0.29198912361430662</c:v>
                </c:pt>
                <c:pt idx="5">
                  <c:v>0.44422979156075243</c:v>
                </c:pt>
                <c:pt idx="6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1.0415000000000001</c:v>
                </c:pt>
                <c:pt idx="1">
                  <c:v>0.18837499999999999</c:v>
                </c:pt>
                <c:pt idx="2">
                  <c:v>0.27915708812260537</c:v>
                </c:pt>
                <c:pt idx="3">
                  <c:v>0.39965714285714288</c:v>
                </c:pt>
                <c:pt idx="4">
                  <c:v>0.44839400428265525</c:v>
                </c:pt>
                <c:pt idx="5">
                  <c:v>0.57867549668874174</c:v>
                </c:pt>
                <c:pt idx="6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1421.4408065290447</c:v>
                </c:pt>
                <c:pt idx="1">
                  <c:v>17000.437823490378</c:v>
                </c:pt>
                <c:pt idx="2">
                  <c:v>11084.525473510843</c:v>
                </c:pt>
                <c:pt idx="3">
                  <c:v>6591.5452387760943</c:v>
                </c:pt>
                <c:pt idx="4">
                  <c:v>4420.0276504297999</c:v>
                </c:pt>
                <c:pt idx="5">
                  <c:v>2589.8308079652097</c:v>
                </c:pt>
                <c:pt idx="6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1505.0408065290449</c:v>
                </c:pt>
                <c:pt idx="1">
                  <c:v>17349.03782349038</c:v>
                </c:pt>
                <c:pt idx="2">
                  <c:v>11650.425473510844</c:v>
                </c:pt>
                <c:pt idx="3">
                  <c:v>7269.4452387760939</c:v>
                </c:pt>
                <c:pt idx="4">
                  <c:v>5137.1776504297995</c:v>
                </c:pt>
                <c:pt idx="5">
                  <c:v>3376.6308079652094</c:v>
                </c:pt>
                <c:pt idx="6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39200</c:v>
                </c:pt>
                <c:pt idx="6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22880</c:v>
                </c:pt>
                <c:pt idx="1">
                  <c:v>14300</c:v>
                </c:pt>
                <c:pt idx="2">
                  <c:v>42900</c:v>
                </c:pt>
                <c:pt idx="3">
                  <c:v>57200</c:v>
                </c:pt>
                <c:pt idx="4">
                  <c:v>85800</c:v>
                </c:pt>
                <c:pt idx="5">
                  <c:v>114400</c:v>
                </c:pt>
                <c:pt idx="6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8320</c:v>
                </c:pt>
                <c:pt idx="1">
                  <c:v>5200</c:v>
                </c:pt>
                <c:pt idx="2">
                  <c:v>10400</c:v>
                </c:pt>
                <c:pt idx="3">
                  <c:v>20800</c:v>
                </c:pt>
                <c:pt idx="4">
                  <c:v>31200</c:v>
                </c:pt>
                <c:pt idx="5">
                  <c:v>46800</c:v>
                </c:pt>
                <c:pt idx="6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1720</c:v>
                </c:pt>
                <c:pt idx="1">
                  <c:v>3440</c:v>
                </c:pt>
                <c:pt idx="2">
                  <c:v>5160</c:v>
                </c:pt>
                <c:pt idx="3">
                  <c:v>6880</c:v>
                </c:pt>
                <c:pt idx="4">
                  <c:v>8600</c:v>
                </c:pt>
                <c:pt idx="5">
                  <c:v>10320</c:v>
                </c:pt>
                <c:pt idx="6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1.1858823529411764</c:v>
                </c:pt>
                <c:pt idx="1">
                  <c:v>8.4705882352941173E-2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1.05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0.27764705882352941</c:v>
                </c:pt>
                <c:pt idx="4">
                  <c:v>0.19831932773109243</c:v>
                </c:pt>
                <c:pt idx="5">
                  <c:v>0.29854522454142945</c:v>
                </c:pt>
                <c:pt idx="6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0.22692307692307692</c:v>
                </c:pt>
                <c:pt idx="4">
                  <c:v>0.12291666666666666</c:v>
                </c:pt>
                <c:pt idx="5">
                  <c:v>0.15526315789473685</c:v>
                </c:pt>
                <c:pt idx="6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95247</xdr:colOff>
      <xdr:row>1</xdr:row>
      <xdr:rowOff>40341</xdr:rowOff>
    </xdr:from>
    <xdr:to>
      <xdr:col>33</xdr:col>
      <xdr:colOff>95247</xdr:colOff>
      <xdr:row>18</xdr:row>
      <xdr:rowOff>116541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C8165B6-1761-4DE5-B9E3-9DF72546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V" displayName="E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97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96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95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94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93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92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91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24">
      <calculatedColumnFormula>B97</calculatedColumnFormula>
      <totalsRowFormula>ETC[[#Totals],[Posten]]</totalsRowFormula>
    </tableColumn>
    <tableColumn id="2" name="1 [k €]" totalsRowFunction="custom" dataDxfId="23">
      <calculatedColumnFormula>IF(C69=$L$70,$L$70,$E$92/(C69*1000))</calculatedColumnFormula>
      <totalsRowFormula>$E$92/(CPI[[#Totals],[1]]*1000)</totalsRowFormula>
    </tableColumn>
    <tableColumn id="3" name="2 [k €]" totalsRowFunction="custom" dataDxfId="22">
      <calculatedColumnFormula>IF(D69=$L$70,$L$70,$E$92/(D69*1000))</calculatedColumnFormula>
      <totalsRowFormula>$E$92/(CPI[[#Totals],[2]]*1000)</totalsRowFormula>
    </tableColumn>
    <tableColumn id="4" name="3 [k €]" totalsRowFunction="custom" dataDxfId="21">
      <calculatedColumnFormula>IF(E69=$L$70,$L$70,$E$92/(E69*1000))</calculatedColumnFormula>
      <totalsRowFormula>$E$92/(CPI[[#Totals],[3]]*1000)</totalsRowFormula>
    </tableColumn>
    <tableColumn id="5" name="4 [k €]" totalsRowFunction="custom" dataDxfId="20">
      <calculatedColumnFormula>IF(F69=$L$70,$L$70,$E$92/(F69*1000))</calculatedColumnFormula>
      <totalsRowFormula>$E$92/(CPI[[#Totals],[4]]*1000)</totalsRowFormula>
    </tableColumn>
    <tableColumn id="6" name="5 [k €]" totalsRowFunction="custom" dataDxfId="19">
      <calculatedColumnFormula>IF(G69=$L$70,$L$70,$E$92/(G69*1000))</calculatedColumnFormula>
      <totalsRowFormula>$E$92/(CPI[[#Totals],[5]]*1000)</totalsRowFormula>
    </tableColumn>
    <tableColumn id="7" name="6 [k €]" totalsRowFunction="custom" dataDxfId="18">
      <calculatedColumnFormula>IF(H69=$L$70,$L$70,$E$92/(H69*1000))</calculatedColumnFormula>
      <totalsRowFormula>$E$92/(CPI[[#Totals],[6]]*1000)</totalsRowFormula>
    </tableColumn>
    <tableColumn id="8" name="7 [k €]" totalsRowFunction="custom" dataDxfId="17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0">
      <calculatedColumnFormula>Kennzahlen!I69</calculatedColumnFormula>
    </tableColumn>
    <tableColumn id="3" name="SPI" dataDxfId="9">
      <calculatedColumnFormula>Kennzahlen!I82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">
      <calculatedColumnFormula>Kennzahlen!H69</calculatedColumnFormula>
    </tableColumn>
    <tableColumn id="3" name="SPI" dataDxfId="3">
      <calculatedColumnFormula>Kennzahlen!H82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F5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90">
      <calculatedColumnFormula>B17</calculatedColumnFormula>
      <totalsRowFormula>AC[[#Totals],[Posten]]</totalsRowFormula>
    </tableColumn>
    <tableColumn id="2" name="1" totalsRowFunction="custom" dataDxfId="89" totalsRowDxfId="88">
      <calculatedColumnFormula>C4*'Fertigstellungsgrad der Akt.'!B2</calculatedColumnFormula>
      <totalsRowFormula>SUM(Tabelle2[1])</totalsRowFormula>
    </tableColumn>
    <tableColumn id="3" name="2" totalsRowFunction="custom" dataDxfId="87" totalsRowDxfId="86">
      <calculatedColumnFormula>D4*'Fertigstellungsgrad der Akt.'!C2</calculatedColumnFormula>
      <totalsRowFormula>SUM(Tabelle2[2])</totalsRowFormula>
    </tableColumn>
    <tableColumn id="4" name="3" totalsRowFunction="custom" dataDxfId="85" totalsRowDxfId="84">
      <calculatedColumnFormula>E4*'Fertigstellungsgrad der Akt.'!D2</calculatedColumnFormula>
      <totalsRowFormula>SUM(Tabelle2[3])</totalsRowFormula>
    </tableColumn>
    <tableColumn id="5" name="4" totalsRowFunction="custom" dataDxfId="83" totalsRowDxfId="82">
      <calculatedColumnFormula>F4*'Fertigstellungsgrad der Akt.'!E2</calculatedColumnFormula>
      <totalsRowFormula>SUM(Tabelle2[4])</totalsRowFormula>
    </tableColumn>
    <tableColumn id="6" name="5" totalsRowFunction="custom" dataDxfId="81" totalsRowDxfId="80">
      <calculatedColumnFormula>G4*'Fertigstellungsgrad der Akt.'!F2</calculatedColumnFormula>
      <totalsRowFormula>SUM(Tabelle2[5])</totalsRowFormula>
    </tableColumn>
    <tableColumn id="7" name="6" totalsRowFunction="custom" dataDxfId="79" totalsRowDxfId="78">
      <calculatedColumnFormula>H4*'Fertigstellungsgrad der Akt.'!G2</calculatedColumnFormula>
      <totalsRowFormula>SUM(Tabelle2[6])</totalsRowFormula>
    </tableColumn>
    <tableColumn id="8" name="7" totalsRowFunction="custom" dataDxfId="77" totalsRowDxfId="76">
      <calculatedColumnFormula>I4*'Fertigstellungsgrad der Akt.'!H2</calculatedColumnFormula>
      <totalsRowFormula>SUM(Tabelle2[7])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75">
      <calculatedColumnFormula>B4</calculatedColumnFormula>
      <totalsRowFormula>EV[[#Totals],[Posten]]</totalsRowFormula>
    </tableColumn>
    <tableColumn id="2" name="1" totalsRowFunction="custom" dataDxfId="74" totalsRowDxfId="73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72" totalsRowDxfId="71">
      <totalsRowFormula>SUM('Tatsächliche Kosten'!$B12:'Tatsächliche Kosten'!C12)</totalsRowFormula>
    </tableColumn>
    <tableColumn id="4" name="3" totalsRowFunction="custom" dataDxfId="70" totalsRowDxfId="69">
      <totalsRowFormula>SUM('Tatsächliche Kosten'!$B12:'Tatsächliche Kosten'!D12)</totalsRowFormula>
    </tableColumn>
    <tableColumn id="5" name="4" totalsRowFunction="custom" dataDxfId="68" totalsRowDxfId="67">
      <totalsRowFormula>SUM('Tatsächliche Kosten'!$B12:'Tatsächliche Kosten'!E12)</totalsRowFormula>
    </tableColumn>
    <tableColumn id="6" name="5" totalsRowFunction="custom" dataDxfId="66" totalsRowDxfId="65">
      <totalsRowFormula>SUM('Tatsächliche Kosten'!$B12:'Tatsächliche Kosten'!F12)</totalsRowFormula>
    </tableColumn>
    <tableColumn id="7" name="6" totalsRowFunction="custom" dataDxfId="64" totalsRowDxfId="63">
      <totalsRowFormula>SUM('Tatsächliche Kosten'!$B12:'Tatsächliche Kosten'!G12)</totalsRowFormula>
    </tableColumn>
    <tableColumn id="8" name="7" totalsRowFunction="custom" dataDxfId="62" totalsRowDxfId="61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Tabelle2[[#Totals],[Posten]]</totalsRowFormula>
    </tableColumn>
    <tableColumn id="2" name="1" totalsRowFunction="custom" dataDxfId="60">
      <calculatedColumnFormula>C30-C17</calculatedColumnFormula>
      <totalsRowFormula>Tabelle2[[#Totals],[1]]-AC[[#Totals],[1]]</totalsRowFormula>
    </tableColumn>
    <tableColumn id="3" name="2" totalsRowFunction="custom" dataDxfId="59">
      <calculatedColumnFormula>D30-D17</calculatedColumnFormula>
      <totalsRowFormula>Tabelle2[[#Totals],[2]]-AC[[#Totals],[2]]</totalsRowFormula>
    </tableColumn>
    <tableColumn id="4" name="3" totalsRowFunction="custom" dataDxfId="58">
      <calculatedColumnFormula>E30-E17</calculatedColumnFormula>
      <totalsRowFormula>Tabelle2[[#Totals],[3]]-AC[[#Totals],[3]]</totalsRowFormula>
    </tableColumn>
    <tableColumn id="5" name="4" totalsRowFunction="custom" dataDxfId="57">
      <calculatedColumnFormula>F30-F17</calculatedColumnFormula>
      <totalsRowFormula>Tabelle2[[#Totals],[4]]-AC[[#Totals],[4]]</totalsRowFormula>
    </tableColumn>
    <tableColumn id="6" name="5" totalsRowFunction="custom" dataDxfId="56">
      <calculatedColumnFormula>G30-G17</calculatedColumnFormula>
      <totalsRowFormula>Tabelle2[[#Totals],[5]]-AC[[#Totals],[5]]</totalsRowFormula>
    </tableColumn>
    <tableColumn id="7" name="6" totalsRowFunction="custom" dataDxfId="55">
      <calculatedColumnFormula>H30-H17</calculatedColumnFormula>
      <totalsRowFormula>Tabelle2[[#Totals],[6]]-AC[[#Totals],[6]]</totalsRowFormula>
    </tableColumn>
    <tableColumn id="8" name="7" totalsRowFunction="custom" dataDxfId="54">
      <calculatedColumnFormula>I30-I17</calculatedColumnFormula>
      <totalsRowFormula>Tabelle2[[#Totals],[7]]-AC[[#Totals],[7]]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53">
      <calculatedColumnFormula>C30-C4</calculatedColumnFormula>
      <totalsRowFormula>SUM(SV[1])</totalsRowFormula>
    </tableColumn>
    <tableColumn id="3" name="2" totalsRowFunction="custom" dataDxfId="52">
      <calculatedColumnFormula>D30-D4</calculatedColumnFormula>
      <totalsRowFormula>SUM(SV[2])</totalsRowFormula>
    </tableColumn>
    <tableColumn id="4" name="3" totalsRowFunction="custom" dataDxfId="51">
      <calculatedColumnFormula>E30-E4</calculatedColumnFormula>
      <totalsRowFormula>SUM(SV[3])</totalsRowFormula>
    </tableColumn>
    <tableColumn id="5" name="4" totalsRowFunction="custom" dataDxfId="50">
      <calculatedColumnFormula>F30-F4</calculatedColumnFormula>
      <totalsRowFormula>SUM(SV[4])</totalsRowFormula>
    </tableColumn>
    <tableColumn id="6" name="5" totalsRowFunction="custom" dataDxfId="49">
      <calculatedColumnFormula>G30-G4</calculatedColumnFormula>
      <totalsRowFormula>SUM(SV[5])</totalsRowFormula>
    </tableColumn>
    <tableColumn id="7" name="6" totalsRowFunction="custom" dataDxfId="48">
      <calculatedColumnFormula>H30-H4</calculatedColumnFormula>
      <totalsRowFormula>SUM(SV[6])</totalsRowFormula>
    </tableColumn>
    <tableColumn id="8" name="7" totalsRowFunction="custom" dataDxfId="47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46">
      <calculatedColumnFormula>IF(C17=0,$L$70,C30/C17)</calculatedColumnFormula>
      <totalsRowFormula>Tabelle2[[#Totals],[1]]/AC[[#Totals],[1]]</totalsRowFormula>
    </tableColumn>
    <tableColumn id="3" name="2" totalsRowFunction="custom" dataDxfId="45">
      <calculatedColumnFormula>IF(D17=0,$L$70,D30/D17)</calculatedColumnFormula>
      <totalsRowFormula>Tabelle2[[#Totals],[2]]/AC[[#Totals],[2]]</totalsRowFormula>
    </tableColumn>
    <tableColumn id="4" name="3" totalsRowFunction="custom" dataDxfId="44">
      <calculatedColumnFormula>IF(E17=0,$L$70,E30/E17)</calculatedColumnFormula>
      <totalsRowFormula>Tabelle2[[#Totals],[3]]/AC[[#Totals],[3]]</totalsRowFormula>
    </tableColumn>
    <tableColumn id="5" name="4" totalsRowFunction="custom" dataDxfId="43">
      <calculatedColumnFormula>IF(F17=0,$L$70,F30/F17)</calculatedColumnFormula>
      <totalsRowFormula>Tabelle2[[#Totals],[4]]/AC[[#Totals],[4]]</totalsRowFormula>
    </tableColumn>
    <tableColumn id="6" name="5" totalsRowFunction="custom" dataDxfId="42">
      <calculatedColumnFormula>IF(G17=0,$L$70,G30/G17)</calculatedColumnFormula>
      <totalsRowFormula>Tabelle2[[#Totals],[5]]/AC[[#Totals],[5]]</totalsRowFormula>
    </tableColumn>
    <tableColumn id="7" name="6" totalsRowFunction="custom" dataDxfId="41">
      <calculatedColumnFormula>IF(H17=0,$L$70,H30/H17)</calculatedColumnFormula>
      <totalsRowFormula>Tabelle2[[#Totals],[6]]/AC[[#Totals],[6]]</totalsRowFormula>
    </tableColumn>
    <tableColumn id="8" name="7" totalsRowFunction="custom" dataDxfId="40">
      <calculatedColumnFormula>IF(I17=0,"-",I30/I17)</calculatedColumnFormula>
      <totalsRowFormula>Tabelle2[[#Totals],[7]]/AC[[#Totals],[7]]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39">
      <calculatedColumnFormula>IF(C4=0,$L$70,C30/C4)</calculatedColumnFormula>
      <totalsRowFormula>Tabelle2[[#Totals],[1]]/EV[[#Totals],[1]]</totalsRowFormula>
    </tableColumn>
    <tableColumn id="3" name="2" totalsRowFunction="custom" dataDxfId="38">
      <calculatedColumnFormula>IF(D4=0,$L$70,D30/D4)</calculatedColumnFormula>
      <totalsRowFormula>Tabelle2[[#Totals],[2]]/EV[[#Totals],[2]]</totalsRowFormula>
    </tableColumn>
    <tableColumn id="4" name="3" totalsRowFunction="custom" dataDxfId="37">
      <calculatedColumnFormula>IF(E4=0,$L$70,E30/E4)</calculatedColumnFormula>
      <totalsRowFormula>Tabelle2[[#Totals],[3]]/EV[[#Totals],[3]]</totalsRowFormula>
    </tableColumn>
    <tableColumn id="5" name="4" totalsRowFunction="custom" dataDxfId="36">
      <calculatedColumnFormula>IF(F4=0,$L$70,F30/F4)</calculatedColumnFormula>
      <totalsRowFormula>Tabelle2[[#Totals],[4]]/EV[[#Totals],[4]]</totalsRowFormula>
    </tableColumn>
    <tableColumn id="6" name="5" totalsRowFunction="custom" dataDxfId="35">
      <calculatedColumnFormula>IF(G4=0,$L$70,G30/G4)</calculatedColumnFormula>
      <totalsRowFormula>Tabelle2[[#Totals],[5]]/EV[[#Totals],[5]]</totalsRowFormula>
    </tableColumn>
    <tableColumn id="7" name="6" totalsRowFunction="custom" dataDxfId="34">
      <calculatedColumnFormula>IF(H4=0,$L$70,H30/H4)</calculatedColumnFormula>
      <totalsRowFormula>Tabelle2[[#Totals],[6]]/EV[[#Totals],[6]]</totalsRowFormula>
    </tableColumn>
    <tableColumn id="8" name="7" totalsRowFunction="custom" dataDxfId="33">
      <calculatedColumnFormula>IF(I4=0,"-",I30/I4)</calculatedColumnFormula>
      <totalsRowFormula>Tabelle2[[#Totals],[7]]/EV[[#Totals],[7]]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32">
      <calculatedColumnFormula>B82</calculatedColumnFormula>
      <totalsRowFormula>SPI[[#Totals],[Posten]]</totalsRowFormula>
    </tableColumn>
    <tableColumn id="2" name="1 [k €]" totalsRowFunction="custom" dataDxfId="31">
      <calculatedColumnFormula>IF(C69=$L$70,$L$70,($E$92-C30)/(C69*1000))</calculatedColumnFormula>
      <totalsRowFormula>($E$92-Tabelle2[[#Totals],[1]])/(CPI[[#Totals],[1]]*1000)</totalsRowFormula>
    </tableColumn>
    <tableColumn id="3" name="2 [k €]" totalsRowFunction="custom" dataDxfId="30">
      <calculatedColumnFormula>IF(D69=$L$70,$L$70,($E$92-D30)/(D69*1000))</calculatedColumnFormula>
      <totalsRowFormula>($E$92-Tabelle2[[#Totals],[2]])/(CPI[[#Totals],[2]]*1000)</totalsRowFormula>
    </tableColumn>
    <tableColumn id="4" name="3 [k €]" totalsRowFunction="custom" dataDxfId="29">
      <calculatedColumnFormula>IF(E69=$L$70,$L$70,($E$92-E30)/(E69*1000))</calculatedColumnFormula>
      <totalsRowFormula>($E$92-Tabelle2[[#Totals],[3]])/(CPI[[#Totals],[3]]*1000)</totalsRowFormula>
    </tableColumn>
    <tableColumn id="5" name="4 [k €]" totalsRowFunction="custom" dataDxfId="28">
      <calculatedColumnFormula>IF(F69=$L$70,$L$70,($E$92-F30)/(F69*1000))</calculatedColumnFormula>
      <totalsRowFormula>($E$92-Tabelle2[[#Totals],[4]])/(CPI[[#Totals],[4]]*1000)</totalsRowFormula>
    </tableColumn>
    <tableColumn id="6" name="5 [k €]" totalsRowFunction="custom" dataDxfId="27">
      <calculatedColumnFormula>IF(G69=$L$70,$L$70,($E$92-G30)/(G69*1000))</calculatedColumnFormula>
      <totalsRowFormula>($E$92-Tabelle2[[#Totals],[5]])/(CPI[[#Totals],[5]]*1000)</totalsRowFormula>
    </tableColumn>
    <tableColumn id="7" name="6 [k €]" totalsRowFunction="custom" dataDxfId="26">
      <calculatedColumnFormula>IF(H69=$L$70,$L$70,($E$92-H30)/(H69*1000))</calculatedColumnFormula>
      <totalsRowFormula>($E$92-Tabelle2[[#Totals],[6]])/(CPI[[#Totals],[6]]*1000)</totalsRowFormula>
    </tableColumn>
    <tableColumn id="8" name="7 [k €]" totalsRowFunction="custom" dataDxfId="25">
      <calculatedColumnFormula>IF(I69=$L$70,$L$70,($E$92-I30)/(I69*1000))</calculatedColumnFormula>
      <totalsRowFormula>($E$92-Tabelle2[[#Totals],[7]])/(CPI[[#Totals],[7]]*1000)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abSelected="1" zoomScale="85" zoomScaleNormal="85" workbookViewId="0">
      <selection activeCell="A2" sqref="A2"/>
    </sheetView>
  </sheetViews>
  <sheetFormatPr baseColWidth="10" defaultRowHeight="12.75" x14ac:dyDescent="0.2"/>
  <cols>
    <col min="1" max="1" width="7.42578125" customWidth="1"/>
    <col min="2" max="2" width="21.85546875" customWidth="1"/>
  </cols>
  <sheetData>
    <row r="1" spans="1:12" ht="23.25" x14ac:dyDescent="0.35">
      <c r="A1" s="27" t="s">
        <v>81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29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28</v>
      </c>
    </row>
    <row r="11" spans="1:12" x14ac:dyDescent="0.2">
      <c r="B11" t="s">
        <v>80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</row>
    <row r="14" spans="1:12" ht="23.25" x14ac:dyDescent="0.35">
      <c r="A14" s="27" t="s">
        <v>40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30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EV[[#Totals],[Posten]]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'Budgetierte Kosten'!$P2*'Fertigstellungsgrad der Akt.'!B2</f>
        <v>50400</v>
      </c>
      <c r="D30" s="28">
        <f>'Budgetierte Kosten'!$P2*'Fertigstellungsgrad der Akt.'!C2</f>
        <v>7200</v>
      </c>
      <c r="E30" s="28">
        <f>'Budgetierte Kosten'!$P2*'Fertigstellungsgrad der Akt.'!D2</f>
        <v>14400</v>
      </c>
      <c r="F30" s="28">
        <f>'Budgetierte Kosten'!$P2*'Fertigstellungsgrad der Akt.'!E2</f>
        <v>43200</v>
      </c>
      <c r="G30" s="28">
        <f>'Budgetierte Kosten'!$P2*'Fertigstellungsgrad der Akt.'!F2</f>
        <v>72000</v>
      </c>
      <c r="H30" s="28">
        <f>'Budgetierte Kosten'!$P2*'Fertigstellungsgrad der Akt.'!G2</f>
        <v>115200</v>
      </c>
      <c r="I30" s="28">
        <f>'Budgetierte Kosten'!$P2*'Fertigstellungsgrad der Akt.'!H2</f>
        <v>129600</v>
      </c>
      <c r="K30" t="s">
        <v>18</v>
      </c>
      <c r="L30" t="s">
        <v>31</v>
      </c>
    </row>
    <row r="31" spans="1:12" x14ac:dyDescent="0.2">
      <c r="B31" t="str">
        <f t="shared" si="1"/>
        <v>Design und Architektur</v>
      </c>
      <c r="C31" s="28">
        <f>'Budgetierte Kosten'!$P3*'Fertigstellungsgrad der Akt.'!B3</f>
        <v>0</v>
      </c>
      <c r="D31" s="28">
        <f>'Budgetierte Kosten'!$P3*'Fertigstellungsgrad der Akt.'!C3</f>
        <v>0</v>
      </c>
      <c r="E31" s="28">
        <f>'Budgetierte Kosten'!$P3*'Fertigstellungsgrad der Akt.'!D3</f>
        <v>0</v>
      </c>
      <c r="F31" s="28">
        <f>'Budgetierte Kosten'!$P3*'Fertigstellungsgrad der Akt.'!E3</f>
        <v>11800</v>
      </c>
      <c r="G31" s="28">
        <f>'Budgetierte Kosten'!$P3*'Fertigstellungsgrad der Akt.'!F3</f>
        <v>11800</v>
      </c>
      <c r="H31" s="28">
        <f>'Budgetierte Kosten'!$P3*'Fertigstellungsgrad der Akt.'!G3</f>
        <v>23600</v>
      </c>
      <c r="I31" s="28">
        <f>'Budgetierte Kosten'!$P3*'Fertigstellungsgrad der Akt.'!H3</f>
        <v>94400</v>
      </c>
    </row>
    <row r="32" spans="1:12" x14ac:dyDescent="0.2">
      <c r="B32" t="str">
        <f t="shared" si="1"/>
        <v>Implementierung</v>
      </c>
      <c r="C32" s="28">
        <f>'Budgetierte Kosten'!$P4*'Fertigstellungsgrad der Akt.'!B4</f>
        <v>0</v>
      </c>
      <c r="D32" s="28">
        <f>'Budgetierte Kosten'!$P4*'Fertigstellungsgrad der Akt.'!C4</f>
        <v>0</v>
      </c>
      <c r="E32" s="28">
        <f>'Budgetierte Kosten'!$P4*'Fertigstellungsgrad der Akt.'!D4</f>
        <v>0</v>
      </c>
      <c r="F32" s="28">
        <f>'Budgetierte Kosten'!$P4*'Fertigstellungsgrad der Akt.'!E4</f>
        <v>0</v>
      </c>
      <c r="G32" s="28">
        <f>'Budgetierte Kosten'!$P4*'Fertigstellungsgrad der Akt.'!F4</f>
        <v>0</v>
      </c>
      <c r="H32" s="28">
        <f>'Budgetierte Kosten'!$P4*'Fertigstellungsgrad der Akt.'!G4</f>
        <v>39200</v>
      </c>
      <c r="I32" s="28">
        <f>'Budgetierte Kosten'!$P4*'Fertigstellungsgrad der Akt.'!H4</f>
        <v>98000</v>
      </c>
    </row>
    <row r="33" spans="1:12" x14ac:dyDescent="0.2">
      <c r="B33" t="str">
        <f t="shared" si="1"/>
        <v>Integration und Test</v>
      </c>
      <c r="C33" s="28">
        <f>'Budgetierte Kosten'!$P5*'Fertigstellungsgrad der Akt.'!B5</f>
        <v>0</v>
      </c>
      <c r="D33" s="28">
        <f>'Budgetierte Kosten'!$P5*'Fertigstellungsgrad der Akt.'!C5</f>
        <v>0</v>
      </c>
      <c r="E33" s="28">
        <f>'Budgetierte Kosten'!$P5*'Fertigstellungsgrad der Akt.'!D5</f>
        <v>0</v>
      </c>
      <c r="F33" s="28">
        <f>'Budgetierte Kosten'!$P5*'Fertigstellungsgrad der Akt.'!E5</f>
        <v>0</v>
      </c>
      <c r="G33" s="28">
        <f>'Budgetierte Kosten'!$P5*'Fertigstellungsgrad der Akt.'!F5</f>
        <v>0</v>
      </c>
      <c r="H33" s="28">
        <f>'Budgetierte Kosten'!$P5*'Fertigstellungsgrad der Akt.'!G5</f>
        <v>0</v>
      </c>
      <c r="I33" s="28">
        <f>'Budgetierte Kosten'!$P5*'Fertigstellungsgrad der Akt.'!H5</f>
        <v>63000</v>
      </c>
    </row>
    <row r="34" spans="1:12" x14ac:dyDescent="0.2">
      <c r="B34" t="str">
        <f t="shared" si="1"/>
        <v>Projektmanagement</v>
      </c>
      <c r="C34" s="28">
        <f>'Budgetierte Kosten'!$P6*'Fertigstellungsgrad der Akt.'!B6</f>
        <v>22880</v>
      </c>
      <c r="D34" s="28">
        <f>'Budgetierte Kosten'!$P6*'Fertigstellungsgrad der Akt.'!C6</f>
        <v>14300</v>
      </c>
      <c r="E34" s="28">
        <f>'Budgetierte Kosten'!$P6*'Fertigstellungsgrad der Akt.'!D6</f>
        <v>42900</v>
      </c>
      <c r="F34" s="28">
        <f>'Budgetierte Kosten'!$P6*'Fertigstellungsgrad der Akt.'!E6</f>
        <v>57200</v>
      </c>
      <c r="G34" s="28">
        <f>'Budgetierte Kosten'!$P6*'Fertigstellungsgrad der Akt.'!F6</f>
        <v>85800</v>
      </c>
      <c r="H34" s="28">
        <f>'Budgetierte Kosten'!$P6*'Fertigstellungsgrad der Akt.'!G6</f>
        <v>114400</v>
      </c>
      <c r="I34" s="28">
        <f>'Budgetierte Kosten'!$P6*'Fertigstellungsgrad der Akt.'!H6</f>
        <v>143000</v>
      </c>
    </row>
    <row r="35" spans="1:12" x14ac:dyDescent="0.2">
      <c r="B35" t="str">
        <f t="shared" si="1"/>
        <v>Puffer für unerwartetes</v>
      </c>
      <c r="C35" s="28">
        <f>'Budgetierte Kosten'!$P7*'Fertigstellungsgrad der Akt.'!B7</f>
        <v>8320</v>
      </c>
      <c r="D35" s="28">
        <f>'Budgetierte Kosten'!$P7*'Fertigstellungsgrad der Akt.'!C7</f>
        <v>5200</v>
      </c>
      <c r="E35" s="28">
        <f>'Budgetierte Kosten'!$P7*'Fertigstellungsgrad der Akt.'!D7</f>
        <v>10400</v>
      </c>
      <c r="F35" s="28">
        <f>'Budgetierte Kosten'!$P7*'Fertigstellungsgrad der Akt.'!E7</f>
        <v>20800</v>
      </c>
      <c r="G35" s="28">
        <f>'Budgetierte Kosten'!$P7*'Fertigstellungsgrad der Akt.'!F7</f>
        <v>31200</v>
      </c>
      <c r="H35" s="28">
        <f>'Budgetierte Kosten'!$P7*'Fertigstellungsgrad der Akt.'!G7</f>
        <v>46800</v>
      </c>
      <c r="I35" s="28">
        <f>'Budgetierte Kosten'!$P7*'Fertigstellungsgrad der Akt.'!H7</f>
        <v>57200.000000000007</v>
      </c>
    </row>
    <row r="36" spans="1:12" x14ac:dyDescent="0.2">
      <c r="B36" t="str">
        <f t="shared" si="1"/>
        <v>Materialkosten</v>
      </c>
      <c r="C36" s="28">
        <f>'Budgetierte Kosten'!$O$11*'Fertigstellungsgrad der Akt.'!B8</f>
        <v>1720</v>
      </c>
      <c r="D36" s="28">
        <f>'Budgetierte Kosten'!$O$11*'Fertigstellungsgrad der Akt.'!C8</f>
        <v>3440</v>
      </c>
      <c r="E36" s="28">
        <f>'Budgetierte Kosten'!$O$11*'Fertigstellungsgrad der Akt.'!D8</f>
        <v>5160</v>
      </c>
      <c r="F36" s="28">
        <f>'Budgetierte Kosten'!$O$11*'Fertigstellungsgrad der Akt.'!E8</f>
        <v>6880</v>
      </c>
      <c r="G36" s="28">
        <f>'Budgetierte Kosten'!$O$11*'Fertigstellungsgrad der Akt.'!F8</f>
        <v>8600</v>
      </c>
      <c r="H36" s="28">
        <f>'Budgetierte Kosten'!$O$11*'Fertigstellungsgrad der Akt.'!G8</f>
        <v>10320</v>
      </c>
      <c r="I36" s="28">
        <f>'Budgetierte Kosten'!$O$11*'Fertigstellungsgrad der Akt.'!H8</f>
        <v>12040.000000000002</v>
      </c>
    </row>
    <row r="37" spans="1:12" x14ac:dyDescent="0.2">
      <c r="B37" t="str">
        <f>AC[[#Totals],[Posten]]</f>
        <v>Gesamt</v>
      </c>
      <c r="C37" s="28">
        <f>SUM(Tabelle2[1])</f>
        <v>83320</v>
      </c>
      <c r="D37" s="28">
        <f>SUM(Tabelle2[2])</f>
        <v>30140</v>
      </c>
      <c r="E37" s="28">
        <f>SUM(Tabelle2[3])</f>
        <v>72860</v>
      </c>
      <c r="F37" s="28">
        <f>SUM(Tabelle2[4])</f>
        <v>139880</v>
      </c>
      <c r="G37" s="28">
        <f>SUM(Tabelle2[5])</f>
        <v>209400</v>
      </c>
      <c r="H37" s="28">
        <f>SUM(Tabelle2[6])</f>
        <v>349520</v>
      </c>
      <c r="I37" s="28">
        <f>SUM(Tabelle2[7])</f>
        <v>597240</v>
      </c>
    </row>
    <row r="40" spans="1:12" ht="23.25" x14ac:dyDescent="0.35">
      <c r="A40" s="27" t="s">
        <v>32</v>
      </c>
    </row>
    <row r="42" spans="1:12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2">
      <c r="B43" t="str">
        <f t="shared" ref="B43:B49" si="2">B30</f>
        <v>Anforderungsanalyse</v>
      </c>
      <c r="C43" s="28">
        <f t="shared" ref="C43:I49" si="3">C30-C17</f>
        <v>7900</v>
      </c>
      <c r="D43" s="28">
        <f t="shared" si="3"/>
        <v>-77800</v>
      </c>
      <c r="E43" s="28">
        <f t="shared" si="3"/>
        <v>-116500</v>
      </c>
      <c r="F43" s="28">
        <f t="shared" si="3"/>
        <v>-91950</v>
      </c>
      <c r="G43" s="28">
        <f t="shared" si="3"/>
        <v>-63150</v>
      </c>
      <c r="H43" s="28">
        <f t="shared" si="3"/>
        <v>-19950</v>
      </c>
      <c r="I43" s="28">
        <f t="shared" si="3"/>
        <v>-5550</v>
      </c>
      <c r="K43" t="s">
        <v>18</v>
      </c>
      <c r="L43" t="s">
        <v>37</v>
      </c>
    </row>
    <row r="44" spans="1:12" x14ac:dyDescent="0.2">
      <c r="B44" t="str">
        <f t="shared" si="2"/>
        <v>Design und Architektur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-30700</v>
      </c>
      <c r="G44" s="28">
        <f t="shared" si="3"/>
        <v>-47700</v>
      </c>
      <c r="H44" s="28">
        <f t="shared" si="3"/>
        <v>-55450</v>
      </c>
      <c r="I44" s="28">
        <f t="shared" si="3"/>
        <v>6850</v>
      </c>
    </row>
    <row r="45" spans="1:12" x14ac:dyDescent="0.2">
      <c r="B45" t="str">
        <f t="shared" si="2"/>
        <v>Implementierung</v>
      </c>
      <c r="C45" s="28">
        <f t="shared" si="3"/>
        <v>0</v>
      </c>
      <c r="D45" s="28">
        <f t="shared" si="3"/>
        <v>0</v>
      </c>
      <c r="E45" s="28">
        <f t="shared" si="3"/>
        <v>0</v>
      </c>
      <c r="F45" s="28">
        <f t="shared" si="3"/>
        <v>0</v>
      </c>
      <c r="G45" s="28">
        <f t="shared" si="3"/>
        <v>0</v>
      </c>
      <c r="H45" s="28">
        <f t="shared" si="3"/>
        <v>17950</v>
      </c>
      <c r="I45" s="28">
        <f t="shared" si="3"/>
        <v>55500</v>
      </c>
    </row>
    <row r="46" spans="1:12" x14ac:dyDescent="0.2">
      <c r="B46" t="str">
        <f t="shared" si="2"/>
        <v>Integration und Test</v>
      </c>
      <c r="C46" s="28">
        <f t="shared" si="3"/>
        <v>0</v>
      </c>
      <c r="D46" s="28">
        <f t="shared" si="3"/>
        <v>0</v>
      </c>
      <c r="E46" s="28">
        <f t="shared" si="3"/>
        <v>0</v>
      </c>
      <c r="F46" s="28">
        <f t="shared" si="3"/>
        <v>0</v>
      </c>
      <c r="G46" s="28">
        <f t="shared" si="3"/>
        <v>0</v>
      </c>
      <c r="H46" s="28">
        <f t="shared" si="3"/>
        <v>0</v>
      </c>
      <c r="I46" s="28">
        <f t="shared" si="3"/>
        <v>33250</v>
      </c>
    </row>
    <row r="47" spans="1:12" x14ac:dyDescent="0.2">
      <c r="B47" t="str">
        <f t="shared" si="2"/>
        <v>Projektmanagement</v>
      </c>
      <c r="C47" s="28">
        <f t="shared" si="3"/>
        <v>-2620</v>
      </c>
      <c r="D47" s="28">
        <f t="shared" si="3"/>
        <v>-79200</v>
      </c>
      <c r="E47" s="28">
        <f t="shared" si="3"/>
        <v>-84600</v>
      </c>
      <c r="F47" s="28">
        <f t="shared" si="3"/>
        <v>-95800</v>
      </c>
      <c r="G47" s="28">
        <f t="shared" si="3"/>
        <v>-84200</v>
      </c>
      <c r="H47" s="28">
        <f t="shared" si="3"/>
        <v>-72600</v>
      </c>
      <c r="I47" s="28">
        <f t="shared" si="3"/>
        <v>-61000</v>
      </c>
    </row>
    <row r="48" spans="1:12" x14ac:dyDescent="0.2">
      <c r="B48" t="str">
        <f t="shared" si="2"/>
        <v>Puffer für unerwartetes</v>
      </c>
      <c r="C48" s="28">
        <f t="shared" si="3"/>
        <v>-5280</v>
      </c>
      <c r="D48" s="28">
        <f t="shared" si="3"/>
        <v>-161400</v>
      </c>
      <c r="E48" s="28">
        <f t="shared" si="3"/>
        <v>-292200</v>
      </c>
      <c r="F48" s="28">
        <f t="shared" si="3"/>
        <v>-320050</v>
      </c>
      <c r="G48" s="28">
        <f t="shared" si="3"/>
        <v>-313900</v>
      </c>
      <c r="H48" s="28">
        <f t="shared" si="3"/>
        <v>-302550</v>
      </c>
      <c r="I48" s="28">
        <f t="shared" si="3"/>
        <v>-296400</v>
      </c>
    </row>
    <row r="49" spans="1:12" x14ac:dyDescent="0.2">
      <c r="B49" t="str">
        <f t="shared" si="2"/>
        <v>Materialkosten</v>
      </c>
      <c r="C49" s="28">
        <f t="shared" si="3"/>
        <v>-280</v>
      </c>
      <c r="D49" s="28">
        <f t="shared" si="3"/>
        <v>-60</v>
      </c>
      <c r="E49" s="28">
        <f t="shared" si="3"/>
        <v>260</v>
      </c>
      <c r="F49" s="28">
        <f t="shared" si="3"/>
        <v>480</v>
      </c>
      <c r="G49" s="28">
        <f t="shared" si="3"/>
        <v>1200</v>
      </c>
      <c r="H49" s="28">
        <f t="shared" si="3"/>
        <v>-4680</v>
      </c>
      <c r="I49" s="28">
        <f t="shared" si="3"/>
        <v>-4159.9999999999982</v>
      </c>
    </row>
    <row r="50" spans="1:12" x14ac:dyDescent="0.2">
      <c r="B50" t="str">
        <f>Tabelle2[[#Totals],[Posten]]</f>
        <v>Gesamt</v>
      </c>
      <c r="C50" s="28">
        <f>Tabelle2[[#Totals],[1]]-AC[[#Totals],[1]]</f>
        <v>-280</v>
      </c>
      <c r="D50" s="28">
        <f>Tabelle2[[#Totals],[2]]-AC[[#Totals],[2]]</f>
        <v>-318460</v>
      </c>
      <c r="E50" s="28">
        <f>Tabelle2[[#Totals],[3]]-AC[[#Totals],[3]]</f>
        <v>-493040</v>
      </c>
      <c r="F50" s="28">
        <f>Tabelle2[[#Totals],[4]]-AC[[#Totals],[4]]</f>
        <v>-538020</v>
      </c>
      <c r="G50" s="28">
        <f>Tabelle2[[#Totals],[5]]-AC[[#Totals],[5]]</f>
        <v>-507750</v>
      </c>
      <c r="H50" s="28">
        <f>Tabelle2[[#Totals],[6]]-AC[[#Totals],[6]]</f>
        <v>-437280</v>
      </c>
      <c r="I50" s="28">
        <f>Tabelle2[[#Totals],[7]]-AC[[#Totals],[7]]</f>
        <v>-271510</v>
      </c>
    </row>
    <row r="53" spans="1:12" ht="23.25" x14ac:dyDescent="0.35">
      <c r="A53" s="27" t="s">
        <v>33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 t="shared" ref="B56:B62" si="4">B43</f>
        <v>Anforderungsanalyse</v>
      </c>
      <c r="C56" s="28">
        <f t="shared" ref="C56:I62" si="5">C30-C4</f>
        <v>2400</v>
      </c>
      <c r="D56" s="28">
        <f t="shared" si="5"/>
        <v>-88800</v>
      </c>
      <c r="E56" s="28">
        <f t="shared" si="5"/>
        <v>-129600</v>
      </c>
      <c r="F56" s="28">
        <f t="shared" si="5"/>
        <v>-100800</v>
      </c>
      <c r="G56" s="28">
        <f t="shared" si="5"/>
        <v>-72000</v>
      </c>
      <c r="H56" s="28">
        <f t="shared" si="5"/>
        <v>-28800</v>
      </c>
      <c r="I56" s="28">
        <f t="shared" si="5"/>
        <v>-14400</v>
      </c>
      <c r="K56" t="s">
        <v>18</v>
      </c>
      <c r="L56" t="s">
        <v>38</v>
      </c>
    </row>
    <row r="57" spans="1:12" x14ac:dyDescent="0.2">
      <c r="B57" t="str">
        <f t="shared" si="4"/>
        <v>Design und Architektur</v>
      </c>
      <c r="C57" s="28">
        <f t="shared" si="5"/>
        <v>0</v>
      </c>
      <c r="D57" s="28">
        <f t="shared" si="5"/>
        <v>0</v>
      </c>
      <c r="E57" s="28">
        <f t="shared" si="5"/>
        <v>-20000</v>
      </c>
      <c r="F57" s="28">
        <f t="shared" si="5"/>
        <v>-40200</v>
      </c>
      <c r="G57" s="28">
        <f t="shared" si="5"/>
        <v>-84200</v>
      </c>
      <c r="H57" s="28">
        <f t="shared" si="5"/>
        <v>-128400</v>
      </c>
      <c r="I57" s="28">
        <f t="shared" si="5"/>
        <v>-77600</v>
      </c>
    </row>
    <row r="58" spans="1:12" x14ac:dyDescent="0.2">
      <c r="B58" t="str">
        <f t="shared" si="4"/>
        <v>Implementierung</v>
      </c>
      <c r="C58" s="28">
        <f t="shared" si="5"/>
        <v>0</v>
      </c>
      <c r="D58" s="28">
        <f t="shared" si="5"/>
        <v>0</v>
      </c>
      <c r="E58" s="28">
        <f t="shared" si="5"/>
        <v>0</v>
      </c>
      <c r="F58" s="28">
        <f t="shared" si="5"/>
        <v>-24000</v>
      </c>
      <c r="G58" s="28">
        <f t="shared" si="5"/>
        <v>-64000</v>
      </c>
      <c r="H58" s="28">
        <f t="shared" si="5"/>
        <v>-72800</v>
      </c>
      <c r="I58" s="28">
        <f t="shared" si="5"/>
        <v>-62000</v>
      </c>
    </row>
    <row r="59" spans="1:12" x14ac:dyDescent="0.2">
      <c r="B59" t="str">
        <f t="shared" si="4"/>
        <v>Integration und Test</v>
      </c>
      <c r="C59" s="28">
        <f t="shared" si="5"/>
        <v>0</v>
      </c>
      <c r="D59" s="28">
        <f t="shared" si="5"/>
        <v>0</v>
      </c>
      <c r="E59" s="28">
        <f t="shared" si="5"/>
        <v>0</v>
      </c>
      <c r="F59" s="28">
        <f t="shared" si="5"/>
        <v>0</v>
      </c>
      <c r="G59" s="28">
        <f t="shared" si="5"/>
        <v>0</v>
      </c>
      <c r="H59" s="28">
        <f t="shared" si="5"/>
        <v>0</v>
      </c>
      <c r="I59" s="28">
        <f t="shared" si="5"/>
        <v>47000</v>
      </c>
    </row>
    <row r="60" spans="1:12" x14ac:dyDescent="0.2">
      <c r="B60" t="str">
        <f t="shared" si="4"/>
        <v>Projektmanagement</v>
      </c>
      <c r="C60" s="28">
        <f t="shared" si="5"/>
        <v>880</v>
      </c>
      <c r="D60" s="28">
        <f t="shared" si="5"/>
        <v>-29700</v>
      </c>
      <c r="E60" s="28">
        <f t="shared" si="5"/>
        <v>-23100</v>
      </c>
      <c r="F60" s="28">
        <f t="shared" si="5"/>
        <v>-30800</v>
      </c>
      <c r="G60" s="28">
        <f t="shared" si="5"/>
        <v>-24200</v>
      </c>
      <c r="H60" s="28">
        <f t="shared" si="5"/>
        <v>-17600</v>
      </c>
      <c r="I60" s="28">
        <f t="shared" si="5"/>
        <v>-11000</v>
      </c>
    </row>
    <row r="61" spans="1:12" x14ac:dyDescent="0.2">
      <c r="B61" t="str">
        <f t="shared" si="4"/>
        <v>Puffer für unerwartetes</v>
      </c>
      <c r="C61" s="28">
        <f t="shared" si="5"/>
        <v>320</v>
      </c>
      <c r="D61" s="28">
        <f t="shared" si="5"/>
        <v>-10800</v>
      </c>
      <c r="E61" s="28">
        <f t="shared" si="5"/>
        <v>-13600</v>
      </c>
      <c r="F61" s="28">
        <f t="shared" si="5"/>
        <v>-11200</v>
      </c>
      <c r="G61" s="28">
        <f t="shared" si="5"/>
        <v>-8800</v>
      </c>
      <c r="H61" s="28">
        <f t="shared" si="5"/>
        <v>-1200</v>
      </c>
      <c r="I61" s="28">
        <f t="shared" si="5"/>
        <v>1200.0000000000073</v>
      </c>
    </row>
    <row r="62" spans="1:12" x14ac:dyDescent="0.2">
      <c r="B62" t="str">
        <f t="shared" si="4"/>
        <v>Materialkosten</v>
      </c>
      <c r="C62" s="28">
        <f t="shared" si="5"/>
        <v>-280</v>
      </c>
      <c r="D62" s="28">
        <f t="shared" si="5"/>
        <v>-560</v>
      </c>
      <c r="E62" s="28">
        <f t="shared" si="5"/>
        <v>-1840</v>
      </c>
      <c r="F62" s="28">
        <f t="shared" si="5"/>
        <v>-3120</v>
      </c>
      <c r="G62" s="28">
        <f t="shared" si="5"/>
        <v>-4400</v>
      </c>
      <c r="H62" s="28">
        <f t="shared" si="5"/>
        <v>-5680</v>
      </c>
      <c r="I62" s="28">
        <f t="shared" si="5"/>
        <v>-8959.9999999999982</v>
      </c>
    </row>
    <row r="63" spans="1:12" x14ac:dyDescent="0.2">
      <c r="B63" t="str">
        <f>CV[[#Totals],[Posten]]</f>
        <v>Gesamt</v>
      </c>
      <c r="C63" s="28">
        <f>SUM(SV[1])</f>
        <v>3320</v>
      </c>
      <c r="D63" s="28">
        <f>SUM(SV[2])</f>
        <v>-129860</v>
      </c>
      <c r="E63" s="28">
        <f>SUM(SV[3])</f>
        <v>-188140</v>
      </c>
      <c r="F63" s="28">
        <f>SUM(SV[4])</f>
        <v>-210120</v>
      </c>
      <c r="G63" s="28">
        <f>SUM(SV[5])</f>
        <v>-257600</v>
      </c>
      <c r="H63" s="28">
        <f>SUM(SV[6])</f>
        <v>-254480</v>
      </c>
      <c r="I63" s="28">
        <f>SUM(SV[7])</f>
        <v>-125760</v>
      </c>
    </row>
    <row r="66" spans="1:20" ht="23.25" x14ac:dyDescent="0.35">
      <c r="A66" s="27" t="s">
        <v>34</v>
      </c>
      <c r="N66" s="27" t="s">
        <v>41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 t="shared" ref="B69:B75" si="6">B56</f>
        <v>Anforderungsanalyse</v>
      </c>
      <c r="C69" s="29">
        <f t="shared" ref="C69:H75" si="7">IF(C17=0,$L$70,C30/C17)</f>
        <v>1.1858823529411764</v>
      </c>
      <c r="D69" s="29">
        <f t="shared" si="7"/>
        <v>8.4705882352941173E-2</v>
      </c>
      <c r="E69" s="29">
        <f t="shared" si="7"/>
        <v>0.11000763941940413</v>
      </c>
      <c r="F69" s="29">
        <f t="shared" si="7"/>
        <v>0.31964483906770258</v>
      </c>
      <c r="G69" s="29">
        <f t="shared" si="7"/>
        <v>0.53274139844617097</v>
      </c>
      <c r="H69" s="29">
        <f t="shared" si="7"/>
        <v>0.85238623751387343</v>
      </c>
      <c r="I69" s="29">
        <f t="shared" ref="I69:I75" si="8">IF(I17=0,"-",I30/I17)</f>
        <v>0.95893451720310763</v>
      </c>
      <c r="K69" t="s">
        <v>18</v>
      </c>
      <c r="L69" t="s">
        <v>72</v>
      </c>
      <c r="M69" t="s">
        <v>36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si="6"/>
        <v>Design und Architektur</v>
      </c>
      <c r="C70" s="29" t="str">
        <f t="shared" si="7"/>
        <v>-</v>
      </c>
      <c r="D70" s="29" t="str">
        <f t="shared" si="7"/>
        <v>-</v>
      </c>
      <c r="E70" s="29" t="str">
        <f t="shared" si="7"/>
        <v>-</v>
      </c>
      <c r="F70" s="29">
        <f t="shared" si="7"/>
        <v>0.27764705882352941</v>
      </c>
      <c r="G70" s="29">
        <f t="shared" si="7"/>
        <v>0.19831932773109243</v>
      </c>
      <c r="H70" s="29">
        <f t="shared" si="7"/>
        <v>0.29854522454142945</v>
      </c>
      <c r="I70" s="29">
        <f t="shared" si="8"/>
        <v>1.0782410051399201</v>
      </c>
      <c r="K70" t="s">
        <v>64</v>
      </c>
      <c r="L70" t="s">
        <v>65</v>
      </c>
    </row>
    <row r="71" spans="1:20" x14ac:dyDescent="0.2">
      <c r="B71" t="str">
        <f t="shared" si="6"/>
        <v>Implementierung</v>
      </c>
      <c r="C71" s="29" t="str">
        <f t="shared" si="7"/>
        <v>-</v>
      </c>
      <c r="D71" s="29" t="str">
        <f t="shared" si="7"/>
        <v>-</v>
      </c>
      <c r="E71" s="29" t="str">
        <f t="shared" si="7"/>
        <v>-</v>
      </c>
      <c r="F71" s="29" t="str">
        <f t="shared" si="7"/>
        <v>-</v>
      </c>
      <c r="G71" s="29" t="str">
        <f t="shared" si="7"/>
        <v>-</v>
      </c>
      <c r="H71" s="29">
        <f t="shared" si="7"/>
        <v>1.8447058823529412</v>
      </c>
      <c r="I71" s="29">
        <f t="shared" si="8"/>
        <v>2.3058823529411763</v>
      </c>
    </row>
    <row r="72" spans="1:20" x14ac:dyDescent="0.2">
      <c r="B72" t="str">
        <f t="shared" si="6"/>
        <v>Integration und Test</v>
      </c>
      <c r="C72" s="29" t="str">
        <f t="shared" si="7"/>
        <v>-</v>
      </c>
      <c r="D72" s="29" t="str">
        <f t="shared" si="7"/>
        <v>-</v>
      </c>
      <c r="E72" s="29" t="str">
        <f t="shared" si="7"/>
        <v>-</v>
      </c>
      <c r="F72" s="29" t="str">
        <f t="shared" si="7"/>
        <v>-</v>
      </c>
      <c r="G72" s="29" t="str">
        <f t="shared" si="7"/>
        <v>-</v>
      </c>
      <c r="H72" s="29" t="str">
        <f t="shared" si="7"/>
        <v>-</v>
      </c>
      <c r="I72" s="29">
        <f t="shared" si="8"/>
        <v>2.1176470588235294</v>
      </c>
    </row>
    <row r="73" spans="1:20" x14ac:dyDescent="0.2">
      <c r="B73" t="str">
        <f t="shared" si="6"/>
        <v>Projektmanagement</v>
      </c>
      <c r="C73" s="29">
        <f t="shared" si="7"/>
        <v>0.89725490196078428</v>
      </c>
      <c r="D73" s="29">
        <f t="shared" si="7"/>
        <v>0.15294117647058825</v>
      </c>
      <c r="E73" s="29">
        <f t="shared" si="7"/>
        <v>0.33647058823529413</v>
      </c>
      <c r="F73" s="29">
        <f t="shared" si="7"/>
        <v>0.3738562091503268</v>
      </c>
      <c r="G73" s="29">
        <f t="shared" si="7"/>
        <v>0.50470588235294123</v>
      </c>
      <c r="H73" s="29">
        <f t="shared" si="7"/>
        <v>0.61176470588235299</v>
      </c>
      <c r="I73" s="29">
        <f t="shared" si="8"/>
        <v>0.7009803921568627</v>
      </c>
    </row>
    <row r="74" spans="1:20" x14ac:dyDescent="0.2">
      <c r="B74" t="str">
        <f t="shared" si="6"/>
        <v>Puffer für unerwartetes</v>
      </c>
      <c r="C74" s="29">
        <f t="shared" si="7"/>
        <v>0.61176470588235299</v>
      </c>
      <c r="D74" s="29">
        <f t="shared" si="7"/>
        <v>3.1212484993997598E-2</v>
      </c>
      <c r="E74" s="29">
        <f t="shared" si="7"/>
        <v>3.4368803701255786E-2</v>
      </c>
      <c r="F74" s="29">
        <f t="shared" si="7"/>
        <v>6.1023910811207276E-2</v>
      </c>
      <c r="G74" s="29">
        <f t="shared" si="7"/>
        <v>9.040857722399305E-2</v>
      </c>
      <c r="H74" s="29">
        <f t="shared" si="7"/>
        <v>0.13396307428080723</v>
      </c>
      <c r="I74" s="29">
        <f t="shared" si="8"/>
        <v>0.16176470588235295</v>
      </c>
    </row>
    <row r="75" spans="1:20" x14ac:dyDescent="0.2">
      <c r="B75" t="str">
        <f t="shared" si="6"/>
        <v>Materialkosten</v>
      </c>
      <c r="C75" s="29">
        <f t="shared" si="7"/>
        <v>0.86</v>
      </c>
      <c r="D75" s="29">
        <f t="shared" si="7"/>
        <v>0.98285714285714287</v>
      </c>
      <c r="E75" s="29">
        <f t="shared" si="7"/>
        <v>1.0530612244897959</v>
      </c>
      <c r="F75" s="29">
        <f t="shared" si="7"/>
        <v>1.075</v>
      </c>
      <c r="G75" s="29">
        <f t="shared" si="7"/>
        <v>1.1621621621621621</v>
      </c>
      <c r="H75" s="29">
        <f t="shared" si="7"/>
        <v>0.68799999999999994</v>
      </c>
      <c r="I75" s="29">
        <f t="shared" si="8"/>
        <v>0.74320987654321002</v>
      </c>
    </row>
    <row r="76" spans="1:20" x14ac:dyDescent="0.2">
      <c r="B76" t="str">
        <f>SV[[#Totals],[Posten]]</f>
        <v>Gesamt</v>
      </c>
      <c r="C76" s="29">
        <f>Tabelle2[[#Totals],[1]]/AC[[#Totals],[1]]</f>
        <v>0.99665071770334923</v>
      </c>
      <c r="D76" s="29">
        <f>Tabelle2[[#Totals],[2]]/AC[[#Totals],[2]]</f>
        <v>8.6460126219162367E-2</v>
      </c>
      <c r="E76" s="29">
        <f>Tabelle2[[#Totals],[3]]/AC[[#Totals],[3]]</f>
        <v>0.12875066266124757</v>
      </c>
      <c r="F76" s="29">
        <f>Tabelle2[[#Totals],[4]]/AC[[#Totals],[4]]</f>
        <v>0.20634311845404926</v>
      </c>
      <c r="G76" s="29">
        <f>Tabelle2[[#Totals],[5]]/AC[[#Totals],[5]]</f>
        <v>0.29198912361430662</v>
      </c>
      <c r="H76" s="29">
        <f>Tabelle2[[#Totals],[6]]/AC[[#Totals],[6]]</f>
        <v>0.44422979156075243</v>
      </c>
      <c r="I76" s="29">
        <f>Tabelle2[[#Totals],[7]]/AC[[#Totals],[7]]</f>
        <v>0.68747050359712225</v>
      </c>
    </row>
    <row r="79" spans="1:20" ht="23.25" x14ac:dyDescent="0.35">
      <c r="A79" s="27" t="s">
        <v>35</v>
      </c>
    </row>
    <row r="81" spans="1:13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3" x14ac:dyDescent="0.2">
      <c r="B82" t="str">
        <f t="shared" ref="B82:B88" si="9">B69</f>
        <v>Anforderungsanalyse</v>
      </c>
      <c r="C82" s="29">
        <f t="shared" ref="C82:H88" si="10">IF(C4=0,$L$70,C30/C4)</f>
        <v>1.05</v>
      </c>
      <c r="D82" s="29">
        <f t="shared" si="10"/>
        <v>7.4999999999999997E-2</v>
      </c>
      <c r="E82" s="29">
        <f t="shared" si="10"/>
        <v>0.1</v>
      </c>
      <c r="F82" s="29">
        <f t="shared" si="10"/>
        <v>0.3</v>
      </c>
      <c r="G82" s="29">
        <f t="shared" si="10"/>
        <v>0.5</v>
      </c>
      <c r="H82" s="29">
        <f t="shared" si="10"/>
        <v>0.8</v>
      </c>
      <c r="I82" s="29">
        <f t="shared" ref="I82:I88" si="11">IF(I4=0,"-",I30/I4)</f>
        <v>0.9</v>
      </c>
      <c r="K82" t="s">
        <v>18</v>
      </c>
      <c r="L82" t="s">
        <v>39</v>
      </c>
      <c r="M82" t="s">
        <v>36</v>
      </c>
    </row>
    <row r="83" spans="1:13" x14ac:dyDescent="0.2">
      <c r="B83" t="str">
        <f t="shared" si="9"/>
        <v>Design und Architektur</v>
      </c>
      <c r="C83" s="29" t="str">
        <f t="shared" si="10"/>
        <v>-</v>
      </c>
      <c r="D83" s="29" t="str">
        <f t="shared" si="10"/>
        <v>-</v>
      </c>
      <c r="E83" s="29">
        <f t="shared" si="10"/>
        <v>0</v>
      </c>
      <c r="F83" s="29">
        <f t="shared" si="10"/>
        <v>0.22692307692307692</v>
      </c>
      <c r="G83" s="29">
        <f t="shared" si="10"/>
        <v>0.12291666666666666</v>
      </c>
      <c r="H83" s="29">
        <f t="shared" si="10"/>
        <v>0.15526315789473685</v>
      </c>
      <c r="I83" s="29">
        <f t="shared" si="11"/>
        <v>0.5488372093023256</v>
      </c>
    </row>
    <row r="84" spans="1:13" x14ac:dyDescent="0.2">
      <c r="B84" t="str">
        <f t="shared" si="9"/>
        <v>Implementierung</v>
      </c>
      <c r="C84" s="29" t="str">
        <f t="shared" si="10"/>
        <v>-</v>
      </c>
      <c r="D84" s="29" t="str">
        <f t="shared" si="10"/>
        <v>-</v>
      </c>
      <c r="E84" s="29" t="str">
        <f t="shared" si="10"/>
        <v>-</v>
      </c>
      <c r="F84" s="29">
        <f t="shared" si="10"/>
        <v>0</v>
      </c>
      <c r="G84" s="29">
        <f t="shared" si="10"/>
        <v>0</v>
      </c>
      <c r="H84" s="29">
        <f t="shared" si="10"/>
        <v>0.35</v>
      </c>
      <c r="I84" s="29">
        <f t="shared" si="11"/>
        <v>0.61250000000000004</v>
      </c>
    </row>
    <row r="85" spans="1:13" x14ac:dyDescent="0.2">
      <c r="B85" t="str">
        <f t="shared" si="9"/>
        <v>Integration und Test</v>
      </c>
      <c r="C85" s="29" t="str">
        <f t="shared" si="10"/>
        <v>-</v>
      </c>
      <c r="D85" s="29" t="str">
        <f t="shared" si="10"/>
        <v>-</v>
      </c>
      <c r="E85" s="29" t="str">
        <f t="shared" si="10"/>
        <v>-</v>
      </c>
      <c r="F85" s="29" t="str">
        <f t="shared" si="10"/>
        <v>-</v>
      </c>
      <c r="G85" s="29" t="str">
        <f t="shared" si="10"/>
        <v>-</v>
      </c>
      <c r="H85" s="29" t="str">
        <f t="shared" si="10"/>
        <v>-</v>
      </c>
      <c r="I85" s="29">
        <f t="shared" si="11"/>
        <v>3.9375</v>
      </c>
    </row>
    <row r="86" spans="1:13" x14ac:dyDescent="0.2">
      <c r="B86" t="str">
        <f t="shared" si="9"/>
        <v>Projektmanagement</v>
      </c>
      <c r="C86" s="29">
        <f t="shared" si="10"/>
        <v>1.04</v>
      </c>
      <c r="D86" s="29">
        <f t="shared" si="10"/>
        <v>0.32500000000000001</v>
      </c>
      <c r="E86" s="29">
        <f t="shared" si="10"/>
        <v>0.65</v>
      </c>
      <c r="F86" s="29">
        <f t="shared" si="10"/>
        <v>0.65</v>
      </c>
      <c r="G86" s="29">
        <f t="shared" si="10"/>
        <v>0.78</v>
      </c>
      <c r="H86" s="29">
        <f t="shared" si="10"/>
        <v>0.8666666666666667</v>
      </c>
      <c r="I86" s="29">
        <f t="shared" si="11"/>
        <v>0.9285714285714286</v>
      </c>
    </row>
    <row r="87" spans="1:13" x14ac:dyDescent="0.2">
      <c r="B87" t="str">
        <f t="shared" si="9"/>
        <v>Puffer für unerwartetes</v>
      </c>
      <c r="C87" s="29">
        <f t="shared" si="10"/>
        <v>1.04</v>
      </c>
      <c r="D87" s="29">
        <f t="shared" si="10"/>
        <v>0.32500000000000001</v>
      </c>
      <c r="E87" s="29">
        <f t="shared" si="10"/>
        <v>0.43333333333333335</v>
      </c>
      <c r="F87" s="29">
        <f t="shared" si="10"/>
        <v>0.65</v>
      </c>
      <c r="G87" s="29">
        <f t="shared" si="10"/>
        <v>0.78</v>
      </c>
      <c r="H87" s="29">
        <f t="shared" si="10"/>
        <v>0.97499999999999998</v>
      </c>
      <c r="I87" s="29">
        <f t="shared" si="11"/>
        <v>1.0214285714285716</v>
      </c>
    </row>
    <row r="88" spans="1:13" x14ac:dyDescent="0.2">
      <c r="B88" t="str">
        <f t="shared" si="9"/>
        <v>Materialkosten</v>
      </c>
      <c r="C88" s="29">
        <f t="shared" si="10"/>
        <v>0.86</v>
      </c>
      <c r="D88" s="29">
        <f t="shared" si="10"/>
        <v>0.86</v>
      </c>
      <c r="E88" s="29">
        <f t="shared" si="10"/>
        <v>0.7371428571428571</v>
      </c>
      <c r="F88" s="29">
        <f t="shared" si="10"/>
        <v>0.68799999999999994</v>
      </c>
      <c r="G88" s="29">
        <f t="shared" si="10"/>
        <v>0.66153846153846152</v>
      </c>
      <c r="H88" s="29">
        <f t="shared" si="10"/>
        <v>0.64500000000000002</v>
      </c>
      <c r="I88" s="29">
        <f t="shared" si="11"/>
        <v>0.57333333333333347</v>
      </c>
    </row>
    <row r="89" spans="1:13" x14ac:dyDescent="0.2">
      <c r="B89" t="str">
        <f>CPI[[#Totals],[Posten]]</f>
        <v>Gesamt</v>
      </c>
      <c r="C89" s="29">
        <f>Tabelle2[[#Totals],[1]]/EV[[#Totals],[1]]</f>
        <v>1.0415000000000001</v>
      </c>
      <c r="D89" s="29">
        <f>Tabelle2[[#Totals],[2]]/EV[[#Totals],[2]]</f>
        <v>0.18837499999999999</v>
      </c>
      <c r="E89" s="29">
        <f>Tabelle2[[#Totals],[3]]/EV[[#Totals],[3]]</f>
        <v>0.27915708812260537</v>
      </c>
      <c r="F89" s="29">
        <f>Tabelle2[[#Totals],[4]]/EV[[#Totals],[4]]</f>
        <v>0.39965714285714288</v>
      </c>
      <c r="G89" s="29">
        <f>Tabelle2[[#Totals],[5]]/EV[[#Totals],[5]]</f>
        <v>0.44839400428265525</v>
      </c>
      <c r="H89" s="29">
        <f>Tabelle2[[#Totals],[6]]/EV[[#Totals],[6]]</f>
        <v>0.57867549668874174</v>
      </c>
      <c r="I89" s="29">
        <f>Tabelle2[[#Totals],[7]]/EV[[#Totals],[7]]</f>
        <v>0.82605809128630703</v>
      </c>
    </row>
    <row r="92" spans="1:13" ht="23.25" x14ac:dyDescent="0.35">
      <c r="A92" s="33" t="s">
        <v>69</v>
      </c>
      <c r="E92">
        <v>1500000</v>
      </c>
    </row>
    <row r="94" spans="1:13" ht="23.25" x14ac:dyDescent="0.35">
      <c r="A94" s="27" t="s">
        <v>67</v>
      </c>
    </row>
    <row r="96" spans="1:13" x14ac:dyDescent="0.2">
      <c r="B96" t="s">
        <v>16</v>
      </c>
      <c r="C96" t="s">
        <v>73</v>
      </c>
      <c r="D96" t="s">
        <v>74</v>
      </c>
      <c r="E96" t="s">
        <v>75</v>
      </c>
      <c r="F96" t="s">
        <v>76</v>
      </c>
      <c r="G96" t="s">
        <v>77</v>
      </c>
      <c r="H96" t="s">
        <v>78</v>
      </c>
      <c r="I96" t="s">
        <v>79</v>
      </c>
    </row>
    <row r="97" spans="1:12" x14ac:dyDescent="0.2">
      <c r="B97" t="str">
        <f t="shared" ref="B97:B103" si="12">B82</f>
        <v>Anforderungsanalyse</v>
      </c>
      <c r="C97" s="29">
        <f t="shared" ref="C97:I103" si="13">IF(C69=$L$70,$L$70,($E$92-C30)/(C69*1000))</f>
        <v>1222.3809523809525</v>
      </c>
      <c r="D97" s="29">
        <f t="shared" si="13"/>
        <v>17623.333333333332</v>
      </c>
      <c r="E97" s="29">
        <f t="shared" si="13"/>
        <v>13504.516666666666</v>
      </c>
      <c r="F97" s="29">
        <f t="shared" si="13"/>
        <v>4557.5583333333325</v>
      </c>
      <c r="G97" s="29">
        <f t="shared" si="13"/>
        <v>2680.4749999999999</v>
      </c>
      <c r="H97" s="29">
        <f t="shared" si="13"/>
        <v>1624.6156250000001</v>
      </c>
      <c r="I97" s="29">
        <f t="shared" si="13"/>
        <v>1429.0861111111112</v>
      </c>
      <c r="K97" t="s">
        <v>18</v>
      </c>
      <c r="L97" t="s">
        <v>68</v>
      </c>
    </row>
    <row r="98" spans="1:12" x14ac:dyDescent="0.2">
      <c r="B98" t="str">
        <f t="shared" si="12"/>
        <v>Design und Architektur</v>
      </c>
      <c r="C98" s="29" t="str">
        <f t="shared" si="13"/>
        <v>-</v>
      </c>
      <c r="D98" s="29" t="str">
        <f t="shared" si="13"/>
        <v>-</v>
      </c>
      <c r="E98" s="29" t="str">
        <f t="shared" si="13"/>
        <v>-</v>
      </c>
      <c r="F98" s="29">
        <f t="shared" si="13"/>
        <v>5360.0423728813566</v>
      </c>
      <c r="G98" s="29">
        <f t="shared" si="13"/>
        <v>7504.0593220338988</v>
      </c>
      <c r="H98" s="29">
        <f t="shared" si="13"/>
        <v>4945.314406779662</v>
      </c>
      <c r="I98" s="29">
        <f t="shared" si="13"/>
        <v>1303.604661016949</v>
      </c>
    </row>
    <row r="99" spans="1:12" x14ac:dyDescent="0.2">
      <c r="B99" t="str">
        <f t="shared" si="12"/>
        <v>Implementierung</v>
      </c>
      <c r="C99" s="29" t="str">
        <f t="shared" si="13"/>
        <v>-</v>
      </c>
      <c r="D99" s="29" t="str">
        <f t="shared" si="13"/>
        <v>-</v>
      </c>
      <c r="E99" s="29" t="str">
        <f t="shared" si="13"/>
        <v>-</v>
      </c>
      <c r="F99" s="29" t="str">
        <f t="shared" si="13"/>
        <v>-</v>
      </c>
      <c r="G99" s="29" t="str">
        <f t="shared" si="13"/>
        <v>-</v>
      </c>
      <c r="H99" s="29">
        <f t="shared" si="13"/>
        <v>791.88775510204084</v>
      </c>
      <c r="I99" s="29">
        <f t="shared" si="13"/>
        <v>608.01020408163276</v>
      </c>
    </row>
    <row r="100" spans="1:12" x14ac:dyDescent="0.2">
      <c r="B100" t="str">
        <f t="shared" si="12"/>
        <v>Integration und Test</v>
      </c>
      <c r="C100" s="29" t="str">
        <f t="shared" si="13"/>
        <v>-</v>
      </c>
      <c r="D100" s="29" t="str">
        <f t="shared" si="13"/>
        <v>-</v>
      </c>
      <c r="E100" s="29" t="str">
        <f t="shared" si="13"/>
        <v>-</v>
      </c>
      <c r="F100" s="29" t="str">
        <f t="shared" si="13"/>
        <v>-</v>
      </c>
      <c r="G100" s="29" t="str">
        <f t="shared" si="13"/>
        <v>-</v>
      </c>
      <c r="H100" s="29" t="str">
        <f t="shared" si="13"/>
        <v>-</v>
      </c>
      <c r="I100" s="29">
        <f t="shared" si="13"/>
        <v>678.58333333333337</v>
      </c>
    </row>
    <row r="101" spans="1:12" x14ac:dyDescent="0.2">
      <c r="B101" t="str">
        <f t="shared" si="12"/>
        <v>Projektmanagement</v>
      </c>
      <c r="C101" s="29">
        <f t="shared" si="13"/>
        <v>1646.2657342657342</v>
      </c>
      <c r="D101" s="29">
        <f t="shared" si="13"/>
        <v>9714.1923076923067</v>
      </c>
      <c r="E101" s="29">
        <f t="shared" si="13"/>
        <v>4330.5419580419575</v>
      </c>
      <c r="F101" s="29">
        <f t="shared" si="13"/>
        <v>3859.2377622377626</v>
      </c>
      <c r="G101" s="29">
        <f t="shared" si="13"/>
        <v>2802.0279720279718</v>
      </c>
      <c r="H101" s="29">
        <f t="shared" si="13"/>
        <v>2264.9230769230767</v>
      </c>
      <c r="I101" s="29">
        <f t="shared" si="13"/>
        <v>1935.8601398601402</v>
      </c>
    </row>
    <row r="102" spans="1:12" x14ac:dyDescent="0.2">
      <c r="B102" t="str">
        <f t="shared" si="12"/>
        <v>Puffer für unerwartetes</v>
      </c>
      <c r="C102" s="29">
        <f t="shared" si="13"/>
        <v>2438.3230769230763</v>
      </c>
      <c r="D102" s="29">
        <f t="shared" si="13"/>
        <v>47891.092307692306</v>
      </c>
      <c r="E102" s="29">
        <f t="shared" si="13"/>
        <v>43341.630769230767</v>
      </c>
      <c r="F102" s="29">
        <f t="shared" si="13"/>
        <v>24239.678846153849</v>
      </c>
      <c r="G102" s="29">
        <f t="shared" si="13"/>
        <v>16246.246153846154</v>
      </c>
      <c r="H102" s="29">
        <f t="shared" si="13"/>
        <v>10847.765384615383</v>
      </c>
      <c r="I102" s="29">
        <f t="shared" si="13"/>
        <v>8919.1272727272717</v>
      </c>
    </row>
    <row r="103" spans="1:12" x14ac:dyDescent="0.2">
      <c r="B103" t="str">
        <f t="shared" si="12"/>
        <v>Materialkosten</v>
      </c>
      <c r="C103" s="29">
        <f t="shared" si="13"/>
        <v>1742.1860465116279</v>
      </c>
      <c r="D103" s="29">
        <f t="shared" si="13"/>
        <v>1522.6627906976744</v>
      </c>
      <c r="E103" s="29">
        <f t="shared" si="13"/>
        <v>1419.5186046511628</v>
      </c>
      <c r="F103" s="29">
        <f t="shared" si="13"/>
        <v>1388.9488372093024</v>
      </c>
      <c r="G103" s="29">
        <f t="shared" si="13"/>
        <v>1283.2976744186049</v>
      </c>
      <c r="H103" s="29">
        <f t="shared" si="13"/>
        <v>2165.2325581395348</v>
      </c>
      <c r="I103" s="29">
        <f t="shared" si="13"/>
        <v>2002.0724252491689</v>
      </c>
    </row>
    <row r="104" spans="1:12" x14ac:dyDescent="0.2">
      <c r="B104" t="str">
        <f>SPI[[#Totals],[Posten]]</f>
        <v>Gesamt</v>
      </c>
      <c r="C104" s="29">
        <f>($E$92-Tabelle2[[#Totals],[1]])/(CPI[[#Totals],[1]]*1000)</f>
        <v>1421.4408065290447</v>
      </c>
      <c r="D104" s="29">
        <f>($E$92-Tabelle2[[#Totals],[2]])/(CPI[[#Totals],[2]]*1000)</f>
        <v>17000.437823490378</v>
      </c>
      <c r="E104" s="29">
        <f>($E$92-Tabelle2[[#Totals],[3]])/(CPI[[#Totals],[3]]*1000)</f>
        <v>11084.525473510843</v>
      </c>
      <c r="F104" s="29">
        <f>($E$92-Tabelle2[[#Totals],[4]])/(CPI[[#Totals],[4]]*1000)</f>
        <v>6591.5452387760943</v>
      </c>
      <c r="G104" s="29">
        <f>($E$92-Tabelle2[[#Totals],[5]])/(CPI[[#Totals],[5]]*1000)</f>
        <v>4420.0276504297999</v>
      </c>
      <c r="H104" s="29">
        <f>($E$92-Tabelle2[[#Totals],[6]])/(CPI[[#Totals],[6]]*1000)</f>
        <v>2589.8308079652097</v>
      </c>
      <c r="I104" s="29">
        <f>($E$92-Tabelle2[[#Totals],[7]])/(CPI[[#Totals],[7]]*1000)</f>
        <v>1313.1617942535665</v>
      </c>
    </row>
    <row r="107" spans="1:12" ht="23.25" x14ac:dyDescent="0.35">
      <c r="A107" s="33" t="s">
        <v>70</v>
      </c>
    </row>
    <row r="109" spans="1:12" x14ac:dyDescent="0.2">
      <c r="B109" t="s">
        <v>16</v>
      </c>
      <c r="C109" t="s">
        <v>73</v>
      </c>
      <c r="D109" t="s">
        <v>74</v>
      </c>
      <c r="E109" t="s">
        <v>75</v>
      </c>
      <c r="F109" t="s">
        <v>76</v>
      </c>
      <c r="G109" t="s">
        <v>77</v>
      </c>
      <c r="H109" t="s">
        <v>78</v>
      </c>
      <c r="I109" t="s">
        <v>79</v>
      </c>
    </row>
    <row r="110" spans="1:12" x14ac:dyDescent="0.2">
      <c r="B110" t="str">
        <f t="shared" ref="B110:B116" si="14">B97</f>
        <v>Anforderungsanalyse</v>
      </c>
      <c r="C110" s="29">
        <f t="shared" ref="C110:I116" si="15">IF(C69=$L$70,$L$70,$E$92/(C69*1000))</f>
        <v>1264.8809523809525</v>
      </c>
      <c r="D110" s="29">
        <f t="shared" si="15"/>
        <v>17708.333333333332</v>
      </c>
      <c r="E110" s="29">
        <f t="shared" si="15"/>
        <v>13635.416666666666</v>
      </c>
      <c r="F110" s="29">
        <f t="shared" si="15"/>
        <v>4692.7083333333321</v>
      </c>
      <c r="G110" s="29">
        <f t="shared" si="15"/>
        <v>2815.625</v>
      </c>
      <c r="H110" s="29">
        <f t="shared" si="15"/>
        <v>1759.765625</v>
      </c>
      <c r="I110" s="29">
        <f t="shared" si="15"/>
        <v>1564.2361111111113</v>
      </c>
      <c r="K110" t="s">
        <v>18</v>
      </c>
      <c r="L110" t="s">
        <v>71</v>
      </c>
    </row>
    <row r="111" spans="1:12" x14ac:dyDescent="0.2">
      <c r="B111" t="str">
        <f t="shared" si="14"/>
        <v>Design und Architektur</v>
      </c>
      <c r="C111" s="29" t="str">
        <f t="shared" si="15"/>
        <v>-</v>
      </c>
      <c r="D111" s="29" t="str">
        <f t="shared" si="15"/>
        <v>-</v>
      </c>
      <c r="E111" s="29" t="str">
        <f t="shared" si="15"/>
        <v>-</v>
      </c>
      <c r="F111" s="29">
        <f t="shared" si="15"/>
        <v>5402.5423728813566</v>
      </c>
      <c r="G111" s="29">
        <f t="shared" si="15"/>
        <v>7563.5593220338988</v>
      </c>
      <c r="H111" s="29">
        <f t="shared" si="15"/>
        <v>5024.3644067796613</v>
      </c>
      <c r="I111" s="29">
        <f t="shared" si="15"/>
        <v>1391.1546610169489</v>
      </c>
    </row>
    <row r="112" spans="1:12" x14ac:dyDescent="0.2">
      <c r="B112" t="str">
        <f t="shared" si="14"/>
        <v>Implementierung</v>
      </c>
      <c r="C112" s="29" t="str">
        <f t="shared" si="15"/>
        <v>-</v>
      </c>
      <c r="D112" s="29" t="str">
        <f t="shared" si="15"/>
        <v>-</v>
      </c>
      <c r="E112" s="29" t="str">
        <f t="shared" si="15"/>
        <v>-</v>
      </c>
      <c r="F112" s="29" t="str">
        <f t="shared" si="15"/>
        <v>-</v>
      </c>
      <c r="G112" s="29" t="str">
        <f t="shared" si="15"/>
        <v>-</v>
      </c>
      <c r="H112" s="29">
        <f t="shared" si="15"/>
        <v>813.13775510204084</v>
      </c>
      <c r="I112" s="29">
        <f t="shared" si="15"/>
        <v>650.51020408163276</v>
      </c>
    </row>
    <row r="113" spans="2:9" x14ac:dyDescent="0.2">
      <c r="B113" t="str">
        <f t="shared" si="14"/>
        <v>Integration und Test</v>
      </c>
      <c r="C113" s="29" t="str">
        <f t="shared" si="15"/>
        <v>-</v>
      </c>
      <c r="D113" s="29" t="str">
        <f t="shared" si="15"/>
        <v>-</v>
      </c>
      <c r="E113" s="29" t="str">
        <f t="shared" si="15"/>
        <v>-</v>
      </c>
      <c r="F113" s="29" t="str">
        <f t="shared" si="15"/>
        <v>-</v>
      </c>
      <c r="G113" s="29" t="str">
        <f t="shared" si="15"/>
        <v>-</v>
      </c>
      <c r="H113" s="29" t="str">
        <f t="shared" si="15"/>
        <v>-</v>
      </c>
      <c r="I113" s="29">
        <f t="shared" si="15"/>
        <v>708.33333333333337</v>
      </c>
    </row>
    <row r="114" spans="2:9" x14ac:dyDescent="0.2">
      <c r="B114" t="str">
        <f t="shared" si="14"/>
        <v>Projektmanagement</v>
      </c>
      <c r="C114" s="29">
        <f t="shared" si="15"/>
        <v>1671.7657342657342</v>
      </c>
      <c r="D114" s="29">
        <f t="shared" si="15"/>
        <v>9807.6923076923067</v>
      </c>
      <c r="E114" s="29">
        <f t="shared" si="15"/>
        <v>4458.0419580419575</v>
      </c>
      <c r="F114" s="29">
        <f t="shared" si="15"/>
        <v>4012.2377622377626</v>
      </c>
      <c r="G114" s="29">
        <f t="shared" si="15"/>
        <v>2972.0279720279718</v>
      </c>
      <c r="H114" s="29">
        <f t="shared" si="15"/>
        <v>2451.9230769230767</v>
      </c>
      <c r="I114" s="29">
        <f t="shared" si="15"/>
        <v>2139.86013986014</v>
      </c>
    </row>
    <row r="115" spans="2:9" x14ac:dyDescent="0.2">
      <c r="B115" t="str">
        <f t="shared" si="14"/>
        <v>Puffer für unerwartetes</v>
      </c>
      <c r="C115" s="29">
        <f t="shared" si="15"/>
        <v>2451.9230769230767</v>
      </c>
      <c r="D115" s="29">
        <f t="shared" si="15"/>
        <v>48057.692307692305</v>
      </c>
      <c r="E115" s="29">
        <f t="shared" si="15"/>
        <v>43644.230769230766</v>
      </c>
      <c r="F115" s="29">
        <f t="shared" si="15"/>
        <v>24580.528846153848</v>
      </c>
      <c r="G115" s="29">
        <f t="shared" si="15"/>
        <v>16591.346153846152</v>
      </c>
      <c r="H115" s="29">
        <f t="shared" si="15"/>
        <v>11197.115384615383</v>
      </c>
      <c r="I115" s="29">
        <f t="shared" si="15"/>
        <v>9272.7272727272721</v>
      </c>
    </row>
    <row r="116" spans="2:9" x14ac:dyDescent="0.2">
      <c r="B116" t="str">
        <f t="shared" si="14"/>
        <v>Materialkosten</v>
      </c>
      <c r="C116" s="29">
        <f t="shared" si="15"/>
        <v>1744.1860465116279</v>
      </c>
      <c r="D116" s="29">
        <f t="shared" si="15"/>
        <v>1526.1627906976744</v>
      </c>
      <c r="E116" s="29">
        <f t="shared" si="15"/>
        <v>1424.4186046511629</v>
      </c>
      <c r="F116" s="29">
        <f t="shared" si="15"/>
        <v>1395.3488372093022</v>
      </c>
      <c r="G116" s="29">
        <f t="shared" si="15"/>
        <v>1290.6976744186047</v>
      </c>
      <c r="H116" s="29">
        <f t="shared" si="15"/>
        <v>2180.2325581395348</v>
      </c>
      <c r="I116" s="29">
        <f t="shared" si="15"/>
        <v>2018.2724252491689</v>
      </c>
    </row>
    <row r="117" spans="2:9" x14ac:dyDescent="0.2">
      <c r="B117" t="str">
        <f>ETC[[#Totals],[Posten]]</f>
        <v>Gesamt</v>
      </c>
      <c r="C117" s="29">
        <f>$E$92/(CPI[[#Totals],[1]]*1000)</f>
        <v>1505.0408065290449</v>
      </c>
      <c r="D117" s="29">
        <f>$E$92/(CPI[[#Totals],[2]]*1000)</f>
        <v>17349.03782349038</v>
      </c>
      <c r="E117" s="29">
        <f>$E$92/(CPI[[#Totals],[3]]*1000)</f>
        <v>11650.425473510844</v>
      </c>
      <c r="F117" s="29">
        <f>$E$92/(CPI[[#Totals],[4]]*1000)</f>
        <v>7269.4452387760939</v>
      </c>
      <c r="G117" s="29">
        <f>$E$92/(CPI[[#Totals],[5]]*1000)</f>
        <v>5137.1776504297995</v>
      </c>
      <c r="H117" s="29">
        <f>$E$92/(CPI[[#Totals],[6]]*1000)</f>
        <v>3376.6308079652094</v>
      </c>
      <c r="I117" s="29">
        <f>$E$92/(CPI[[#Totals],[7]]*1000)</f>
        <v>2181.9117942535663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L18" sqref="L18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1.0782410051399201</v>
      </c>
      <c r="D6" s="29">
        <f>Kennzahlen!I83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Gelb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Kennzahlen!I71</f>
        <v>2.3058823529411763</v>
      </c>
      <c r="D7" s="29">
        <f>Kennzahlen!I84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Gelb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Kennzahlen!I72</f>
        <v>2.1176470588235294</v>
      </c>
      <c r="D8" s="29">
        <f>Kennzahlen!I85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Kennzahlen!I73</f>
        <v>0.7009803921568627</v>
      </c>
      <c r="D9" s="29">
        <f>Kennzahlen!I86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Gelb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0.16176470588235295</v>
      </c>
      <c r="D10" s="29">
        <f>Kennzahlen!I87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Kennzahlen!I75</f>
        <v>0.74320987654321002</v>
      </c>
      <c r="D11" s="29">
        <f>Kennzahlen!I88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Gelb</v>
      </c>
      <c r="H11" t="str">
        <f>IF(C24=Kennzahlen!$L$70,Kennzahlen!$L$70,IF(OR(ABS(Tabelle9[[#This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Kennzahlen!I76</f>
        <v>0.68747050359712225</v>
      </c>
      <c r="D12" s="29">
        <f>Kennzahlen!I89</f>
        <v>0.82605809128630703</v>
      </c>
      <c r="E12" s="30">
        <f>'Fertigstellungsgrad der Akt.'!H9</f>
        <v>0</v>
      </c>
      <c r="F12" s="31">
        <f>'Budgetierte Kosten'!P11/1000</f>
        <v>1500</v>
      </c>
      <c r="G12" s="34" t="str">
        <f>IF(OR(Tabelle9[[#This Row],[CPI]]&lt;$K$3, Tabelle9[[#This Row],[SPI]]&lt;$K$3),$K$6, IF(OR(Tabelle9[[#This Row],[CPI]]&lt;$K$4, Tabelle9[[#This Row],[SPI]]&lt;$K$4),$K$7, $K$8))</f>
        <v>Gelb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0.29854522454142945</v>
      </c>
      <c r="D19" s="29">
        <f>Kennzahlen!H83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1.8447058823529412</v>
      </c>
      <c r="D20" s="29">
        <f>Kennzahlen!H84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0.61176470588235299</v>
      </c>
      <c r="D22" s="29">
        <f>Kennzahlen!H86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Gelb</v>
      </c>
    </row>
    <row r="23" spans="2:8" x14ac:dyDescent="0.2">
      <c r="B23" t="str">
        <f>Kennzahlen!B74</f>
        <v>Puffer für unerwartetes</v>
      </c>
      <c r="C23" s="29">
        <f>Kennzahlen!H74</f>
        <v>0.13396307428080723</v>
      </c>
      <c r="D23" s="29">
        <f>Kennzahlen!H87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0.68799999999999994</v>
      </c>
      <c r="D24" s="29">
        <f>Kennzahlen!H88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Gelb</v>
      </c>
    </row>
    <row r="25" spans="2:8" x14ac:dyDescent="0.2">
      <c r="B25" t="str">
        <f>Kennzahlen!B76</f>
        <v>Gesamt</v>
      </c>
      <c r="C25" s="29">
        <f>Kennzahlen!H76</f>
        <v>0.44422979156075243</v>
      </c>
      <c r="D25" s="29">
        <f>Kennzahlen!H89</f>
        <v>0.57867549668874174</v>
      </c>
      <c r="E25" s="30">
        <f>'Fertigstellungsgrad der Akt.'!G9</f>
        <v>0</v>
      </c>
      <c r="F25" s="31">
        <f t="shared" si="0"/>
        <v>1500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18" zoomScaleNormal="100" workbookViewId="0">
      <selection activeCell="V170" sqref="V170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="125" zoomScaleNormal="125" workbookViewId="0">
      <selection activeCell="O16" sqref="O16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9" sqref="B9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Registered User</cp:lastModifiedBy>
  <dcterms:created xsi:type="dcterms:W3CDTF">2017-03-20T21:53:57Z</dcterms:created>
  <dcterms:modified xsi:type="dcterms:W3CDTF">2017-03-21T09:44:15Z</dcterms:modified>
</cp:coreProperties>
</file>