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J114" i="4" l="1"/>
  <c r="C89" i="4" l="1"/>
  <c r="C76" i="4"/>
  <c r="C117" i="4"/>
  <c r="C111" i="4"/>
  <c r="C112" i="4"/>
  <c r="C113" i="4"/>
  <c r="C114" i="4"/>
  <c r="C115" i="4"/>
  <c r="C116" i="4"/>
  <c r="C110" i="4"/>
  <c r="C97" i="4"/>
  <c r="C98" i="4"/>
  <c r="C99" i="4"/>
  <c r="C100" i="4"/>
  <c r="C101" i="4"/>
  <c r="C102" i="4"/>
  <c r="C103" i="4"/>
  <c r="C104" i="4"/>
  <c r="C63" i="4" l="1"/>
  <c r="C57" i="4"/>
  <c r="C58" i="4"/>
  <c r="C59" i="4"/>
  <c r="C60" i="4"/>
  <c r="C61" i="4"/>
  <c r="C62" i="4"/>
  <c r="C56" i="4"/>
  <c r="C50" i="4"/>
  <c r="C44" i="4"/>
  <c r="C45" i="4"/>
  <c r="C46" i="4"/>
  <c r="C47" i="4"/>
  <c r="C48" i="4"/>
  <c r="C49" i="4"/>
  <c r="C43" i="4"/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P103" i="4" l="1"/>
  <c r="P98" i="4"/>
  <c r="P99" i="4"/>
  <c r="P100" i="4"/>
  <c r="P101" i="4"/>
  <c r="P102" i="4"/>
  <c r="P97" i="4"/>
  <c r="E11" i="4"/>
  <c r="F11" i="4"/>
  <c r="G11" i="4"/>
  <c r="H11" i="4"/>
  <c r="I11" i="4"/>
  <c r="J11" i="4"/>
  <c r="J10" i="4"/>
  <c r="E36" i="4" l="1"/>
  <c r="F36" i="4"/>
  <c r="G36" i="4"/>
  <c r="H36" i="4"/>
  <c r="I36" i="4"/>
  <c r="J36" i="4"/>
  <c r="Q103" i="4" s="1"/>
  <c r="R103" i="4" s="1"/>
  <c r="D36" i="4"/>
  <c r="D31" i="4"/>
  <c r="E31" i="4"/>
  <c r="F31" i="4"/>
  <c r="G31" i="4"/>
  <c r="H31" i="4"/>
  <c r="I31" i="4"/>
  <c r="J31" i="4"/>
  <c r="Q98" i="4" s="1"/>
  <c r="R98" i="4" s="1"/>
  <c r="D32" i="4"/>
  <c r="E32" i="4"/>
  <c r="F32" i="4"/>
  <c r="G32" i="4"/>
  <c r="H32" i="4"/>
  <c r="I32" i="4"/>
  <c r="J32" i="4"/>
  <c r="Q99" i="4" s="1"/>
  <c r="R99" i="4" s="1"/>
  <c r="D33" i="4"/>
  <c r="E33" i="4"/>
  <c r="F33" i="4"/>
  <c r="G33" i="4"/>
  <c r="H33" i="4"/>
  <c r="I33" i="4"/>
  <c r="J33" i="4"/>
  <c r="Q100" i="4" s="1"/>
  <c r="R100" i="4" s="1"/>
  <c r="D34" i="4"/>
  <c r="E34" i="4"/>
  <c r="F34" i="4"/>
  <c r="G34" i="4"/>
  <c r="H34" i="4"/>
  <c r="I34" i="4"/>
  <c r="J34" i="4"/>
  <c r="Q101" i="4" s="1"/>
  <c r="R101" i="4" s="1"/>
  <c r="D35" i="4"/>
  <c r="E35" i="4"/>
  <c r="F35" i="4"/>
  <c r="G35" i="4"/>
  <c r="H35" i="4"/>
  <c r="I35" i="4"/>
  <c r="J35" i="4"/>
  <c r="Q102" i="4" s="1"/>
  <c r="R102" i="4" s="1"/>
  <c r="E30" i="4"/>
  <c r="F30" i="4"/>
  <c r="G30" i="4"/>
  <c r="H30" i="4"/>
  <c r="I30" i="4"/>
  <c r="J30" i="4"/>
  <c r="Q97" i="4" s="1"/>
  <c r="R97" i="4" s="1"/>
  <c r="D30" i="4"/>
  <c r="F19" i="6" l="1"/>
  <c r="F20" i="6"/>
  <c r="F21" i="6"/>
  <c r="F22" i="6"/>
  <c r="F23" i="6"/>
  <c r="F24" i="6"/>
  <c r="F25" i="6"/>
  <c r="F18" i="6"/>
  <c r="F5" i="6"/>
  <c r="B24" i="4"/>
  <c r="B37" i="4" s="1"/>
  <c r="B50" i="4" s="1"/>
  <c r="B63" i="4" s="1"/>
  <c r="E24" i="4"/>
  <c r="F24" i="4"/>
  <c r="G24" i="4"/>
  <c r="H24" i="4"/>
  <c r="I24" i="4"/>
  <c r="J24" i="4"/>
  <c r="D24" i="4"/>
  <c r="D11" i="4"/>
  <c r="B12" i="6" l="1"/>
  <c r="B76" i="4"/>
  <c r="B23" i="4"/>
  <c r="B36" i="4" s="1"/>
  <c r="B25" i="6" l="1"/>
  <c r="B89" i="4"/>
  <c r="B104" i="4" s="1"/>
  <c r="B117" i="4" s="1"/>
  <c r="F11" i="6"/>
  <c r="F6" i="6"/>
  <c r="F7" i="6"/>
  <c r="F8" i="6"/>
  <c r="F9" i="6"/>
  <c r="F10" i="6"/>
  <c r="E23" i="4" l="1"/>
  <c r="E75" i="4" s="1"/>
  <c r="F23" i="4"/>
  <c r="F75" i="4" s="1"/>
  <c r="G23" i="4"/>
  <c r="G75" i="4" s="1"/>
  <c r="H23" i="4"/>
  <c r="H75" i="4" s="1"/>
  <c r="I23" i="4"/>
  <c r="I75" i="4" s="1"/>
  <c r="J23" i="4"/>
  <c r="D23" i="4"/>
  <c r="D75" i="4" s="1"/>
  <c r="D18" i="4"/>
  <c r="D70" i="4" s="1"/>
  <c r="C70" i="4" s="1"/>
  <c r="E18" i="4"/>
  <c r="E70" i="4" s="1"/>
  <c r="F18" i="4"/>
  <c r="F70" i="4" s="1"/>
  <c r="G18" i="4"/>
  <c r="G70" i="4" s="1"/>
  <c r="H18" i="4"/>
  <c r="H70" i="4" s="1"/>
  <c r="I18" i="4"/>
  <c r="I70" i="4" s="1"/>
  <c r="J18" i="4"/>
  <c r="D19" i="4"/>
  <c r="D71" i="4" s="1"/>
  <c r="C71" i="4" s="1"/>
  <c r="E19" i="4"/>
  <c r="E71" i="4" s="1"/>
  <c r="F19" i="4"/>
  <c r="F71" i="4" s="1"/>
  <c r="G19" i="4"/>
  <c r="G71" i="4" s="1"/>
  <c r="H19" i="4"/>
  <c r="H71" i="4" s="1"/>
  <c r="I19" i="4"/>
  <c r="I71" i="4" s="1"/>
  <c r="J19" i="4"/>
  <c r="D20" i="4"/>
  <c r="D72" i="4" s="1"/>
  <c r="C72" i="4" s="1"/>
  <c r="E20" i="4"/>
  <c r="E72" i="4" s="1"/>
  <c r="F20" i="4"/>
  <c r="F72" i="4" s="1"/>
  <c r="G20" i="4"/>
  <c r="G72" i="4" s="1"/>
  <c r="H20" i="4"/>
  <c r="H72" i="4" s="1"/>
  <c r="I20" i="4"/>
  <c r="I72" i="4" s="1"/>
  <c r="J20" i="4"/>
  <c r="D21" i="4"/>
  <c r="D73" i="4" s="1"/>
  <c r="E21" i="4"/>
  <c r="E73" i="4" s="1"/>
  <c r="F21" i="4"/>
  <c r="F73" i="4" s="1"/>
  <c r="G21" i="4"/>
  <c r="G73" i="4" s="1"/>
  <c r="H21" i="4"/>
  <c r="H73" i="4" s="1"/>
  <c r="I21" i="4"/>
  <c r="I73" i="4" s="1"/>
  <c r="J21" i="4"/>
  <c r="D22" i="4"/>
  <c r="D74" i="4" s="1"/>
  <c r="E22" i="4"/>
  <c r="E74" i="4" s="1"/>
  <c r="F22" i="4"/>
  <c r="F74" i="4" s="1"/>
  <c r="G22" i="4"/>
  <c r="G74" i="4" s="1"/>
  <c r="H22" i="4"/>
  <c r="H74" i="4" s="1"/>
  <c r="I22" i="4"/>
  <c r="I74" i="4" s="1"/>
  <c r="J22" i="4"/>
  <c r="E17" i="4"/>
  <c r="E69" i="4" s="1"/>
  <c r="F17" i="4"/>
  <c r="F69" i="4" s="1"/>
  <c r="G17" i="4"/>
  <c r="G69" i="4" s="1"/>
  <c r="H17" i="4"/>
  <c r="H69" i="4" s="1"/>
  <c r="I17" i="4"/>
  <c r="I69" i="4" s="1"/>
  <c r="J17" i="4"/>
  <c r="D17" i="4"/>
  <c r="B49" i="4"/>
  <c r="B62" i="4" s="1"/>
  <c r="E10" i="4"/>
  <c r="E88" i="4" s="1"/>
  <c r="F10" i="4"/>
  <c r="F88" i="4" s="1"/>
  <c r="G10" i="4"/>
  <c r="G88" i="4" s="1"/>
  <c r="H10" i="4"/>
  <c r="H88" i="4" s="1"/>
  <c r="I10" i="4"/>
  <c r="I88" i="4" s="1"/>
  <c r="D10" i="4"/>
  <c r="D88" i="4" s="1"/>
  <c r="E4" i="4"/>
  <c r="E82" i="4" s="1"/>
  <c r="F4" i="4"/>
  <c r="F82" i="4" s="1"/>
  <c r="G4" i="4"/>
  <c r="G82" i="4" s="1"/>
  <c r="H4" i="4"/>
  <c r="H82" i="4" s="1"/>
  <c r="I4" i="4"/>
  <c r="I82" i="4" s="1"/>
  <c r="J4" i="4"/>
  <c r="E5" i="4"/>
  <c r="E83" i="4" s="1"/>
  <c r="F5" i="4"/>
  <c r="F83" i="4" s="1"/>
  <c r="G5" i="4"/>
  <c r="G83" i="4" s="1"/>
  <c r="H5" i="4"/>
  <c r="H83" i="4" s="1"/>
  <c r="I5" i="4"/>
  <c r="I83" i="4" s="1"/>
  <c r="J5" i="4"/>
  <c r="J57" i="4" s="1"/>
  <c r="E6" i="4"/>
  <c r="E84" i="4" s="1"/>
  <c r="F6" i="4"/>
  <c r="F84" i="4" s="1"/>
  <c r="G6" i="4"/>
  <c r="G84" i="4" s="1"/>
  <c r="H6" i="4"/>
  <c r="H84" i="4" s="1"/>
  <c r="I6" i="4"/>
  <c r="I84" i="4" s="1"/>
  <c r="J6" i="4"/>
  <c r="J58" i="4" s="1"/>
  <c r="E7" i="4"/>
  <c r="E85" i="4" s="1"/>
  <c r="F7" i="4"/>
  <c r="F85" i="4" s="1"/>
  <c r="G7" i="4"/>
  <c r="G85" i="4" s="1"/>
  <c r="H7" i="4"/>
  <c r="H85" i="4" s="1"/>
  <c r="I7" i="4"/>
  <c r="I85" i="4" s="1"/>
  <c r="J7" i="4"/>
  <c r="E8" i="4"/>
  <c r="E86" i="4" s="1"/>
  <c r="F8" i="4"/>
  <c r="F86" i="4" s="1"/>
  <c r="G8" i="4"/>
  <c r="G86" i="4" s="1"/>
  <c r="H8" i="4"/>
  <c r="H86" i="4" s="1"/>
  <c r="I8" i="4"/>
  <c r="I86" i="4" s="1"/>
  <c r="J8" i="4"/>
  <c r="E9" i="4"/>
  <c r="E87" i="4" s="1"/>
  <c r="F9" i="4"/>
  <c r="F87" i="4" s="1"/>
  <c r="G9" i="4"/>
  <c r="G87" i="4" s="1"/>
  <c r="H9" i="4"/>
  <c r="H87" i="4" s="1"/>
  <c r="I9" i="4"/>
  <c r="I87" i="4" s="1"/>
  <c r="J9" i="4"/>
  <c r="J61" i="4" s="1"/>
  <c r="D5" i="4"/>
  <c r="D83" i="4" s="1"/>
  <c r="C83" i="4" s="1"/>
  <c r="D6" i="4"/>
  <c r="D84" i="4" s="1"/>
  <c r="C84" i="4" s="1"/>
  <c r="D7" i="4"/>
  <c r="D85" i="4" s="1"/>
  <c r="C85" i="4" s="1"/>
  <c r="D8" i="4"/>
  <c r="D86" i="4" s="1"/>
  <c r="D9" i="4"/>
  <c r="D87" i="4" s="1"/>
  <c r="D4" i="4"/>
  <c r="D82" i="4" s="1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D43" i="4" l="1"/>
  <c r="D69" i="4"/>
  <c r="D97" i="4" s="1"/>
  <c r="M13" i="4"/>
  <c r="M25" i="4"/>
  <c r="D111" i="4"/>
  <c r="D98" i="4"/>
  <c r="D112" i="4"/>
  <c r="D99" i="4"/>
  <c r="D113" i="4"/>
  <c r="D100" i="4"/>
  <c r="M24" i="4"/>
  <c r="E112" i="4"/>
  <c r="E99" i="4"/>
  <c r="I113" i="4"/>
  <c r="I100" i="4"/>
  <c r="E113" i="4"/>
  <c r="E100" i="4"/>
  <c r="H112" i="4"/>
  <c r="H99" i="4"/>
  <c r="F100" i="4"/>
  <c r="F113" i="4"/>
  <c r="H100" i="4"/>
  <c r="H113" i="4"/>
  <c r="G112" i="4"/>
  <c r="G99" i="4"/>
  <c r="F98" i="4"/>
  <c r="F111" i="4"/>
  <c r="G100" i="4"/>
  <c r="G113" i="4"/>
  <c r="F99" i="4"/>
  <c r="F112" i="4"/>
  <c r="E98" i="4"/>
  <c r="E111" i="4"/>
  <c r="J37" i="4"/>
  <c r="J89" i="4" s="1"/>
  <c r="B17" i="4"/>
  <c r="B30" i="4" s="1"/>
  <c r="B43" i="4" s="1"/>
  <c r="B56" i="4" s="1"/>
  <c r="C21" i="6"/>
  <c r="B75" i="4"/>
  <c r="B11" i="6"/>
  <c r="H62" i="4"/>
  <c r="D59" i="4"/>
  <c r="E48" i="4"/>
  <c r="G60" i="4"/>
  <c r="I59" i="4"/>
  <c r="D21" i="6"/>
  <c r="E59" i="4"/>
  <c r="G58" i="4"/>
  <c r="I57" i="4"/>
  <c r="E44" i="4"/>
  <c r="D58" i="4"/>
  <c r="H59" i="4"/>
  <c r="F45" i="4"/>
  <c r="I49" i="4"/>
  <c r="E49" i="4"/>
  <c r="D48" i="4"/>
  <c r="D57" i="4"/>
  <c r="G61" i="4"/>
  <c r="I60" i="4"/>
  <c r="E60" i="4"/>
  <c r="G46" i="4"/>
  <c r="D20" i="6"/>
  <c r="E45" i="4"/>
  <c r="G57" i="4"/>
  <c r="D60" i="4"/>
  <c r="F61" i="4"/>
  <c r="H60" i="4"/>
  <c r="F46" i="4"/>
  <c r="H58" i="4"/>
  <c r="F57" i="4"/>
  <c r="D62" i="4"/>
  <c r="G62" i="4"/>
  <c r="J72" i="4"/>
  <c r="J47" i="4"/>
  <c r="J43" i="4"/>
  <c r="J85" i="4"/>
  <c r="D8" i="6" s="1"/>
  <c r="J73" i="4"/>
  <c r="J74" i="4"/>
  <c r="J70" i="4"/>
  <c r="J75" i="4"/>
  <c r="J69" i="4"/>
  <c r="J82" i="4"/>
  <c r="J71" i="4"/>
  <c r="J62" i="4"/>
  <c r="J46" i="4"/>
  <c r="J45" i="4"/>
  <c r="J59" i="4"/>
  <c r="J86" i="4"/>
  <c r="D9" i="6" s="1"/>
  <c r="J48" i="4"/>
  <c r="J44" i="4"/>
  <c r="J49" i="4"/>
  <c r="J56" i="4"/>
  <c r="J60" i="4"/>
  <c r="F60" i="4"/>
  <c r="J87" i="4"/>
  <c r="D10" i="6" s="1"/>
  <c r="J83" i="4"/>
  <c r="D6" i="6" s="1"/>
  <c r="J88" i="4"/>
  <c r="D11" i="6" s="1"/>
  <c r="J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M63" i="4" l="1"/>
  <c r="J116" i="4"/>
  <c r="L123" i="4" s="1"/>
  <c r="J103" i="4"/>
  <c r="O103" i="4" s="1"/>
  <c r="F116" i="4"/>
  <c r="F103" i="4"/>
  <c r="J102" i="4"/>
  <c r="O102" i="4" s="1"/>
  <c r="M51" i="4"/>
  <c r="J99" i="4"/>
  <c r="O99" i="4" s="1"/>
  <c r="J112" i="4"/>
  <c r="L119" i="4" s="1"/>
  <c r="J98" i="4"/>
  <c r="O98" i="4" s="1"/>
  <c r="J111" i="4"/>
  <c r="L118" i="4" s="1"/>
  <c r="F114" i="4"/>
  <c r="F101" i="4"/>
  <c r="J115" i="4"/>
  <c r="L122" i="4" s="1"/>
  <c r="J110" i="4"/>
  <c r="M117" i="4" s="1"/>
  <c r="J97" i="4"/>
  <c r="O97" i="4" s="1"/>
  <c r="L121" i="4"/>
  <c r="J101" i="4"/>
  <c r="O101" i="4" s="1"/>
  <c r="J113" i="4"/>
  <c r="L120" i="4" s="1"/>
  <c r="J100" i="4"/>
  <c r="O100" i="4" s="1"/>
  <c r="I115" i="4"/>
  <c r="I102" i="4"/>
  <c r="H56" i="4"/>
  <c r="H37" i="4"/>
  <c r="G37" i="4"/>
  <c r="I56" i="4"/>
  <c r="I37" i="4"/>
  <c r="J63" i="4"/>
  <c r="D37" i="4"/>
  <c r="E56" i="4"/>
  <c r="E37" i="4"/>
  <c r="F37" i="4"/>
  <c r="J76" i="4"/>
  <c r="J104" i="4" s="1"/>
  <c r="D12" i="6"/>
  <c r="J50" i="4"/>
  <c r="D5" i="6"/>
  <c r="G47" i="4"/>
  <c r="H48" i="4"/>
  <c r="B5" i="6"/>
  <c r="B69" i="4"/>
  <c r="B18" i="6" s="1"/>
  <c r="D18" i="6"/>
  <c r="I43" i="4"/>
  <c r="G43" i="4"/>
  <c r="G56" i="4"/>
  <c r="F43" i="4"/>
  <c r="I44" i="4"/>
  <c r="F44" i="4"/>
  <c r="I58" i="4"/>
  <c r="G48" i="4"/>
  <c r="C7" i="6"/>
  <c r="G7" i="6" s="1"/>
  <c r="C6" i="6"/>
  <c r="G6" i="6" s="1"/>
  <c r="C9" i="6"/>
  <c r="G9" i="6" s="1"/>
  <c r="C10" i="6"/>
  <c r="G10" i="6" s="1"/>
  <c r="E57" i="4"/>
  <c r="F48" i="4"/>
  <c r="E61" i="4"/>
  <c r="C5" i="6"/>
  <c r="G49" i="4"/>
  <c r="C8" i="6"/>
  <c r="G8" i="6" s="1"/>
  <c r="C23" i="6"/>
  <c r="H49" i="4"/>
  <c r="D61" i="4"/>
  <c r="C11" i="6"/>
  <c r="G11" i="6" s="1"/>
  <c r="D49" i="4"/>
  <c r="G21" i="6"/>
  <c r="B88" i="4"/>
  <c r="B103" i="4" s="1"/>
  <c r="B116" i="4" s="1"/>
  <c r="B24" i="6"/>
  <c r="H46" i="4"/>
  <c r="F59" i="4"/>
  <c r="F58" i="4"/>
  <c r="E43" i="4"/>
  <c r="I46" i="4"/>
  <c r="E47" i="4"/>
  <c r="F47" i="4"/>
  <c r="B72" i="4"/>
  <c r="B8" i="6"/>
  <c r="B73" i="4"/>
  <c r="B9" i="6"/>
  <c r="B74" i="4"/>
  <c r="B10" i="6"/>
  <c r="D44" i="4"/>
  <c r="G59" i="4"/>
  <c r="B70" i="4"/>
  <c r="B6" i="6"/>
  <c r="B71" i="4"/>
  <c r="B7" i="6"/>
  <c r="B82" i="4"/>
  <c r="B97" i="4" s="1"/>
  <c r="B110" i="4" s="1"/>
  <c r="G45" i="4"/>
  <c r="I61" i="4"/>
  <c r="H45" i="4"/>
  <c r="D23" i="6"/>
  <c r="F62" i="4"/>
  <c r="D45" i="4"/>
  <c r="H61" i="4"/>
  <c r="D56" i="4"/>
  <c r="H44" i="4"/>
  <c r="F49" i="4"/>
  <c r="H43" i="4"/>
  <c r="H57" i="4"/>
  <c r="E62" i="4"/>
  <c r="E46" i="4"/>
  <c r="I47" i="4"/>
  <c r="D24" i="6"/>
  <c r="D19" i="6"/>
  <c r="F56" i="4"/>
  <c r="I45" i="4"/>
  <c r="D46" i="4"/>
  <c r="E58" i="4"/>
  <c r="I62" i="4"/>
  <c r="D47" i="4"/>
  <c r="H47" i="4"/>
  <c r="I48" i="4"/>
  <c r="G44" i="4"/>
  <c r="D22" i="6"/>
  <c r="H8" i="6" l="1"/>
  <c r="M50" i="4"/>
  <c r="D110" i="4"/>
  <c r="D101" i="4"/>
  <c r="D114" i="4"/>
  <c r="D115" i="4"/>
  <c r="D102" i="4"/>
  <c r="M124" i="4"/>
  <c r="I116" i="4"/>
  <c r="I103" i="4"/>
  <c r="G103" i="4"/>
  <c r="G116" i="4"/>
  <c r="D116" i="4"/>
  <c r="D103" i="4"/>
  <c r="H116" i="4"/>
  <c r="H103" i="4"/>
  <c r="E116" i="4"/>
  <c r="E103" i="4"/>
  <c r="D63" i="4"/>
  <c r="M62" i="4"/>
  <c r="M106" i="4"/>
  <c r="G111" i="4"/>
  <c r="G98" i="4"/>
  <c r="G114" i="4"/>
  <c r="G101" i="4"/>
  <c r="F110" i="4"/>
  <c r="F97" i="4"/>
  <c r="H97" i="4"/>
  <c r="H110" i="4"/>
  <c r="I99" i="4"/>
  <c r="I112" i="4"/>
  <c r="E101" i="4"/>
  <c r="E114" i="4"/>
  <c r="G110" i="4"/>
  <c r="G97" i="4"/>
  <c r="H115" i="4"/>
  <c r="H102" i="4"/>
  <c r="I98" i="4"/>
  <c r="I111" i="4"/>
  <c r="I114" i="4"/>
  <c r="I101" i="4"/>
  <c r="E115" i="4"/>
  <c r="E102" i="4"/>
  <c r="I110" i="4"/>
  <c r="I97" i="4"/>
  <c r="H101" i="4"/>
  <c r="H114" i="4"/>
  <c r="H98" i="4"/>
  <c r="H111" i="4"/>
  <c r="G115" i="4"/>
  <c r="G102" i="4"/>
  <c r="F102" i="4"/>
  <c r="F115" i="4"/>
  <c r="E110" i="4"/>
  <c r="E97" i="4"/>
  <c r="F63" i="4"/>
  <c r="G5" i="6"/>
  <c r="G50" i="4"/>
  <c r="G76" i="4"/>
  <c r="G117" i="4" s="1"/>
  <c r="G89" i="4"/>
  <c r="E76" i="4"/>
  <c r="E117" i="4" s="1"/>
  <c r="E89" i="4"/>
  <c r="E50" i="4"/>
  <c r="C12" i="6"/>
  <c r="G12" i="6" s="1"/>
  <c r="J117" i="4"/>
  <c r="L124" i="4" s="1"/>
  <c r="E63" i="4"/>
  <c r="I76" i="4"/>
  <c r="I104" i="4" s="1"/>
  <c r="I89" i="4"/>
  <c r="D25" i="6" s="1"/>
  <c r="I50" i="4"/>
  <c r="H89" i="4"/>
  <c r="H50" i="4"/>
  <c r="H76" i="4"/>
  <c r="H117" i="4" s="1"/>
  <c r="G63" i="4"/>
  <c r="F76" i="4"/>
  <c r="F117" i="4" s="1"/>
  <c r="F89" i="4"/>
  <c r="F50" i="4"/>
  <c r="D50" i="4"/>
  <c r="D89" i="4"/>
  <c r="D76" i="4"/>
  <c r="D117" i="4" s="1"/>
  <c r="I63" i="4"/>
  <c r="H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D104" i="4" l="1"/>
  <c r="E104" i="4"/>
  <c r="F104" i="4"/>
  <c r="H104" i="4"/>
  <c r="C25" i="6"/>
  <c r="H12" i="6" s="1"/>
  <c r="I117" i="4"/>
  <c r="G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<sst xmlns="http://schemas.openxmlformats.org/spreadsheetml/2006/main" count="228" uniqueCount="93">
  <si>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</si>
  <si>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</si>
  <si>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</si>
  <si>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</si>
  <si>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</si>
  <si>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</si>
  <si>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</si>
  <si>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</si>
  <si>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</si>
  <si>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</si>
  <si>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</si>
  <si>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</si>
  <si>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</si>
  <si>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</si>
  <si>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</si>
  <si>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</si>
  <si>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</si>
  <si>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</si>
  <si>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</si>
  <si>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</si>
  <si>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</si>
  <si>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</si>
  <si>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</si>
  <si>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</si>
  <si>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</si>
  <si>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</si>
  <si>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</si>
  <si>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</si>
  <si>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</si>
  <si>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</si>
  <si>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</si>
  <si>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</si>
  <si>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</si>
  <si>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</si>
  <si>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</si>
  <si>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</si>
  <si>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</si>
  <si>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</si>
  <si>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</si>
  <si>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</si>
  <si>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</si>
  <si>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</si>
  <si>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</si>
  <si>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</si>
  <si>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</si>
  <si>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</si>
  <si>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</si>
  <si>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</si>
  <si>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</si>
  <si>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</si>
  <si>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</si>
  <si>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</si>
  <si>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</si>
  <si>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</si>
  <si>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</si>
  <si>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</si>
  <si>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</si>
  <si>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</si>
  <si>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</si>
  <si>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</si>
  <si>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</si>
  <si>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</si>
  <si>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</si>
  <si>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</si>
  <si>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</si>
  <si>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</si>
  <si>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</si>
  <si>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</si>
  <si>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</si>
  <si>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</si>
  <si>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</si>
  <si>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</si>
  <si>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</si>
  <si>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</si>
  <si>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</si>
  <si>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</si>
  <si>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</si>
  <si>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</si>
  <si>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</si>
  <si>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</si>
  <si>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</si>
  <si>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</si>
  <si>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</si>
  <si>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</si>
  <si>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</si>
  <si>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</si>
  <si>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</si>
  <si>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</si>
  <si>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</si>
  <si>
    <t>0</t>
  </si>
  <si>
    <t>0 [k €]</t>
  </si>
  <si>
    <t>PlannedValue(Gesamt) * Fertigstellungsgrad</t>
  </si>
  <si>
    <t>(obsolet)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</si>
</sst>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€&quot;\ #,##0;\-&quot;€&quot;\ #,##0"/>
    <numFmt numFmtId="165" formatCode="&quot;€ &quot;#,##0"/>
    <numFmt numFmtId="166" formatCode="&quot;€ &quot;#,##0.00"/>
    <numFmt numFmtId="167" formatCode="#,##0_ ;[Red]\-#,##0\ "/>
    <numFmt numFmtId="168" formatCode="#,##0.00_ ;[Red]\-#,##0.00\ "/>
    <numFmt numFmtId="169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5" fontId="1" fillId="0" borderId="3" xfId="0" applyNumberFormat="1" applyFont="1" applyBorder="1"/>
    <xf numFmtId="165" fontId="15" fillId="0" borderId="3" xfId="0" applyNumberFormat="1" applyFont="1" applyBorder="1"/>
    <xf numFmtId="0" fontId="0" fillId="0" borderId="2" xfId="0" applyBorder="1"/>
    <xf numFmtId="166" fontId="0" fillId="0" borderId="3" xfId="0" applyNumberFormat="1" applyBorder="1"/>
    <xf numFmtId="0" fontId="1" fillId="0" borderId="2" xfId="0" applyFont="1" applyBorder="1"/>
    <xf numFmtId="165" fontId="0" fillId="0" borderId="0" xfId="0" applyNumberFormat="1"/>
    <xf numFmtId="165" fontId="13" fillId="0" borderId="3" xfId="0" applyNumberFormat="1" applyFont="1" applyBorder="1"/>
    <xf numFmtId="165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5" fontId="16" fillId="0" borderId="0" xfId="0" applyNumberFormat="1" applyFon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Font="1"/>
    <xf numFmtId="168" fontId="0" fillId="0" borderId="0" xfId="0" applyNumberFormat="1" applyFont="1"/>
    <xf numFmtId="167" fontId="13" fillId="0" borderId="0" xfId="0" applyNumberFormat="1" applyFont="1"/>
    <xf numFmtId="168" fontId="13" fillId="0" borderId="0" xfId="0" applyNumberFormat="1" applyFont="1"/>
    <xf numFmtId="9" fontId="0" fillId="0" borderId="0" xfId="0" applyNumberFormat="1" applyBorder="1"/>
    <xf numFmtId="0" fontId="3" fillId="0" borderId="0" xfId="2"/>
    <xf numFmtId="169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164" fontId="0" fillId="0" borderId="0" xfId="0" applyNumberFormat="1"/>
    <xf numFmtId="164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5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Kennzahlen!$C$4:$J$4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48000</c:v>
                </c:pt>
                <c:pt idx="2">
                  <c:v>96000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Kennzahlen!$C$17:$J$17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42500</c:v>
                </c:pt>
                <c:pt idx="2">
                  <c:v>85000</c:v>
                </c:pt>
                <c:pt idx="3">
                  <c:v>130900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  <c:pt idx="7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Kennzahlen!$C$30:$J$30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50400</c:v>
                </c:pt>
                <c:pt idx="2">
                  <c:v>7200</c:v>
                </c:pt>
                <c:pt idx="3">
                  <c:v>14400</c:v>
                </c:pt>
                <c:pt idx="4">
                  <c:v>43200</c:v>
                </c:pt>
                <c:pt idx="5">
                  <c:v>72000</c:v>
                </c:pt>
                <c:pt idx="6">
                  <c:v>115200</c:v>
                </c:pt>
                <c:pt idx="7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Kennzahlen!$C$71:$J$71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1.8447058823529412</c:v>
                </c:pt>
                <c:pt idx="7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Kennzahlen!$C$84:$J$84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  <c:pt idx="7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Kennzahlen!$C$72:$J$72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Kennzahlen!$C$85:$J$85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0.89725490196078428</c:v>
                </c:pt>
                <c:pt idx="2">
                  <c:v>0.15294117647058825</c:v>
                </c:pt>
                <c:pt idx="3">
                  <c:v>0.33647058823529413</c:v>
                </c:pt>
                <c:pt idx="4">
                  <c:v>0.3738562091503268</c:v>
                </c:pt>
                <c:pt idx="5">
                  <c:v>0.50470588235294123</c:v>
                </c:pt>
                <c:pt idx="6">
                  <c:v>0.61176470588235299</c:v>
                </c:pt>
                <c:pt idx="7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Kennzahlen!$C$86:$J$86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0.65</c:v>
                </c:pt>
                <c:pt idx="4">
                  <c:v>0.65</c:v>
                </c:pt>
                <c:pt idx="5">
                  <c:v>0.78</c:v>
                </c:pt>
                <c:pt idx="6">
                  <c:v>0.8666666666666667</c:v>
                </c:pt>
                <c:pt idx="7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Kennzahlen!$C$74:$J$74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0.61176470588235299</c:v>
                </c:pt>
                <c:pt idx="2">
                  <c:v>3.1212484993997598E-2</c:v>
                </c:pt>
                <c:pt idx="3">
                  <c:v>3.4368803701255786E-2</c:v>
                </c:pt>
                <c:pt idx="4">
                  <c:v>6.1023910811207276E-2</c:v>
                </c:pt>
                <c:pt idx="5">
                  <c:v>9.040857722399305E-2</c:v>
                </c:pt>
                <c:pt idx="6">
                  <c:v>0.13396307428080723</c:v>
                </c:pt>
                <c:pt idx="7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Kennzahlen!$C$87:$J$87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0.43333333333333335</c:v>
                </c:pt>
                <c:pt idx="4">
                  <c:v>0.65</c:v>
                </c:pt>
                <c:pt idx="5">
                  <c:v>0.78</c:v>
                </c:pt>
                <c:pt idx="6">
                  <c:v>0.97499999999999998</c:v>
                </c:pt>
                <c:pt idx="7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Kennzahlen!$C$75:$J$75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0.98285714285714287</c:v>
                </c:pt>
                <c:pt idx="3">
                  <c:v>1.0530612244897959</c:v>
                </c:pt>
                <c:pt idx="4">
                  <c:v>1.075</c:v>
                </c:pt>
                <c:pt idx="5">
                  <c:v>1.1621621621621621</c:v>
                </c:pt>
                <c:pt idx="6">
                  <c:v>0.68799999999999994</c:v>
                </c:pt>
                <c:pt idx="7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Kennzahlen!$C$88:$J$88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0.86</c:v>
                </c:pt>
                <c:pt idx="3">
                  <c:v>0.7371428571428571</c:v>
                </c:pt>
                <c:pt idx="4">
                  <c:v>0.68799999999999994</c:v>
                </c:pt>
                <c:pt idx="5">
                  <c:v>0.66153846153846152</c:v>
                </c:pt>
                <c:pt idx="6">
                  <c:v>0.64500000000000002</c:v>
                </c:pt>
                <c:pt idx="7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Kennzahlen!$C$97:$J$97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78.928571428571431</c:v>
                </c:pt>
                <c:pt idx="2">
                  <c:v>1615</c:v>
                </c:pt>
                <c:pt idx="3">
                  <c:v>1178.0999999999999</c:v>
                </c:pt>
                <c:pt idx="4">
                  <c:v>315.34999999999997</c:v>
                </c:pt>
                <c:pt idx="5">
                  <c:v>135.15</c:v>
                </c:pt>
                <c:pt idx="6">
                  <c:v>33.787500000000001</c:v>
                </c:pt>
                <c:pt idx="7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Kennzahlen!$C$110:$J$110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121.42857142857144</c:v>
                </c:pt>
                <c:pt idx="2">
                  <c:v>1700</c:v>
                </c:pt>
                <c:pt idx="3">
                  <c:v>1309</c:v>
                </c:pt>
                <c:pt idx="4">
                  <c:v>450.49999999999994</c:v>
                </c:pt>
                <c:pt idx="5">
                  <c:v>270.3</c:v>
                </c:pt>
                <c:pt idx="6">
                  <c:v>168.9375</c:v>
                </c:pt>
                <c:pt idx="7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Kennzahlen!$C$98:$J$98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807.50000000000011</c:v>
                </c:pt>
                <c:pt idx="5">
                  <c:v>1130.5000000000002</c:v>
                </c:pt>
                <c:pt idx="6">
                  <c:v>711.45</c:v>
                </c:pt>
                <c:pt idx="7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Kennzahlen!$C$111:$J$111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850.00000000000011</c:v>
                </c:pt>
                <c:pt idx="5">
                  <c:v>1190.0000000000002</c:v>
                </c:pt>
                <c:pt idx="6">
                  <c:v>790.50000000000011</c:v>
                </c:pt>
                <c:pt idx="7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Kennzahlen!$C$99:$J$99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191.25</c:v>
                </c:pt>
                <c:pt idx="7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Kennzahlen!$C$112:$J$112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212.5</c:v>
                </c:pt>
                <c:pt idx="7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Kennzahlen!$C$100:$J$100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Kennzahlen!$C$113:$J$113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Kennzahlen!$C$101:$J$101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293.25</c:v>
                </c:pt>
                <c:pt idx="2">
                  <c:v>1776.4999999999998</c:v>
                </c:pt>
                <c:pt idx="3">
                  <c:v>722.49999999999989</c:v>
                </c:pt>
                <c:pt idx="4">
                  <c:v>612</c:v>
                </c:pt>
                <c:pt idx="5">
                  <c:v>396.66666666666663</c:v>
                </c:pt>
                <c:pt idx="6">
                  <c:v>280.49999999999994</c:v>
                </c:pt>
                <c:pt idx="7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Kennzahlen!$C$114:$J$114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318.75</c:v>
                </c:pt>
                <c:pt idx="2">
                  <c:v>1869.9999999999998</c:v>
                </c:pt>
                <c:pt idx="3">
                  <c:v>849.99999999999989</c:v>
                </c:pt>
                <c:pt idx="4">
                  <c:v>765</c:v>
                </c:pt>
                <c:pt idx="5">
                  <c:v>566.66666666666663</c:v>
                </c:pt>
                <c:pt idx="6">
                  <c:v>467.49999999999994</c:v>
                </c:pt>
                <c:pt idx="7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Kennzahlen!$C$5:$J$5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52000</c:v>
                </c:pt>
                <c:pt idx="5">
                  <c:v>96000</c:v>
                </c:pt>
                <c:pt idx="6">
                  <c:v>152000</c:v>
                </c:pt>
                <c:pt idx="7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Kennzahlen!$C$18:$J$18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42500</c:v>
                </c:pt>
                <c:pt idx="5">
                  <c:v>59500</c:v>
                </c:pt>
                <c:pt idx="6">
                  <c:v>79050</c:v>
                </c:pt>
                <c:pt idx="7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Kennzahlen!$C$31:$J$31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11800</c:v>
                </c:pt>
                <c:pt idx="5">
                  <c:v>11800</c:v>
                </c:pt>
                <c:pt idx="6">
                  <c:v>23600</c:v>
                </c:pt>
                <c:pt idx="7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Kennzahlen!$C$102:$J$102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156.39999999999998</c:v>
                </c:pt>
                <c:pt idx="2">
                  <c:v>3165.4</c:v>
                </c:pt>
                <c:pt idx="3">
                  <c:v>2723.3999999999996</c:v>
                </c:pt>
                <c:pt idx="4">
                  <c:v>1363.4</c:v>
                </c:pt>
                <c:pt idx="5">
                  <c:v>805.23333333333335</c:v>
                </c:pt>
                <c:pt idx="6">
                  <c:v>426.98333333333329</c:v>
                </c:pt>
                <c:pt idx="7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Kennzahlen!$C$115:$J$115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169.99999999999997</c:v>
                </c:pt>
                <c:pt idx="2">
                  <c:v>3332</c:v>
                </c:pt>
                <c:pt idx="3">
                  <c:v>3026</c:v>
                </c:pt>
                <c:pt idx="4">
                  <c:v>1704.25</c:v>
                </c:pt>
                <c:pt idx="5">
                  <c:v>1150.3333333333333</c:v>
                </c:pt>
                <c:pt idx="6">
                  <c:v>776.33333333333326</c:v>
                </c:pt>
                <c:pt idx="7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Kennzahlen!$C$103:$J$103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98</c:v>
                </c:pt>
                <c:pt idx="2">
                  <c:v>84</c:v>
                </c:pt>
                <c:pt idx="3">
                  <c:v>76.766666666666666</c:v>
                </c:pt>
                <c:pt idx="4">
                  <c:v>73.599999999999994</c:v>
                </c:pt>
                <c:pt idx="5">
                  <c:v>66.600000000000009</c:v>
                </c:pt>
                <c:pt idx="6">
                  <c:v>110</c:v>
                </c:pt>
                <c:pt idx="7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Kennzahlen!$C$116:$J$116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100</c:v>
                </c:pt>
                <c:pt idx="2">
                  <c:v>87.5</c:v>
                </c:pt>
                <c:pt idx="3">
                  <c:v>81.666666666666671</c:v>
                </c:pt>
                <c:pt idx="4">
                  <c:v>80</c:v>
                </c:pt>
                <c:pt idx="5">
                  <c:v>74</c:v>
                </c:pt>
                <c:pt idx="6">
                  <c:v>125</c:v>
                </c:pt>
                <c:pt idx="7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Kennzahlen!$C$11:$J$11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80000</c:v>
                </c:pt>
                <c:pt idx="2">
                  <c:v>160000</c:v>
                </c:pt>
                <c:pt idx="3">
                  <c:v>261000</c:v>
                </c:pt>
                <c:pt idx="4">
                  <c:v>350000</c:v>
                </c:pt>
                <c:pt idx="5">
                  <c:v>467000</c:v>
                </c:pt>
                <c:pt idx="6">
                  <c:v>604000</c:v>
                </c:pt>
                <c:pt idx="7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Kennzahlen!$C$24:$J$24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83600</c:v>
                </c:pt>
                <c:pt idx="2">
                  <c:v>348600</c:v>
                </c:pt>
                <c:pt idx="3">
                  <c:v>565900</c:v>
                </c:pt>
                <c:pt idx="4">
                  <c:v>677900</c:v>
                </c:pt>
                <c:pt idx="5">
                  <c:v>717150</c:v>
                </c:pt>
                <c:pt idx="6">
                  <c:v>786800</c:v>
                </c:pt>
                <c:pt idx="7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Kennzahlen!$C$37:$J$37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83320</c:v>
                </c:pt>
                <c:pt idx="2">
                  <c:v>30140</c:v>
                </c:pt>
                <c:pt idx="3">
                  <c:v>72860</c:v>
                </c:pt>
                <c:pt idx="4">
                  <c:v>139880</c:v>
                </c:pt>
                <c:pt idx="5">
                  <c:v>209400</c:v>
                </c:pt>
                <c:pt idx="6">
                  <c:v>349520</c:v>
                </c:pt>
                <c:pt idx="7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Kennzahlen!$C$76:$J$76</c:f>
              <c:numCache>
                <c:formatCode>0.00</c:formatCode>
                <c:ptCount val="8"/>
                <c:pt idx="0">
                  <c:v>1</c:v>
                </c:pt>
                <c:pt idx="1">
                  <c:v>0.99665071770334923</c:v>
                </c:pt>
                <c:pt idx="2">
                  <c:v>8.6460126219162367E-2</c:v>
                </c:pt>
                <c:pt idx="3">
                  <c:v>0.12875066266124757</c:v>
                </c:pt>
                <c:pt idx="4">
                  <c:v>0.20634311845404926</c:v>
                </c:pt>
                <c:pt idx="5">
                  <c:v>0.29198912361430662</c:v>
                </c:pt>
                <c:pt idx="6">
                  <c:v>0.44422979156075243</c:v>
                </c:pt>
                <c:pt idx="7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Kennzahlen!$C$89:$J$89</c:f>
              <c:numCache>
                <c:formatCode>0.00</c:formatCode>
                <c:ptCount val="8"/>
                <c:pt idx="0">
                  <c:v>1</c:v>
                </c:pt>
                <c:pt idx="1">
                  <c:v>1.0415000000000001</c:v>
                </c:pt>
                <c:pt idx="2">
                  <c:v>0.18837499999999999</c:v>
                </c:pt>
                <c:pt idx="3">
                  <c:v>0.27915708812260537</c:v>
                </c:pt>
                <c:pt idx="4">
                  <c:v>0.39965714285714288</c:v>
                </c:pt>
                <c:pt idx="5">
                  <c:v>0.44839400428265525</c:v>
                </c:pt>
                <c:pt idx="6">
                  <c:v>0.57867549668874174</c:v>
                </c:pt>
                <c:pt idx="7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Kennzahlen!$C$104:$J$104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1421.4408065290447</c:v>
                </c:pt>
                <c:pt idx="2">
                  <c:v>17000.437823490378</c:v>
                </c:pt>
                <c:pt idx="3">
                  <c:v>11084.525473510843</c:v>
                </c:pt>
                <c:pt idx="4">
                  <c:v>6591.5452387760943</c:v>
                </c:pt>
                <c:pt idx="5">
                  <c:v>4420.0276504297999</c:v>
                </c:pt>
                <c:pt idx="6">
                  <c:v>2589.8308079652097</c:v>
                </c:pt>
                <c:pt idx="7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Kennzahlen!$C$117:$J$117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1505.0408065290449</c:v>
                </c:pt>
                <c:pt idx="2">
                  <c:v>17349.03782349038</c:v>
                </c:pt>
                <c:pt idx="3">
                  <c:v>11650.425473510844</c:v>
                </c:pt>
                <c:pt idx="4">
                  <c:v>7269.4452387760939</c:v>
                </c:pt>
                <c:pt idx="5">
                  <c:v>5137.1776504297995</c:v>
                </c:pt>
                <c:pt idx="6">
                  <c:v>3376.6308079652094</c:v>
                </c:pt>
                <c:pt idx="7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"€"\ #,##0;\-"€"\ #,##0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"€"\ #,##0;\-"€"\ #,##0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"€"\ #,##0;\-"€"\ #,##0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"€"\ #,##0;\-"€"\ 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Kennzahlen!$C$43:$J$43</c:f>
              <c:numCache>
                <c:formatCode>#,##0\ "€"</c:formatCode>
                <c:ptCount val="8"/>
                <c:pt idx="0">
                  <c:v>0</c:v>
                </c:pt>
                <c:pt idx="1">
                  <c:v>7900</c:v>
                </c:pt>
                <c:pt idx="2">
                  <c:v>-77800</c:v>
                </c:pt>
                <c:pt idx="3">
                  <c:v>-116500</c:v>
                </c:pt>
                <c:pt idx="4">
                  <c:v>-91950</c:v>
                </c:pt>
                <c:pt idx="5">
                  <c:v>-63150</c:v>
                </c:pt>
                <c:pt idx="6">
                  <c:v>-19950</c:v>
                </c:pt>
                <c:pt idx="7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Kennzahlen!$C$56:$J$56</c:f>
              <c:numCache>
                <c:formatCode>#,##0\ "€"</c:formatCode>
                <c:ptCount val="8"/>
                <c:pt idx="0">
                  <c:v>0</c:v>
                </c:pt>
                <c:pt idx="1">
                  <c:v>2400</c:v>
                </c:pt>
                <c:pt idx="2">
                  <c:v>-88800</c:v>
                </c:pt>
                <c:pt idx="3">
                  <c:v>-129600</c:v>
                </c:pt>
                <c:pt idx="4">
                  <c:v>-100800</c:v>
                </c:pt>
                <c:pt idx="5">
                  <c:v>-72000</c:v>
                </c:pt>
                <c:pt idx="6">
                  <c:v>-28800</c:v>
                </c:pt>
                <c:pt idx="7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Kennzahlen!$C$44:$J$44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-30700</c:v>
                </c:pt>
                <c:pt idx="5">
                  <c:v>-47700</c:v>
                </c:pt>
                <c:pt idx="6">
                  <c:v>-55450</c:v>
                </c:pt>
                <c:pt idx="7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Kennzahlen!$C$57:$J$57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-20000</c:v>
                </c:pt>
                <c:pt idx="4">
                  <c:v>-40200</c:v>
                </c:pt>
                <c:pt idx="5">
                  <c:v>-84200</c:v>
                </c:pt>
                <c:pt idx="6">
                  <c:v>-128400</c:v>
                </c:pt>
                <c:pt idx="7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Kennzahlen!$C$45:$J$45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17950</c:v>
                </c:pt>
                <c:pt idx="7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Kennzahlen!$C$58:$J$58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-24000</c:v>
                </c:pt>
                <c:pt idx="5">
                  <c:v>-64000</c:v>
                </c:pt>
                <c:pt idx="6">
                  <c:v>-72800</c:v>
                </c:pt>
                <c:pt idx="7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Kennzahlen!$C$46:$J$46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Kennzahlen!$C$59:$J$59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Kennzahlen!$C$6:$J$6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</c:v>
                </c:pt>
                <c:pt idx="5">
                  <c:v>64000</c:v>
                </c:pt>
                <c:pt idx="6">
                  <c:v>112000</c:v>
                </c:pt>
                <c:pt idx="7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Kennzahlen!$C$19:$J$19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21250</c:v>
                </c:pt>
                <c:pt idx="7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Kennzahlen!$C$32:$J$32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39200</c:v>
                </c:pt>
                <c:pt idx="7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Kennzahlen!$C$47:$J$47</c:f>
              <c:numCache>
                <c:formatCode>#,##0\ "€"</c:formatCode>
                <c:ptCount val="8"/>
                <c:pt idx="0">
                  <c:v>0</c:v>
                </c:pt>
                <c:pt idx="1">
                  <c:v>-2620</c:v>
                </c:pt>
                <c:pt idx="2">
                  <c:v>-79200</c:v>
                </c:pt>
                <c:pt idx="3">
                  <c:v>-84600</c:v>
                </c:pt>
                <c:pt idx="4">
                  <c:v>-95800</c:v>
                </c:pt>
                <c:pt idx="5">
                  <c:v>-84200</c:v>
                </c:pt>
                <c:pt idx="6">
                  <c:v>-72600</c:v>
                </c:pt>
                <c:pt idx="7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Kennzahlen!$C$60:$J$60</c:f>
              <c:numCache>
                <c:formatCode>#,##0\ "€"</c:formatCode>
                <c:ptCount val="8"/>
                <c:pt idx="0">
                  <c:v>0</c:v>
                </c:pt>
                <c:pt idx="1">
                  <c:v>880</c:v>
                </c:pt>
                <c:pt idx="2">
                  <c:v>-29700</c:v>
                </c:pt>
                <c:pt idx="3">
                  <c:v>-23100</c:v>
                </c:pt>
                <c:pt idx="4">
                  <c:v>-30800</c:v>
                </c:pt>
                <c:pt idx="5">
                  <c:v>-24200</c:v>
                </c:pt>
                <c:pt idx="6">
                  <c:v>-17600</c:v>
                </c:pt>
                <c:pt idx="7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Kennzahlen!$C$48:$J$48</c:f>
              <c:numCache>
                <c:formatCode>#,##0\ "€"</c:formatCode>
                <c:ptCount val="8"/>
                <c:pt idx="0">
                  <c:v>0</c:v>
                </c:pt>
                <c:pt idx="1">
                  <c:v>-5280</c:v>
                </c:pt>
                <c:pt idx="2">
                  <c:v>-161400</c:v>
                </c:pt>
                <c:pt idx="3">
                  <c:v>-292200</c:v>
                </c:pt>
                <c:pt idx="4">
                  <c:v>-320050</c:v>
                </c:pt>
                <c:pt idx="5">
                  <c:v>-313900</c:v>
                </c:pt>
                <c:pt idx="6">
                  <c:v>-302550</c:v>
                </c:pt>
                <c:pt idx="7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Kennzahlen!$C$61:$J$61</c:f>
              <c:numCache>
                <c:formatCode>#,##0\ "€"</c:formatCode>
                <c:ptCount val="8"/>
                <c:pt idx="0">
                  <c:v>0</c:v>
                </c:pt>
                <c:pt idx="1">
                  <c:v>320</c:v>
                </c:pt>
                <c:pt idx="2">
                  <c:v>-10800</c:v>
                </c:pt>
                <c:pt idx="3">
                  <c:v>-13600</c:v>
                </c:pt>
                <c:pt idx="4">
                  <c:v>-11200</c:v>
                </c:pt>
                <c:pt idx="5">
                  <c:v>-8800</c:v>
                </c:pt>
                <c:pt idx="6">
                  <c:v>-1200</c:v>
                </c:pt>
                <c:pt idx="7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Kennzahlen!$C$49:$J$49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-60</c:v>
                </c:pt>
                <c:pt idx="3">
                  <c:v>260</c:v>
                </c:pt>
                <c:pt idx="4">
                  <c:v>480</c:v>
                </c:pt>
                <c:pt idx="5">
                  <c:v>1200</c:v>
                </c:pt>
                <c:pt idx="6">
                  <c:v>-4680</c:v>
                </c:pt>
                <c:pt idx="7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Kennzahlen!$C$62:$J$62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-560</c:v>
                </c:pt>
                <c:pt idx="3">
                  <c:v>-1840</c:v>
                </c:pt>
                <c:pt idx="4">
                  <c:v>-3120</c:v>
                </c:pt>
                <c:pt idx="5">
                  <c:v>-4400</c:v>
                </c:pt>
                <c:pt idx="6">
                  <c:v>-5680</c:v>
                </c:pt>
                <c:pt idx="7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Kennzahlen!$C$50:$J$50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-318460</c:v>
                </c:pt>
                <c:pt idx="3">
                  <c:v>-493040</c:v>
                </c:pt>
                <c:pt idx="4">
                  <c:v>-538020</c:v>
                </c:pt>
                <c:pt idx="5">
                  <c:v>-507750</c:v>
                </c:pt>
                <c:pt idx="6">
                  <c:v>-437280</c:v>
                </c:pt>
                <c:pt idx="7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Kennzahlen!$C$63:$J$63</c:f>
              <c:numCache>
                <c:formatCode>#,##0\ "€"</c:formatCode>
                <c:ptCount val="8"/>
                <c:pt idx="0">
                  <c:v>0</c:v>
                </c:pt>
                <c:pt idx="1">
                  <c:v>3320</c:v>
                </c:pt>
                <c:pt idx="2">
                  <c:v>-129860</c:v>
                </c:pt>
                <c:pt idx="3">
                  <c:v>-188140</c:v>
                </c:pt>
                <c:pt idx="4">
                  <c:v>-210120</c:v>
                </c:pt>
                <c:pt idx="5">
                  <c:v>-257600</c:v>
                </c:pt>
                <c:pt idx="6">
                  <c:v>-254480</c:v>
                </c:pt>
                <c:pt idx="7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Kennzahlen!$C$7:$J$7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Kennzahlen!$C$20:$J$20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Kennzahlen!$C$33:$J$33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Kennzahlen!$C$8:$J$8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22000</c:v>
                </c:pt>
                <c:pt idx="2">
                  <c:v>44000</c:v>
                </c:pt>
                <c:pt idx="3">
                  <c:v>66000</c:v>
                </c:pt>
                <c:pt idx="4">
                  <c:v>88000</c:v>
                </c:pt>
                <c:pt idx="5">
                  <c:v>110000</c:v>
                </c:pt>
                <c:pt idx="6">
                  <c:v>132000</c:v>
                </c:pt>
                <c:pt idx="7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Kennzahlen!$C$21:$J$21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25500</c:v>
                </c:pt>
                <c:pt idx="2">
                  <c:v>93500</c:v>
                </c:pt>
                <c:pt idx="3">
                  <c:v>127500</c:v>
                </c:pt>
                <c:pt idx="4">
                  <c:v>153000</c:v>
                </c:pt>
                <c:pt idx="5">
                  <c:v>170000</c:v>
                </c:pt>
                <c:pt idx="6">
                  <c:v>187000</c:v>
                </c:pt>
                <c:pt idx="7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Kennzahlen!$C$34:$J$34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22880</c:v>
                </c:pt>
                <c:pt idx="2">
                  <c:v>14300</c:v>
                </c:pt>
                <c:pt idx="3">
                  <c:v>42900</c:v>
                </c:pt>
                <c:pt idx="4">
                  <c:v>57200</c:v>
                </c:pt>
                <c:pt idx="5">
                  <c:v>85800</c:v>
                </c:pt>
                <c:pt idx="6">
                  <c:v>114400</c:v>
                </c:pt>
                <c:pt idx="7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Kennzahlen!$C$9:$J$9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Kennzahlen!$C$22:$J$22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13600</c:v>
                </c:pt>
                <c:pt idx="2">
                  <c:v>166600</c:v>
                </c:pt>
                <c:pt idx="3">
                  <c:v>302600</c:v>
                </c:pt>
                <c:pt idx="4">
                  <c:v>340850</c:v>
                </c:pt>
                <c:pt idx="5">
                  <c:v>345100</c:v>
                </c:pt>
                <c:pt idx="6">
                  <c:v>349350</c:v>
                </c:pt>
                <c:pt idx="7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Kennzahlen!$C$35:$J$35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8320</c:v>
                </c:pt>
                <c:pt idx="2">
                  <c:v>5200</c:v>
                </c:pt>
                <c:pt idx="3">
                  <c:v>10400</c:v>
                </c:pt>
                <c:pt idx="4">
                  <c:v>20800</c:v>
                </c:pt>
                <c:pt idx="5">
                  <c:v>31200</c:v>
                </c:pt>
                <c:pt idx="6">
                  <c:v>46800</c:v>
                </c:pt>
                <c:pt idx="7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Kennzahlen!$C$10:$J$10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16000</c:v>
                </c:pt>
                <c:pt idx="7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Kennzahlen!$C$23:$J$23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3500</c:v>
                </c:pt>
                <c:pt idx="3">
                  <c:v>4900</c:v>
                </c:pt>
                <c:pt idx="4">
                  <c:v>6400</c:v>
                </c:pt>
                <c:pt idx="5">
                  <c:v>7400</c:v>
                </c:pt>
                <c:pt idx="6">
                  <c:v>15000</c:v>
                </c:pt>
                <c:pt idx="7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Kennzahlen!$C$36:$J$36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1720</c:v>
                </c:pt>
                <c:pt idx="2">
                  <c:v>3440</c:v>
                </c:pt>
                <c:pt idx="3">
                  <c:v>5160</c:v>
                </c:pt>
                <c:pt idx="4">
                  <c:v>6880</c:v>
                </c:pt>
                <c:pt idx="5">
                  <c:v>8600</c:v>
                </c:pt>
                <c:pt idx="6">
                  <c:v>10320</c:v>
                </c:pt>
                <c:pt idx="7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Kennzahlen!$C$69:$J$69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1.1858823529411764</c:v>
                </c:pt>
                <c:pt idx="2">
                  <c:v>8.4705882352941173E-2</c:v>
                </c:pt>
                <c:pt idx="3">
                  <c:v>0.11000763941940413</c:v>
                </c:pt>
                <c:pt idx="4">
                  <c:v>0.31964483906770258</c:v>
                </c:pt>
                <c:pt idx="5">
                  <c:v>0.53274139844617097</c:v>
                </c:pt>
                <c:pt idx="6">
                  <c:v>0.85238623751387343</c:v>
                </c:pt>
                <c:pt idx="7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Kennzahlen!$C$82:$J$82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Kennzahlen!$C$70:$J$70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0.27764705882352941</c:v>
                </c:pt>
                <c:pt idx="5">
                  <c:v>0.19831932773109243</c:v>
                </c:pt>
                <c:pt idx="6">
                  <c:v>0.29854522454142945</c:v>
                </c:pt>
                <c:pt idx="7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Kennzahlen!$C$83:$J$83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0.22692307692307692</c:v>
                </c:pt>
                <c:pt idx="5">
                  <c:v>0.12291666666666666</c:v>
                </c:pt>
                <c:pt idx="6">
                  <c:v>0.15526315789473685</c:v>
                </c:pt>
                <c:pt idx="7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J11" totalsRowCount="1">
  <autoFilter ref="B3:J1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Label="Gesamt"/>
    <tableColumn id="9" name="0" totalsRowLabel="0"/>
    <tableColumn id="2" name="1" totalsRowFunction="custom" dataDxfId="151" totalsRowDxfId="150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49" totalsRowDxfId="148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47" totalsRowDxfId="14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45" totalsRowDxfId="14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43" totalsRowDxfId="142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41" totalsRowDxfId="140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39" totalsRowDxfId="13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J117" totalsRowCount="1">
  <autoFilter ref="B109:J116"/>
  <tableColumns count="9">
    <tableColumn id="1" name="Posten" totalsRowFunction="custom" dataDxfId="14">
      <calculatedColumnFormula>B97</calculatedColumnFormula>
      <totalsRowFormula>ETC[[#Totals],[Posten]]</totalsRowFormula>
    </tableColumn>
    <tableColumn id="9" name="0 [k €]" totalsRowFunction="custom">
      <calculatedColumnFormula>C97</calculatedColumnFormula>
      <totalsRowFormula>ETC[[#Totals],[0 '[k €']]]</totalsRowFormula>
    </tableColumn>
    <tableColumn id="2" name="1 [k €]" totalsRowFunction="custom" dataDxfId="13" totalsRowDxfId="12">
      <calculatedColumnFormula>IF(D69=$M$70,$M$70,'Budgetierte Kosten'!$P2/(D69*1000))</calculatedColumnFormula>
      <totalsRowFormula>$E$92/(CPI[[#Totals],[1]]*1000)</totalsRowFormula>
    </tableColumn>
    <tableColumn id="3" name="2 [k €]" totalsRowFunction="custom" dataDxfId="11" totalsRowDxfId="10">
      <calculatedColumnFormula>IF(E69=$M$70,$M$70,$E$92/(E69*1000))</calculatedColumnFormula>
      <totalsRowFormula>$E$92/(CPI[[#Totals],[2]]*1000)</totalsRowFormula>
    </tableColumn>
    <tableColumn id="4" name="3 [k €]" totalsRowFunction="custom" dataDxfId="9" totalsRowDxfId="8">
      <calculatedColumnFormula>IF(F69=$M$70,$M$70,$E$92/(F69*1000))</calculatedColumnFormula>
      <totalsRowFormula>$E$92/(CPI[[#Totals],[3]]*1000)</totalsRowFormula>
    </tableColumn>
    <tableColumn id="5" name="4 [k €]" totalsRowFunction="custom" dataDxfId="7" totalsRowDxfId="6">
      <calculatedColumnFormula>IF(G69=$M$70,$M$70,$E$92/(G69*1000))</calculatedColumnFormula>
      <totalsRowFormula>$E$92/(CPI[[#Totals],[4]]*1000)</totalsRowFormula>
    </tableColumn>
    <tableColumn id="6" name="5 [k €]" totalsRowFunction="custom" dataDxfId="5" totalsRowDxfId="4">
      <calculatedColumnFormula>IF(H69=$M$70,$M$70,$E$92/(H69*1000))</calculatedColumnFormula>
      <totalsRowFormula>$E$92/(CPI[[#Totals],[5]]*1000)</totalsRowFormula>
    </tableColumn>
    <tableColumn id="7" name="6 [k €]" totalsRowFunction="custom" dataDxfId="3" totalsRowDxfId="2">
      <calculatedColumnFormula>IF(I69=$M$70,$M$70,$E$92/(I69*1000))</calculatedColumnFormula>
      <totalsRowFormula>$E$92/(CPI[[#Totals],[6]]*1000)</totalsRowFormula>
    </tableColumn>
    <tableColumn id="8" name="7 [k €]" totalsRowFunction="custom" dataDxfId="1" totalsRowDxfId="0">
      <calculatedColumnFormula>IF(J69=$M$70,$M$70,$E$92/(J69*1000))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O42:V43" totalsRowShown="0">
  <autoFilter ref="O42:V43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25">
      <calculatedColumnFormula>Kennzahlen!J69</calculatedColumnFormula>
    </tableColumn>
    <tableColumn id="3" name="SPI" dataDxfId="24">
      <calculatedColumnFormula>Kennzahlen!J82</calculatedColumnFormula>
    </tableColumn>
    <tableColumn id="4" name="Abgeschlossen" dataDxfId="23">
      <calculatedColumnFormula>'Fertigstellungsgrad der Akt.'!H2</calculatedColumnFormula>
    </tableColumn>
    <tableColumn id="5" name="Budget [k €]" dataDxfId="22"/>
    <tableColumn id="6" name="Status" dataDxfId="21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20">
      <calculatedColumnFormula>IF(C18=Kennzahlen!$M$70,Kennzahlen!$M$70,IF(OR(ABS(Tabelle9[[#This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19">
      <calculatedColumnFormula>Kennzahlen!I69</calculatedColumnFormula>
    </tableColumn>
    <tableColumn id="3" name="SPI" dataDxfId="18">
      <calculatedColumnFormula>Kennzahlen!I82</calculatedColumnFormula>
    </tableColumn>
    <tableColumn id="4" name="Abgeschlossen" dataDxfId="17">
      <calculatedColumnFormula>'Fertigstellungsgrad der Akt.'!G2</calculatedColumnFormula>
    </tableColumn>
    <tableColumn id="5" name="Budget [k €]" dataDxfId="16">
      <calculatedColumnFormula>F5</calculatedColumnFormula>
    </tableColumn>
    <tableColumn id="6" name="Status" dataDxfId="15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J37" totalsRowCount="1">
  <autoFilter ref="B29:J36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37">
      <calculatedColumnFormula>B17</calculatedColumnFormula>
      <totalsRowFormula>AC[[#Totals],[Posten]]</totalsRowFormula>
    </tableColumn>
    <tableColumn id="9" name="0" totalsRowLabel="0"/>
    <tableColumn id="2" name="1" totalsRowFunction="custom" dataDxfId="136" totalsRowDxfId="135">
      <calculatedColumnFormula>D4*'Fertigstellungsgrad der Akt.'!B2</calculatedColumnFormula>
      <totalsRowFormula>SUM(EV[1])</totalsRowFormula>
    </tableColumn>
    <tableColumn id="3" name="2" totalsRowFunction="custom" dataDxfId="134" totalsRowDxfId="133">
      <calculatedColumnFormula>E4*'Fertigstellungsgrad der Akt.'!C2</calculatedColumnFormula>
      <totalsRowFormula>SUM(EV[2])</totalsRowFormula>
    </tableColumn>
    <tableColumn id="4" name="3" totalsRowFunction="custom" dataDxfId="132" totalsRowDxfId="131">
      <calculatedColumnFormula>F4*'Fertigstellungsgrad der Akt.'!D2</calculatedColumnFormula>
      <totalsRowFormula>SUM(EV[3])</totalsRowFormula>
    </tableColumn>
    <tableColumn id="5" name="4" totalsRowFunction="custom" dataDxfId="130" totalsRowDxfId="129">
      <calculatedColumnFormula>G4*'Fertigstellungsgrad der Akt.'!E2</calculatedColumnFormula>
      <totalsRowFormula>SUM(EV[4])</totalsRowFormula>
    </tableColumn>
    <tableColumn id="6" name="5" totalsRowFunction="custom" dataDxfId="128" totalsRowDxfId="127">
      <calculatedColumnFormula>H4*'Fertigstellungsgrad der Akt.'!F2</calculatedColumnFormula>
      <totalsRowFormula>SUM(EV[5])</totalsRowFormula>
    </tableColumn>
    <tableColumn id="7" name="6" totalsRowFunction="custom" dataDxfId="126" totalsRowDxfId="125">
      <calculatedColumnFormula>I4*'Fertigstellungsgrad der Akt.'!G2</calculatedColumnFormula>
      <totalsRowFormula>SUM(EV[6])</totalsRowFormula>
    </tableColumn>
    <tableColumn id="8" name="7" totalsRowFunction="custom" dataDxfId="124" totalsRowDxfId="123">
      <calculatedColumnFormula>J4*'Fertigstellungsgrad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J24" totalsRowCount="1">
  <autoFilter ref="B16:J23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22">
      <calculatedColumnFormula>B4</calculatedColumnFormula>
      <totalsRowFormula>PV[[#Totals],[Posten]]</totalsRowFormula>
    </tableColumn>
    <tableColumn id="9" name="0" totalsRowLabel="0"/>
    <tableColumn id="2" name="1" totalsRowFunction="custom" dataDxfId="121" totalsRowDxfId="120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119" totalsRowDxfId="118">
      <totalsRowFormula>SUM('Tatsächliche Kosten'!$B12:'Tatsächliche Kosten'!C12)</totalsRowFormula>
    </tableColumn>
    <tableColumn id="4" name="3" totalsRowFunction="custom" dataDxfId="117" totalsRowDxfId="116">
      <totalsRowFormula>SUM('Tatsächliche Kosten'!$B12:'Tatsächliche Kosten'!D12)</totalsRowFormula>
    </tableColumn>
    <tableColumn id="5" name="4" totalsRowFunction="custom" dataDxfId="115" totalsRowDxfId="114">
      <totalsRowFormula>SUM('Tatsächliche Kosten'!$B12:'Tatsächliche Kosten'!E12)</totalsRowFormula>
    </tableColumn>
    <tableColumn id="6" name="5" totalsRowFunction="custom" dataDxfId="113" totalsRowDxfId="112">
      <totalsRowFormula>SUM('Tatsächliche Kosten'!$B12:'Tatsächliche Kosten'!F12)</totalsRowFormula>
    </tableColumn>
    <tableColumn id="7" name="6" totalsRowFunction="custom" dataDxfId="111" totalsRowDxfId="110">
      <totalsRowFormula>SUM('Tatsächliche Kosten'!$B12:'Tatsächliche Kosten'!G12)</totalsRowFormula>
    </tableColumn>
    <tableColumn id="8" name="7" totalsRowFunction="custom" dataDxfId="109" totalsRowDxfId="108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J50" totalsRowCount="1">
  <autoFilter ref="B42:J49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>
      <calculatedColumnFormula>B30</calculatedColumnFormula>
      <totalsRowFormula>EV[[#Totals],[Posten]]</totalsRowFormula>
    </tableColumn>
    <tableColumn id="9" name="0" totalsRowFunction="custom" totalsRowDxfId="107">
      <calculatedColumnFormula>C30-C17</calculatedColumnFormula>
      <totalsRowFormula>EV[[#Totals],[0]]-AC[[#Totals],[0]]</totalsRowFormula>
    </tableColumn>
    <tableColumn id="2" name="1" totalsRowFunction="custom" dataDxfId="106" totalsRowDxfId="105">
      <calculatedColumnFormula>D30-D17</calculatedColumnFormula>
      <totalsRowFormula>EV[[#Totals],[1]]-AC[[#Totals],[1]]</totalsRowFormula>
    </tableColumn>
    <tableColumn id="3" name="2" totalsRowFunction="custom" dataDxfId="104" totalsRowDxfId="103">
      <calculatedColumnFormula>E30-E17</calculatedColumnFormula>
      <totalsRowFormula>EV[[#Totals],[2]]-AC[[#Totals],[2]]</totalsRowFormula>
    </tableColumn>
    <tableColumn id="4" name="3" totalsRowFunction="custom" dataDxfId="102" totalsRowDxfId="101">
      <calculatedColumnFormula>F30-F17</calculatedColumnFormula>
      <totalsRowFormula>EV[[#Totals],[3]]-AC[[#Totals],[3]]</totalsRowFormula>
    </tableColumn>
    <tableColumn id="5" name="4" totalsRowFunction="custom" dataDxfId="100" totalsRowDxfId="99">
      <calculatedColumnFormula>G30-G17</calculatedColumnFormula>
      <totalsRowFormula>EV[[#Totals],[4]]-AC[[#Totals],[4]]</totalsRowFormula>
    </tableColumn>
    <tableColumn id="6" name="5" totalsRowFunction="custom" dataDxfId="98" totalsRowDxfId="97">
      <calculatedColumnFormula>H30-H17</calculatedColumnFormula>
      <totalsRowFormula>EV[[#Totals],[5]]-AC[[#Totals],[5]]</totalsRowFormula>
    </tableColumn>
    <tableColumn id="7" name="6" totalsRowFunction="custom" dataDxfId="96" totalsRowDxfId="95">
      <calculatedColumnFormula>I30-I17</calculatedColumnFormula>
      <totalsRowFormula>EV[[#Totals],[6]]-AC[[#Totals],[6]]</totalsRowFormula>
    </tableColumn>
    <tableColumn id="8" name="7" totalsRowFunction="custom" dataDxfId="94" totalsRowDxfId="93">
      <calculatedColumnFormula>J30-J17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J63" totalsRowCount="1">
  <autoFilter ref="B55:J62"/>
  <tableColumns count="9">
    <tableColumn id="1" name="Posten" totalsRowFunction="custom">
      <calculatedColumnFormula>B43</calculatedColumnFormula>
      <totalsRowFormula>CV[[#Totals],[Posten]]</totalsRowFormula>
    </tableColumn>
    <tableColumn id="9" name="0" totalsRowFunction="custom" totalsRowDxfId="92">
      <calculatedColumnFormula>C30-C4</calculatedColumnFormula>
      <totalsRowFormula>SUM(SV[0])</totalsRowFormula>
    </tableColumn>
    <tableColumn id="2" name="1" totalsRowFunction="custom" dataDxfId="91" totalsRowDxfId="90">
      <calculatedColumnFormula>D30-D4</calculatedColumnFormula>
      <totalsRowFormula>SUM(SV[1])</totalsRowFormula>
    </tableColumn>
    <tableColumn id="3" name="2" totalsRowFunction="custom" dataDxfId="89" totalsRowDxfId="88">
      <calculatedColumnFormula>E30-E4</calculatedColumnFormula>
      <totalsRowFormula>SUM(SV[2])</totalsRowFormula>
    </tableColumn>
    <tableColumn id="4" name="3" totalsRowFunction="custom" dataDxfId="87" totalsRowDxfId="86">
      <calculatedColumnFormula>F30-F4</calculatedColumnFormula>
      <totalsRowFormula>SUM(SV[3])</totalsRowFormula>
    </tableColumn>
    <tableColumn id="5" name="4" totalsRowFunction="custom" dataDxfId="85" totalsRowDxfId="84">
      <calculatedColumnFormula>G30-G4</calculatedColumnFormula>
      <totalsRowFormula>SUM(SV[4])</totalsRowFormula>
    </tableColumn>
    <tableColumn id="6" name="5" totalsRowFunction="custom" dataDxfId="83" totalsRowDxfId="82">
      <calculatedColumnFormula>H30-H4</calculatedColumnFormula>
      <totalsRowFormula>SUM(SV[5])</totalsRowFormula>
    </tableColumn>
    <tableColumn id="7" name="6" totalsRowFunction="custom" dataDxfId="81" totalsRowDxfId="80">
      <calculatedColumnFormula>I30-I4</calculatedColumnFormula>
      <totalsRowFormula>SUM(SV[6])</totalsRowFormula>
    </tableColumn>
    <tableColumn id="8" name="7" totalsRowFunction="custom" dataDxfId="79" totalsRowDxfId="78">
      <calculatedColumnFormula>J30-J4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J76" totalsRowCount="1">
  <autoFilter ref="B68:J75"/>
  <tableColumns count="9">
    <tableColumn id="1" name="Posten" totalsRowFunction="custom">
      <calculatedColumnFormula>B56</calculatedColumnFormula>
      <totalsRowFormula>SV[[#Totals],[Posten]]</totalsRowFormula>
    </tableColumn>
    <tableColumn id="9" name="0" totalsRowFunction="custom" totalsRowDxfId="77">
      <totalsRowFormula>1</totalsRowFormula>
    </tableColumn>
    <tableColumn id="2" name="1" totalsRowFunction="custom" dataDxfId="76" totalsRowDxfId="75">
      <calculatedColumnFormula>IF(D17=0,$M$83,D30/D17)</calculatedColumnFormula>
      <totalsRowFormula>EV[[#Totals],[1]]/AC[[#Totals],[1]]</totalsRowFormula>
    </tableColumn>
    <tableColumn id="3" name="2" totalsRowFunction="custom" dataDxfId="74" totalsRowDxfId="73">
      <calculatedColumnFormula>IF(E17=0,$M$83,E30/E17)</calculatedColumnFormula>
      <totalsRowFormula>EV[[#Totals],[2]]/AC[[#Totals],[2]]</totalsRowFormula>
    </tableColumn>
    <tableColumn id="4" name="3" totalsRowFunction="custom" dataDxfId="72" totalsRowDxfId="71">
      <calculatedColumnFormula>IF(F17=0,$M$83,F30/F17)</calculatedColumnFormula>
      <totalsRowFormula>EV[[#Totals],[3]]/AC[[#Totals],[3]]</totalsRowFormula>
    </tableColumn>
    <tableColumn id="5" name="4" totalsRowFunction="custom" dataDxfId="70" totalsRowDxfId="69">
      <calculatedColumnFormula>IF(G17=0,$M$83,G30/G17)</calculatedColumnFormula>
      <totalsRowFormula>EV[[#Totals],[4]]/AC[[#Totals],[4]]</totalsRowFormula>
    </tableColumn>
    <tableColumn id="6" name="5" totalsRowFunction="custom" dataDxfId="68" totalsRowDxfId="67">
      <calculatedColumnFormula>IF(H17=0,$M$83,H30/H17)</calculatedColumnFormula>
      <totalsRowFormula>EV[[#Totals],[5]]/AC[[#Totals],[5]]</totalsRowFormula>
    </tableColumn>
    <tableColumn id="7" name="6" totalsRowFunction="custom" dataDxfId="66" totalsRowDxfId="65">
      <calculatedColumnFormula>IF(I17=0,$M$83,I30/I17)</calculatedColumnFormula>
      <totalsRowFormula>EV[[#Totals],[6]]/AC[[#Totals],[6]]</totalsRowFormula>
    </tableColumn>
    <tableColumn id="8" name="7" totalsRowFunction="custom" dataDxfId="64" totalsRowDxfId="63">
      <calculatedColumnFormula>IF(J17=0,"-",J30/J17)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J89" totalsRowCount="1">
  <autoFilter ref="B81:J88"/>
  <tableColumns count="9">
    <tableColumn id="1" name="Posten" totalsRowFunction="custom">
      <calculatedColumnFormula>B69</calculatedColumnFormula>
      <totalsRowFormula>CPI[[#Totals],[Posten]]</totalsRowFormula>
    </tableColumn>
    <tableColumn id="9" name="0" totalsRowFunction="custom" totalsRowDxfId="62">
      <totalsRowFormula>1</totalsRowFormula>
    </tableColumn>
    <tableColumn id="2" name="1" totalsRowFunction="custom" dataDxfId="61" totalsRowDxfId="60">
      <calculatedColumnFormula>IF(D4=0,$M$83,D30/D4)</calculatedColumnFormula>
      <totalsRowFormula>EV[[#Totals],[1]]/PV[[#Totals],[1]]</totalsRowFormula>
    </tableColumn>
    <tableColumn id="3" name="2" totalsRowFunction="custom" dataDxfId="59" totalsRowDxfId="58">
      <calculatedColumnFormula>IF(E4=0,$M$83,E30/E4)</calculatedColumnFormula>
      <totalsRowFormula>EV[[#Totals],[2]]/PV[[#Totals],[2]]</totalsRowFormula>
    </tableColumn>
    <tableColumn id="4" name="3" totalsRowFunction="custom" dataDxfId="57" totalsRowDxfId="56">
      <calculatedColumnFormula>IF(F4=0,$M$83,F30/F4)</calculatedColumnFormula>
      <totalsRowFormula>EV[[#Totals],[3]]/PV[[#Totals],[3]]</totalsRowFormula>
    </tableColumn>
    <tableColumn id="5" name="4" totalsRowFunction="custom" dataDxfId="55" totalsRowDxfId="54">
      <calculatedColumnFormula>IF(G4=0,$M$83,G30/G4)</calculatedColumnFormula>
      <totalsRowFormula>EV[[#Totals],[4]]/PV[[#Totals],[4]]</totalsRowFormula>
    </tableColumn>
    <tableColumn id="6" name="5" totalsRowFunction="custom" dataDxfId="53" totalsRowDxfId="52">
      <calculatedColumnFormula>IF(H4=0,$M$83,H30/H4)</calculatedColumnFormula>
      <totalsRowFormula>EV[[#Totals],[5]]/PV[[#Totals],[5]]</totalsRowFormula>
    </tableColumn>
    <tableColumn id="7" name="6" totalsRowFunction="custom" dataDxfId="51" totalsRowDxfId="50">
      <calculatedColumnFormula>IF(I4=0,$M$83,I30/I4)</calculatedColumnFormula>
      <totalsRowFormula>EV[[#Totals],[6]]/PV[[#Totals],[6]]</totalsRowFormula>
    </tableColumn>
    <tableColumn id="8" name="7" totalsRowFunction="custom" dataDxfId="49" totalsRowDxfId="48">
      <calculatedColumnFormula>IF(J4=0,"-",J30/J4)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O68:V69" totalsRowShown="0">
  <autoFilter ref="O68:V69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J104" totalsRowCount="1">
  <autoFilter ref="B96:J103"/>
  <tableColumns count="9">
    <tableColumn id="1" name="Posten" totalsRowFunction="custom" dataDxfId="47">
      <calculatedColumnFormula>B82</calculatedColumnFormula>
      <totalsRowFormula>SPI[[#Totals],[Posten]]</totalsRowFormula>
    </tableColumn>
    <tableColumn id="9" name="0 [k €]" totalsRowFunction="custom" dataDxfId="46">
      <calculatedColumnFormula>'Budgetierte Kosten'!P2/1000</calculatedColumnFormula>
      <totalsRowFormula>'Budgetierte Kosten'!P11/1000</totalsRowFormula>
    </tableColumn>
    <tableColumn id="2" name="1 [k €]" totalsRowFunction="custom" dataDxfId="45" totalsRowDxfId="44">
      <calculatedColumnFormula>IF(D69=$M$70,$M$70,('Budgetierte Kosten'!$P2-D30)/(D69*1000))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IF(E69=$M$70,$M$70,($E$92-E30)/(E69*1000))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IF(F69=$M$70,$M$70,($E$92-F30)/(F69*1000))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IF(G69=$M$70,$M$70,($E$92-G30)/(G69*1000))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IF(H69=$M$70,$M$70,($E$92-H30)/(H69*1000))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IF(I69=$M$70,$M$70,($E$92-I30)/(I69*1000))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IF(J69=$M$70,$M$70,($E$92-J30)/(J69*1000))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abSelected="1" topLeftCell="A70" zoomScale="85" zoomScaleNormal="85" workbookViewId="0">
      <selection activeCell="N105" sqref="N105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25" ht="23.25" x14ac:dyDescent="0.35">
      <c r="A1" s="27" t="s">
        <v>80</v>
      </c>
    </row>
    <row r="3" spans="1:25" x14ac:dyDescent="0.2">
      <c r="B3" t="s">
        <v>16</v>
      </c>
      <c r="C3" t="s">
        <v>89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s="2" t="s">
        <v>18</v>
      </c>
      <c r="M3" s="2" t="s">
        <v>29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</row>
    <row r="4" spans="1:25" x14ac:dyDescent="0.2">
      <c r="B4" t="str">
        <f>'Budgetierte Kosten'!A2</f>
        <v>Anforderungsanalyse</v>
      </c>
      <c r="C4">
        <v>0</v>
      </c>
      <c r="D4" s="28">
        <f>SUM('Budgetierte Kosten'!$B2:'Budgetierte Kosten'!B2)*'Budgetierte Kosten'!$B$14</f>
        <v>48000</v>
      </c>
      <c r="E4" s="28">
        <f>SUM('Budgetierte Kosten'!$B2:'Budgetierte Kosten'!C2)*'Budgetierte Kosten'!$B$14</f>
        <v>96000</v>
      </c>
      <c r="F4" s="28">
        <f>SUM('Budgetierte Kosten'!$B2:'Budgetierte Kosten'!D2)*'Budgetierte Kosten'!$B$14</f>
        <v>144000</v>
      </c>
      <c r="G4" s="28">
        <f>SUM('Budgetierte Kosten'!$B2:'Budgetierte Kosten'!E2)*'Budgetierte Kosten'!$B$14</f>
        <v>144000</v>
      </c>
      <c r="H4" s="28">
        <f>SUM('Budgetierte Kosten'!$B2:'Budgetierte Kosten'!F2)*'Budgetierte Kosten'!$B$14</f>
        <v>144000</v>
      </c>
      <c r="I4" s="28">
        <f>SUM('Budgetierte Kosten'!$B2:'Budgetierte Kosten'!G2)*'Budgetierte Kosten'!$B$14</f>
        <v>144000</v>
      </c>
      <c r="J4" s="28">
        <f>SUM('Budgetierte Kosten'!$B2:'Budgetierte Kosten'!H2)*'Budgetierte Kosten'!$B$14</f>
        <v>144000</v>
      </c>
    </row>
    <row r="5" spans="1:25" x14ac:dyDescent="0.2">
      <c r="B5" t="str">
        <f>'Budgetierte Kosten'!A3</f>
        <v>Design und Architektur</v>
      </c>
      <c r="C5">
        <v>0</v>
      </c>
      <c r="D5" s="28">
        <f>SUM('Budgetierte Kosten'!$B3:'Budgetierte Kosten'!B3)*'Budgetierte Kosten'!$B$14</f>
        <v>0</v>
      </c>
      <c r="E5" s="28">
        <f>SUM('Budgetierte Kosten'!$B3:'Budgetierte Kosten'!C3)*'Budgetierte Kosten'!$B$14</f>
        <v>0</v>
      </c>
      <c r="F5" s="28">
        <f>SUM('Budgetierte Kosten'!$B3:'Budgetierte Kosten'!D3)*'Budgetierte Kosten'!$B$14</f>
        <v>20000</v>
      </c>
      <c r="G5" s="28">
        <f>SUM('Budgetierte Kosten'!$B3:'Budgetierte Kosten'!E3)*'Budgetierte Kosten'!$B$14</f>
        <v>52000</v>
      </c>
      <c r="H5" s="28">
        <f>SUM('Budgetierte Kosten'!$B3:'Budgetierte Kosten'!F3)*'Budgetierte Kosten'!$B$14</f>
        <v>96000</v>
      </c>
      <c r="I5" s="28">
        <f>SUM('Budgetierte Kosten'!$B3:'Budgetierte Kosten'!G3)*'Budgetierte Kosten'!$B$14</f>
        <v>152000</v>
      </c>
      <c r="J5" s="28">
        <f>SUM('Budgetierte Kosten'!$B3:'Budgetierte Kosten'!H3)*'Budgetierte Kosten'!$B$14</f>
        <v>172000</v>
      </c>
    </row>
    <row r="6" spans="1:25" x14ac:dyDescent="0.2">
      <c r="B6" t="str">
        <f>'Budgetierte Kosten'!A4</f>
        <v>Implementierung</v>
      </c>
      <c r="C6">
        <v>0</v>
      </c>
      <c r="D6" s="28">
        <f>SUM('Budgetierte Kosten'!$B4:'Budgetierte Kosten'!B4)*'Budgetierte Kosten'!$B$14</f>
        <v>0</v>
      </c>
      <c r="E6" s="28">
        <f>SUM('Budgetierte Kosten'!$B4:'Budgetierte Kosten'!C4)*'Budgetierte Kosten'!$B$14</f>
        <v>0</v>
      </c>
      <c r="F6" s="28">
        <f>SUM('Budgetierte Kosten'!$B4:'Budgetierte Kosten'!D4)*'Budgetierte Kosten'!$B$14</f>
        <v>0</v>
      </c>
      <c r="G6" s="28">
        <f>SUM('Budgetierte Kosten'!$B4:'Budgetierte Kosten'!E4)*'Budgetierte Kosten'!$B$14</f>
        <v>24000</v>
      </c>
      <c r="H6" s="28">
        <f>SUM('Budgetierte Kosten'!$B4:'Budgetierte Kosten'!F4)*'Budgetierte Kosten'!$B$14</f>
        <v>64000</v>
      </c>
      <c r="I6" s="28">
        <f>SUM('Budgetierte Kosten'!$B4:'Budgetierte Kosten'!G4)*'Budgetierte Kosten'!$B$14</f>
        <v>112000</v>
      </c>
      <c r="J6" s="28">
        <f>SUM('Budgetierte Kosten'!$B4:'Budgetierte Kosten'!H4)*'Budgetierte Kosten'!$B$14</f>
        <v>160000</v>
      </c>
    </row>
    <row r="7" spans="1:25" x14ac:dyDescent="0.2">
      <c r="B7" t="str">
        <f>'Budgetierte Kosten'!A5</f>
        <v>Integration und Test</v>
      </c>
      <c r="C7">
        <v>0</v>
      </c>
      <c r="D7" s="28">
        <f>SUM('Budgetierte Kosten'!$B5:'Budgetierte Kosten'!B5)*'Budgetierte Kosten'!$B$14</f>
        <v>0</v>
      </c>
      <c r="E7" s="28">
        <f>SUM('Budgetierte Kosten'!$B5:'Budgetierte Kosten'!C5)*'Budgetierte Kosten'!$B$14</f>
        <v>0</v>
      </c>
      <c r="F7" s="28">
        <f>SUM('Budgetierte Kosten'!$B5:'Budgetierte Kosten'!D5)*'Budgetierte Kosten'!$B$14</f>
        <v>0</v>
      </c>
      <c r="G7" s="28">
        <f>SUM('Budgetierte Kosten'!$B5:'Budgetierte Kosten'!E5)*'Budgetierte Kosten'!$B$14</f>
        <v>0</v>
      </c>
      <c r="H7" s="28">
        <f>SUM('Budgetierte Kosten'!$B5:'Budgetierte Kosten'!F5)*'Budgetierte Kosten'!$B$14</f>
        <v>0</v>
      </c>
      <c r="I7" s="28">
        <f>SUM('Budgetierte Kosten'!$B5:'Budgetierte Kosten'!G5)*'Budgetierte Kosten'!$B$14</f>
        <v>0</v>
      </c>
      <c r="J7" s="28">
        <f>SUM('Budgetierte Kosten'!$B5:'Budgetierte Kosten'!H5)*'Budgetierte Kosten'!$B$14</f>
        <v>16000</v>
      </c>
    </row>
    <row r="8" spans="1:25" x14ac:dyDescent="0.2">
      <c r="B8" t="str">
        <f>'Budgetierte Kosten'!A6</f>
        <v>Projektmanagement</v>
      </c>
      <c r="C8">
        <v>0</v>
      </c>
      <c r="D8" s="28">
        <f>SUM('Budgetierte Kosten'!$B6:'Budgetierte Kosten'!B6)*'Budgetierte Kosten'!$B$14</f>
        <v>22000</v>
      </c>
      <c r="E8" s="28">
        <f>SUM('Budgetierte Kosten'!$B6:'Budgetierte Kosten'!C6)*'Budgetierte Kosten'!$B$14</f>
        <v>44000</v>
      </c>
      <c r="F8" s="28">
        <f>SUM('Budgetierte Kosten'!$B6:'Budgetierte Kosten'!D6)*'Budgetierte Kosten'!$B$14</f>
        <v>66000</v>
      </c>
      <c r="G8" s="28">
        <f>SUM('Budgetierte Kosten'!$B6:'Budgetierte Kosten'!E6)*'Budgetierte Kosten'!$B$14</f>
        <v>88000</v>
      </c>
      <c r="H8" s="28">
        <f>SUM('Budgetierte Kosten'!$B6:'Budgetierte Kosten'!F6)*'Budgetierte Kosten'!$B$14</f>
        <v>110000</v>
      </c>
      <c r="I8" s="28">
        <f>SUM('Budgetierte Kosten'!$B6:'Budgetierte Kosten'!G6)*'Budgetierte Kosten'!$B$14</f>
        <v>132000</v>
      </c>
      <c r="J8" s="28">
        <f>SUM('Budgetierte Kosten'!$B6:'Budgetierte Kosten'!H6)*'Budgetierte Kosten'!$B$14</f>
        <v>154000</v>
      </c>
    </row>
    <row r="9" spans="1:25" x14ac:dyDescent="0.2">
      <c r="B9" t="str">
        <f>'Budgetierte Kosten'!A7</f>
        <v>Puffer für unerwartetes</v>
      </c>
      <c r="C9">
        <v>0</v>
      </c>
      <c r="D9" s="28">
        <f>SUM('Budgetierte Kosten'!$B7:'Budgetierte Kosten'!B7)*'Budgetierte Kosten'!$B$14</f>
        <v>8000</v>
      </c>
      <c r="E9" s="28">
        <f>SUM('Budgetierte Kosten'!$B7:'Budgetierte Kosten'!C7)*'Budgetierte Kosten'!$B$14</f>
        <v>16000</v>
      </c>
      <c r="F9" s="28">
        <f>SUM('Budgetierte Kosten'!$B7:'Budgetierte Kosten'!D7)*'Budgetierte Kosten'!$B$14</f>
        <v>24000</v>
      </c>
      <c r="G9" s="28">
        <f>SUM('Budgetierte Kosten'!$B7:'Budgetierte Kosten'!E7)*'Budgetierte Kosten'!$B$14</f>
        <v>32000</v>
      </c>
      <c r="H9" s="28">
        <f>SUM('Budgetierte Kosten'!$B7:'Budgetierte Kosten'!F7)*'Budgetierte Kosten'!$B$14</f>
        <v>40000</v>
      </c>
      <c r="I9" s="28">
        <f>SUM('Budgetierte Kosten'!$B7:'Budgetierte Kosten'!G7)*'Budgetierte Kosten'!$B$14</f>
        <v>48000</v>
      </c>
      <c r="J9" s="28">
        <f>SUM('Budgetierte Kosten'!$B7:'Budgetierte Kosten'!H7)*'Budgetierte Kosten'!$B$14</f>
        <v>56000</v>
      </c>
    </row>
    <row r="10" spans="1:25" x14ac:dyDescent="0.2">
      <c r="B10" t="s">
        <v>26</v>
      </c>
      <c r="C10">
        <v>0</v>
      </c>
      <c r="D10" s="28">
        <f>SUM('Budgetierte Kosten'!$B11:'Budgetierte Kosten'!B11)</f>
        <v>2000</v>
      </c>
      <c r="E10" s="28">
        <f>SUM('Budgetierte Kosten'!$B11:'Budgetierte Kosten'!C11)</f>
        <v>4000</v>
      </c>
      <c r="F10" s="28">
        <f>SUM('Budgetierte Kosten'!$B11:'Budgetierte Kosten'!D11)</f>
        <v>7000</v>
      </c>
      <c r="G10" s="28">
        <f>SUM('Budgetierte Kosten'!$B11:'Budgetierte Kosten'!E11)</f>
        <v>10000</v>
      </c>
      <c r="H10" s="28">
        <f>SUM('Budgetierte Kosten'!$B11:'Budgetierte Kosten'!F11)</f>
        <v>13000</v>
      </c>
      <c r="I10" s="28">
        <f>SUM('Budgetierte Kosten'!$B11:'Budgetierte Kosten'!G11)</f>
        <v>16000</v>
      </c>
      <c r="J10" s="28">
        <f>SUM('Budgetierte Kosten'!$B11:'Budgetierte Kosten'!H11)</f>
        <v>21000</v>
      </c>
      <c r="L10" s="2" t="s">
        <v>18</v>
      </c>
      <c r="M10" s="2" t="s">
        <v>28</v>
      </c>
    </row>
    <row r="11" spans="1:25" x14ac:dyDescent="0.2">
      <c r="B11" t="s">
        <v>79</v>
      </c>
      <c r="C11" t="s">
        <v>89</v>
      </c>
      <c r="D11" s="28">
        <f>SUM('Budgetierte Kosten'!$B12:'Budgetierte Kosten'!B12)</f>
        <v>80000</v>
      </c>
      <c r="E11" s="28">
        <f>SUM('Budgetierte Kosten'!$B12:'Budgetierte Kosten'!C12)</f>
        <v>160000</v>
      </c>
      <c r="F11" s="28">
        <f>SUM('Budgetierte Kosten'!$B12:'Budgetierte Kosten'!D12)</f>
        <v>261000</v>
      </c>
      <c r="G11" s="28">
        <f>SUM('Budgetierte Kosten'!$B12:'Budgetierte Kosten'!E12)</f>
        <v>350000</v>
      </c>
      <c r="H11" s="28">
        <f>SUM('Budgetierte Kosten'!$B12:'Budgetierte Kosten'!F12)</f>
        <v>467000</v>
      </c>
      <c r="I11" s="28">
        <f>SUM('Budgetierte Kosten'!$B12:'Budgetierte Kosten'!G12)</f>
        <v>604000</v>
      </c>
      <c r="J11" s="28">
        <f>SUM('Budgetierte Kosten'!$B12:'Budgetierte Kosten'!H12)</f>
        <v>723000</v>
      </c>
    </row>
    <row r="12" spans="1:25" x14ac:dyDescent="0.2">
      <c r="C12" s="28"/>
      <c r="D12" s="28"/>
      <c r="E12" s="28"/>
      <c r="F12" s="28"/>
      <c r="G12" s="28"/>
      <c r="H12" s="28"/>
      <c r="I12" s="28"/>
    </row>
    <row r="13" spans="1:25" x14ac:dyDescent="0.2">
      <c r="C13" s="28"/>
      <c r="D13" s="28"/>
      <c r="E13" s="28"/>
      <c r="F13" s="28"/>
      <c r="G13" s="28"/>
      <c r="H13" s="28"/>
      <c r="I13" s="28"/>
      <c r="L13" s="2" t="s">
        <v>88</v>
      </c>
      <c r="M13">
        <f>SUM(PV[7])</f>
        <v>723000</v>
      </c>
    </row>
    <row r="14" spans="1:25" ht="23.25" x14ac:dyDescent="0.35">
      <c r="A14" s="27" t="s">
        <v>39</v>
      </c>
    </row>
    <row r="16" spans="1:25" x14ac:dyDescent="0.2">
      <c r="B16" t="s">
        <v>16</v>
      </c>
      <c r="C16" t="s">
        <v>89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1:13" x14ac:dyDescent="0.2">
      <c r="B17" t="str">
        <f t="shared" ref="B17:B23" si="0">B4</f>
        <v>Anforderungsanalyse</v>
      </c>
      <c r="C17">
        <v>0</v>
      </c>
      <c r="D17" s="28">
        <f>SUM('Tatsächliche Kosten'!$B2:'Tatsächliche Kosten'!B2)*'Tatsächliche Kosten'!$B$15</f>
        <v>42500</v>
      </c>
      <c r="E17" s="28">
        <f>SUM('Tatsächliche Kosten'!$B2:'Tatsächliche Kosten'!C2)*'Tatsächliche Kosten'!$B$15</f>
        <v>85000</v>
      </c>
      <c r="F17" s="28">
        <f>SUM('Tatsächliche Kosten'!$B2:'Tatsächliche Kosten'!D2)*'Tatsächliche Kosten'!$B$15</f>
        <v>130900</v>
      </c>
      <c r="G17" s="28">
        <f>SUM('Tatsächliche Kosten'!$B2:'Tatsächliche Kosten'!E2)*'Tatsächliche Kosten'!$B$15</f>
        <v>135150</v>
      </c>
      <c r="H17" s="28">
        <f>SUM('Tatsächliche Kosten'!$B2:'Tatsächliche Kosten'!F2)*'Tatsächliche Kosten'!$B$15</f>
        <v>135150</v>
      </c>
      <c r="I17" s="28">
        <f>SUM('Tatsächliche Kosten'!$B2:'Tatsächliche Kosten'!G2)*'Tatsächliche Kosten'!$B$15</f>
        <v>135150</v>
      </c>
      <c r="J17" s="28">
        <f>SUM('Tatsächliche Kosten'!$B2:'Tatsächliche Kosten'!H2)*'Tatsächliche Kosten'!$B$15</f>
        <v>135150</v>
      </c>
      <c r="L17" s="2" t="s">
        <v>18</v>
      </c>
      <c r="M17" s="2" t="s">
        <v>30</v>
      </c>
    </row>
    <row r="18" spans="1:13" x14ac:dyDescent="0.2">
      <c r="B18" t="str">
        <f t="shared" si="0"/>
        <v>Design und Architektur</v>
      </c>
      <c r="C18">
        <v>0</v>
      </c>
      <c r="D18" s="28">
        <f>SUM('Tatsächliche Kosten'!$B3:'Tatsächliche Kosten'!B3)*'Tatsächliche Kosten'!$B$15</f>
        <v>0</v>
      </c>
      <c r="E18" s="28">
        <f>SUM('Tatsächliche Kosten'!$B3:'Tatsächliche Kosten'!C3)*'Tatsächliche Kosten'!$B$15</f>
        <v>0</v>
      </c>
      <c r="F18" s="28">
        <f>SUM('Tatsächliche Kosten'!$B3:'Tatsächliche Kosten'!D3)*'Tatsächliche Kosten'!$B$15</f>
        <v>0</v>
      </c>
      <c r="G18" s="28">
        <f>SUM('Tatsächliche Kosten'!$B3:'Tatsächliche Kosten'!E3)*'Tatsächliche Kosten'!$B$15</f>
        <v>42500</v>
      </c>
      <c r="H18" s="28">
        <f>SUM('Tatsächliche Kosten'!$B3:'Tatsächliche Kosten'!F3)*'Tatsächliche Kosten'!$B$15</f>
        <v>59500</v>
      </c>
      <c r="I18" s="28">
        <f>SUM('Tatsächliche Kosten'!$B3:'Tatsächliche Kosten'!G3)*'Tatsächliche Kosten'!$B$15</f>
        <v>79050</v>
      </c>
      <c r="J18" s="28">
        <f>SUM('Tatsächliche Kosten'!$B3:'Tatsächliche Kosten'!H3)*'Tatsächliche Kosten'!$B$15</f>
        <v>87550</v>
      </c>
    </row>
    <row r="19" spans="1:13" x14ac:dyDescent="0.2">
      <c r="B19" t="str">
        <f t="shared" si="0"/>
        <v>Implementierung</v>
      </c>
      <c r="C19">
        <v>0</v>
      </c>
      <c r="D19" s="28">
        <f>SUM('Tatsächliche Kosten'!$B4:'Tatsächliche Kosten'!B4)*'Tatsächliche Kosten'!$B$15</f>
        <v>0</v>
      </c>
      <c r="E19" s="28">
        <f>SUM('Tatsächliche Kosten'!$B4:'Tatsächliche Kosten'!C4)*'Tatsächliche Kosten'!$B$15</f>
        <v>0</v>
      </c>
      <c r="F19" s="28">
        <f>SUM('Tatsächliche Kosten'!$B4:'Tatsächliche Kosten'!D4)*'Tatsächliche Kosten'!$B$15</f>
        <v>0</v>
      </c>
      <c r="G19" s="28">
        <f>SUM('Tatsächliche Kosten'!$B4:'Tatsächliche Kosten'!E4)*'Tatsächliche Kosten'!$B$15</f>
        <v>0</v>
      </c>
      <c r="H19" s="28">
        <f>SUM('Tatsächliche Kosten'!$B4:'Tatsächliche Kosten'!F4)*'Tatsächliche Kosten'!$B$15</f>
        <v>0</v>
      </c>
      <c r="I19" s="28">
        <f>SUM('Tatsächliche Kosten'!$B4:'Tatsächliche Kosten'!G4)*'Tatsächliche Kosten'!$B$15</f>
        <v>21250</v>
      </c>
      <c r="J19" s="28">
        <f>SUM('Tatsächliche Kosten'!$B4:'Tatsächliche Kosten'!H4)*'Tatsächliche Kosten'!$B$15</f>
        <v>42500</v>
      </c>
    </row>
    <row r="20" spans="1:13" x14ac:dyDescent="0.2">
      <c r="B20" t="str">
        <f t="shared" si="0"/>
        <v>Integration und Test</v>
      </c>
      <c r="C20">
        <v>0</v>
      </c>
      <c r="D20" s="28">
        <f>SUM('Tatsächliche Kosten'!$B5:'Tatsächliche Kosten'!B5)*'Tatsächliche Kosten'!$B$15</f>
        <v>0</v>
      </c>
      <c r="E20" s="28">
        <f>SUM('Tatsächliche Kosten'!$B5:'Tatsächliche Kosten'!C5)*'Tatsächliche Kosten'!$B$15</f>
        <v>0</v>
      </c>
      <c r="F20" s="28">
        <f>SUM('Tatsächliche Kosten'!$B5:'Tatsächliche Kosten'!D5)*'Tatsächliche Kosten'!$B$15</f>
        <v>0</v>
      </c>
      <c r="G20" s="28">
        <f>SUM('Tatsächliche Kosten'!$B5:'Tatsächliche Kosten'!E5)*'Tatsächliche Kosten'!$B$15</f>
        <v>0</v>
      </c>
      <c r="H20" s="28">
        <f>SUM('Tatsächliche Kosten'!$B5:'Tatsächliche Kosten'!F5)*'Tatsächliche Kosten'!$B$15</f>
        <v>0</v>
      </c>
      <c r="I20" s="28">
        <f>SUM('Tatsächliche Kosten'!$B5:'Tatsächliche Kosten'!G5)*'Tatsächliche Kosten'!$B$15</f>
        <v>0</v>
      </c>
      <c r="J20" s="28">
        <f>SUM('Tatsächliche Kosten'!$B5:'Tatsächliche Kosten'!H5)*'Tatsächliche Kosten'!$B$15</f>
        <v>29750</v>
      </c>
    </row>
    <row r="21" spans="1:13" x14ac:dyDescent="0.2">
      <c r="B21" t="str">
        <f t="shared" si="0"/>
        <v>Projektmanagement</v>
      </c>
      <c r="C21">
        <v>0</v>
      </c>
      <c r="D21" s="28">
        <f>SUM('Tatsächliche Kosten'!$B6:'Tatsächliche Kosten'!B6)*'Tatsächliche Kosten'!$B$15</f>
        <v>25500</v>
      </c>
      <c r="E21" s="28">
        <f>SUM('Tatsächliche Kosten'!$B6:'Tatsächliche Kosten'!C6)*'Tatsächliche Kosten'!$B$15</f>
        <v>93500</v>
      </c>
      <c r="F21" s="28">
        <f>SUM('Tatsächliche Kosten'!$B6:'Tatsächliche Kosten'!D6)*'Tatsächliche Kosten'!$B$15</f>
        <v>127500</v>
      </c>
      <c r="G21" s="28">
        <f>SUM('Tatsächliche Kosten'!$B6:'Tatsächliche Kosten'!E6)*'Tatsächliche Kosten'!$B$15</f>
        <v>153000</v>
      </c>
      <c r="H21" s="28">
        <f>SUM('Tatsächliche Kosten'!$B6:'Tatsächliche Kosten'!F6)*'Tatsächliche Kosten'!$B$15</f>
        <v>170000</v>
      </c>
      <c r="I21" s="28">
        <f>SUM('Tatsächliche Kosten'!$B6:'Tatsächliche Kosten'!G6)*'Tatsächliche Kosten'!$B$15</f>
        <v>187000</v>
      </c>
      <c r="J21" s="28">
        <f>SUM('Tatsächliche Kosten'!$B6:'Tatsächliche Kosten'!H6)*'Tatsächliche Kosten'!$B$15</f>
        <v>204000</v>
      </c>
    </row>
    <row r="22" spans="1:13" x14ac:dyDescent="0.2">
      <c r="B22" t="str">
        <f t="shared" si="0"/>
        <v>Puffer für unerwartetes</v>
      </c>
      <c r="C22">
        <v>0</v>
      </c>
      <c r="D22" s="28">
        <f>SUM('Tatsächliche Kosten'!$B7:'Tatsächliche Kosten'!B7)*'Tatsächliche Kosten'!$B$15</f>
        <v>13600</v>
      </c>
      <c r="E22" s="28">
        <f>SUM('Tatsächliche Kosten'!$B7:'Tatsächliche Kosten'!C7)*'Tatsächliche Kosten'!$B$15</f>
        <v>166600</v>
      </c>
      <c r="F22" s="28">
        <f>SUM('Tatsächliche Kosten'!$B7:'Tatsächliche Kosten'!D7)*'Tatsächliche Kosten'!$B$15</f>
        <v>302600</v>
      </c>
      <c r="G22" s="28">
        <f>SUM('Tatsächliche Kosten'!$B7:'Tatsächliche Kosten'!E7)*'Tatsächliche Kosten'!$B$15</f>
        <v>340850</v>
      </c>
      <c r="H22" s="28">
        <f>SUM('Tatsächliche Kosten'!$B7:'Tatsächliche Kosten'!F7)*'Tatsächliche Kosten'!$B$15</f>
        <v>345100</v>
      </c>
      <c r="I22" s="28">
        <f>SUM('Tatsächliche Kosten'!$B7:'Tatsächliche Kosten'!G7)*'Tatsächliche Kosten'!$B$15</f>
        <v>349350</v>
      </c>
      <c r="J22" s="28">
        <f>SUM('Tatsächliche Kosten'!$B7:'Tatsächliche Kosten'!H7)*'Tatsächliche Kosten'!$B$15</f>
        <v>353600</v>
      </c>
    </row>
    <row r="23" spans="1:13" x14ac:dyDescent="0.2">
      <c r="B23" t="str">
        <f t="shared" si="0"/>
        <v>Materialkosten</v>
      </c>
      <c r="C23">
        <v>0</v>
      </c>
      <c r="D23" s="28">
        <f>SUM('Tatsächliche Kosten'!$B11:'Tatsächliche Kosten'!B11)</f>
        <v>2000</v>
      </c>
      <c r="E23" s="28">
        <f>SUM('Tatsächliche Kosten'!$B11:'Tatsächliche Kosten'!C11)</f>
        <v>3500</v>
      </c>
      <c r="F23" s="28">
        <f>SUM('Tatsächliche Kosten'!$B11:'Tatsächliche Kosten'!D11)</f>
        <v>4900</v>
      </c>
      <c r="G23" s="28">
        <f>SUM('Tatsächliche Kosten'!$B11:'Tatsächliche Kosten'!E11)</f>
        <v>6400</v>
      </c>
      <c r="H23" s="28">
        <f>SUM('Tatsächliche Kosten'!$B11:'Tatsächliche Kosten'!F11)</f>
        <v>7400</v>
      </c>
      <c r="I23" s="28">
        <f>SUM('Tatsächliche Kosten'!$B11:'Tatsächliche Kosten'!G11)</f>
        <v>15000</v>
      </c>
      <c r="J23" s="28">
        <f>SUM('Tatsächliche Kosten'!$B11:'Tatsächliche Kosten'!H11)</f>
        <v>16200</v>
      </c>
    </row>
    <row r="24" spans="1:13" x14ac:dyDescent="0.2">
      <c r="B24" t="str">
        <f>PV[[#Totals],[Posten]]</f>
        <v>Gesamt</v>
      </c>
      <c r="C24" t="s">
        <v>89</v>
      </c>
      <c r="D24" s="28">
        <f>SUM('Tatsächliche Kosten'!$B12:'Tatsächliche Kosten'!B12)</f>
        <v>83600</v>
      </c>
      <c r="E24" s="28">
        <f>SUM('Tatsächliche Kosten'!$B12:'Tatsächliche Kosten'!C12)</f>
        <v>348600</v>
      </c>
      <c r="F24" s="28">
        <f>SUM('Tatsächliche Kosten'!$B12:'Tatsächliche Kosten'!D12)</f>
        <v>565900</v>
      </c>
      <c r="G24" s="28">
        <f>SUM('Tatsächliche Kosten'!$B12:'Tatsächliche Kosten'!E12)</f>
        <v>677900</v>
      </c>
      <c r="H24" s="28">
        <f>SUM('Tatsächliche Kosten'!$B12:'Tatsächliche Kosten'!F12)</f>
        <v>717150</v>
      </c>
      <c r="I24" s="28">
        <f>SUM('Tatsächliche Kosten'!$B12:'Tatsächliche Kosten'!G12)</f>
        <v>786800</v>
      </c>
      <c r="J24" s="28">
        <f>SUM('Tatsächliche Kosten'!$B12:'Tatsächliche Kosten'!H12)</f>
        <v>868750</v>
      </c>
      <c r="L24" s="2" t="s">
        <v>88</v>
      </c>
      <c r="M24">
        <f>SUM(AC[1])</f>
        <v>83600</v>
      </c>
    </row>
    <row r="25" spans="1:13" x14ac:dyDescent="0.2">
      <c r="L25" s="2" t="s">
        <v>88</v>
      </c>
      <c r="M25">
        <f>SUM(AC[7])</f>
        <v>868750</v>
      </c>
    </row>
    <row r="27" spans="1:13" ht="23.25" x14ac:dyDescent="0.35">
      <c r="A27" s="27" t="s">
        <v>17</v>
      </c>
    </row>
    <row r="29" spans="1:13" x14ac:dyDescent="0.2">
      <c r="B29" t="s">
        <v>16</v>
      </c>
      <c r="C29" t="s">
        <v>89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3" x14ac:dyDescent="0.2">
      <c r="B30" t="str">
        <f t="shared" ref="B30:B36" si="1">B17</f>
        <v>Anforderungsanalyse</v>
      </c>
      <c r="C30">
        <v>0</v>
      </c>
      <c r="D30" s="28">
        <f>'Budgetierte Kosten'!$P2*'Fertigstellungsgrad der Akt.'!B2</f>
        <v>50400</v>
      </c>
      <c r="E30" s="28">
        <f>'Budgetierte Kosten'!$P2*'Fertigstellungsgrad der Akt.'!C2</f>
        <v>7200</v>
      </c>
      <c r="F30" s="28">
        <f>'Budgetierte Kosten'!$P2*'Fertigstellungsgrad der Akt.'!D2</f>
        <v>14400</v>
      </c>
      <c r="G30" s="28">
        <f>'Budgetierte Kosten'!$P2*'Fertigstellungsgrad der Akt.'!E2</f>
        <v>43200</v>
      </c>
      <c r="H30" s="28">
        <f>'Budgetierte Kosten'!$P2*'Fertigstellungsgrad der Akt.'!F2</f>
        <v>72000</v>
      </c>
      <c r="I30" s="28">
        <f>'Budgetierte Kosten'!$P2*'Fertigstellungsgrad der Akt.'!G2</f>
        <v>115200</v>
      </c>
      <c r="J30" s="28">
        <f>'Budgetierte Kosten'!$P2*'Fertigstellungsgrad der Akt.'!H2</f>
        <v>129600</v>
      </c>
      <c r="L30" s="2" t="s">
        <v>18</v>
      </c>
      <c r="M30" s="2" t="s">
        <v>91</v>
      </c>
    </row>
    <row r="31" spans="1:13" x14ac:dyDescent="0.2">
      <c r="B31" t="str">
        <f t="shared" si="1"/>
        <v>Design und Architektur</v>
      </c>
      <c r="C31">
        <v>0</v>
      </c>
      <c r="D31" s="28">
        <f>'Budgetierte Kosten'!$P3*'Fertigstellungsgrad der Akt.'!B3</f>
        <v>0</v>
      </c>
      <c r="E31" s="28">
        <f>'Budgetierte Kosten'!$P3*'Fertigstellungsgrad der Akt.'!C3</f>
        <v>0</v>
      </c>
      <c r="F31" s="28">
        <f>'Budgetierte Kosten'!$P3*'Fertigstellungsgrad der Akt.'!D3</f>
        <v>0</v>
      </c>
      <c r="G31" s="28">
        <f>'Budgetierte Kosten'!$P3*'Fertigstellungsgrad der Akt.'!E3</f>
        <v>11800</v>
      </c>
      <c r="H31" s="28">
        <f>'Budgetierte Kosten'!$P3*'Fertigstellungsgrad der Akt.'!F3</f>
        <v>11800</v>
      </c>
      <c r="I31" s="28">
        <f>'Budgetierte Kosten'!$P3*'Fertigstellungsgrad der Akt.'!G3</f>
        <v>23600</v>
      </c>
      <c r="J31" s="28">
        <f>'Budgetierte Kosten'!$P3*'Fertigstellungsgrad der Akt.'!H3</f>
        <v>94400</v>
      </c>
    </row>
    <row r="32" spans="1:13" x14ac:dyDescent="0.2">
      <c r="B32" t="str">
        <f t="shared" si="1"/>
        <v>Implementierung</v>
      </c>
      <c r="C32">
        <v>0</v>
      </c>
      <c r="D32" s="28">
        <f>'Budgetierte Kosten'!$P4*'Fertigstellungsgrad der Akt.'!B4</f>
        <v>0</v>
      </c>
      <c r="E32" s="28">
        <f>'Budgetierte Kosten'!$P4*'Fertigstellungsgrad der Akt.'!C4</f>
        <v>0</v>
      </c>
      <c r="F32" s="28">
        <f>'Budgetierte Kosten'!$P4*'Fertigstellungsgrad der Akt.'!D4</f>
        <v>0</v>
      </c>
      <c r="G32" s="28">
        <f>'Budgetierte Kosten'!$P4*'Fertigstellungsgrad der Akt.'!E4</f>
        <v>0</v>
      </c>
      <c r="H32" s="28">
        <f>'Budgetierte Kosten'!$P4*'Fertigstellungsgrad der Akt.'!F4</f>
        <v>0</v>
      </c>
      <c r="I32" s="28">
        <f>'Budgetierte Kosten'!$P4*'Fertigstellungsgrad der Akt.'!G4</f>
        <v>39200</v>
      </c>
      <c r="J32" s="28">
        <f>'Budgetierte Kosten'!$P4*'Fertigstellungsgrad der Akt.'!H4</f>
        <v>98000</v>
      </c>
    </row>
    <row r="33" spans="1:22" x14ac:dyDescent="0.2">
      <c r="B33" t="str">
        <f t="shared" si="1"/>
        <v>Integration und Test</v>
      </c>
      <c r="C33">
        <v>0</v>
      </c>
      <c r="D33" s="28">
        <f>'Budgetierte Kosten'!$P5*'Fertigstellungsgrad der Akt.'!B5</f>
        <v>0</v>
      </c>
      <c r="E33" s="28">
        <f>'Budgetierte Kosten'!$P5*'Fertigstellungsgrad der Akt.'!C5</f>
        <v>0</v>
      </c>
      <c r="F33" s="28">
        <f>'Budgetierte Kosten'!$P5*'Fertigstellungsgrad der Akt.'!D5</f>
        <v>0</v>
      </c>
      <c r="G33" s="28">
        <f>'Budgetierte Kosten'!$P5*'Fertigstellungsgrad der Akt.'!E5</f>
        <v>0</v>
      </c>
      <c r="H33" s="28">
        <f>'Budgetierte Kosten'!$P5*'Fertigstellungsgrad der Akt.'!F5</f>
        <v>0</v>
      </c>
      <c r="I33" s="28">
        <f>'Budgetierte Kosten'!$P5*'Fertigstellungsgrad der Akt.'!G5</f>
        <v>0</v>
      </c>
      <c r="J33" s="28">
        <f>'Budgetierte Kosten'!$P5*'Fertigstellungsgrad der Akt.'!H5</f>
        <v>63000</v>
      </c>
    </row>
    <row r="34" spans="1:22" x14ac:dyDescent="0.2">
      <c r="B34" t="str">
        <f t="shared" si="1"/>
        <v>Projektmanagement</v>
      </c>
      <c r="C34">
        <v>0</v>
      </c>
      <c r="D34" s="28">
        <f>'Budgetierte Kosten'!$P6*'Fertigstellungsgrad der Akt.'!B6</f>
        <v>22880</v>
      </c>
      <c r="E34" s="28">
        <f>'Budgetierte Kosten'!$P6*'Fertigstellungsgrad der Akt.'!C6</f>
        <v>14300</v>
      </c>
      <c r="F34" s="28">
        <f>'Budgetierte Kosten'!$P6*'Fertigstellungsgrad der Akt.'!D6</f>
        <v>42900</v>
      </c>
      <c r="G34" s="28">
        <f>'Budgetierte Kosten'!$P6*'Fertigstellungsgrad der Akt.'!E6</f>
        <v>57200</v>
      </c>
      <c r="H34" s="28">
        <f>'Budgetierte Kosten'!$P6*'Fertigstellungsgrad der Akt.'!F6</f>
        <v>85800</v>
      </c>
      <c r="I34" s="28">
        <f>'Budgetierte Kosten'!$P6*'Fertigstellungsgrad der Akt.'!G6</f>
        <v>114400</v>
      </c>
      <c r="J34" s="28">
        <f>'Budgetierte Kosten'!$P6*'Fertigstellungsgrad der Akt.'!H6</f>
        <v>143000</v>
      </c>
    </row>
    <row r="35" spans="1:22" x14ac:dyDescent="0.2">
      <c r="B35" t="str">
        <f t="shared" si="1"/>
        <v>Puffer für unerwartetes</v>
      </c>
      <c r="C35">
        <v>0</v>
      </c>
      <c r="D35" s="28">
        <f>'Budgetierte Kosten'!$P7*'Fertigstellungsgrad der Akt.'!B7</f>
        <v>8320</v>
      </c>
      <c r="E35" s="28">
        <f>'Budgetierte Kosten'!$P7*'Fertigstellungsgrad der Akt.'!C7</f>
        <v>5200</v>
      </c>
      <c r="F35" s="28">
        <f>'Budgetierte Kosten'!$P7*'Fertigstellungsgrad der Akt.'!D7</f>
        <v>10400</v>
      </c>
      <c r="G35" s="28">
        <f>'Budgetierte Kosten'!$P7*'Fertigstellungsgrad der Akt.'!E7</f>
        <v>20800</v>
      </c>
      <c r="H35" s="28">
        <f>'Budgetierte Kosten'!$P7*'Fertigstellungsgrad der Akt.'!F7</f>
        <v>31200</v>
      </c>
      <c r="I35" s="28">
        <f>'Budgetierte Kosten'!$P7*'Fertigstellungsgrad der Akt.'!G7</f>
        <v>46800</v>
      </c>
      <c r="J35" s="28">
        <f>'Budgetierte Kosten'!$P7*'Fertigstellungsgrad der Akt.'!H7</f>
        <v>57200.000000000007</v>
      </c>
    </row>
    <row r="36" spans="1:22" x14ac:dyDescent="0.2">
      <c r="B36" t="str">
        <f t="shared" si="1"/>
        <v>Materialkosten</v>
      </c>
      <c r="C36">
        <v>0</v>
      </c>
      <c r="D36" s="28">
        <f>'Budgetierte Kosten'!$O$11*'Fertigstellungsgrad der Akt.'!B8</f>
        <v>1720</v>
      </c>
      <c r="E36" s="28">
        <f>'Budgetierte Kosten'!$O$11*'Fertigstellungsgrad der Akt.'!C8</f>
        <v>3440</v>
      </c>
      <c r="F36" s="28">
        <f>'Budgetierte Kosten'!$O$11*'Fertigstellungsgrad der Akt.'!D8</f>
        <v>5160</v>
      </c>
      <c r="G36" s="28">
        <f>'Budgetierte Kosten'!$O$11*'Fertigstellungsgrad der Akt.'!E8</f>
        <v>6880</v>
      </c>
      <c r="H36" s="28">
        <f>'Budgetierte Kosten'!$O$11*'Fertigstellungsgrad der Akt.'!F8</f>
        <v>8600</v>
      </c>
      <c r="I36" s="28">
        <f>'Budgetierte Kosten'!$O$11*'Fertigstellungsgrad der Akt.'!G8</f>
        <v>10320</v>
      </c>
      <c r="J36" s="28">
        <f>'Budgetierte Kosten'!$O$11*'Fertigstellungsgrad der Akt.'!H8</f>
        <v>12040.000000000002</v>
      </c>
    </row>
    <row r="37" spans="1:22" x14ac:dyDescent="0.2">
      <c r="B37" t="str">
        <f>AC[[#Totals],[Posten]]</f>
        <v>Gesamt</v>
      </c>
      <c r="C37" t="s">
        <v>89</v>
      </c>
      <c r="D37" s="28">
        <f>SUM(EV[1])</f>
        <v>83320</v>
      </c>
      <c r="E37" s="28">
        <f>SUM(EV[2])</f>
        <v>30140</v>
      </c>
      <c r="F37" s="28">
        <f>SUM(EV[3])</f>
        <v>72860</v>
      </c>
      <c r="G37" s="28">
        <f>SUM(EV[4])</f>
        <v>139880</v>
      </c>
      <c r="H37" s="28">
        <f>SUM(EV[5])</f>
        <v>209400</v>
      </c>
      <c r="I37" s="28">
        <f>SUM(EV[6])</f>
        <v>349520</v>
      </c>
      <c r="J37" s="28">
        <f>SUM(EV[7])</f>
        <v>597240</v>
      </c>
    </row>
    <row r="40" spans="1:22" ht="23.25" x14ac:dyDescent="0.35">
      <c r="A40" s="27" t="s">
        <v>31</v>
      </c>
      <c r="N40" s="27" t="s">
        <v>40</v>
      </c>
    </row>
    <row r="42" spans="1:22" x14ac:dyDescent="0.2">
      <c r="B42" t="s">
        <v>16</v>
      </c>
      <c r="C42" t="s">
        <v>89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O42" t="s">
        <v>89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</row>
    <row r="43" spans="1:22" x14ac:dyDescent="0.2">
      <c r="B43" t="str">
        <f t="shared" ref="B43:B49" si="2">B30</f>
        <v>Anforderungsanalyse</v>
      </c>
      <c r="C43" s="28">
        <f t="shared" ref="C43:J43" si="3">C30-C17</f>
        <v>0</v>
      </c>
      <c r="D43" s="28">
        <f t="shared" si="3"/>
        <v>7900</v>
      </c>
      <c r="E43" s="28">
        <f t="shared" si="3"/>
        <v>-77800</v>
      </c>
      <c r="F43" s="28">
        <f t="shared" si="3"/>
        <v>-116500</v>
      </c>
      <c r="G43" s="28">
        <f t="shared" si="3"/>
        <v>-91950</v>
      </c>
      <c r="H43" s="28">
        <f t="shared" si="3"/>
        <v>-63150</v>
      </c>
      <c r="I43" s="28">
        <f t="shared" si="3"/>
        <v>-19950</v>
      </c>
      <c r="J43" s="28">
        <f t="shared" si="3"/>
        <v>-5550</v>
      </c>
      <c r="L43" s="2" t="s">
        <v>18</v>
      </c>
      <c r="M43" s="2" t="s">
        <v>36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B44" t="str">
        <f t="shared" si="2"/>
        <v>Design und Architektur</v>
      </c>
      <c r="C44" s="28">
        <f t="shared" ref="C44:C49" si="4">C31-C18</f>
        <v>0</v>
      </c>
      <c r="D44" s="28">
        <f t="shared" ref="D44:J49" si="5">D31-D18</f>
        <v>0</v>
      </c>
      <c r="E44" s="28">
        <f t="shared" si="5"/>
        <v>0</v>
      </c>
      <c r="F44" s="28">
        <f t="shared" si="5"/>
        <v>0</v>
      </c>
      <c r="G44" s="28">
        <f t="shared" si="5"/>
        <v>-30700</v>
      </c>
      <c r="H44" s="28">
        <f t="shared" si="5"/>
        <v>-47700</v>
      </c>
      <c r="I44" s="28">
        <f t="shared" si="5"/>
        <v>-55450</v>
      </c>
      <c r="J44" s="28">
        <f t="shared" si="5"/>
        <v>6850</v>
      </c>
    </row>
    <row r="45" spans="1:22" x14ac:dyDescent="0.2">
      <c r="B45" t="str">
        <f t="shared" si="2"/>
        <v>Implementierung</v>
      </c>
      <c r="C45" s="28">
        <f t="shared" si="4"/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0</v>
      </c>
      <c r="I45" s="28">
        <f t="shared" si="5"/>
        <v>17950</v>
      </c>
      <c r="J45" s="28">
        <f t="shared" si="5"/>
        <v>55500</v>
      </c>
    </row>
    <row r="46" spans="1:22" x14ac:dyDescent="0.2">
      <c r="B46" t="str">
        <f t="shared" si="2"/>
        <v>Integration und Test</v>
      </c>
      <c r="C46" s="28">
        <f t="shared" si="4"/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>
        <f t="shared" si="5"/>
        <v>0</v>
      </c>
      <c r="I46" s="28">
        <f t="shared" si="5"/>
        <v>0</v>
      </c>
      <c r="J46" s="28">
        <f t="shared" si="5"/>
        <v>33250</v>
      </c>
    </row>
    <row r="47" spans="1:22" x14ac:dyDescent="0.2">
      <c r="B47" t="str">
        <f t="shared" si="2"/>
        <v>Projektmanagement</v>
      </c>
      <c r="C47" s="28">
        <f t="shared" si="4"/>
        <v>0</v>
      </c>
      <c r="D47" s="28">
        <f t="shared" si="5"/>
        <v>-2620</v>
      </c>
      <c r="E47" s="28">
        <f t="shared" si="5"/>
        <v>-79200</v>
      </c>
      <c r="F47" s="28">
        <f t="shared" si="5"/>
        <v>-84600</v>
      </c>
      <c r="G47" s="28">
        <f t="shared" si="5"/>
        <v>-95800</v>
      </c>
      <c r="H47" s="28">
        <f t="shared" si="5"/>
        <v>-84200</v>
      </c>
      <c r="I47" s="28">
        <f t="shared" si="5"/>
        <v>-72600</v>
      </c>
      <c r="J47" s="28">
        <f t="shared" si="5"/>
        <v>-61000</v>
      </c>
    </row>
    <row r="48" spans="1:22" x14ac:dyDescent="0.2">
      <c r="B48" t="str">
        <f t="shared" si="2"/>
        <v>Puffer für unerwartetes</v>
      </c>
      <c r="C48" s="28">
        <f t="shared" si="4"/>
        <v>0</v>
      </c>
      <c r="D48" s="28">
        <f t="shared" si="5"/>
        <v>-5280</v>
      </c>
      <c r="E48" s="28">
        <f t="shared" si="5"/>
        <v>-161400</v>
      </c>
      <c r="F48" s="28">
        <f t="shared" si="5"/>
        <v>-292200</v>
      </c>
      <c r="G48" s="28">
        <f t="shared" si="5"/>
        <v>-320050</v>
      </c>
      <c r="H48" s="28">
        <f t="shared" si="5"/>
        <v>-313900</v>
      </c>
      <c r="I48" s="28">
        <f t="shared" si="5"/>
        <v>-302550</v>
      </c>
      <c r="J48" s="28">
        <f t="shared" si="5"/>
        <v>-296400</v>
      </c>
    </row>
    <row r="49" spans="1:13" x14ac:dyDescent="0.2">
      <c r="B49" t="str">
        <f t="shared" si="2"/>
        <v>Materialkosten</v>
      </c>
      <c r="C49" s="28">
        <f t="shared" si="4"/>
        <v>0</v>
      </c>
      <c r="D49" s="28">
        <f t="shared" si="5"/>
        <v>-280</v>
      </c>
      <c r="E49" s="28">
        <f t="shared" si="5"/>
        <v>-60</v>
      </c>
      <c r="F49" s="28">
        <f t="shared" si="5"/>
        <v>260</v>
      </c>
      <c r="G49" s="28">
        <f t="shared" si="5"/>
        <v>480</v>
      </c>
      <c r="H49" s="28">
        <f t="shared" si="5"/>
        <v>1200</v>
      </c>
      <c r="I49" s="28">
        <f t="shared" si="5"/>
        <v>-4680</v>
      </c>
      <c r="J49" s="28">
        <f t="shared" si="5"/>
        <v>-4159.9999999999982</v>
      </c>
    </row>
    <row r="50" spans="1:13" x14ac:dyDescent="0.2">
      <c r="B50" t="str">
        <f>EV[[#Totals],[Posten]]</f>
        <v>Gesamt</v>
      </c>
      <c r="C50" s="28">
        <f>EV[[#Totals],[0]]-AC[[#Totals],[0]]</f>
        <v>0</v>
      </c>
      <c r="D50" s="28">
        <f>EV[[#Totals],[1]]-AC[[#Totals],[1]]</f>
        <v>-280</v>
      </c>
      <c r="E50" s="28">
        <f>EV[[#Totals],[2]]-AC[[#Totals],[2]]</f>
        <v>-318460</v>
      </c>
      <c r="F50" s="28">
        <f>EV[[#Totals],[3]]-AC[[#Totals],[3]]</f>
        <v>-493040</v>
      </c>
      <c r="G50" s="28">
        <f>EV[[#Totals],[4]]-AC[[#Totals],[4]]</f>
        <v>-538020</v>
      </c>
      <c r="H50" s="28">
        <f>EV[[#Totals],[5]]-AC[[#Totals],[5]]</f>
        <v>-507750</v>
      </c>
      <c r="I50" s="28">
        <f>EV[[#Totals],[6]]-AC[[#Totals],[6]]</f>
        <v>-437280</v>
      </c>
      <c r="J50" s="28">
        <f>EV[[#Totals],[7]]-AC[[#Totals],[7]]</f>
        <v>-271510</v>
      </c>
      <c r="L50" s="2" t="s">
        <v>88</v>
      </c>
      <c r="M50">
        <f>SUM(CV[1])</f>
        <v>-280</v>
      </c>
    </row>
    <row r="51" spans="1:13" x14ac:dyDescent="0.2">
      <c r="L51" s="2" t="s">
        <v>88</v>
      </c>
      <c r="M51">
        <f>SUM(CV[7])</f>
        <v>-271510</v>
      </c>
    </row>
    <row r="53" spans="1:13" ht="23.25" x14ac:dyDescent="0.35">
      <c r="A53" s="27" t="s">
        <v>32</v>
      </c>
    </row>
    <row r="55" spans="1:13" x14ac:dyDescent="0.2">
      <c r="B55" t="s">
        <v>16</v>
      </c>
      <c r="C55" t="s">
        <v>89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</row>
    <row r="56" spans="1:13" x14ac:dyDescent="0.2">
      <c r="B56" t="str">
        <f t="shared" ref="B56:B62" si="6">B43</f>
        <v>Anforderungsanalyse</v>
      </c>
      <c r="C56" s="28">
        <f t="shared" ref="C56:J56" si="7">C30-C4</f>
        <v>0</v>
      </c>
      <c r="D56" s="28">
        <f t="shared" si="7"/>
        <v>2400</v>
      </c>
      <c r="E56" s="28">
        <f t="shared" si="7"/>
        <v>-88800</v>
      </c>
      <c r="F56" s="28">
        <f t="shared" si="7"/>
        <v>-129600</v>
      </c>
      <c r="G56" s="28">
        <f t="shared" si="7"/>
        <v>-100800</v>
      </c>
      <c r="H56" s="28">
        <f t="shared" si="7"/>
        <v>-72000</v>
      </c>
      <c r="I56" s="28">
        <f t="shared" si="7"/>
        <v>-28800</v>
      </c>
      <c r="J56" s="28">
        <f t="shared" si="7"/>
        <v>-14400</v>
      </c>
      <c r="L56" s="2" t="s">
        <v>18</v>
      </c>
      <c r="M56" s="2" t="s">
        <v>37</v>
      </c>
    </row>
    <row r="57" spans="1:13" x14ac:dyDescent="0.2">
      <c r="B57" t="str">
        <f t="shared" si="6"/>
        <v>Design und Architektur</v>
      </c>
      <c r="C57" s="28">
        <f t="shared" ref="C57:C62" si="8">C31-C5</f>
        <v>0</v>
      </c>
      <c r="D57" s="28">
        <f t="shared" ref="D57:J62" si="9">D31-D5</f>
        <v>0</v>
      </c>
      <c r="E57" s="28">
        <f t="shared" si="9"/>
        <v>0</v>
      </c>
      <c r="F57" s="28">
        <f t="shared" si="9"/>
        <v>-20000</v>
      </c>
      <c r="G57" s="28">
        <f t="shared" si="9"/>
        <v>-40200</v>
      </c>
      <c r="H57" s="28">
        <f t="shared" si="9"/>
        <v>-84200</v>
      </c>
      <c r="I57" s="28">
        <f t="shared" si="9"/>
        <v>-128400</v>
      </c>
      <c r="J57" s="28">
        <f t="shared" si="9"/>
        <v>-77600</v>
      </c>
    </row>
    <row r="58" spans="1:13" x14ac:dyDescent="0.2">
      <c r="B58" t="str">
        <f t="shared" si="6"/>
        <v>Implementierung</v>
      </c>
      <c r="C58" s="28">
        <f t="shared" si="8"/>
        <v>0</v>
      </c>
      <c r="D58" s="28">
        <f t="shared" si="9"/>
        <v>0</v>
      </c>
      <c r="E58" s="28">
        <f t="shared" si="9"/>
        <v>0</v>
      </c>
      <c r="F58" s="28">
        <f t="shared" si="9"/>
        <v>0</v>
      </c>
      <c r="G58" s="28">
        <f t="shared" si="9"/>
        <v>-24000</v>
      </c>
      <c r="H58" s="28">
        <f t="shared" si="9"/>
        <v>-64000</v>
      </c>
      <c r="I58" s="28">
        <f t="shared" si="9"/>
        <v>-72800</v>
      </c>
      <c r="J58" s="28">
        <f t="shared" si="9"/>
        <v>-62000</v>
      </c>
    </row>
    <row r="59" spans="1:13" x14ac:dyDescent="0.2">
      <c r="B59" t="str">
        <f t="shared" si="6"/>
        <v>Integration und Test</v>
      </c>
      <c r="C59" s="28">
        <f t="shared" si="8"/>
        <v>0</v>
      </c>
      <c r="D59" s="28">
        <f t="shared" si="9"/>
        <v>0</v>
      </c>
      <c r="E59" s="28">
        <f t="shared" si="9"/>
        <v>0</v>
      </c>
      <c r="F59" s="28">
        <f t="shared" si="9"/>
        <v>0</v>
      </c>
      <c r="G59" s="28">
        <f t="shared" si="9"/>
        <v>0</v>
      </c>
      <c r="H59" s="28">
        <f t="shared" si="9"/>
        <v>0</v>
      </c>
      <c r="I59" s="28">
        <f t="shared" si="9"/>
        <v>0</v>
      </c>
      <c r="J59" s="28">
        <f t="shared" si="9"/>
        <v>47000</v>
      </c>
    </row>
    <row r="60" spans="1:13" x14ac:dyDescent="0.2">
      <c r="B60" t="str">
        <f t="shared" si="6"/>
        <v>Projektmanagement</v>
      </c>
      <c r="C60" s="28">
        <f t="shared" si="8"/>
        <v>0</v>
      </c>
      <c r="D60" s="28">
        <f t="shared" si="9"/>
        <v>880</v>
      </c>
      <c r="E60" s="28">
        <f t="shared" si="9"/>
        <v>-29700</v>
      </c>
      <c r="F60" s="28">
        <f t="shared" si="9"/>
        <v>-23100</v>
      </c>
      <c r="G60" s="28">
        <f t="shared" si="9"/>
        <v>-30800</v>
      </c>
      <c r="H60" s="28">
        <f t="shared" si="9"/>
        <v>-24200</v>
      </c>
      <c r="I60" s="28">
        <f t="shared" si="9"/>
        <v>-17600</v>
      </c>
      <c r="J60" s="28">
        <f t="shared" si="9"/>
        <v>-11000</v>
      </c>
    </row>
    <row r="61" spans="1:13" x14ac:dyDescent="0.2">
      <c r="B61" t="str">
        <f t="shared" si="6"/>
        <v>Puffer für unerwartetes</v>
      </c>
      <c r="C61" s="28">
        <f t="shared" si="8"/>
        <v>0</v>
      </c>
      <c r="D61" s="28">
        <f t="shared" si="9"/>
        <v>320</v>
      </c>
      <c r="E61" s="28">
        <f t="shared" si="9"/>
        <v>-10800</v>
      </c>
      <c r="F61" s="28">
        <f t="shared" si="9"/>
        <v>-13600</v>
      </c>
      <c r="G61" s="28">
        <f t="shared" si="9"/>
        <v>-11200</v>
      </c>
      <c r="H61" s="28">
        <f t="shared" si="9"/>
        <v>-8800</v>
      </c>
      <c r="I61" s="28">
        <f t="shared" si="9"/>
        <v>-1200</v>
      </c>
      <c r="J61" s="28">
        <f t="shared" si="9"/>
        <v>1200.0000000000073</v>
      </c>
    </row>
    <row r="62" spans="1:13" x14ac:dyDescent="0.2">
      <c r="B62" t="str">
        <f t="shared" si="6"/>
        <v>Materialkosten</v>
      </c>
      <c r="C62" s="28">
        <f t="shared" si="8"/>
        <v>0</v>
      </c>
      <c r="D62" s="28">
        <f t="shared" si="9"/>
        <v>-280</v>
      </c>
      <c r="E62" s="28">
        <f t="shared" si="9"/>
        <v>-560</v>
      </c>
      <c r="F62" s="28">
        <f t="shared" si="9"/>
        <v>-1840</v>
      </c>
      <c r="G62" s="28">
        <f t="shared" si="9"/>
        <v>-3120</v>
      </c>
      <c r="H62" s="28">
        <f t="shared" si="9"/>
        <v>-4400</v>
      </c>
      <c r="I62" s="28">
        <f t="shared" si="9"/>
        <v>-5680</v>
      </c>
      <c r="J62" s="28">
        <f t="shared" si="9"/>
        <v>-8959.9999999999982</v>
      </c>
      <c r="L62" s="2" t="s">
        <v>88</v>
      </c>
      <c r="M62">
        <f>SUM(SV[1])</f>
        <v>3320</v>
      </c>
    </row>
    <row r="63" spans="1:13" x14ac:dyDescent="0.2">
      <c r="B63" t="str">
        <f>CV[[#Totals],[Posten]]</f>
        <v>Gesamt</v>
      </c>
      <c r="C63" s="28">
        <f>SUM(SV[0])</f>
        <v>0</v>
      </c>
      <c r="D63" s="28">
        <f>SUM(SV[1])</f>
        <v>3320</v>
      </c>
      <c r="E63" s="28">
        <f>SUM(SV[2])</f>
        <v>-129860</v>
      </c>
      <c r="F63" s="28">
        <f>SUM(SV[3])</f>
        <v>-188140</v>
      </c>
      <c r="G63" s="28">
        <f>SUM(SV[4])</f>
        <v>-210120</v>
      </c>
      <c r="H63" s="28">
        <f>SUM(SV[5])</f>
        <v>-257600</v>
      </c>
      <c r="I63" s="28">
        <f>SUM(SV[6])</f>
        <v>-254480</v>
      </c>
      <c r="J63" s="28">
        <f>SUM(SV[7])</f>
        <v>-125760</v>
      </c>
      <c r="L63" s="2" t="s">
        <v>88</v>
      </c>
      <c r="M63">
        <f>SUM(SV[7])</f>
        <v>-125760</v>
      </c>
    </row>
    <row r="66" spans="1:22" ht="23.25" x14ac:dyDescent="0.35">
      <c r="A66" s="27" t="s">
        <v>33</v>
      </c>
      <c r="O66" s="27" t="s">
        <v>40</v>
      </c>
    </row>
    <row r="68" spans="1:22" x14ac:dyDescent="0.2">
      <c r="B68" t="s">
        <v>16</v>
      </c>
      <c r="C68" t="s">
        <v>89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25</v>
      </c>
      <c r="O68" t="s">
        <v>89</v>
      </c>
      <c r="P68" t="s">
        <v>19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</row>
    <row r="69" spans="1:22" x14ac:dyDescent="0.2">
      <c r="B69" t="str">
        <f t="shared" ref="B69:B75" si="10">B56</f>
        <v>Anforderungsanalyse</v>
      </c>
      <c r="C69">
        <v>1</v>
      </c>
      <c r="D69" s="29">
        <f t="shared" ref="D69:D75" si="11">IF(D17=0,$M$83,D30/D17)</f>
        <v>1.1858823529411764</v>
      </c>
      <c r="E69" s="29">
        <f t="shared" ref="E69:E75" si="12">IF(E17=0,$M$83,E30/E17)</f>
        <v>8.4705882352941173E-2</v>
      </c>
      <c r="F69" s="29">
        <f t="shared" ref="F69:F75" si="13">IF(F17=0,$M$83,F30/F17)</f>
        <v>0.11000763941940413</v>
      </c>
      <c r="G69" s="29">
        <f t="shared" ref="G69:G75" si="14">IF(G17=0,$M$83,G30/G17)</f>
        <v>0.31964483906770258</v>
      </c>
      <c r="H69" s="29">
        <f t="shared" ref="H69:H75" si="15">IF(H17=0,$M$83,H30/H17)</f>
        <v>0.53274139844617097</v>
      </c>
      <c r="I69" s="29">
        <f t="shared" ref="I69:I75" si="16">IF(I17=0,$M$83,I30/I17)</f>
        <v>0.85238623751387343</v>
      </c>
      <c r="J69" s="29">
        <f t="shared" ref="J69:J75" si="17">IF(J17=0,"-",J30/J17)</f>
        <v>0.95893451720310763</v>
      </c>
      <c r="L69" s="2" t="s">
        <v>18</v>
      </c>
      <c r="M69" s="2" t="s">
        <v>71</v>
      </c>
      <c r="N69" s="2" t="s">
        <v>35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">
      <c r="B70" t="str">
        <f t="shared" si="10"/>
        <v>Design und Architektur</v>
      </c>
      <c r="C70">
        <f>CPI[[#This Row],[1]]</f>
        <v>1</v>
      </c>
      <c r="D70" s="29">
        <f t="shared" si="11"/>
        <v>1</v>
      </c>
      <c r="E70" s="29">
        <f t="shared" si="12"/>
        <v>1</v>
      </c>
      <c r="F70" s="29">
        <f t="shared" si="13"/>
        <v>1</v>
      </c>
      <c r="G70" s="29">
        <f t="shared" si="14"/>
        <v>0.27764705882352941</v>
      </c>
      <c r="H70" s="29">
        <f t="shared" si="15"/>
        <v>0.19831932773109243</v>
      </c>
      <c r="I70" s="29">
        <f t="shared" si="16"/>
        <v>0.29854522454142945</v>
      </c>
      <c r="J70" s="29">
        <f t="shared" si="17"/>
        <v>1.0782410051399201</v>
      </c>
      <c r="L70" t="s">
        <v>63</v>
      </c>
      <c r="M70" t="s">
        <v>64</v>
      </c>
      <c r="N70" t="s">
        <v>92</v>
      </c>
    </row>
    <row r="71" spans="1:22" x14ac:dyDescent="0.2">
      <c r="B71" t="str">
        <f t="shared" si="10"/>
        <v>Implementierung</v>
      </c>
      <c r="C71">
        <f>CPI[[#This Row],[1]]</f>
        <v>1</v>
      </c>
      <c r="D71" s="29">
        <f t="shared" si="11"/>
        <v>1</v>
      </c>
      <c r="E71" s="29">
        <f t="shared" si="12"/>
        <v>1</v>
      </c>
      <c r="F71" s="29">
        <f t="shared" si="13"/>
        <v>1</v>
      </c>
      <c r="G71" s="29">
        <f t="shared" si="14"/>
        <v>1</v>
      </c>
      <c r="H71" s="29">
        <f t="shared" si="15"/>
        <v>1</v>
      </c>
      <c r="I71" s="29">
        <f t="shared" si="16"/>
        <v>1.8447058823529412</v>
      </c>
      <c r="J71" s="29">
        <f t="shared" si="17"/>
        <v>2.3058823529411763</v>
      </c>
    </row>
    <row r="72" spans="1:22" x14ac:dyDescent="0.2">
      <c r="B72" t="str">
        <f t="shared" si="10"/>
        <v>Integration und Test</v>
      </c>
      <c r="C72">
        <f>CPI[[#This Row],[1]]</f>
        <v>1</v>
      </c>
      <c r="D72" s="29">
        <f t="shared" si="11"/>
        <v>1</v>
      </c>
      <c r="E72" s="29">
        <f t="shared" si="12"/>
        <v>1</v>
      </c>
      <c r="F72" s="29">
        <f t="shared" si="13"/>
        <v>1</v>
      </c>
      <c r="G72" s="29">
        <f t="shared" si="14"/>
        <v>1</v>
      </c>
      <c r="H72" s="29">
        <f t="shared" si="15"/>
        <v>1</v>
      </c>
      <c r="I72" s="29">
        <f t="shared" si="16"/>
        <v>1</v>
      </c>
      <c r="J72" s="29">
        <f t="shared" si="17"/>
        <v>2.1176470588235294</v>
      </c>
    </row>
    <row r="73" spans="1:22" x14ac:dyDescent="0.2">
      <c r="B73" t="str">
        <f t="shared" si="10"/>
        <v>Projektmanagement</v>
      </c>
      <c r="C73">
        <v>1</v>
      </c>
      <c r="D73" s="29">
        <f t="shared" si="11"/>
        <v>0.89725490196078428</v>
      </c>
      <c r="E73" s="29">
        <f t="shared" si="12"/>
        <v>0.15294117647058825</v>
      </c>
      <c r="F73" s="29">
        <f t="shared" si="13"/>
        <v>0.33647058823529413</v>
      </c>
      <c r="G73" s="29">
        <f t="shared" si="14"/>
        <v>0.3738562091503268</v>
      </c>
      <c r="H73" s="29">
        <f t="shared" si="15"/>
        <v>0.50470588235294123</v>
      </c>
      <c r="I73" s="29">
        <f t="shared" si="16"/>
        <v>0.61176470588235299</v>
      </c>
      <c r="J73" s="29">
        <f t="shared" si="17"/>
        <v>0.7009803921568627</v>
      </c>
    </row>
    <row r="74" spans="1:22" x14ac:dyDescent="0.2">
      <c r="B74" t="str">
        <f t="shared" si="10"/>
        <v>Puffer für unerwartetes</v>
      </c>
      <c r="C74">
        <v>1</v>
      </c>
      <c r="D74" s="29">
        <f t="shared" si="11"/>
        <v>0.61176470588235299</v>
      </c>
      <c r="E74" s="29">
        <f t="shared" si="12"/>
        <v>3.1212484993997598E-2</v>
      </c>
      <c r="F74" s="29">
        <f t="shared" si="13"/>
        <v>3.4368803701255786E-2</v>
      </c>
      <c r="G74" s="29">
        <f t="shared" si="14"/>
        <v>6.1023910811207276E-2</v>
      </c>
      <c r="H74" s="29">
        <f t="shared" si="15"/>
        <v>9.040857722399305E-2</v>
      </c>
      <c r="I74" s="29">
        <f t="shared" si="16"/>
        <v>0.13396307428080723</v>
      </c>
      <c r="J74" s="29">
        <f t="shared" si="17"/>
        <v>0.16176470588235295</v>
      </c>
    </row>
    <row r="75" spans="1:22" x14ac:dyDescent="0.2">
      <c r="B75" t="str">
        <f t="shared" si="10"/>
        <v>Materialkosten</v>
      </c>
      <c r="C75">
        <v>1</v>
      </c>
      <c r="D75" s="29">
        <f t="shared" si="11"/>
        <v>0.86</v>
      </c>
      <c r="E75" s="29">
        <f t="shared" si="12"/>
        <v>0.98285714285714287</v>
      </c>
      <c r="F75" s="29">
        <f t="shared" si="13"/>
        <v>1.0530612244897959</v>
      </c>
      <c r="G75" s="29">
        <f t="shared" si="14"/>
        <v>1.075</v>
      </c>
      <c r="H75" s="29">
        <f t="shared" si="15"/>
        <v>1.1621621621621621</v>
      </c>
      <c r="I75" s="29">
        <f t="shared" si="16"/>
        <v>0.68799999999999994</v>
      </c>
      <c r="J75" s="29">
        <f t="shared" si="17"/>
        <v>0.74320987654321002</v>
      </c>
    </row>
    <row r="76" spans="1:22" x14ac:dyDescent="0.2">
      <c r="B76" t="str">
        <f>SV[[#Totals],[Posten]]</f>
        <v>Gesamt</v>
      </c>
      <c r="C76" s="29">
        <f>1</f>
        <v>1</v>
      </c>
      <c r="D76" s="29">
        <f>EV[[#Totals],[1]]/AC[[#Totals],[1]]</f>
        <v>0.99665071770334923</v>
      </c>
      <c r="E76" s="29">
        <f>EV[[#Totals],[2]]/AC[[#Totals],[2]]</f>
        <v>8.6460126219162367E-2</v>
      </c>
      <c r="F76" s="29">
        <f>EV[[#Totals],[3]]/AC[[#Totals],[3]]</f>
        <v>0.12875066266124757</v>
      </c>
      <c r="G76" s="29">
        <f>EV[[#Totals],[4]]/AC[[#Totals],[4]]</f>
        <v>0.20634311845404926</v>
      </c>
      <c r="H76" s="29">
        <f>EV[[#Totals],[5]]/AC[[#Totals],[5]]</f>
        <v>0.29198912361430662</v>
      </c>
      <c r="I76" s="29">
        <f>EV[[#Totals],[6]]/AC[[#Totals],[6]]</f>
        <v>0.44422979156075243</v>
      </c>
      <c r="J76" s="29">
        <f>EV[[#Totals],[7]]/AC[[#Totals],[7]]</f>
        <v>0.68747050359712225</v>
      </c>
    </row>
    <row r="79" spans="1:22" ht="23.25" x14ac:dyDescent="0.35">
      <c r="A79" s="27" t="s">
        <v>34</v>
      </c>
    </row>
    <row r="81" spans="1:18" x14ac:dyDescent="0.2">
      <c r="B81" t="s">
        <v>16</v>
      </c>
      <c r="C81" t="s">
        <v>89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</row>
    <row r="82" spans="1:18" x14ac:dyDescent="0.2">
      <c r="B82" t="str">
        <f t="shared" ref="B82:B88" si="18">B69</f>
        <v>Anforderungsanalyse</v>
      </c>
      <c r="C82">
        <v>1</v>
      </c>
      <c r="D82" s="29">
        <f t="shared" ref="D82:D88" si="19">IF(D4=0,$M$83,D30/D4)</f>
        <v>1.05</v>
      </c>
      <c r="E82" s="29">
        <f t="shared" ref="E82:E88" si="20">IF(E4=0,$M$83,E30/E4)</f>
        <v>7.4999999999999997E-2</v>
      </c>
      <c r="F82" s="29">
        <f t="shared" ref="F82:F88" si="21">IF(F4=0,$M$83,F30/F4)</f>
        <v>0.1</v>
      </c>
      <c r="G82" s="29">
        <f t="shared" ref="G82:G88" si="22">IF(G4=0,$M$83,G30/G4)</f>
        <v>0.3</v>
      </c>
      <c r="H82" s="29">
        <f t="shared" ref="H82:H88" si="23">IF(H4=0,$M$83,H30/H4)</f>
        <v>0.5</v>
      </c>
      <c r="I82" s="29">
        <f t="shared" ref="I82:I88" si="24">IF(I4=0,$M$83,I30/I4)</f>
        <v>0.8</v>
      </c>
      <c r="J82" s="29">
        <f t="shared" ref="J82:J88" si="25">IF(J4=0,"-",J30/J4)</f>
        <v>0.9</v>
      </c>
      <c r="L82" s="2" t="s">
        <v>18</v>
      </c>
      <c r="M82" s="2" t="s">
        <v>38</v>
      </c>
      <c r="N82" s="2" t="s">
        <v>35</v>
      </c>
    </row>
    <row r="83" spans="1:18" x14ac:dyDescent="0.2">
      <c r="B83" t="str">
        <f t="shared" si="18"/>
        <v>Design und Architektur</v>
      </c>
      <c r="C83">
        <f>SPI[[#This Row],[1]]</f>
        <v>1</v>
      </c>
      <c r="D83" s="29">
        <f t="shared" si="19"/>
        <v>1</v>
      </c>
      <c r="E83" s="29">
        <f t="shared" si="20"/>
        <v>1</v>
      </c>
      <c r="F83" s="29">
        <f t="shared" si="21"/>
        <v>0</v>
      </c>
      <c r="G83" s="29">
        <f t="shared" si="22"/>
        <v>0.22692307692307692</v>
      </c>
      <c r="H83" s="29">
        <f t="shared" si="23"/>
        <v>0.12291666666666666</v>
      </c>
      <c r="I83" s="29">
        <f t="shared" si="24"/>
        <v>0.15526315789473685</v>
      </c>
      <c r="J83" s="29">
        <f t="shared" si="25"/>
        <v>0.5488372093023256</v>
      </c>
      <c r="L83" t="s">
        <v>63</v>
      </c>
      <c r="M83">
        <v>1</v>
      </c>
    </row>
    <row r="84" spans="1:18" x14ac:dyDescent="0.2">
      <c r="B84" t="str">
        <f t="shared" si="18"/>
        <v>Implementierung</v>
      </c>
      <c r="C84">
        <f>SPI[[#This Row],[1]]</f>
        <v>1</v>
      </c>
      <c r="D84" s="29">
        <f t="shared" si="19"/>
        <v>1</v>
      </c>
      <c r="E84" s="29">
        <f t="shared" si="20"/>
        <v>1</v>
      </c>
      <c r="F84" s="29">
        <f t="shared" si="21"/>
        <v>1</v>
      </c>
      <c r="G84" s="29">
        <f t="shared" si="22"/>
        <v>0</v>
      </c>
      <c r="H84" s="29">
        <f t="shared" si="23"/>
        <v>0</v>
      </c>
      <c r="I84" s="29">
        <f t="shared" si="24"/>
        <v>0.35</v>
      </c>
      <c r="J84" s="29">
        <f t="shared" si="25"/>
        <v>0.61250000000000004</v>
      </c>
    </row>
    <row r="85" spans="1:18" x14ac:dyDescent="0.2">
      <c r="B85" t="str">
        <f t="shared" si="18"/>
        <v>Integration und Test</v>
      </c>
      <c r="C85">
        <f>SPI[[#This Row],[1]]</f>
        <v>1</v>
      </c>
      <c r="D85" s="29">
        <f t="shared" si="19"/>
        <v>1</v>
      </c>
      <c r="E85" s="29">
        <f t="shared" si="20"/>
        <v>1</v>
      </c>
      <c r="F85" s="29">
        <f t="shared" si="21"/>
        <v>1</v>
      </c>
      <c r="G85" s="29">
        <f t="shared" si="22"/>
        <v>1</v>
      </c>
      <c r="H85" s="29">
        <f t="shared" si="23"/>
        <v>1</v>
      </c>
      <c r="I85" s="29">
        <f t="shared" si="24"/>
        <v>1</v>
      </c>
      <c r="J85" s="29">
        <f t="shared" si="25"/>
        <v>3.9375</v>
      </c>
    </row>
    <row r="86" spans="1:18" x14ac:dyDescent="0.2">
      <c r="B86" t="str">
        <f t="shared" si="18"/>
        <v>Projektmanagement</v>
      </c>
      <c r="C86">
        <v>1</v>
      </c>
      <c r="D86" s="29">
        <f t="shared" si="19"/>
        <v>1.04</v>
      </c>
      <c r="E86" s="29">
        <f t="shared" si="20"/>
        <v>0.32500000000000001</v>
      </c>
      <c r="F86" s="29">
        <f t="shared" si="21"/>
        <v>0.65</v>
      </c>
      <c r="G86" s="29">
        <f t="shared" si="22"/>
        <v>0.65</v>
      </c>
      <c r="H86" s="29">
        <f t="shared" si="23"/>
        <v>0.78</v>
      </c>
      <c r="I86" s="29">
        <f t="shared" si="24"/>
        <v>0.8666666666666667</v>
      </c>
      <c r="J86" s="29">
        <f t="shared" si="25"/>
        <v>0.9285714285714286</v>
      </c>
    </row>
    <row r="87" spans="1:18" x14ac:dyDescent="0.2">
      <c r="B87" t="str">
        <f t="shared" si="18"/>
        <v>Puffer für unerwartetes</v>
      </c>
      <c r="C87">
        <v>1</v>
      </c>
      <c r="D87" s="29">
        <f t="shared" si="19"/>
        <v>1.04</v>
      </c>
      <c r="E87" s="29">
        <f t="shared" si="20"/>
        <v>0.32500000000000001</v>
      </c>
      <c r="F87" s="29">
        <f t="shared" si="21"/>
        <v>0.43333333333333335</v>
      </c>
      <c r="G87" s="29">
        <f t="shared" si="22"/>
        <v>0.65</v>
      </c>
      <c r="H87" s="29">
        <f t="shared" si="23"/>
        <v>0.78</v>
      </c>
      <c r="I87" s="29">
        <f t="shared" si="24"/>
        <v>0.97499999999999998</v>
      </c>
      <c r="J87" s="29">
        <f t="shared" si="25"/>
        <v>1.0214285714285716</v>
      </c>
    </row>
    <row r="88" spans="1:18" x14ac:dyDescent="0.2">
      <c r="B88" t="str">
        <f t="shared" si="18"/>
        <v>Materialkosten</v>
      </c>
      <c r="C88">
        <v>1</v>
      </c>
      <c r="D88" s="29">
        <f t="shared" si="19"/>
        <v>0.86</v>
      </c>
      <c r="E88" s="29">
        <f t="shared" si="20"/>
        <v>0.86</v>
      </c>
      <c r="F88" s="29">
        <f t="shared" si="21"/>
        <v>0.7371428571428571</v>
      </c>
      <c r="G88" s="29">
        <f t="shared" si="22"/>
        <v>0.68799999999999994</v>
      </c>
      <c r="H88" s="29">
        <f t="shared" si="23"/>
        <v>0.66153846153846152</v>
      </c>
      <c r="I88" s="29">
        <f t="shared" si="24"/>
        <v>0.64500000000000002</v>
      </c>
      <c r="J88" s="29">
        <f t="shared" si="25"/>
        <v>0.57333333333333347</v>
      </c>
    </row>
    <row r="89" spans="1:18" x14ac:dyDescent="0.2">
      <c r="B89" t="str">
        <f>CPI[[#Totals],[Posten]]</f>
        <v>Gesamt</v>
      </c>
      <c r="C89" s="29">
        <f>1</f>
        <v>1</v>
      </c>
      <c r="D89" s="29">
        <f>EV[[#Totals],[1]]/PV[[#Totals],[1]]</f>
        <v>1.0415000000000001</v>
      </c>
      <c r="E89" s="29">
        <f>EV[[#Totals],[2]]/PV[[#Totals],[2]]</f>
        <v>0.18837499999999999</v>
      </c>
      <c r="F89" s="29">
        <f>EV[[#Totals],[3]]/PV[[#Totals],[3]]</f>
        <v>0.27915708812260537</v>
      </c>
      <c r="G89" s="29">
        <f>EV[[#Totals],[4]]/PV[[#Totals],[4]]</f>
        <v>0.39965714285714288</v>
      </c>
      <c r="H89" s="29">
        <f>EV[[#Totals],[5]]/PV[[#Totals],[5]]</f>
        <v>0.44839400428265525</v>
      </c>
      <c r="I89" s="29">
        <f>EV[[#Totals],[6]]/PV[[#Totals],[6]]</f>
        <v>0.57867549668874174</v>
      </c>
      <c r="J89" s="29">
        <f>EV[[#Totals],[7]]/PV[[#Totals],[7]]</f>
        <v>0.82605809128630703</v>
      </c>
    </row>
    <row r="92" spans="1:18" ht="23.25" x14ac:dyDescent="0.35">
      <c r="A92" s="33" t="s">
        <v>68</v>
      </c>
      <c r="E92">
        <v>1500000</v>
      </c>
    </row>
    <row r="94" spans="1:18" ht="23.25" x14ac:dyDescent="0.35">
      <c r="A94" s="27" t="s">
        <v>66</v>
      </c>
    </row>
    <row r="95" spans="1:18" x14ac:dyDescent="0.2">
      <c r="N95" s="2" t="s">
        <v>88</v>
      </c>
    </row>
    <row r="96" spans="1:18" x14ac:dyDescent="0.2">
      <c r="B96" t="s">
        <v>16</v>
      </c>
      <c r="C96" t="s">
        <v>90</v>
      </c>
      <c r="D96" t="s">
        <v>72</v>
      </c>
      <c r="E96" t="s">
        <v>73</v>
      </c>
      <c r="F96" t="s">
        <v>74</v>
      </c>
      <c r="G96" t="s">
        <v>75</v>
      </c>
      <c r="H96" t="s">
        <v>76</v>
      </c>
      <c r="I96" t="s">
        <v>77</v>
      </c>
      <c r="J96" t="s">
        <v>78</v>
      </c>
      <c r="O96" t="s">
        <v>81</v>
      </c>
      <c r="P96" t="s">
        <v>82</v>
      </c>
      <c r="Q96" t="s">
        <v>83</v>
      </c>
      <c r="R96" t="s">
        <v>81</v>
      </c>
    </row>
    <row r="97" spans="1:18" x14ac:dyDescent="0.2">
      <c r="B97" t="str">
        <f t="shared" ref="B97:B103" si="26">B82</f>
        <v>Anforderungsanalyse</v>
      </c>
      <c r="C97">
        <f>'Budgetierte Kosten'!P2/1000</f>
        <v>144</v>
      </c>
      <c r="D97" s="29">
        <f>IF(D69=$M$70,$M$70,('Budgetierte Kosten'!$P2-D30)/(D69*1000))</f>
        <v>78.928571428571431</v>
      </c>
      <c r="E97" s="29">
        <f>IF(E69=$M$70,$M$70,('Budgetierte Kosten'!$P2-E30)/(E69*1000))</f>
        <v>1615</v>
      </c>
      <c r="F97" s="29">
        <f>IF(F69=$M$70,$M$70,('Budgetierte Kosten'!$P2-F30)/(F69*1000))</f>
        <v>1178.0999999999999</v>
      </c>
      <c r="G97" s="29">
        <f>IF(G69=$M$70,$M$70,('Budgetierte Kosten'!$P2-G30)/(G69*1000))</f>
        <v>315.34999999999997</v>
      </c>
      <c r="H97" s="29">
        <f>IF(H69=$M$70,$M$70,('Budgetierte Kosten'!$P2-H30)/(H69*1000))</f>
        <v>135.15</v>
      </c>
      <c r="I97" s="29">
        <f>IF(I69=$M$70,$M$70,('Budgetierte Kosten'!$P2-I30)/(I69*1000))</f>
        <v>33.787500000000001</v>
      </c>
      <c r="J97" s="29">
        <f>IF(J69=$M$70,$M$70,('Budgetierte Kosten'!$P2-J30)/(J69*1000))</f>
        <v>15.016666666666667</v>
      </c>
      <c r="L97" s="2" t="s">
        <v>18</v>
      </c>
      <c r="M97" s="2" t="s">
        <v>67</v>
      </c>
      <c r="O97">
        <f>ETC[[#This Row],[7 '[k €']]]*J69</f>
        <v>14.4</v>
      </c>
      <c r="P97">
        <f>'Budgetierte Kosten'!P2</f>
        <v>144000</v>
      </c>
      <c r="Q97" s="28">
        <f t="shared" ref="Q97:Q103" si="27">J30</f>
        <v>129600</v>
      </c>
      <c r="R97" s="28">
        <f>P97-Q97</f>
        <v>14400</v>
      </c>
    </row>
    <row r="98" spans="1:18" x14ac:dyDescent="0.2">
      <c r="B98" t="str">
        <f t="shared" si="26"/>
        <v>Design und Architektur</v>
      </c>
      <c r="C98">
        <f>'Budgetierte Kosten'!P3/1000</f>
        <v>236</v>
      </c>
      <c r="D98" s="29">
        <f>IF(D70=$M$70,$M$70,('Budgetierte Kosten'!$P3-D31)/(D70*1000))</f>
        <v>236</v>
      </c>
      <c r="E98" s="29">
        <f>IF(E70=$M$70,$M$70,('Budgetierte Kosten'!$P3-E31)/(E70*1000))</f>
        <v>236</v>
      </c>
      <c r="F98" s="29">
        <f>IF(F70=$M$70,$M$70,('Budgetierte Kosten'!$P3-F31)/(F70*1000))</f>
        <v>236</v>
      </c>
      <c r="G98" s="29">
        <f>IF(G70=$M$70,$M$70,('Budgetierte Kosten'!$P3-G31)/(G70*1000))</f>
        <v>807.50000000000011</v>
      </c>
      <c r="H98" s="29">
        <f>IF(H70=$M$70,$M$70,('Budgetierte Kosten'!$P3-H31)/(H70*1000))</f>
        <v>1130.5000000000002</v>
      </c>
      <c r="I98" s="29">
        <f>IF(I70=$M$70,$M$70,('Budgetierte Kosten'!$P3-I31)/(I70*1000))</f>
        <v>711.45</v>
      </c>
      <c r="J98" s="29">
        <f>IF(J70=$M$70,$M$70,('Budgetierte Kosten'!$P3-J31)/(J70*1000))</f>
        <v>131.32499999999999</v>
      </c>
      <c r="O98">
        <f>ETC[[#This Row],[7 '[k €']]]*J70</f>
        <v>141.6</v>
      </c>
      <c r="P98">
        <f>'Budgetierte Kosten'!P3</f>
        <v>236000</v>
      </c>
      <c r="Q98" s="28">
        <f t="shared" si="27"/>
        <v>94400</v>
      </c>
      <c r="R98" s="28">
        <f t="shared" ref="R98:R103" si="28">P98-Q98</f>
        <v>141600</v>
      </c>
    </row>
    <row r="99" spans="1:18" x14ac:dyDescent="0.2">
      <c r="B99" t="str">
        <f t="shared" si="26"/>
        <v>Implementierung</v>
      </c>
      <c r="C99">
        <f>'Budgetierte Kosten'!P4/1000</f>
        <v>392</v>
      </c>
      <c r="D99" s="29">
        <f>IF(D71=$M$70,$M$70,('Budgetierte Kosten'!$P4-D32)/(D71*1000))</f>
        <v>392</v>
      </c>
      <c r="E99" s="29">
        <f>IF(E71=$M$70,$M$70,('Budgetierte Kosten'!$P4-E32)/(E71*1000))</f>
        <v>392</v>
      </c>
      <c r="F99" s="29">
        <f>IF(F71=$M$70,$M$70,('Budgetierte Kosten'!$P4-F32)/(F71*1000))</f>
        <v>392</v>
      </c>
      <c r="G99" s="29">
        <f>IF(G71=$M$70,$M$70,('Budgetierte Kosten'!$P4-G32)/(G71*1000))</f>
        <v>392</v>
      </c>
      <c r="H99" s="29">
        <f>IF(H71=$M$70,$M$70,('Budgetierte Kosten'!$P4-H32)/(H71*1000))</f>
        <v>392</v>
      </c>
      <c r="I99" s="29">
        <f>IF(I71=$M$70,$M$70,('Budgetierte Kosten'!$P4-I32)/(I71*1000))</f>
        <v>191.25</v>
      </c>
      <c r="J99" s="29">
        <f>IF(J71=$M$70,$M$70,('Budgetierte Kosten'!$P4-J32)/(J71*1000))</f>
        <v>127.50000000000001</v>
      </c>
      <c r="O99">
        <f>ETC[[#This Row],[7 '[k €']]]*J71</f>
        <v>294</v>
      </c>
      <c r="P99">
        <f>'Budgetierte Kosten'!P4</f>
        <v>392000</v>
      </c>
      <c r="Q99" s="28">
        <f t="shared" si="27"/>
        <v>98000</v>
      </c>
      <c r="R99" s="28">
        <f t="shared" si="28"/>
        <v>294000</v>
      </c>
    </row>
    <row r="100" spans="1:18" x14ac:dyDescent="0.2">
      <c r="B100" t="str">
        <f t="shared" si="26"/>
        <v>Integration und Test</v>
      </c>
      <c r="C100">
        <f>'Budgetierte Kosten'!P5/1000</f>
        <v>252</v>
      </c>
      <c r="D100" s="29">
        <f>IF(D72=$M$70,$M$70,('Budgetierte Kosten'!$P5-D33)/(D72*1000))</f>
        <v>252</v>
      </c>
      <c r="E100" s="29">
        <f>IF(E72=$M$70,$M$70,('Budgetierte Kosten'!$P5-E33)/(E72*1000))</f>
        <v>252</v>
      </c>
      <c r="F100" s="29">
        <f>IF(F72=$M$70,$M$70,('Budgetierte Kosten'!$P5-F33)/(F72*1000))</f>
        <v>252</v>
      </c>
      <c r="G100" s="29">
        <f>IF(G72=$M$70,$M$70,('Budgetierte Kosten'!$P5-G33)/(G72*1000))</f>
        <v>252</v>
      </c>
      <c r="H100" s="29">
        <f>IF(H72=$M$70,$M$70,('Budgetierte Kosten'!$P5-H33)/(H72*1000))</f>
        <v>252</v>
      </c>
      <c r="I100" s="29">
        <f>IF(I72=$M$70,$M$70,('Budgetierte Kosten'!$P5-I33)/(I72*1000))</f>
        <v>252</v>
      </c>
      <c r="J100" s="29">
        <f>IF(J72=$M$70,$M$70,('Budgetierte Kosten'!$P5-J33)/(J72*1000))</f>
        <v>89.25</v>
      </c>
      <c r="O100">
        <f>ETC[[#This Row],[7 '[k €']]]*J72</f>
        <v>189</v>
      </c>
      <c r="P100">
        <f>'Budgetierte Kosten'!P5</f>
        <v>252000</v>
      </c>
      <c r="Q100" s="28">
        <f t="shared" si="27"/>
        <v>63000</v>
      </c>
      <c r="R100" s="28">
        <f t="shared" si="28"/>
        <v>189000</v>
      </c>
    </row>
    <row r="101" spans="1:18" x14ac:dyDescent="0.2">
      <c r="B101" t="str">
        <f t="shared" si="26"/>
        <v>Projektmanagement</v>
      </c>
      <c r="C101">
        <f>'Budgetierte Kosten'!P6/1000</f>
        <v>286</v>
      </c>
      <c r="D101" s="29">
        <f>IF(D73=$M$70,$M$70,('Budgetierte Kosten'!$P6-D34)/(D73*1000))</f>
        <v>293.25</v>
      </c>
      <c r="E101" s="29">
        <f>IF(E73=$M$70,$M$70,('Budgetierte Kosten'!$P6-E34)/(E73*1000))</f>
        <v>1776.4999999999998</v>
      </c>
      <c r="F101" s="29">
        <f>IF(F73=$M$70,$M$70,('Budgetierte Kosten'!$P6-F34)/(F73*1000))</f>
        <v>722.49999999999989</v>
      </c>
      <c r="G101" s="29">
        <f>IF(G73=$M$70,$M$70,('Budgetierte Kosten'!$P6-G34)/(G73*1000))</f>
        <v>612</v>
      </c>
      <c r="H101" s="29">
        <f>IF(H73=$M$70,$M$70,('Budgetierte Kosten'!$P6-H34)/(H73*1000))</f>
        <v>396.66666666666663</v>
      </c>
      <c r="I101" s="29">
        <f>IF(I73=$M$70,$M$70,('Budgetierte Kosten'!$P6-I34)/(I73*1000))</f>
        <v>280.49999999999994</v>
      </c>
      <c r="J101" s="29">
        <f>IF(J73=$M$70,$M$70,('Budgetierte Kosten'!$P6-J34)/(J73*1000))</f>
        <v>204.00000000000003</v>
      </c>
      <c r="O101">
        <f>ETC[[#This Row],[7 '[k €']]]*J73</f>
        <v>143</v>
      </c>
      <c r="P101">
        <f>'Budgetierte Kosten'!P6</f>
        <v>286000</v>
      </c>
      <c r="Q101" s="28">
        <f t="shared" si="27"/>
        <v>143000</v>
      </c>
      <c r="R101" s="28">
        <f t="shared" si="28"/>
        <v>143000</v>
      </c>
    </row>
    <row r="102" spans="1:18" x14ac:dyDescent="0.2">
      <c r="B102" t="str">
        <f t="shared" si="26"/>
        <v>Puffer für unerwartetes</v>
      </c>
      <c r="C102">
        <f>'Budgetierte Kosten'!P7/1000</f>
        <v>104</v>
      </c>
      <c r="D102" s="29">
        <f>IF(D74=$M$70,$M$70,('Budgetierte Kosten'!$P7-D35)/(D74*1000))</f>
        <v>156.39999999999998</v>
      </c>
      <c r="E102" s="29">
        <f>IF(E74=$M$70,$M$70,('Budgetierte Kosten'!$P7-E35)/(E74*1000))</f>
        <v>3165.4</v>
      </c>
      <c r="F102" s="29">
        <f>IF(F74=$M$70,$M$70,('Budgetierte Kosten'!$P7-F35)/(F74*1000))</f>
        <v>2723.3999999999996</v>
      </c>
      <c r="G102" s="29">
        <f>IF(G74=$M$70,$M$70,('Budgetierte Kosten'!$P7-G35)/(G74*1000))</f>
        <v>1363.4</v>
      </c>
      <c r="H102" s="29">
        <f>IF(H74=$M$70,$M$70,('Budgetierte Kosten'!$P7-H35)/(H74*1000))</f>
        <v>805.23333333333335</v>
      </c>
      <c r="I102" s="29">
        <f>IF(I74=$M$70,$M$70,('Budgetierte Kosten'!$P7-I35)/(I74*1000))</f>
        <v>426.98333333333329</v>
      </c>
      <c r="J102" s="29">
        <f>IF(J74=$M$70,$M$70,('Budgetierte Kosten'!$P7-J35)/(J74*1000))</f>
        <v>289.30909090909086</v>
      </c>
      <c r="O102">
        <f>ETC[[#This Row],[7 '[k €']]]*J74</f>
        <v>46.8</v>
      </c>
      <c r="P102">
        <f>'Budgetierte Kosten'!P7</f>
        <v>104000</v>
      </c>
      <c r="Q102" s="28">
        <f t="shared" si="27"/>
        <v>57200.000000000007</v>
      </c>
      <c r="R102" s="28">
        <f t="shared" si="28"/>
        <v>46799.999999999993</v>
      </c>
    </row>
    <row r="103" spans="1:18" x14ac:dyDescent="0.2">
      <c r="B103" t="str">
        <f t="shared" si="26"/>
        <v>Materialkosten</v>
      </c>
      <c r="C103">
        <f>'Budgetierte Kosten'!O11/1000</f>
        <v>86</v>
      </c>
      <c r="D103" s="29">
        <f>IF(D75=$M$70,$M$70,('Budgetierte Kosten'!$O11-D36)/(D75*1000))</f>
        <v>98</v>
      </c>
      <c r="E103" s="29">
        <f>IF(E75=$M$70,$M$70,('Budgetierte Kosten'!$O11-E36)/(E75*1000))</f>
        <v>84</v>
      </c>
      <c r="F103" s="29">
        <f>IF(F75=$M$70,$M$70,('Budgetierte Kosten'!$O11-F36)/(F75*1000))</f>
        <v>76.766666666666666</v>
      </c>
      <c r="G103" s="29">
        <f>IF(G75=$M$70,$M$70,('Budgetierte Kosten'!$O11-G36)/(G75*1000))</f>
        <v>73.599999999999994</v>
      </c>
      <c r="H103" s="29">
        <f>IF(H75=$M$70,$M$70,('Budgetierte Kosten'!$O11-H36)/(H75*1000))</f>
        <v>66.600000000000009</v>
      </c>
      <c r="I103" s="29">
        <f>IF(I75=$M$70,$M$70,('Budgetierte Kosten'!$O11-I36)/(I75*1000))</f>
        <v>110</v>
      </c>
      <c r="J103" s="29">
        <f>IF(J75=$M$70,$M$70,('Budgetierte Kosten'!$O11-J36)/(J75*1000))</f>
        <v>99.514285714285691</v>
      </c>
      <c r="O103">
        <f>ETC[[#This Row],[7 '[k €']]]*J75</f>
        <v>73.959999999999994</v>
      </c>
      <c r="P103">
        <f>'Budgetierte Kosten'!O11</f>
        <v>86000</v>
      </c>
      <c r="Q103" s="28">
        <f t="shared" si="27"/>
        <v>12040.000000000002</v>
      </c>
      <c r="R103" s="28">
        <f t="shared" si="28"/>
        <v>73960</v>
      </c>
    </row>
    <row r="104" spans="1:18" x14ac:dyDescent="0.2">
      <c r="B104" t="str">
        <f>SPI[[#Totals],[Posten]]</f>
        <v>Gesamt</v>
      </c>
      <c r="C104">
        <f>'Budgetierte Kosten'!P11/1000</f>
        <v>1500</v>
      </c>
      <c r="D104" s="29">
        <f>($E$92-EV[[#Totals],[1]])/(CPI[[#Totals],[1]]*1000)</f>
        <v>1421.4408065290447</v>
      </c>
      <c r="E104" s="29">
        <f>($E$92-EV[[#Totals],[2]])/(CPI[[#Totals],[2]]*1000)</f>
        <v>17000.437823490378</v>
      </c>
      <c r="F104" s="29">
        <f>($E$92-EV[[#Totals],[3]])/(CPI[[#Totals],[3]]*1000)</f>
        <v>11084.525473510843</v>
      </c>
      <c r="G104" s="29">
        <f>($E$92-EV[[#Totals],[4]])/(CPI[[#Totals],[4]]*1000)</f>
        <v>6591.5452387760943</v>
      </c>
      <c r="H104" s="29">
        <f>($E$92-EV[[#Totals],[5]])/(CPI[[#Totals],[5]]*1000)</f>
        <v>4420.0276504297999</v>
      </c>
      <c r="I104" s="29">
        <f>($E$92-EV[[#Totals],[6]])/(CPI[[#Totals],[6]]*1000)</f>
        <v>2589.8308079652097</v>
      </c>
      <c r="J104" s="29">
        <f>($E$92-EV[[#Totals],[7]])/(CPI[[#Totals],[7]]*1000)</f>
        <v>1313.1617942535665</v>
      </c>
    </row>
    <row r="106" spans="1:18" x14ac:dyDescent="0.2">
      <c r="L106" s="2" t="s">
        <v>88</v>
      </c>
      <c r="M106">
        <f>SUM(ETC[7 '[k €']])</f>
        <v>955.91504329004329</v>
      </c>
    </row>
    <row r="107" spans="1:18" ht="23.25" x14ac:dyDescent="0.35">
      <c r="A107" s="33" t="s">
        <v>69</v>
      </c>
    </row>
    <row r="109" spans="1:18" x14ac:dyDescent="0.2">
      <c r="B109" t="s">
        <v>16</v>
      </c>
      <c r="C109" t="s">
        <v>90</v>
      </c>
      <c r="D109" t="s">
        <v>72</v>
      </c>
      <c r="E109" t="s">
        <v>73</v>
      </c>
      <c r="F109" t="s">
        <v>74</v>
      </c>
      <c r="G109" t="s">
        <v>75</v>
      </c>
      <c r="H109" t="s">
        <v>76</v>
      </c>
      <c r="I109" t="s">
        <v>77</v>
      </c>
      <c r="J109" t="s">
        <v>78</v>
      </c>
    </row>
    <row r="110" spans="1:18" x14ac:dyDescent="0.2">
      <c r="B110" t="str">
        <f t="shared" ref="B110:C116" si="29">B97</f>
        <v>Anforderungsanalyse</v>
      </c>
      <c r="C110">
        <f>C97</f>
        <v>144</v>
      </c>
      <c r="D110" s="29">
        <f>IF(D69=$M$70,$M$70,'Budgetierte Kosten'!$P2/(D69*1000))</f>
        <v>121.42857142857144</v>
      </c>
      <c r="E110" s="29">
        <f>IF(E69=$M$70,$M$70,'Budgetierte Kosten'!$P2/(E69*1000))</f>
        <v>1700</v>
      </c>
      <c r="F110" s="29">
        <f>IF(F69=$M$70,$M$70,'Budgetierte Kosten'!$P2/(F69*1000))</f>
        <v>1309</v>
      </c>
      <c r="G110" s="29">
        <f>IF(G69=$M$70,$M$70,'Budgetierte Kosten'!$P2/(G69*1000))</f>
        <v>450.49999999999994</v>
      </c>
      <c r="H110" s="29">
        <f>IF(H69=$M$70,$M$70,'Budgetierte Kosten'!$P2/(H69*1000))</f>
        <v>270.3</v>
      </c>
      <c r="I110" s="29">
        <f>IF(I69=$M$70,$M$70,'Budgetierte Kosten'!$P2/(I69*1000))</f>
        <v>168.9375</v>
      </c>
      <c r="J110" s="29">
        <f>IF(J69=$M$70,$M$70,'Budgetierte Kosten'!$P2/(J69*1000))</f>
        <v>150.16666666666669</v>
      </c>
      <c r="L110" s="2" t="s">
        <v>18</v>
      </c>
      <c r="M110" s="2" t="s">
        <v>70</v>
      </c>
    </row>
    <row r="111" spans="1:18" x14ac:dyDescent="0.2">
      <c r="B111" t="str">
        <f t="shared" si="29"/>
        <v>Design und Architektur</v>
      </c>
      <c r="C111">
        <f t="shared" si="29"/>
        <v>236</v>
      </c>
      <c r="D111" s="29">
        <f>IF(D70=$M$70,$M$70,'Budgetierte Kosten'!$P3/(D70*1000))</f>
        <v>236</v>
      </c>
      <c r="E111" s="29">
        <f>IF(E70=$M$70,$M$70,'Budgetierte Kosten'!$P3/(E70*1000))</f>
        <v>236</v>
      </c>
      <c r="F111" s="29">
        <f>IF(F70=$M$70,$M$70,'Budgetierte Kosten'!$P3/(F70*1000))</f>
        <v>236</v>
      </c>
      <c r="G111" s="29">
        <f>IF(G70=$M$70,$M$70,'Budgetierte Kosten'!$P3/(G70*1000))</f>
        <v>850.00000000000011</v>
      </c>
      <c r="H111" s="29">
        <f>IF(H70=$M$70,$M$70,'Budgetierte Kosten'!$P3/(H70*1000))</f>
        <v>1190.0000000000002</v>
      </c>
      <c r="I111" s="29">
        <f>IF(I70=$M$70,$M$70,'Budgetierte Kosten'!$P3/(I70*1000))</f>
        <v>790.50000000000011</v>
      </c>
      <c r="J111" s="29">
        <f>IF(J70=$M$70,$M$70,'Budgetierte Kosten'!$P3/(J70*1000))</f>
        <v>218.87499999999997</v>
      </c>
    </row>
    <row r="112" spans="1:18" x14ac:dyDescent="0.2">
      <c r="B112" t="str">
        <f t="shared" si="29"/>
        <v>Implementierung</v>
      </c>
      <c r="C112">
        <f t="shared" si="29"/>
        <v>392</v>
      </c>
      <c r="D112" s="29">
        <f>IF(D71=$M$70,$M$70,'Budgetierte Kosten'!$P4/(D71*1000))</f>
        <v>392</v>
      </c>
      <c r="E112" s="29">
        <f>IF(E71=$M$70,$M$70,'Budgetierte Kosten'!$P4/(E71*1000))</f>
        <v>392</v>
      </c>
      <c r="F112" s="29">
        <f>IF(F71=$M$70,$M$70,'Budgetierte Kosten'!$P4/(F71*1000))</f>
        <v>392</v>
      </c>
      <c r="G112" s="29">
        <f>IF(G71=$M$70,$M$70,'Budgetierte Kosten'!$P4/(G71*1000))</f>
        <v>392</v>
      </c>
      <c r="H112" s="29">
        <f>IF(H71=$M$70,$M$70,'Budgetierte Kosten'!$P4/(H71*1000))</f>
        <v>392</v>
      </c>
      <c r="I112" s="29">
        <f>IF(I71=$M$70,$M$70,'Budgetierte Kosten'!$P4/(I71*1000))</f>
        <v>212.5</v>
      </c>
      <c r="J112" s="29">
        <f>IF(J71=$M$70,$M$70,'Budgetierte Kosten'!$P4/(J71*1000))</f>
        <v>170.00000000000003</v>
      </c>
    </row>
    <row r="113" spans="2:13" x14ac:dyDescent="0.2">
      <c r="B113" t="str">
        <f t="shared" si="29"/>
        <v>Integration und Test</v>
      </c>
      <c r="C113">
        <f t="shared" si="29"/>
        <v>252</v>
      </c>
      <c r="D113" s="29">
        <f>IF(D72=$M$70,$M$70,'Budgetierte Kosten'!$P5/(D72*1000))</f>
        <v>252</v>
      </c>
      <c r="E113" s="29">
        <f>IF(E72=$M$70,$M$70,'Budgetierte Kosten'!$P5/(E72*1000))</f>
        <v>252</v>
      </c>
      <c r="F113" s="29">
        <f>IF(F72=$M$70,$M$70,'Budgetierte Kosten'!$P5/(F72*1000))</f>
        <v>252</v>
      </c>
      <c r="G113" s="29">
        <f>IF(G72=$M$70,$M$70,'Budgetierte Kosten'!$P5/(G72*1000))</f>
        <v>252</v>
      </c>
      <c r="H113" s="29">
        <f>IF(H72=$M$70,$M$70,'Budgetierte Kosten'!$P5/(H72*1000))</f>
        <v>252</v>
      </c>
      <c r="I113" s="29">
        <f>IF(I72=$M$70,$M$70,'Budgetierte Kosten'!$P5/(I72*1000))</f>
        <v>252</v>
      </c>
      <c r="J113" s="29">
        <f>IF(J72=$M$70,$M$70,'Budgetierte Kosten'!$P5/(J72*1000))</f>
        <v>119.00000000000001</v>
      </c>
    </row>
    <row r="114" spans="2:13" x14ac:dyDescent="0.2">
      <c r="B114" t="str">
        <f t="shared" si="29"/>
        <v>Projektmanagement</v>
      </c>
      <c r="C114">
        <f t="shared" si="29"/>
        <v>286</v>
      </c>
      <c r="D114" s="29">
        <f>IF(D73=$M$70,$M$70,'Budgetierte Kosten'!$P6/(D73*1000))</f>
        <v>318.75</v>
      </c>
      <c r="E114" s="29">
        <f>IF(E73=$M$70,$M$70,'Budgetierte Kosten'!$P6/(E73*1000))</f>
        <v>1869.9999999999998</v>
      </c>
      <c r="F114" s="29">
        <f>IF(F73=$M$70,$M$70,'Budgetierte Kosten'!$P6/(F73*1000))</f>
        <v>849.99999999999989</v>
      </c>
      <c r="G114" s="29">
        <f>IF(G73=$M$70,$M$70,'Budgetierte Kosten'!$P6/(G73*1000))</f>
        <v>765</v>
      </c>
      <c r="H114" s="29">
        <f>IF(H73=$M$70,$M$70,'Budgetierte Kosten'!$P6/(H73*1000))</f>
        <v>566.66666666666663</v>
      </c>
      <c r="I114" s="29">
        <f>IF(I73=$M$70,$M$70,'Budgetierte Kosten'!$P6/(I73*1000))</f>
        <v>467.49999999999994</v>
      </c>
      <c r="J114" s="29">
        <f>IF(J73=$M$70,$M$70,'Budgetierte Kosten'!$P6/(J73*1000))</f>
        <v>408.00000000000006</v>
      </c>
    </row>
    <row r="115" spans="2:13" x14ac:dyDescent="0.2">
      <c r="B115" t="str">
        <f t="shared" si="29"/>
        <v>Puffer für unerwartetes</v>
      </c>
      <c r="C115">
        <f t="shared" si="29"/>
        <v>104</v>
      </c>
      <c r="D115" s="29">
        <f>IF(D74=$M$70,$M$70,'Budgetierte Kosten'!$P7/(D74*1000))</f>
        <v>169.99999999999997</v>
      </c>
      <c r="E115" s="29">
        <f>IF(E74=$M$70,$M$70,'Budgetierte Kosten'!$P7/(E74*1000))</f>
        <v>3332</v>
      </c>
      <c r="F115" s="29">
        <f>IF(F74=$M$70,$M$70,'Budgetierte Kosten'!$P7/(F74*1000))</f>
        <v>3026</v>
      </c>
      <c r="G115" s="29">
        <f>IF(G74=$M$70,$M$70,'Budgetierte Kosten'!$P7/(G74*1000))</f>
        <v>1704.25</v>
      </c>
      <c r="H115" s="29">
        <f>IF(H74=$M$70,$M$70,'Budgetierte Kosten'!$P7/(H74*1000))</f>
        <v>1150.3333333333333</v>
      </c>
      <c r="I115" s="29">
        <f>IF(I74=$M$70,$M$70,'Budgetierte Kosten'!$P7/(I74*1000))</f>
        <v>776.33333333333326</v>
      </c>
      <c r="J115" s="29">
        <f>IF(J74=$M$70,$M$70,'Budgetierte Kosten'!$P7/(J74*1000))</f>
        <v>642.90909090909088</v>
      </c>
    </row>
    <row r="116" spans="2:13" x14ac:dyDescent="0.2">
      <c r="B116" t="str">
        <f t="shared" si="29"/>
        <v>Materialkosten</v>
      </c>
      <c r="C116">
        <f t="shared" si="29"/>
        <v>86</v>
      </c>
      <c r="D116" s="29">
        <f>IF(D75=$M$70,$M$70,'Budgetierte Kosten'!$O11/(D75*1000))</f>
        <v>100</v>
      </c>
      <c r="E116" s="29">
        <f>IF(E75=$M$70,$M$70,'Budgetierte Kosten'!$O11/(E75*1000))</f>
        <v>87.5</v>
      </c>
      <c r="F116" s="29">
        <f>IF(F75=$M$70,$M$70,'Budgetierte Kosten'!$O11/(F75*1000))</f>
        <v>81.666666666666671</v>
      </c>
      <c r="G116" s="29">
        <f>IF(G75=$M$70,$M$70,'Budgetierte Kosten'!$O11/(G75*1000))</f>
        <v>80</v>
      </c>
      <c r="H116" s="29">
        <f>IF(H75=$M$70,$M$70,'Budgetierte Kosten'!$O11/(H75*1000))</f>
        <v>74</v>
      </c>
      <c r="I116" s="29">
        <f>IF(I75=$M$70,$M$70,'Budgetierte Kosten'!$O11/(I75*1000))</f>
        <v>125</v>
      </c>
      <c r="J116" s="29">
        <f>IF(J75=$M$70,$M$70,'Budgetierte Kosten'!$O11/(J75*1000))</f>
        <v>115.71428571428569</v>
      </c>
    </row>
    <row r="117" spans="2:13" x14ac:dyDescent="0.2">
      <c r="B117" t="str">
        <f>ETC[[#Totals],[Posten]]</f>
        <v>Gesamt</v>
      </c>
      <c r="C117">
        <f>ETC[[#Totals],[0 '[k €']]]</f>
        <v>1500</v>
      </c>
      <c r="D117" s="29">
        <f>$E$92/(CPI[[#Totals],[1]]*1000)</f>
        <v>1505.0408065290449</v>
      </c>
      <c r="E117" s="29">
        <f>$E$92/(CPI[[#Totals],[2]]*1000)</f>
        <v>17349.03782349038</v>
      </c>
      <c r="F117" s="29">
        <f>$E$92/(CPI[[#Totals],[3]]*1000)</f>
        <v>11650.425473510844</v>
      </c>
      <c r="G117" s="29">
        <f>$E$92/(CPI[[#Totals],[4]]*1000)</f>
        <v>7269.4452387760939</v>
      </c>
      <c r="H117" s="29">
        <f>$E$92/(CPI[[#Totals],[5]]*1000)</f>
        <v>5137.1776504297995</v>
      </c>
      <c r="I117" s="29">
        <f>$E$92/(CPI[[#Totals],[6]]*1000)</f>
        <v>3376.6308079652094</v>
      </c>
      <c r="J117" s="29">
        <f>$E$92/(CPI[[#Totals],[7]]*1000)</f>
        <v>2181.9117942535663</v>
      </c>
      <c r="L117" s="2" t="s">
        <v>88</v>
      </c>
      <c r="M117">
        <f>J110*J69</f>
        <v>144</v>
      </c>
    </row>
    <row r="118" spans="2:13" x14ac:dyDescent="0.2">
      <c r="L118">
        <f t="shared" ref="L118:L124" si="30">J111*J70</f>
        <v>235.99999999999997</v>
      </c>
    </row>
    <row r="119" spans="2:13" x14ac:dyDescent="0.2">
      <c r="L119">
        <f t="shared" si="30"/>
        <v>392.00000000000006</v>
      </c>
    </row>
    <row r="120" spans="2:13" x14ac:dyDescent="0.2">
      <c r="L120">
        <f t="shared" si="30"/>
        <v>252.00000000000003</v>
      </c>
    </row>
    <row r="121" spans="2:13" x14ac:dyDescent="0.2">
      <c r="L121">
        <f t="shared" si="30"/>
        <v>286</v>
      </c>
    </row>
    <row r="122" spans="2:13" x14ac:dyDescent="0.2">
      <c r="L122">
        <f t="shared" si="30"/>
        <v>104</v>
      </c>
    </row>
    <row r="123" spans="2:13" x14ac:dyDescent="0.2">
      <c r="L123">
        <f t="shared" si="30"/>
        <v>86</v>
      </c>
    </row>
    <row r="124" spans="2:13" x14ac:dyDescent="0.2">
      <c r="L124">
        <f t="shared" si="30"/>
        <v>1499.9999999999998</v>
      </c>
      <c r="M124">
        <f>SUM(L117:L123)</f>
        <v>1356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E48" sqref="E4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55</v>
      </c>
    </row>
    <row r="3" spans="1:11" x14ac:dyDescent="0.2">
      <c r="J3" t="s">
        <v>47</v>
      </c>
      <c r="K3">
        <v>0.95</v>
      </c>
    </row>
    <row r="4" spans="1:11" x14ac:dyDescent="0.2">
      <c r="B4" t="s">
        <v>16</v>
      </c>
      <c r="C4" t="s">
        <v>41</v>
      </c>
      <c r="D4" t="s">
        <v>42</v>
      </c>
      <c r="E4" t="s">
        <v>43</v>
      </c>
      <c r="F4" t="s">
        <v>46</v>
      </c>
      <c r="G4" t="s">
        <v>44</v>
      </c>
      <c r="H4" t="s">
        <v>45</v>
      </c>
      <c r="J4" t="s">
        <v>48</v>
      </c>
      <c r="K4">
        <v>1</v>
      </c>
    </row>
    <row r="5" spans="1:11" x14ac:dyDescent="0.2">
      <c r="B5" t="str">
        <f>Kennzahlen!B56</f>
        <v>Anforderungsanalyse</v>
      </c>
      <c r="C5" s="29">
        <f>Kennzahlen!J69</f>
        <v>0.95893451720310763</v>
      </c>
      <c r="D5" s="29">
        <f>Kennzahlen!J82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IF(C18=Kennzahlen!$M$70,Kennzahlen!$M$70,IF(OR(ABS(Tabelle9[[#This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Kennzahlen!J70</f>
        <v>1.0782410051399201</v>
      </c>
      <c r="D6" s="29">
        <f>Kennzahlen!J83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IF(C19=Kennzahlen!$M$70,Kennzahlen!$M$70,IF(OR(ABS(Tabelle9[[#This Row],[CPI]]-C19)&lt;=$K$13),$K$12, IF(OR(Tabelle9[[#This Row],[CPI]]&lt;C19,Tabelle9[[#This Row],[SPI]]&lt;D19), $K$11, $K$10)))</f>
        <v>POS</v>
      </c>
      <c r="J6" t="s">
        <v>49</v>
      </c>
      <c r="K6" t="s">
        <v>50</v>
      </c>
    </row>
    <row r="7" spans="1:11" x14ac:dyDescent="0.2">
      <c r="B7" t="str">
        <f>Kennzahlen!B58</f>
        <v>Implementierung</v>
      </c>
      <c r="C7" s="29">
        <f>Kennzahlen!J71</f>
        <v>2.3058823529411763</v>
      </c>
      <c r="D7" s="29">
        <f>Kennzahlen!J84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IF(C20=Kennzahlen!$M$70,Kennzahlen!$M$70,IF(OR(ABS(Tabelle9[[#This Row],[CPI]]-C20)&lt;=$K$13),$K$12, IF(OR(Tabelle9[[#This Row],[CPI]]&lt;C20,Tabelle9[[#This Row],[SPI]]&lt;D20), $K$11, $K$10)))</f>
        <v>POS</v>
      </c>
      <c r="J7" t="s">
        <v>51</v>
      </c>
      <c r="K7" t="s">
        <v>52</v>
      </c>
    </row>
    <row r="8" spans="1:11" x14ac:dyDescent="0.2">
      <c r="B8" t="str">
        <f>Kennzahlen!B59</f>
        <v>Integration und Test</v>
      </c>
      <c r="C8" s="29">
        <f>Kennzahlen!J72</f>
        <v>2.1176470588235294</v>
      </c>
      <c r="D8" s="29">
        <f>Kennzahlen!J85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IF(C21=Kennzahlen!$M$70,Kennzahlen!$M$70,IF(OR(ABS(Tabelle9[[#This Row],[CPI]]-C21)&lt;=$K$13),$K$12, IF(OR(Tabelle9[[#This Row],[CPI]]&lt;C21,Tabelle9[[#This Row],[SPI]]&lt;D21), $K$11, $K$10)))</f>
        <v>POS</v>
      </c>
      <c r="J8" t="s">
        <v>53</v>
      </c>
      <c r="K8" t="s">
        <v>54</v>
      </c>
    </row>
    <row r="9" spans="1:11" x14ac:dyDescent="0.2">
      <c r="B9" t="str">
        <f>Kennzahlen!B60</f>
        <v>Projektmanagement</v>
      </c>
      <c r="C9" s="29">
        <f>Kennzahlen!J73</f>
        <v>0.7009803921568627</v>
      </c>
      <c r="D9" s="29">
        <f>Kennzahlen!J86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IF(C22=Kennzahlen!$M$70,Kennzahlen!$M$70,IF(OR(ABS(Tabelle9[[#This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Kennzahlen!J74</f>
        <v>0.16176470588235295</v>
      </c>
      <c r="D10" s="29">
        <f>Kennzahlen!J87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IF(C23=Kennzahlen!$M$70,Kennzahlen!$M$70,IF(OR(ABS(Tabelle9[[#This Row],[CPI]]-C23)&lt;=$K$13),$K$12, IF(OR(Tabelle9[[#This Row],[CPI]]&lt;C23,Tabelle9[[#This Row],[SPI]]&lt;D23), $K$11, $K$10)))</f>
        <v>EQ</v>
      </c>
      <c r="J10" t="s">
        <v>57</v>
      </c>
      <c r="K10" t="s">
        <v>59</v>
      </c>
    </row>
    <row r="11" spans="1:11" x14ac:dyDescent="0.2">
      <c r="B11" t="str">
        <f>Kennzahlen!B62</f>
        <v>Materialkosten</v>
      </c>
      <c r="C11" s="29">
        <f>Kennzahlen!J75</f>
        <v>0.74320987654321002</v>
      </c>
      <c r="D11" s="29">
        <f>Kennzahlen!J88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IF(C24=Kennzahlen!$M$70,Kennzahlen!$M$70,IF(OR(ABS(Tabelle9[[#This Row],[CPI]]-C24)&lt;=$K$13),$K$12, IF(OR(Tabelle9[[#This Row],[CPI]]&lt;C24,Tabelle9[[#This Row],[SPI]]&lt;D24), $K$11, $K$10)))</f>
        <v>NEG</v>
      </c>
      <c r="J11" t="s">
        <v>58</v>
      </c>
      <c r="K11" t="s">
        <v>60</v>
      </c>
    </row>
    <row r="12" spans="1:11" x14ac:dyDescent="0.2">
      <c r="B12" t="str">
        <f>Kennzahlen!B63</f>
        <v>Gesamt</v>
      </c>
      <c r="C12" s="29">
        <f>Kennzahlen!J76</f>
        <v>0.68747050359712225</v>
      </c>
      <c r="D12" s="29">
        <f>Kennzahlen!J89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IF(C25=Kennzahlen!$M$70,Kennzahlen!$M$70,IF(OR(ABS(Tabelle9[[#This Row],[CPI]]-C25)&lt;=$K$13),$K$12, IF(OR(Tabelle9[[#This Row],[CPI]]&lt;C25,Tabelle9[[#This Row],[SPI]]&lt;D25), $K$11, $K$10)))</f>
        <v>POS</v>
      </c>
      <c r="J12" t="s">
        <v>62</v>
      </c>
      <c r="K12" t="s">
        <v>61</v>
      </c>
    </row>
    <row r="13" spans="1:11" x14ac:dyDescent="0.2">
      <c r="J13" t="s">
        <v>65</v>
      </c>
      <c r="K13">
        <v>0.05</v>
      </c>
    </row>
    <row r="15" spans="1:11" ht="23.25" x14ac:dyDescent="0.35">
      <c r="A15" s="27" t="s">
        <v>56</v>
      </c>
    </row>
    <row r="17" spans="2:8" x14ac:dyDescent="0.2">
      <c r="B17" t="s">
        <v>16</v>
      </c>
      <c r="C17" t="s">
        <v>41</v>
      </c>
      <c r="D17" t="s">
        <v>42</v>
      </c>
      <c r="E17" t="s">
        <v>43</v>
      </c>
      <c r="F17" t="s">
        <v>46</v>
      </c>
      <c r="G17" t="s">
        <v>44</v>
      </c>
      <c r="H17" t="s">
        <v>45</v>
      </c>
    </row>
    <row r="18" spans="2:8" x14ac:dyDescent="0.2">
      <c r="B18" t="str">
        <f>Kennzahlen!B69</f>
        <v>Anforderungsanalyse</v>
      </c>
      <c r="C18" s="29">
        <f>Kennzahlen!I69</f>
        <v>0.85238623751387343</v>
      </c>
      <c r="D18" s="29">
        <f>Kennzahlen!I82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Kennzahlen!I70</f>
        <v>0.29854522454142945</v>
      </c>
      <c r="D19" s="29">
        <f>Kennzahlen!I83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Kennzahlen!I71</f>
        <v>1.8447058823529412</v>
      </c>
      <c r="D20" s="29">
        <f>Kennzahlen!I84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>
        <f>Kennzahlen!I72</f>
        <v>1</v>
      </c>
      <c r="D21" s="29">
        <f>Kennzahlen!I85</f>
        <v>1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Kennzahlen!I73</f>
        <v>0.61176470588235299</v>
      </c>
      <c r="D22" s="29">
        <f>Kennzahlen!I86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Kennzahlen!I74</f>
        <v>0.13396307428080723</v>
      </c>
      <c r="D23" s="29">
        <f>Kennzahlen!I87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Kennzahlen!I75</f>
        <v>0.68799999999999994</v>
      </c>
      <c r="D24" s="29">
        <f>Kennzahlen!I88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Kennzahlen!I76</f>
        <v>0.44422979156075243</v>
      </c>
      <c r="D25" s="29">
        <f>Kennzahlen!I89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31" priority="13" operator="greaterThanOrEqual">
      <formula>$K$4</formula>
    </cfRule>
    <cfRule type="cellIs" dxfId="30" priority="14" operator="lessThan">
      <formula>$K$3</formula>
    </cfRule>
    <cfRule type="cellIs" dxfId="29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0" zoomScale="130" zoomScaleNormal="130" workbookViewId="0">
      <selection activeCell="I138" sqref="I138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85</v>
      </c>
      <c r="Q1" s="2" t="s">
        <v>86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84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79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21" sqref="D21"/>
    </sheetView>
  </sheetViews>
  <sheetFormatPr baseColWidth="10" defaultRowHeight="12.95" customHeight="1" x14ac:dyDescent="0.2"/>
  <cols>
    <col min="1" max="1" width="38.5703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87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2017-04-01T07:13:47Z</dcterms:modified>
</cp:coreProperties>
</file>