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D36" i="4" l="1"/>
  <c r="E36" i="4"/>
  <c r="F36" i="4"/>
  <c r="G36" i="4"/>
  <c r="H36" i="4"/>
  <c r="I36" i="4"/>
  <c r="C36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D30" i="4"/>
  <c r="E30" i="4"/>
  <c r="F30" i="4"/>
  <c r="G30" i="4"/>
  <c r="H30" i="4"/>
  <c r="I30" i="4"/>
  <c r="C30" i="4"/>
  <c r="F19" i="6" l="1"/>
  <c r="F20" i="6"/>
  <c r="F21" i="6"/>
  <c r="F22" i="6"/>
  <c r="F23" i="6"/>
  <c r="F24" i="6"/>
  <c r="F25" i="6"/>
  <c r="F18" i="6"/>
  <c r="F12" i="6"/>
  <c r="F5" i="6"/>
  <c r="B25" i="6"/>
  <c r="E25" i="6"/>
  <c r="B12" i="6"/>
  <c r="E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D11" i="4"/>
  <c r="E11" i="4"/>
  <c r="F11" i="4"/>
  <c r="G11" i="4"/>
  <c r="H11" i="4"/>
  <c r="I11" i="4"/>
  <c r="C11" i="4"/>
  <c r="B23" i="4" l="1"/>
  <c r="B36" i="4" s="1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I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I37" i="4" l="1"/>
  <c r="B17" i="4"/>
  <c r="B30" i="4" s="1"/>
  <c r="B43" i="4" s="1"/>
  <c r="B56" i="4" s="1"/>
  <c r="C111" i="4"/>
  <c r="C98" i="4"/>
  <c r="H100" i="4"/>
  <c r="H113" i="4"/>
  <c r="D100" i="4"/>
  <c r="D113" i="4"/>
  <c r="G99" i="4"/>
  <c r="G112" i="4"/>
  <c r="C99" i="4"/>
  <c r="C112" i="4"/>
  <c r="D112" i="4"/>
  <c r="D99" i="4"/>
  <c r="G100" i="4"/>
  <c r="G113" i="4"/>
  <c r="C113" i="4"/>
  <c r="C100" i="4"/>
  <c r="F99" i="4"/>
  <c r="F112" i="4"/>
  <c r="E98" i="4"/>
  <c r="E111" i="4"/>
  <c r="E113" i="4"/>
  <c r="E100" i="4"/>
  <c r="F100" i="4"/>
  <c r="F113" i="4"/>
  <c r="E99" i="4"/>
  <c r="E112" i="4"/>
  <c r="D111" i="4"/>
  <c r="D98" i="4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G56" i="4" l="1"/>
  <c r="G37" i="4"/>
  <c r="F69" i="4"/>
  <c r="F110" i="4" s="1"/>
  <c r="F37" i="4"/>
  <c r="H56" i="4"/>
  <c r="H37" i="4"/>
  <c r="I63" i="4"/>
  <c r="C82" i="4"/>
  <c r="C37" i="4"/>
  <c r="D56" i="4"/>
  <c r="D37" i="4"/>
  <c r="E69" i="4"/>
  <c r="E97" i="4" s="1"/>
  <c r="E37" i="4"/>
  <c r="I76" i="4"/>
  <c r="I104" i="4" s="1"/>
  <c r="I89" i="4"/>
  <c r="D12" i="6" s="1"/>
  <c r="I50" i="4"/>
  <c r="C74" i="4"/>
  <c r="C115" i="4" s="1"/>
  <c r="D5" i="6"/>
  <c r="F47" i="4"/>
  <c r="G48" i="4"/>
  <c r="C87" i="4"/>
  <c r="B5" i="6"/>
  <c r="B69" i="4"/>
  <c r="B18" i="6" s="1"/>
  <c r="I113" i="4"/>
  <c r="I100" i="4"/>
  <c r="I103" i="4"/>
  <c r="I116" i="4"/>
  <c r="I97" i="4"/>
  <c r="I110" i="4"/>
  <c r="E116" i="4"/>
  <c r="E103" i="4"/>
  <c r="I112" i="4"/>
  <c r="I99" i="4"/>
  <c r="I111" i="4"/>
  <c r="I98" i="4"/>
  <c r="I101" i="4"/>
  <c r="I114" i="4"/>
  <c r="I115" i="4"/>
  <c r="I102" i="4"/>
  <c r="E101" i="4"/>
  <c r="E114" i="4"/>
  <c r="H102" i="4"/>
  <c r="H115" i="4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G6" i="6"/>
  <c r="C88" i="4"/>
  <c r="E83" i="4"/>
  <c r="E87" i="4"/>
  <c r="D82" i="4"/>
  <c r="F87" i="4"/>
  <c r="B70" i="4"/>
  <c r="B6" i="6"/>
  <c r="G11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C63" i="4" s="1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E63" i="4" l="1"/>
  <c r="C102" i="4"/>
  <c r="G5" i="6"/>
  <c r="E110" i="4"/>
  <c r="F50" i="4"/>
  <c r="F76" i="4"/>
  <c r="F117" i="4" s="1"/>
  <c r="F89" i="4"/>
  <c r="D76" i="4"/>
  <c r="D117" i="4" s="1"/>
  <c r="D89" i="4"/>
  <c r="D50" i="4"/>
  <c r="F97" i="4"/>
  <c r="C12" i="6"/>
  <c r="G12" i="6" s="1"/>
  <c r="I117" i="4"/>
  <c r="D63" i="4"/>
  <c r="H76" i="4"/>
  <c r="H89" i="4"/>
  <c r="D25" i="6" s="1"/>
  <c r="H104" i="4"/>
  <c r="H50" i="4"/>
  <c r="G89" i="4"/>
  <c r="G50" i="4"/>
  <c r="G76" i="4"/>
  <c r="G117" i="4" s="1"/>
  <c r="F63" i="4"/>
  <c r="E76" i="4"/>
  <c r="E117" i="4" s="1"/>
  <c r="E89" i="4"/>
  <c r="E50" i="4"/>
  <c r="C104" i="4"/>
  <c r="C50" i="4"/>
  <c r="C89" i="4"/>
  <c r="C76" i="4"/>
  <c r="C117" i="4" s="1"/>
  <c r="H63" i="4"/>
  <c r="G63" i="4"/>
  <c r="H10" i="6"/>
  <c r="G23" i="6"/>
  <c r="C114" i="4"/>
  <c r="C101" i="4"/>
  <c r="H110" i="4"/>
  <c r="H97" i="4"/>
  <c r="G101" i="4"/>
  <c r="G114" i="4"/>
  <c r="G111" i="4"/>
  <c r="G98" i="4"/>
  <c r="F114" i="4"/>
  <c r="F101" i="4"/>
  <c r="H111" i="4"/>
  <c r="H98" i="4"/>
  <c r="C110" i="4"/>
  <c r="C97" i="4"/>
  <c r="F98" i="4"/>
  <c r="F111" i="4"/>
  <c r="D116" i="4"/>
  <c r="D103" i="4"/>
  <c r="D114" i="4"/>
  <c r="D101" i="4"/>
  <c r="H101" i="4"/>
  <c r="H114" i="4"/>
  <c r="E115" i="4"/>
  <c r="E102" i="4"/>
  <c r="D97" i="4"/>
  <c r="D110" i="4"/>
  <c r="G115" i="4"/>
  <c r="G102" i="4"/>
  <c r="G110" i="4"/>
  <c r="G97" i="4"/>
  <c r="H116" i="4"/>
  <c r="H103" i="4"/>
  <c r="H112" i="4"/>
  <c r="H99" i="4"/>
  <c r="F116" i="4"/>
  <c r="F103" i="4"/>
  <c r="C103" i="4"/>
  <c r="C116" i="4"/>
  <c r="D115" i="4"/>
  <c r="D102" i="4"/>
  <c r="F102" i="4"/>
  <c r="F115" i="4"/>
  <c r="G103" i="4"/>
  <c r="G116" i="4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D104" i="4" l="1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<sst xmlns="http://schemas.openxmlformats.org/spreadsheetml/2006/main" count="175" uniqueCount="82">
  <si>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</si>
  <si>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</si>
  <si>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</si>
  <si>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</si>
  <si>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</si>
  <si>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</si>
  <si>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</si>
  <si>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</si>
  <si>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</si>
  <si>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</si>
  <si>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</si>
  <si>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</si>
  <si>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</si>
  <si>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</si>
  <si>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</si>
  <si>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</si>
  <si>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</si>
  <si>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</si>
  <si>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</si>
  <si>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</si>
  <si>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</si>
  <si>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</si>
  <si>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</si>
  <si>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</si>
  <si>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</si>
  <si>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</si>
  <si>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</si>
  <si>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PV (Planed Value)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</si>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</sst>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9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6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05"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Anforderungsanalyse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Kennzahlen!$C$97:$I$97</c:f>
              <c:numCache>
                <c:formatCode>0.00</c:formatCode>
                <c:ptCount val="7"/>
                <c:pt idx="0">
                  <c:v>1222.3809523809525</c:v>
                </c:pt>
                <c:pt idx="1">
                  <c:v>17623.333333333332</c:v>
                </c:pt>
                <c:pt idx="2">
                  <c:v>13504.516666666666</c:v>
                </c:pt>
                <c:pt idx="3">
                  <c:v>4557.5583333333325</c:v>
                </c:pt>
                <c:pt idx="4">
                  <c:v>2680.4749999999999</c:v>
                </c:pt>
                <c:pt idx="5">
                  <c:v>1624.6156250000001</c:v>
                </c:pt>
                <c:pt idx="6">
                  <c:v>1429.0861111111112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F-47F6-ACF8-67F3B671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50192"/>
        <c:axId val="388253472"/>
      </c:scatterChart>
      <c:valAx>
        <c:axId val="3882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3472"/>
        <c:crosses val="autoZero"/>
        <c:crossBetween val="midCat"/>
      </c:valAx>
      <c:valAx>
        <c:axId val="388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1222.3809523809525</c:v>
                </c:pt>
                <c:pt idx="1">
                  <c:v>17623.333333333332</c:v>
                </c:pt>
                <c:pt idx="2">
                  <c:v>13504.516666666666</c:v>
                </c:pt>
                <c:pt idx="3">
                  <c:v>4557.5583333333325</c:v>
                </c:pt>
                <c:pt idx="4">
                  <c:v>2680.4749999999999</c:v>
                </c:pt>
                <c:pt idx="5">
                  <c:v>1624.6156250000001</c:v>
                </c:pt>
                <c:pt idx="6">
                  <c:v>1429.0861111111112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1264.8809523809525</c:v>
                </c:pt>
                <c:pt idx="1">
                  <c:v>17708.333333333332</c:v>
                </c:pt>
                <c:pt idx="2">
                  <c:v>13635.416666666666</c:v>
                </c:pt>
                <c:pt idx="3">
                  <c:v>4692.7083333333321</c:v>
                </c:pt>
                <c:pt idx="4">
                  <c:v>2815.625</c:v>
                </c:pt>
                <c:pt idx="5">
                  <c:v>1759.765625</c:v>
                </c:pt>
                <c:pt idx="6">
                  <c:v>1564.2361111111113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5360.0423728813566</c:v>
                </c:pt>
                <c:pt idx="4">
                  <c:v>7504.0593220338988</c:v>
                </c:pt>
                <c:pt idx="5">
                  <c:v>4945.314406779662</c:v>
                </c:pt>
                <c:pt idx="6">
                  <c:v>1303.604661016949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5402.5423728813566</c:v>
                </c:pt>
                <c:pt idx="4">
                  <c:v>7563.5593220338988</c:v>
                </c:pt>
                <c:pt idx="5">
                  <c:v>5024.3644067796613</c:v>
                </c:pt>
                <c:pt idx="6">
                  <c:v>1391.1546610169489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791.88775510204084</c:v>
                </c:pt>
                <c:pt idx="6">
                  <c:v>608.01020408163276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813.13775510204084</c:v>
                </c:pt>
                <c:pt idx="6">
                  <c:v>650.51020408163276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678.58333333333337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708.33333333333337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1646.2657342657342</c:v>
                </c:pt>
                <c:pt idx="1">
                  <c:v>9714.1923076923067</c:v>
                </c:pt>
                <c:pt idx="2">
                  <c:v>4330.5419580419575</c:v>
                </c:pt>
                <c:pt idx="3">
                  <c:v>3859.2377622377626</c:v>
                </c:pt>
                <c:pt idx="4">
                  <c:v>2802.0279720279718</c:v>
                </c:pt>
                <c:pt idx="5">
                  <c:v>2264.9230769230767</c:v>
                </c:pt>
                <c:pt idx="6">
                  <c:v>1935.8601398601402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1671.7657342657342</c:v>
                </c:pt>
                <c:pt idx="1">
                  <c:v>9807.6923076923067</c:v>
                </c:pt>
                <c:pt idx="2">
                  <c:v>4458.0419580419575</c:v>
                </c:pt>
                <c:pt idx="3">
                  <c:v>4012.2377622377626</c:v>
                </c:pt>
                <c:pt idx="4">
                  <c:v>2972.0279720279718</c:v>
                </c:pt>
                <c:pt idx="5">
                  <c:v>2451.9230769230767</c:v>
                </c:pt>
                <c:pt idx="6">
                  <c:v>2139.86013986014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2438.3230769230763</c:v>
                </c:pt>
                <c:pt idx="1">
                  <c:v>47891.092307692306</c:v>
                </c:pt>
                <c:pt idx="2">
                  <c:v>43341.630769230767</c:v>
                </c:pt>
                <c:pt idx="3">
                  <c:v>24239.678846153849</c:v>
                </c:pt>
                <c:pt idx="4">
                  <c:v>16246.246153846154</c:v>
                </c:pt>
                <c:pt idx="5">
                  <c:v>10847.765384615383</c:v>
                </c:pt>
                <c:pt idx="6">
                  <c:v>8919.1272727272717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2451.9230769230767</c:v>
                </c:pt>
                <c:pt idx="1">
                  <c:v>48057.692307692305</c:v>
                </c:pt>
                <c:pt idx="2">
                  <c:v>43644.230769230766</c:v>
                </c:pt>
                <c:pt idx="3">
                  <c:v>24580.528846153848</c:v>
                </c:pt>
                <c:pt idx="4">
                  <c:v>16591.346153846152</c:v>
                </c:pt>
                <c:pt idx="5">
                  <c:v>11197.115384615383</c:v>
                </c:pt>
                <c:pt idx="6">
                  <c:v>9272.7272727272721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1742.1860465116279</c:v>
                </c:pt>
                <c:pt idx="1">
                  <c:v>1522.6627906976744</c:v>
                </c:pt>
                <c:pt idx="2">
                  <c:v>1419.5186046511628</c:v>
                </c:pt>
                <c:pt idx="3">
                  <c:v>1388.9488372093024</c:v>
                </c:pt>
                <c:pt idx="4">
                  <c:v>1283.2976744186049</c:v>
                </c:pt>
                <c:pt idx="5">
                  <c:v>2165.2325581395348</c:v>
                </c:pt>
                <c:pt idx="6">
                  <c:v>2002.0724252491689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1744.1860465116279</c:v>
                </c:pt>
                <c:pt idx="1">
                  <c:v>1526.1627906976744</c:v>
                </c:pt>
                <c:pt idx="2">
                  <c:v>1424.4186046511629</c:v>
                </c:pt>
                <c:pt idx="3">
                  <c:v>1395.3488372093022</c:v>
                </c:pt>
                <c:pt idx="4">
                  <c:v>1290.6976744186047</c:v>
                </c:pt>
                <c:pt idx="5">
                  <c:v>2180.2325581395348</c:v>
                </c:pt>
                <c:pt idx="6">
                  <c:v>2018.2724252491689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95247</xdr:colOff>
      <xdr:row>1</xdr:row>
      <xdr:rowOff>40341</xdr:rowOff>
    </xdr:from>
    <xdr:to>
      <xdr:col>33</xdr:col>
      <xdr:colOff>95247</xdr:colOff>
      <xdr:row>18</xdr:row>
      <xdr:rowOff>116541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C8165B6-1761-4DE5-B9E3-9DF72546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97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96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95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94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93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92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91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39">
      <calculatedColumnFormula>B97</calculatedColumnFormula>
      <totalsRowFormula>ETC[[#Totals],[Posten]]</totalsRowFormula>
    </tableColumn>
    <tableColumn id="2" name="1 [k €]" totalsRowFunction="custom" dataDxfId="38">
      <calculatedColumnFormula>IF(C69=$L$70,$L$70,$E$92/(C69*1000))</calculatedColumnFormula>
      <totalsRowFormula>$E$92/(CPI[[#Totals],[1]]*1000)</totalsRowFormula>
    </tableColumn>
    <tableColumn id="3" name="2 [k €]" totalsRowFunction="custom" dataDxfId="37">
      <calculatedColumnFormula>IF(D69=$L$70,$L$70,$E$92/(D69*1000))</calculatedColumnFormula>
      <totalsRowFormula>$E$92/(CPI[[#Totals],[2]]*1000)</totalsRowFormula>
    </tableColumn>
    <tableColumn id="4" name="3 [k €]" totalsRowFunction="custom" dataDxfId="36">
      <calculatedColumnFormula>IF(E69=$L$70,$L$70,$E$92/(E69*1000))</calculatedColumnFormula>
      <totalsRowFormula>$E$92/(CPI[[#Totals],[3]]*1000)</totalsRowFormula>
    </tableColumn>
    <tableColumn id="5" name="4 [k €]" totalsRowFunction="custom" dataDxfId="35">
      <calculatedColumnFormula>IF(F69=$L$70,$L$70,$E$92/(F69*1000))</calculatedColumnFormula>
      <totalsRowFormula>$E$92/(CPI[[#Totals],[4]]*1000)</totalsRowFormula>
    </tableColumn>
    <tableColumn id="6" name="5 [k €]" totalsRowFunction="custom" dataDxfId="34">
      <calculatedColumnFormula>IF(G69=$L$70,$L$70,$E$92/(G69*1000))</calculatedColumnFormula>
      <totalsRowFormula>$E$92/(CPI[[#Totals],[5]]*1000)</totalsRowFormula>
    </tableColumn>
    <tableColumn id="7" name="6 [k €]" totalsRowFunction="custom" dataDxfId="33">
      <calculatedColumnFormula>IF(H69=$L$70,$L$70,$E$92/(H69*1000))</calculatedColumnFormula>
      <totalsRowFormula>$E$92/(CPI[[#Totals],[6]]*1000)</totalsRowFormula>
    </tableColumn>
    <tableColumn id="8" name="7 [k €]" totalsRowFunction="custom" dataDxfId="32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25">
      <calculatedColumnFormula>Kennzahlen!I69</calculatedColumnFormula>
    </tableColumn>
    <tableColumn id="3" name="SPI" dataDxfId="24">
      <calculatedColumnFormula>Kennzahlen!I82</calculatedColumnFormula>
    </tableColumn>
    <tableColumn id="4" name="Abgeschlossen" dataDxfId="23">
      <calculatedColumnFormula>'Fertigstellungsgrad der Akt.'!H2</calculatedColumnFormula>
    </tableColumn>
    <tableColumn id="5" name="Budget [k €]" dataDxfId="22"/>
    <tableColumn id="6" name="Status" dataDxfId="21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20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19">
      <calculatedColumnFormula>Kennzahlen!H69</calculatedColumnFormula>
    </tableColumn>
    <tableColumn id="3" name="SPI" dataDxfId="18">
      <calculatedColumnFormula>Kennzahlen!H82</calculatedColumnFormula>
    </tableColumn>
    <tableColumn id="4" name="Abgeschlossen" dataDxfId="17">
      <calculatedColumnFormula>'Fertigstellungsgrad der Akt.'!G2</calculatedColumnFormula>
    </tableColumn>
    <tableColumn id="5" name="Budget [k €]" dataDxfId="16">
      <calculatedColumnFormula>F5</calculatedColumnFormula>
    </tableColumn>
    <tableColumn id="6" name="Status" dataDxfId="15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4">
      <calculatedColumnFormula>B17</calculatedColumnFormula>
      <totalsRowFormula>AC[[#Totals],[Posten]]</totalsRowFormula>
    </tableColumn>
    <tableColumn id="2" name="1" totalsRowFunction="custom" dataDxfId="13" totalsRowDxfId="6">
      <calculatedColumnFormula>C4*'Fertigstellungsgrad der Akt.'!B2</calculatedColumnFormula>
      <totalsRowFormula>SUM(Tabelle2[1])</totalsRowFormula>
    </tableColumn>
    <tableColumn id="3" name="2" totalsRowFunction="custom" dataDxfId="12" totalsRowDxfId="5">
      <calculatedColumnFormula>D4*'Fertigstellungsgrad der Akt.'!C2</calculatedColumnFormula>
      <totalsRowFormula>SUM(Tabelle2[2])</totalsRowFormula>
    </tableColumn>
    <tableColumn id="4" name="3" totalsRowFunction="custom" dataDxfId="11" totalsRowDxfId="4">
      <calculatedColumnFormula>E4*'Fertigstellungsgrad der Akt.'!D2</calculatedColumnFormula>
      <totalsRowFormula>SUM(Tabelle2[3])</totalsRowFormula>
    </tableColumn>
    <tableColumn id="5" name="4" totalsRowFunction="custom" dataDxfId="10" totalsRowDxfId="3">
      <calculatedColumnFormula>F4*'Fertigstellungsgrad der Akt.'!E2</calculatedColumnFormula>
      <totalsRowFormula>SUM(Tabelle2[4])</totalsRowFormula>
    </tableColumn>
    <tableColumn id="6" name="5" totalsRowFunction="custom" dataDxfId="9" totalsRowDxfId="2">
      <calculatedColumnFormula>G4*'Fertigstellungsgrad der Akt.'!F2</calculatedColumnFormula>
      <totalsRowFormula>SUM(Tabelle2[5])</totalsRowFormula>
    </tableColumn>
    <tableColumn id="7" name="6" totalsRowFunction="custom" dataDxfId="8" totalsRowDxfId="1">
      <calculatedColumnFormula>H4*'Fertigstellungsgrad der Akt.'!G2</calculatedColumnFormula>
      <totalsRowFormula>SUM(Tabelle2[6])</totalsRowFormula>
    </tableColumn>
    <tableColumn id="8" name="7" totalsRowFunction="custom" dataDxfId="7" totalsRowDxfId="0">
      <calculatedColumnFormula>I4*'Fertigstellungsgrad der Akt.'!H2</calculatedColumnFormula>
      <totalsRowFormula>SUM(Tabelle2[7])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0">
      <calculatedColumnFormula>B4</calculatedColumnFormula>
      <totalsRowFormula>EV[[#Totals],[Posten]]</totalsRowFormula>
    </tableColumn>
    <tableColumn id="2" name="1" totalsRowFunction="custom" dataDxfId="89" totalsRowDxfId="88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87" totalsRowDxfId="86">
      <totalsRowFormula>SUM('Tatsächliche Kosten'!$B12:'Tatsächliche Kosten'!C12)</totalsRowFormula>
    </tableColumn>
    <tableColumn id="4" name="3" totalsRowFunction="custom" dataDxfId="85" totalsRowDxfId="84">
      <totalsRowFormula>SUM('Tatsächliche Kosten'!$B12:'Tatsächliche Kosten'!D12)</totalsRowFormula>
    </tableColumn>
    <tableColumn id="5" name="4" totalsRowFunction="custom" dataDxfId="83" totalsRowDxfId="82">
      <totalsRowFormula>SUM('Tatsächliche Kosten'!$B12:'Tatsächliche Kosten'!E12)</totalsRowFormula>
    </tableColumn>
    <tableColumn id="6" name="5" totalsRowFunction="custom" dataDxfId="81" totalsRowDxfId="80">
      <totalsRowFormula>SUM('Tatsächliche Kosten'!$B12:'Tatsächliche Kosten'!F12)</totalsRowFormula>
    </tableColumn>
    <tableColumn id="7" name="6" totalsRowFunction="custom" dataDxfId="79" totalsRowDxfId="78">
      <totalsRowFormula>SUM('Tatsächliche Kosten'!$B12:'Tatsächliche Kosten'!G12)</totalsRowFormula>
    </tableColumn>
    <tableColumn id="8" name="7" totalsRowFunction="custom" dataDxfId="77" totalsRowDxfId="76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Tabelle2[[#Totals],[Posten]]</totalsRowFormula>
    </tableColumn>
    <tableColumn id="2" name="1" totalsRowFunction="custom" dataDxfId="75">
      <calculatedColumnFormula>C30-C17</calculatedColumnFormula>
      <totalsRowFormula>Tabelle2[[#Totals],[1]]-AC[[#Totals],[1]]</totalsRowFormula>
    </tableColumn>
    <tableColumn id="3" name="2" totalsRowFunction="custom" dataDxfId="74">
      <calculatedColumnFormula>D30-D17</calculatedColumnFormula>
      <totalsRowFormula>Tabelle2[[#Totals],[2]]-AC[[#Totals],[2]]</totalsRowFormula>
    </tableColumn>
    <tableColumn id="4" name="3" totalsRowFunction="custom" dataDxfId="73">
      <calculatedColumnFormula>E30-E17</calculatedColumnFormula>
      <totalsRowFormula>Tabelle2[[#Totals],[3]]-AC[[#Totals],[3]]</totalsRowFormula>
    </tableColumn>
    <tableColumn id="5" name="4" totalsRowFunction="custom" dataDxfId="72">
      <calculatedColumnFormula>F30-F17</calculatedColumnFormula>
      <totalsRowFormula>Tabelle2[[#Totals],[4]]-AC[[#Totals],[4]]</totalsRowFormula>
    </tableColumn>
    <tableColumn id="6" name="5" totalsRowFunction="custom" dataDxfId="71">
      <calculatedColumnFormula>G30-G17</calculatedColumnFormula>
      <totalsRowFormula>Tabelle2[[#Totals],[5]]-AC[[#Totals],[5]]</totalsRowFormula>
    </tableColumn>
    <tableColumn id="7" name="6" totalsRowFunction="custom" dataDxfId="70">
      <calculatedColumnFormula>H30-H17</calculatedColumnFormula>
      <totalsRowFormula>Tabelle2[[#Totals],[6]]-AC[[#Totals],[6]]</totalsRowFormula>
    </tableColumn>
    <tableColumn id="8" name="7" totalsRowFunction="custom" dataDxfId="69">
      <calculatedColumnFormula>I30-I17</calculatedColumnFormula>
      <totalsRowFormula>Tabelle2[[#Totals],[7]]-AC[[#Totals],[7]]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68">
      <calculatedColumnFormula>C30-C4</calculatedColumnFormula>
      <totalsRowFormula>SUM(SV[1])</totalsRowFormula>
    </tableColumn>
    <tableColumn id="3" name="2" totalsRowFunction="custom" dataDxfId="67">
      <calculatedColumnFormula>D30-D4</calculatedColumnFormula>
      <totalsRowFormula>SUM(SV[2])</totalsRowFormula>
    </tableColumn>
    <tableColumn id="4" name="3" totalsRowFunction="custom" dataDxfId="66">
      <calculatedColumnFormula>E30-E4</calculatedColumnFormula>
      <totalsRowFormula>SUM(SV[3])</totalsRowFormula>
    </tableColumn>
    <tableColumn id="5" name="4" totalsRowFunction="custom" dataDxfId="65">
      <calculatedColumnFormula>F30-F4</calculatedColumnFormula>
      <totalsRowFormula>SUM(SV[4])</totalsRowFormula>
    </tableColumn>
    <tableColumn id="6" name="5" totalsRowFunction="custom" dataDxfId="64">
      <calculatedColumnFormula>G30-G4</calculatedColumnFormula>
      <totalsRowFormula>SUM(SV[5])</totalsRowFormula>
    </tableColumn>
    <tableColumn id="7" name="6" totalsRowFunction="custom" dataDxfId="63">
      <calculatedColumnFormula>H30-H4</calculatedColumnFormula>
      <totalsRowFormula>SUM(SV[6])</totalsRowFormula>
    </tableColumn>
    <tableColumn id="8" name="7" totalsRowFunction="custom" dataDxfId="62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1">
      <calculatedColumnFormula>IF(C17=0,$L$70,C30/C17)</calculatedColumnFormula>
      <totalsRowFormula>Tabelle2[[#Totals],[1]]/AC[[#Totals],[1]]</totalsRowFormula>
    </tableColumn>
    <tableColumn id="3" name="2" totalsRowFunction="custom" dataDxfId="60">
      <calculatedColumnFormula>IF(D17=0,$L$70,D30/D17)</calculatedColumnFormula>
      <totalsRowFormula>Tabelle2[[#Totals],[2]]/AC[[#Totals],[2]]</totalsRowFormula>
    </tableColumn>
    <tableColumn id="4" name="3" totalsRowFunction="custom" dataDxfId="59">
      <calculatedColumnFormula>IF(E17=0,$L$70,E30/E17)</calculatedColumnFormula>
      <totalsRowFormula>Tabelle2[[#Totals],[3]]/AC[[#Totals],[3]]</totalsRowFormula>
    </tableColumn>
    <tableColumn id="5" name="4" totalsRowFunction="custom" dataDxfId="58">
      <calculatedColumnFormula>IF(F17=0,$L$70,F30/F17)</calculatedColumnFormula>
      <totalsRowFormula>Tabelle2[[#Totals],[4]]/AC[[#Totals],[4]]</totalsRowFormula>
    </tableColumn>
    <tableColumn id="6" name="5" totalsRowFunction="custom" dataDxfId="57">
      <calculatedColumnFormula>IF(G17=0,$L$70,G30/G17)</calculatedColumnFormula>
      <totalsRowFormula>Tabelle2[[#Totals],[5]]/AC[[#Totals],[5]]</totalsRowFormula>
    </tableColumn>
    <tableColumn id="7" name="6" totalsRowFunction="custom" dataDxfId="56">
      <calculatedColumnFormula>IF(H17=0,$L$70,H30/H17)</calculatedColumnFormula>
      <totalsRowFormula>Tabelle2[[#Totals],[6]]/AC[[#Totals],[6]]</totalsRowFormula>
    </tableColumn>
    <tableColumn id="8" name="7" totalsRowFunction="custom" dataDxfId="55">
      <calculatedColumnFormula>IF(I17=0,"-",I30/I17)</calculatedColumnFormula>
      <totalsRowFormula>Tabelle2[[#Totals],[7]]/AC[[#Totals],[7]]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54">
      <calculatedColumnFormula>IF(C4=0,$L$70,C30/C4)</calculatedColumnFormula>
      <totalsRowFormula>Tabelle2[[#Totals],[1]]/EV[[#Totals],[1]]</totalsRowFormula>
    </tableColumn>
    <tableColumn id="3" name="2" totalsRowFunction="custom" dataDxfId="53">
      <calculatedColumnFormula>IF(D4=0,$L$70,D30/D4)</calculatedColumnFormula>
      <totalsRowFormula>Tabelle2[[#Totals],[2]]/EV[[#Totals],[2]]</totalsRowFormula>
    </tableColumn>
    <tableColumn id="4" name="3" totalsRowFunction="custom" dataDxfId="52">
      <calculatedColumnFormula>IF(E4=0,$L$70,E30/E4)</calculatedColumnFormula>
      <totalsRowFormula>Tabelle2[[#Totals],[3]]/EV[[#Totals],[3]]</totalsRowFormula>
    </tableColumn>
    <tableColumn id="5" name="4" totalsRowFunction="custom" dataDxfId="51">
      <calculatedColumnFormula>IF(F4=0,$L$70,F30/F4)</calculatedColumnFormula>
      <totalsRowFormula>Tabelle2[[#Totals],[4]]/EV[[#Totals],[4]]</totalsRowFormula>
    </tableColumn>
    <tableColumn id="6" name="5" totalsRowFunction="custom" dataDxfId="50">
      <calculatedColumnFormula>IF(G4=0,$L$70,G30/G4)</calculatedColumnFormula>
      <totalsRowFormula>Tabelle2[[#Totals],[5]]/EV[[#Totals],[5]]</totalsRowFormula>
    </tableColumn>
    <tableColumn id="7" name="6" totalsRowFunction="custom" dataDxfId="49">
      <calculatedColumnFormula>IF(H4=0,$L$70,H30/H4)</calculatedColumnFormula>
      <totalsRowFormula>Tabelle2[[#Totals],[6]]/EV[[#Totals],[6]]</totalsRowFormula>
    </tableColumn>
    <tableColumn id="8" name="7" totalsRowFunction="custom" dataDxfId="48">
      <calculatedColumnFormula>IF(I4=0,"-",I30/I4)</calculatedColumnFormula>
      <totalsRowFormula>Tabelle2[[#Totals],[7]]/EV[[#Totals],[7]]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47">
      <calculatedColumnFormula>B82</calculatedColumnFormula>
      <totalsRowFormula>SPI[[#Totals],[Posten]]</totalsRowFormula>
    </tableColumn>
    <tableColumn id="2" name="1 [k €]" totalsRowFunction="custom" dataDxfId="46">
      <calculatedColumnFormula>IF(C69=$L$70,$L$70,($E$92-C30)/(C69*1000))</calculatedColumnFormula>
      <totalsRowFormula>($E$92-Tabelle2[[#Totals],[1]])/(CPI[[#Totals],[1]]*1000)</totalsRowFormula>
    </tableColumn>
    <tableColumn id="3" name="2 [k €]" totalsRowFunction="custom" dataDxfId="45">
      <calculatedColumnFormula>IF(D69=$L$70,$L$70,($E$92-D30)/(D69*1000))</calculatedColumnFormula>
      <totalsRowFormula>($E$92-Tabelle2[[#Totals],[2]])/(CPI[[#Totals],[2]]*1000)</totalsRowFormula>
    </tableColumn>
    <tableColumn id="4" name="3 [k €]" totalsRowFunction="custom" dataDxfId="44">
      <calculatedColumnFormula>IF(E69=$L$70,$L$70,($E$92-E30)/(E69*1000))</calculatedColumnFormula>
      <totalsRowFormula>($E$92-Tabelle2[[#Totals],[3]])/(CPI[[#Totals],[3]]*1000)</totalsRowFormula>
    </tableColumn>
    <tableColumn id="5" name="4 [k €]" totalsRowFunction="custom" dataDxfId="43">
      <calculatedColumnFormula>IF(F69=$L$70,$L$70,($E$92-F30)/(F69*1000))</calculatedColumnFormula>
      <totalsRowFormula>($E$92-Tabelle2[[#Totals],[4]])/(CPI[[#Totals],[4]]*1000)</totalsRowFormula>
    </tableColumn>
    <tableColumn id="6" name="5 [k €]" totalsRowFunction="custom" dataDxfId="42">
      <calculatedColumnFormula>IF(G69=$L$70,$L$70,($E$92-G30)/(G69*1000))</calculatedColumnFormula>
      <totalsRowFormula>($E$92-Tabelle2[[#Totals],[5]])/(CPI[[#Totals],[5]]*1000)</totalsRowFormula>
    </tableColumn>
    <tableColumn id="7" name="6 [k €]" totalsRowFunction="custom" dataDxfId="41">
      <calculatedColumnFormula>IF(H69=$L$70,$L$70,($E$92-H30)/(H69*1000))</calculatedColumnFormula>
      <totalsRowFormula>($E$92-Tabelle2[[#Totals],[6]])/(CPI[[#Totals],[6]]*1000)</totalsRowFormula>
    </tableColumn>
    <tableColumn id="8" name="7 [k €]" totalsRowFunction="custom" dataDxfId="40">
      <calculatedColumnFormula>IF(I69=$L$70,$L$70,($E$92-I30)/(I69*1000))</calculatedColumnFormula>
      <totalsRowFormula>($E$92-Tabelle2[[#Totals],[7]])/(CPI[[#Totals],[7]]*1000)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abSelected="1" topLeftCell="A13" zoomScale="85" zoomScaleNormal="85" workbookViewId="0">
      <selection activeCell="D32" sqref="D32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27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30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29</v>
      </c>
    </row>
    <row r="11" spans="1:12" x14ac:dyDescent="0.2">
      <c r="B11" t="s">
        <v>81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</row>
    <row r="14" spans="1:12" ht="23.25" x14ac:dyDescent="0.35">
      <c r="A14" s="27" t="s">
        <v>41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31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EV[[#Totals],[Posten]]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t="s">
        <v>18</v>
      </c>
      <c r="L30" t="s">
        <v>32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12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12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12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12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12" x14ac:dyDescent="0.2">
      <c r="B37" t="str">
        <f>AC[[#Totals],[Posten]]</f>
        <v>Gesamt</v>
      </c>
      <c r="C37" s="28">
        <f>SUM(Tabelle2[1])</f>
        <v>83320</v>
      </c>
      <c r="D37" s="28">
        <f>SUM(Tabelle2[2])</f>
        <v>30140</v>
      </c>
      <c r="E37" s="28">
        <f>SUM(Tabelle2[3])</f>
        <v>72860</v>
      </c>
      <c r="F37" s="28">
        <f>SUM(Tabelle2[4])</f>
        <v>139880</v>
      </c>
      <c r="G37" s="28">
        <f>SUM(Tabelle2[5])</f>
        <v>209400</v>
      </c>
      <c r="H37" s="28">
        <f>SUM(Tabelle2[6])</f>
        <v>349520</v>
      </c>
      <c r="I37" s="28">
        <f>SUM(Tabelle2[7])</f>
        <v>597240</v>
      </c>
    </row>
    <row r="40" spans="1:12" ht="23.25" x14ac:dyDescent="0.35">
      <c r="A40" s="27" t="s">
        <v>33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t="s">
        <v>18</v>
      </c>
      <c r="L43" t="s">
        <v>38</v>
      </c>
    </row>
    <row r="44" spans="1:12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12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12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12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12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Tabelle2[[#Totals],[Posten]]</f>
        <v>Gesamt</v>
      </c>
      <c r="C50" s="28">
        <f>Tabelle2[[#Totals],[1]]-AC[[#Totals],[1]]</f>
        <v>-280</v>
      </c>
      <c r="D50" s="28">
        <f>Tabelle2[[#Totals],[2]]-AC[[#Totals],[2]]</f>
        <v>-318460</v>
      </c>
      <c r="E50" s="28">
        <f>Tabelle2[[#Totals],[3]]-AC[[#Totals],[3]]</f>
        <v>-493040</v>
      </c>
      <c r="F50" s="28">
        <f>Tabelle2[[#Totals],[4]]-AC[[#Totals],[4]]</f>
        <v>-538020</v>
      </c>
      <c r="G50" s="28">
        <f>Tabelle2[[#Totals],[5]]-AC[[#Totals],[5]]</f>
        <v>-507750</v>
      </c>
      <c r="H50" s="28">
        <f>Tabelle2[[#Totals],[6]]-AC[[#Totals],[6]]</f>
        <v>-437280</v>
      </c>
      <c r="I50" s="28">
        <f>Tabelle2[[#Totals],[7]]-AC[[#Totals],[7]]</f>
        <v>-271510</v>
      </c>
    </row>
    <row r="53" spans="1:12" ht="23.25" x14ac:dyDescent="0.35">
      <c r="A53" s="27" t="s">
        <v>34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t="s">
        <v>18</v>
      </c>
      <c r="L56" t="s">
        <v>39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</row>
    <row r="66" spans="1:20" ht="23.25" x14ac:dyDescent="0.35">
      <c r="A66" s="27" t="s">
        <v>35</v>
      </c>
      <c r="N66" s="27" t="s">
        <v>42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t="s">
        <v>18</v>
      </c>
      <c r="L69" t="s">
        <v>73</v>
      </c>
      <c r="M69" t="s">
        <v>37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65</v>
      </c>
      <c r="L70" t="s">
        <v>66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Tabelle2[[#Totals],[1]]/AC[[#Totals],[1]]</f>
        <v>0.99665071770334923</v>
      </c>
      <c r="D76" s="29">
        <f>Tabelle2[[#Totals],[2]]/AC[[#Totals],[2]]</f>
        <v>8.6460126219162367E-2</v>
      </c>
      <c r="E76" s="29">
        <f>Tabelle2[[#Totals],[3]]/AC[[#Totals],[3]]</f>
        <v>0.12875066266124757</v>
      </c>
      <c r="F76" s="29">
        <f>Tabelle2[[#Totals],[4]]/AC[[#Totals],[4]]</f>
        <v>0.20634311845404926</v>
      </c>
      <c r="G76" s="29">
        <f>Tabelle2[[#Totals],[5]]/AC[[#Totals],[5]]</f>
        <v>0.29198912361430662</v>
      </c>
      <c r="H76" s="29">
        <f>Tabelle2[[#Totals],[6]]/AC[[#Totals],[6]]</f>
        <v>0.44422979156075243</v>
      </c>
      <c r="I76" s="29">
        <f>Tabelle2[[#Totals],[7]]/AC[[#Totals],[7]]</f>
        <v>0.68747050359712225</v>
      </c>
    </row>
    <row r="79" spans="1:20" ht="23.25" x14ac:dyDescent="0.35">
      <c r="A79" s="27" t="s">
        <v>36</v>
      </c>
    </row>
    <row r="81" spans="1:13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3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t="s">
        <v>18</v>
      </c>
      <c r="L82" t="s">
        <v>40</v>
      </c>
      <c r="M82" t="s">
        <v>37</v>
      </c>
    </row>
    <row r="83" spans="1:13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3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3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3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3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3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3" x14ac:dyDescent="0.2">
      <c r="B89" t="str">
        <f>CPI[[#Totals],[Posten]]</f>
        <v>Gesamt</v>
      </c>
      <c r="C89" s="29">
        <f>Tabelle2[[#Totals],[1]]/EV[[#Totals],[1]]</f>
        <v>1.0415000000000001</v>
      </c>
      <c r="D89" s="29">
        <f>Tabelle2[[#Totals],[2]]/EV[[#Totals],[2]]</f>
        <v>0.18837499999999999</v>
      </c>
      <c r="E89" s="29">
        <f>Tabelle2[[#Totals],[3]]/EV[[#Totals],[3]]</f>
        <v>0.27915708812260537</v>
      </c>
      <c r="F89" s="29">
        <f>Tabelle2[[#Totals],[4]]/EV[[#Totals],[4]]</f>
        <v>0.39965714285714288</v>
      </c>
      <c r="G89" s="29">
        <f>Tabelle2[[#Totals],[5]]/EV[[#Totals],[5]]</f>
        <v>0.44839400428265525</v>
      </c>
      <c r="H89" s="29">
        <f>Tabelle2[[#Totals],[6]]/EV[[#Totals],[6]]</f>
        <v>0.57867549668874174</v>
      </c>
      <c r="I89" s="29">
        <f>Tabelle2[[#Totals],[7]]/EV[[#Totals],[7]]</f>
        <v>0.82605809128630703</v>
      </c>
    </row>
    <row r="92" spans="1:13" ht="23.25" x14ac:dyDescent="0.35">
      <c r="A92" s="33" t="s">
        <v>70</v>
      </c>
      <c r="E92">
        <v>1500000</v>
      </c>
    </row>
    <row r="94" spans="1:13" ht="23.25" x14ac:dyDescent="0.35">
      <c r="A94" s="27" t="s">
        <v>68</v>
      </c>
    </row>
    <row r="96" spans="1:13" x14ac:dyDescent="0.2">
      <c r="B96" t="s">
        <v>16</v>
      </c>
      <c r="C96" t="s">
        <v>74</v>
      </c>
      <c r="D96" t="s">
        <v>75</v>
      </c>
      <c r="E96" t="s">
        <v>76</v>
      </c>
      <c r="F96" t="s">
        <v>77</v>
      </c>
      <c r="G96" t="s">
        <v>78</v>
      </c>
      <c r="H96" t="s">
        <v>79</v>
      </c>
      <c r="I96" t="s">
        <v>80</v>
      </c>
    </row>
    <row r="97" spans="1:12" x14ac:dyDescent="0.2">
      <c r="B97" t="str">
        <f t="shared" ref="B97:B103" si="12">B82</f>
        <v>Anforderungsanalyse</v>
      </c>
      <c r="C97" s="29">
        <f t="shared" ref="C97:I103" si="13">IF(C69=$L$70,$L$70,($E$92-C30)/(C69*1000))</f>
        <v>1222.3809523809525</v>
      </c>
      <c r="D97" s="29">
        <f t="shared" si="13"/>
        <v>17623.333333333332</v>
      </c>
      <c r="E97" s="29">
        <f t="shared" si="13"/>
        <v>13504.516666666666</v>
      </c>
      <c r="F97" s="29">
        <f t="shared" si="13"/>
        <v>4557.5583333333325</v>
      </c>
      <c r="G97" s="29">
        <f t="shared" si="13"/>
        <v>2680.4749999999999</v>
      </c>
      <c r="H97" s="29">
        <f t="shared" si="13"/>
        <v>1624.6156250000001</v>
      </c>
      <c r="I97" s="29">
        <f t="shared" si="13"/>
        <v>1429.0861111111112</v>
      </c>
      <c r="K97" t="s">
        <v>18</v>
      </c>
      <c r="L97" t="s">
        <v>69</v>
      </c>
    </row>
    <row r="98" spans="1:12" x14ac:dyDescent="0.2">
      <c r="B98" t="str">
        <f t="shared" si="12"/>
        <v>Design und Architektur</v>
      </c>
      <c r="C98" s="29" t="str">
        <f t="shared" si="13"/>
        <v>-</v>
      </c>
      <c r="D98" s="29" t="str">
        <f t="shared" si="13"/>
        <v>-</v>
      </c>
      <c r="E98" s="29" t="str">
        <f t="shared" si="13"/>
        <v>-</v>
      </c>
      <c r="F98" s="29">
        <f t="shared" si="13"/>
        <v>5360.0423728813566</v>
      </c>
      <c r="G98" s="29">
        <f t="shared" si="13"/>
        <v>7504.0593220338988</v>
      </c>
      <c r="H98" s="29">
        <f t="shared" si="13"/>
        <v>4945.314406779662</v>
      </c>
      <c r="I98" s="29">
        <f t="shared" si="13"/>
        <v>1303.604661016949</v>
      </c>
    </row>
    <row r="99" spans="1:12" x14ac:dyDescent="0.2">
      <c r="B99" t="str">
        <f t="shared" si="12"/>
        <v>Implementierung</v>
      </c>
      <c r="C99" s="29" t="str">
        <f t="shared" si="13"/>
        <v>-</v>
      </c>
      <c r="D99" s="29" t="str">
        <f t="shared" si="13"/>
        <v>-</v>
      </c>
      <c r="E99" s="29" t="str">
        <f t="shared" si="13"/>
        <v>-</v>
      </c>
      <c r="F99" s="29" t="str">
        <f t="shared" si="13"/>
        <v>-</v>
      </c>
      <c r="G99" s="29" t="str">
        <f t="shared" si="13"/>
        <v>-</v>
      </c>
      <c r="H99" s="29">
        <f t="shared" si="13"/>
        <v>791.88775510204084</v>
      </c>
      <c r="I99" s="29">
        <f t="shared" si="13"/>
        <v>608.01020408163276</v>
      </c>
    </row>
    <row r="100" spans="1:12" x14ac:dyDescent="0.2">
      <c r="B100" t="str">
        <f t="shared" si="12"/>
        <v>Integration und Test</v>
      </c>
      <c r="C100" s="29" t="str">
        <f t="shared" si="13"/>
        <v>-</v>
      </c>
      <c r="D100" s="29" t="str">
        <f t="shared" si="13"/>
        <v>-</v>
      </c>
      <c r="E100" s="29" t="str">
        <f t="shared" si="13"/>
        <v>-</v>
      </c>
      <c r="F100" s="29" t="str">
        <f t="shared" si="13"/>
        <v>-</v>
      </c>
      <c r="G100" s="29" t="str">
        <f t="shared" si="13"/>
        <v>-</v>
      </c>
      <c r="H100" s="29" t="str">
        <f t="shared" si="13"/>
        <v>-</v>
      </c>
      <c r="I100" s="29">
        <f t="shared" si="13"/>
        <v>678.58333333333337</v>
      </c>
    </row>
    <row r="101" spans="1:12" x14ac:dyDescent="0.2">
      <c r="B101" t="str">
        <f t="shared" si="12"/>
        <v>Projektmanagement</v>
      </c>
      <c r="C101" s="29">
        <f t="shared" si="13"/>
        <v>1646.2657342657342</v>
      </c>
      <c r="D101" s="29">
        <f t="shared" si="13"/>
        <v>9714.1923076923067</v>
      </c>
      <c r="E101" s="29">
        <f t="shared" si="13"/>
        <v>4330.5419580419575</v>
      </c>
      <c r="F101" s="29">
        <f t="shared" si="13"/>
        <v>3859.2377622377626</v>
      </c>
      <c r="G101" s="29">
        <f t="shared" si="13"/>
        <v>2802.0279720279718</v>
      </c>
      <c r="H101" s="29">
        <f t="shared" si="13"/>
        <v>2264.9230769230767</v>
      </c>
      <c r="I101" s="29">
        <f t="shared" si="13"/>
        <v>1935.8601398601402</v>
      </c>
    </row>
    <row r="102" spans="1:12" x14ac:dyDescent="0.2">
      <c r="B102" t="str">
        <f t="shared" si="12"/>
        <v>Puffer für unerwartetes</v>
      </c>
      <c r="C102" s="29">
        <f t="shared" si="13"/>
        <v>2438.3230769230763</v>
      </c>
      <c r="D102" s="29">
        <f t="shared" si="13"/>
        <v>47891.092307692306</v>
      </c>
      <c r="E102" s="29">
        <f t="shared" si="13"/>
        <v>43341.630769230767</v>
      </c>
      <c r="F102" s="29">
        <f t="shared" si="13"/>
        <v>24239.678846153849</v>
      </c>
      <c r="G102" s="29">
        <f t="shared" si="13"/>
        <v>16246.246153846154</v>
      </c>
      <c r="H102" s="29">
        <f t="shared" si="13"/>
        <v>10847.765384615383</v>
      </c>
      <c r="I102" s="29">
        <f t="shared" si="13"/>
        <v>8919.1272727272717</v>
      </c>
    </row>
    <row r="103" spans="1:12" x14ac:dyDescent="0.2">
      <c r="B103" t="str">
        <f t="shared" si="12"/>
        <v>Materialkosten</v>
      </c>
      <c r="C103" s="29">
        <f t="shared" si="13"/>
        <v>1742.1860465116279</v>
      </c>
      <c r="D103" s="29">
        <f t="shared" si="13"/>
        <v>1522.6627906976744</v>
      </c>
      <c r="E103" s="29">
        <f t="shared" si="13"/>
        <v>1419.5186046511628</v>
      </c>
      <c r="F103" s="29">
        <f t="shared" si="13"/>
        <v>1388.9488372093024</v>
      </c>
      <c r="G103" s="29">
        <f t="shared" si="13"/>
        <v>1283.2976744186049</v>
      </c>
      <c r="H103" s="29">
        <f t="shared" si="13"/>
        <v>2165.2325581395348</v>
      </c>
      <c r="I103" s="29">
        <f t="shared" si="13"/>
        <v>2002.0724252491689</v>
      </c>
    </row>
    <row r="104" spans="1:12" x14ac:dyDescent="0.2">
      <c r="B104" t="str">
        <f>SPI[[#Totals],[Posten]]</f>
        <v>Gesamt</v>
      </c>
      <c r="C104" s="29">
        <f>($E$92-Tabelle2[[#Totals],[1]])/(CPI[[#Totals],[1]]*1000)</f>
        <v>1421.4408065290447</v>
      </c>
      <c r="D104" s="29">
        <f>($E$92-Tabelle2[[#Totals],[2]])/(CPI[[#Totals],[2]]*1000)</f>
        <v>17000.437823490378</v>
      </c>
      <c r="E104" s="29">
        <f>($E$92-Tabelle2[[#Totals],[3]])/(CPI[[#Totals],[3]]*1000)</f>
        <v>11084.525473510843</v>
      </c>
      <c r="F104" s="29">
        <f>($E$92-Tabelle2[[#Totals],[4]])/(CPI[[#Totals],[4]]*1000)</f>
        <v>6591.5452387760943</v>
      </c>
      <c r="G104" s="29">
        <f>($E$92-Tabelle2[[#Totals],[5]])/(CPI[[#Totals],[5]]*1000)</f>
        <v>4420.0276504297999</v>
      </c>
      <c r="H104" s="29">
        <f>($E$92-Tabelle2[[#Totals],[6]])/(CPI[[#Totals],[6]]*1000)</f>
        <v>2589.8308079652097</v>
      </c>
      <c r="I104" s="29">
        <f>($E$92-Tabelle2[[#Totals],[7]])/(CPI[[#Totals],[7]]*1000)</f>
        <v>1313.1617942535665</v>
      </c>
    </row>
    <row r="107" spans="1:12" ht="23.25" x14ac:dyDescent="0.35">
      <c r="A107" s="33" t="s">
        <v>71</v>
      </c>
    </row>
    <row r="109" spans="1:12" x14ac:dyDescent="0.2">
      <c r="B109" t="s">
        <v>16</v>
      </c>
      <c r="C109" t="s">
        <v>74</v>
      </c>
      <c r="D109" t="s">
        <v>75</v>
      </c>
      <c r="E109" t="s">
        <v>76</v>
      </c>
      <c r="F109" t="s">
        <v>77</v>
      </c>
      <c r="G109" t="s">
        <v>78</v>
      </c>
      <c r="H109" t="s">
        <v>79</v>
      </c>
      <c r="I109" t="s">
        <v>80</v>
      </c>
    </row>
    <row r="110" spans="1:12" x14ac:dyDescent="0.2">
      <c r="B110" t="str">
        <f t="shared" ref="B110:B116" si="14">B97</f>
        <v>Anforderungsanalyse</v>
      </c>
      <c r="C110" s="29">
        <f t="shared" ref="C110:I116" si="15">IF(C69=$L$70,$L$70,$E$92/(C69*1000))</f>
        <v>1264.8809523809525</v>
      </c>
      <c r="D110" s="29">
        <f t="shared" si="15"/>
        <v>17708.333333333332</v>
      </c>
      <c r="E110" s="29">
        <f t="shared" si="15"/>
        <v>13635.416666666666</v>
      </c>
      <c r="F110" s="29">
        <f t="shared" si="15"/>
        <v>4692.7083333333321</v>
      </c>
      <c r="G110" s="29">
        <f t="shared" si="15"/>
        <v>2815.625</v>
      </c>
      <c r="H110" s="29">
        <f t="shared" si="15"/>
        <v>1759.765625</v>
      </c>
      <c r="I110" s="29">
        <f t="shared" si="15"/>
        <v>1564.2361111111113</v>
      </c>
      <c r="K110" t="s">
        <v>18</v>
      </c>
      <c r="L110" t="s">
        <v>72</v>
      </c>
    </row>
    <row r="111" spans="1:12" x14ac:dyDescent="0.2">
      <c r="B111" t="str">
        <f t="shared" si="14"/>
        <v>Design und Architektur</v>
      </c>
      <c r="C111" s="29" t="str">
        <f t="shared" si="15"/>
        <v>-</v>
      </c>
      <c r="D111" s="29" t="str">
        <f t="shared" si="15"/>
        <v>-</v>
      </c>
      <c r="E111" s="29" t="str">
        <f t="shared" si="15"/>
        <v>-</v>
      </c>
      <c r="F111" s="29">
        <f t="shared" si="15"/>
        <v>5402.5423728813566</v>
      </c>
      <c r="G111" s="29">
        <f t="shared" si="15"/>
        <v>7563.5593220338988</v>
      </c>
      <c r="H111" s="29">
        <f t="shared" si="15"/>
        <v>5024.3644067796613</v>
      </c>
      <c r="I111" s="29">
        <f t="shared" si="15"/>
        <v>1391.1546610169489</v>
      </c>
    </row>
    <row r="112" spans="1:12" x14ac:dyDescent="0.2">
      <c r="B112" t="str">
        <f t="shared" si="14"/>
        <v>Implementierung</v>
      </c>
      <c r="C112" s="29" t="str">
        <f t="shared" si="15"/>
        <v>-</v>
      </c>
      <c r="D112" s="29" t="str">
        <f t="shared" si="15"/>
        <v>-</v>
      </c>
      <c r="E112" s="29" t="str">
        <f t="shared" si="15"/>
        <v>-</v>
      </c>
      <c r="F112" s="29" t="str">
        <f t="shared" si="15"/>
        <v>-</v>
      </c>
      <c r="G112" s="29" t="str">
        <f t="shared" si="15"/>
        <v>-</v>
      </c>
      <c r="H112" s="29">
        <f t="shared" si="15"/>
        <v>813.13775510204084</v>
      </c>
      <c r="I112" s="29">
        <f t="shared" si="15"/>
        <v>650.51020408163276</v>
      </c>
    </row>
    <row r="113" spans="2:9" x14ac:dyDescent="0.2">
      <c r="B113" t="str">
        <f t="shared" si="14"/>
        <v>Integration und Test</v>
      </c>
      <c r="C113" s="29" t="str">
        <f t="shared" si="15"/>
        <v>-</v>
      </c>
      <c r="D113" s="29" t="str">
        <f t="shared" si="15"/>
        <v>-</v>
      </c>
      <c r="E113" s="29" t="str">
        <f t="shared" si="15"/>
        <v>-</v>
      </c>
      <c r="F113" s="29" t="str">
        <f t="shared" si="15"/>
        <v>-</v>
      </c>
      <c r="G113" s="29" t="str">
        <f t="shared" si="15"/>
        <v>-</v>
      </c>
      <c r="H113" s="29" t="str">
        <f t="shared" si="15"/>
        <v>-</v>
      </c>
      <c r="I113" s="29">
        <f t="shared" si="15"/>
        <v>708.33333333333337</v>
      </c>
    </row>
    <row r="114" spans="2:9" x14ac:dyDescent="0.2">
      <c r="B114" t="str">
        <f t="shared" si="14"/>
        <v>Projektmanagement</v>
      </c>
      <c r="C114" s="29">
        <f t="shared" si="15"/>
        <v>1671.7657342657342</v>
      </c>
      <c r="D114" s="29">
        <f t="shared" si="15"/>
        <v>9807.6923076923067</v>
      </c>
      <c r="E114" s="29">
        <f t="shared" si="15"/>
        <v>4458.0419580419575</v>
      </c>
      <c r="F114" s="29">
        <f t="shared" si="15"/>
        <v>4012.2377622377626</v>
      </c>
      <c r="G114" s="29">
        <f t="shared" si="15"/>
        <v>2972.0279720279718</v>
      </c>
      <c r="H114" s="29">
        <f t="shared" si="15"/>
        <v>2451.9230769230767</v>
      </c>
      <c r="I114" s="29">
        <f t="shared" si="15"/>
        <v>2139.86013986014</v>
      </c>
    </row>
    <row r="115" spans="2:9" x14ac:dyDescent="0.2">
      <c r="B115" t="str">
        <f t="shared" si="14"/>
        <v>Puffer für unerwartetes</v>
      </c>
      <c r="C115" s="29">
        <f t="shared" si="15"/>
        <v>2451.9230769230767</v>
      </c>
      <c r="D115" s="29">
        <f t="shared" si="15"/>
        <v>48057.692307692305</v>
      </c>
      <c r="E115" s="29">
        <f t="shared" si="15"/>
        <v>43644.230769230766</v>
      </c>
      <c r="F115" s="29">
        <f t="shared" si="15"/>
        <v>24580.528846153848</v>
      </c>
      <c r="G115" s="29">
        <f t="shared" si="15"/>
        <v>16591.346153846152</v>
      </c>
      <c r="H115" s="29">
        <f t="shared" si="15"/>
        <v>11197.115384615383</v>
      </c>
      <c r="I115" s="29">
        <f t="shared" si="15"/>
        <v>9272.7272727272721</v>
      </c>
    </row>
    <row r="116" spans="2:9" x14ac:dyDescent="0.2">
      <c r="B116" t="str">
        <f t="shared" si="14"/>
        <v>Materialkosten</v>
      </c>
      <c r="C116" s="29">
        <f t="shared" si="15"/>
        <v>1744.1860465116279</v>
      </c>
      <c r="D116" s="29">
        <f t="shared" si="15"/>
        <v>1526.1627906976744</v>
      </c>
      <c r="E116" s="29">
        <f t="shared" si="15"/>
        <v>1424.4186046511629</v>
      </c>
      <c r="F116" s="29">
        <f t="shared" si="15"/>
        <v>1395.3488372093022</v>
      </c>
      <c r="G116" s="29">
        <f t="shared" si="15"/>
        <v>1290.6976744186047</v>
      </c>
      <c r="H116" s="29">
        <f t="shared" si="15"/>
        <v>2180.2325581395348</v>
      </c>
      <c r="I116" s="29">
        <f t="shared" si="15"/>
        <v>2018.2724252491689</v>
      </c>
    </row>
    <row r="117" spans="2:9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L18" sqref="L18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57</v>
      </c>
    </row>
    <row r="3" spans="1:11" x14ac:dyDescent="0.2">
      <c r="J3" t="s">
        <v>49</v>
      </c>
      <c r="K3">
        <v>0.5</v>
      </c>
    </row>
    <row r="4" spans="1:11" x14ac:dyDescent="0.2">
      <c r="B4" t="s">
        <v>16</v>
      </c>
      <c r="C4" t="s">
        <v>43</v>
      </c>
      <c r="D4" t="s">
        <v>44</v>
      </c>
      <c r="E4" t="s">
        <v>45</v>
      </c>
      <c r="F4" t="s">
        <v>48</v>
      </c>
      <c r="G4" t="s">
        <v>46</v>
      </c>
      <c r="H4" t="s">
        <v>47</v>
      </c>
      <c r="J4" t="s">
        <v>50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Gelb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51</v>
      </c>
      <c r="K6" t="s">
        <v>52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Gelb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53</v>
      </c>
      <c r="K7" t="s">
        <v>54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55</v>
      </c>
      <c r="K8" t="s">
        <v>56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Gelb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59</v>
      </c>
      <c r="K10" t="s">
        <v>61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Gelb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60</v>
      </c>
      <c r="K11" t="s">
        <v>62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Akt.'!H9</f>
        <v>0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Gelb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64</v>
      </c>
      <c r="K12" t="s">
        <v>63</v>
      </c>
    </row>
    <row r="13" spans="1:11" x14ac:dyDescent="0.2">
      <c r="J13" t="s">
        <v>67</v>
      </c>
      <c r="K13">
        <v>0.05</v>
      </c>
    </row>
    <row r="15" spans="1:11" ht="23.25" x14ac:dyDescent="0.35">
      <c r="A15" s="27" t="s">
        <v>58</v>
      </c>
    </row>
    <row r="17" spans="2:8" x14ac:dyDescent="0.2">
      <c r="B17" t="s">
        <v>16</v>
      </c>
      <c r="C17" t="s">
        <v>43</v>
      </c>
      <c r="D17" t="s">
        <v>44</v>
      </c>
      <c r="E17" t="s">
        <v>45</v>
      </c>
      <c r="F17" t="s">
        <v>48</v>
      </c>
      <c r="G17" t="s">
        <v>46</v>
      </c>
      <c r="H17" t="s">
        <v>47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Gelb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Gelb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Akt.'!G9</f>
        <v>0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31" priority="13" operator="greaterThanOrEqual">
      <formula>$K$4</formula>
    </cfRule>
    <cfRule type="cellIs" dxfId="30" priority="14" operator="lessThan">
      <formula>$K$3</formula>
    </cfRule>
    <cfRule type="cellIs" dxfId="29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18" zoomScaleNormal="100" workbookViewId="0">
      <selection activeCell="V170" sqref="V170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125" zoomScaleNormal="125" workbookViewId="0">
      <selection activeCell="O16" sqref="O16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28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9" sqref="B9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2017-03-21T09:42:03Z</dcterms:modified>
</cp:coreProperties>
</file>