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I114" i="4" l="1"/>
  <c r="C111" i="4"/>
  <c r="D111" i="4"/>
  <c r="E111" i="4"/>
  <c r="F111" i="4"/>
  <c r="G111" i="4"/>
  <c r="H111" i="4"/>
  <c r="I111" i="4"/>
  <c r="C112" i="4"/>
  <c r="D112" i="4"/>
  <c r="E112" i="4"/>
  <c r="F112" i="4"/>
  <c r="G112" i="4"/>
  <c r="H112" i="4"/>
  <c r="I112" i="4"/>
  <c r="C113" i="4"/>
  <c r="D113" i="4"/>
  <c r="E113" i="4"/>
  <c r="F113" i="4"/>
  <c r="G113" i="4"/>
  <c r="H113" i="4"/>
  <c r="I113" i="4"/>
  <c r="C114" i="4"/>
  <c r="D114" i="4"/>
  <c r="E114" i="4"/>
  <c r="F114" i="4"/>
  <c r="G114" i="4"/>
  <c r="H114" i="4"/>
  <c r="C115" i="4"/>
  <c r="D115" i="4"/>
  <c r="E115" i="4"/>
  <c r="F115" i="4"/>
  <c r="G115" i="4"/>
  <c r="H115" i="4"/>
  <c r="I115" i="4"/>
  <c r="D110" i="4"/>
  <c r="E110" i="4"/>
  <c r="F110" i="4"/>
  <c r="G110" i="4"/>
  <c r="H110" i="4"/>
  <c r="I110" i="4"/>
  <c r="C110" i="4"/>
  <c r="I104" i="4"/>
  <c r="C97" i="4"/>
  <c r="C98" i="4"/>
  <c r="C99" i="4"/>
  <c r="C100" i="4"/>
  <c r="C101" i="4"/>
  <c r="C102" i="4"/>
  <c r="D98" i="4"/>
  <c r="E98" i="4"/>
  <c r="F98" i="4"/>
  <c r="G98" i="4"/>
  <c r="H98" i="4"/>
  <c r="I98" i="4"/>
  <c r="D99" i="4"/>
  <c r="E99" i="4"/>
  <c r="F99" i="4"/>
  <c r="G99" i="4"/>
  <c r="H99" i="4"/>
  <c r="I99" i="4"/>
  <c r="D100" i="4"/>
  <c r="E100" i="4"/>
  <c r="F100" i="4"/>
  <c r="G100" i="4"/>
  <c r="H100" i="4"/>
  <c r="I100" i="4"/>
  <c r="D101" i="4"/>
  <c r="E101" i="4"/>
  <c r="F101" i="4"/>
  <c r="G101" i="4"/>
  <c r="H101" i="4"/>
  <c r="I101" i="4"/>
  <c r="D102" i="4"/>
  <c r="E102" i="4"/>
  <c r="F102" i="4"/>
  <c r="G102" i="4"/>
  <c r="H102" i="4"/>
  <c r="I102" i="4"/>
  <c r="D97" i="4"/>
  <c r="E97" i="4"/>
  <c r="F97" i="4"/>
  <c r="G97" i="4"/>
  <c r="H97" i="4"/>
  <c r="I97" i="4"/>
  <c r="D36" i="4" l="1"/>
  <c r="E36" i="4"/>
  <c r="F36" i="4"/>
  <c r="G36" i="4"/>
  <c r="H36" i="4"/>
  <c r="I36" i="4"/>
  <c r="C36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D30" i="4"/>
  <c r="E30" i="4"/>
  <c r="F30" i="4"/>
  <c r="G30" i="4"/>
  <c r="H30" i="4"/>
  <c r="I30" i="4"/>
  <c r="C30" i="4"/>
  <c r="F19" i="6" l="1"/>
  <c r="F20" i="6"/>
  <c r="F21" i="6"/>
  <c r="F22" i="6"/>
  <c r="F23" i="6"/>
  <c r="F24" i="6"/>
  <c r="F25" i="6"/>
  <c r="F18" i="6"/>
  <c r="F12" i="6"/>
  <c r="F5" i="6"/>
  <c r="B25" i="6"/>
  <c r="E25" i="6"/>
  <c r="B12" i="6"/>
  <c r="E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D11" i="4"/>
  <c r="E11" i="4"/>
  <c r="F11" i="4"/>
  <c r="G11" i="4"/>
  <c r="H11" i="4"/>
  <c r="I11" i="4"/>
  <c r="C11" i="4"/>
  <c r="B23" i="4" l="1"/>
  <c r="B36" i="4" s="1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I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I37" i="4" l="1"/>
  <c r="B17" i="4"/>
  <c r="B30" i="4" s="1"/>
  <c r="B43" i="4" s="1"/>
  <c r="B56" i="4" s="1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G56" i="4" l="1"/>
  <c r="G37" i="4"/>
  <c r="F69" i="4"/>
  <c r="F37" i="4"/>
  <c r="H56" i="4"/>
  <c r="H37" i="4"/>
  <c r="I63" i="4"/>
  <c r="C82" i="4"/>
  <c r="C37" i="4"/>
  <c r="D56" i="4"/>
  <c r="D37" i="4"/>
  <c r="E69" i="4"/>
  <c r="E37" i="4"/>
  <c r="I76" i="4"/>
  <c r="I89" i="4"/>
  <c r="D12" i="6" s="1"/>
  <c r="I50" i="4"/>
  <c r="C74" i="4"/>
  <c r="D5" i="6"/>
  <c r="F47" i="4"/>
  <c r="G48" i="4"/>
  <c r="C87" i="4"/>
  <c r="B5" i="6"/>
  <c r="B69" i="4"/>
  <c r="B18" i="6" s="1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G11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C63" i="4" s="1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E63" i="4" l="1"/>
  <c r="G5" i="6"/>
  <c r="F50" i="4"/>
  <c r="F76" i="4"/>
  <c r="F117" i="4" s="1"/>
  <c r="F89" i="4"/>
  <c r="D76" i="4"/>
  <c r="D117" i="4" s="1"/>
  <c r="D89" i="4"/>
  <c r="D50" i="4"/>
  <c r="C12" i="6"/>
  <c r="G12" i="6" s="1"/>
  <c r="I117" i="4"/>
  <c r="D63" i="4"/>
  <c r="H76" i="4"/>
  <c r="H104" i="4" s="1"/>
  <c r="H89" i="4"/>
  <c r="D25" i="6" s="1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<sst xmlns="http://schemas.openxmlformats.org/spreadsheetml/2006/main" count="177" uniqueCount="84">
  <si>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</si>
  <si>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</si>
  <si>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</si>
  <si>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</si>
  <si>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</si>
  <si>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</si>
  <si>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</si>
  <si>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</si>
  <si>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</si>
  <si>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</si>
  <si>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</si>
  <si>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</si>
  <si>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</si>
  <si>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</si>
  <si>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</si>
  <si>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</si>
  <si>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</si>
  <si>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</si>
  <si>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</si>
  <si>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</si>
  <si>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</si>
  <si>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</si>
  <si>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</si>
  <si>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</si>
  <si>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</si>
  <si>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</si>
  <si>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</si>
  <si>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</si>
  <si>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</si>
  <si>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</si>
  <si>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</si>
  <si>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</si>
  <si>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</si>
  <si>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</si>
  <si>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</si>
  <si>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</si>
  <si>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</si>
  <si>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</si>
  <si>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</si>
  <si>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</si>
  <si>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</si>
  <si>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</si>
  <si>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</si>
  <si>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</si>
  <si>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</si>
  <si>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</si>
  <si>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</si>
  <si>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</si>
  <si>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</si>
  <si>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</si>
  <si>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</si>
  <si>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</si>
  <si>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</si>
  <si>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</si>
  <si>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</si>
  <si>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</si>
  <si>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</si>
  <si>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</si>
  <si>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</si>
  <si>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</si>
  <si>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</si>
  <si>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</si>
  <si>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</si>
  <si>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</si>
  <si>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</si>
  <si>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</si>
  <si>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</si>
  <si>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</si>
  <si>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</si>
  <si>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</si>
  <si>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</si>
  <si>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</si>
  <si>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</si>
  <si>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</si>
  <si>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</si>
  <si>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</si>
  <si>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</si>
  <si>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</si>
  <si>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</si>
  <si>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</si>
  <si>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</si>
  <si>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</si>
  <si>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TODO - materialkosten eigene formel</t>
  </si>
  <si>
    <t>TODO materialkosten eigene formel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</si>
</sst>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9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6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1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18"/>
      <tableStyleElement type="headerRow" dxfId="117"/>
      <tableStyleElement type="totalRow" dxfId="116"/>
      <tableStyleElement type="firstColumn" dxfId="115"/>
      <tableStyleElement type="lastColumn" dxfId="114"/>
      <tableStyleElement type="firstRowStripe" dxfId="113"/>
      <tableStyleElement type="firstColumnStripe" dxfId="1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78.928571428571431</c:v>
                </c:pt>
                <c:pt idx="1">
                  <c:v>1615</c:v>
                </c:pt>
                <c:pt idx="2">
                  <c:v>1178.0999999999999</c:v>
                </c:pt>
                <c:pt idx="3">
                  <c:v>315.34999999999997</c:v>
                </c:pt>
                <c:pt idx="4">
                  <c:v>135.15</c:v>
                </c:pt>
                <c:pt idx="5">
                  <c:v>33.787500000000001</c:v>
                </c:pt>
                <c:pt idx="6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121.42857142857144</c:v>
                </c:pt>
                <c:pt idx="1">
                  <c:v>1700</c:v>
                </c:pt>
                <c:pt idx="2">
                  <c:v>1309</c:v>
                </c:pt>
                <c:pt idx="3">
                  <c:v>450.49999999999994</c:v>
                </c:pt>
                <c:pt idx="4">
                  <c:v>270.3</c:v>
                </c:pt>
                <c:pt idx="5">
                  <c:v>168.9375</c:v>
                </c:pt>
                <c:pt idx="6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807.50000000000011</c:v>
                </c:pt>
                <c:pt idx="4">
                  <c:v>1130.5000000000002</c:v>
                </c:pt>
                <c:pt idx="5">
                  <c:v>711.45</c:v>
                </c:pt>
                <c:pt idx="6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850.00000000000011</c:v>
                </c:pt>
                <c:pt idx="4">
                  <c:v>1190.0000000000002</c:v>
                </c:pt>
                <c:pt idx="5">
                  <c:v>790.50000000000011</c:v>
                </c:pt>
                <c:pt idx="6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191.25</c:v>
                </c:pt>
                <c:pt idx="6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212.5</c:v>
                </c:pt>
                <c:pt idx="6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293.25</c:v>
                </c:pt>
                <c:pt idx="1">
                  <c:v>1776.4999999999998</c:v>
                </c:pt>
                <c:pt idx="2">
                  <c:v>722.49999999999989</c:v>
                </c:pt>
                <c:pt idx="3">
                  <c:v>612</c:v>
                </c:pt>
                <c:pt idx="4">
                  <c:v>396.66666666666663</c:v>
                </c:pt>
                <c:pt idx="5">
                  <c:v>280.49999999999994</c:v>
                </c:pt>
                <c:pt idx="6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318.75</c:v>
                </c:pt>
                <c:pt idx="1">
                  <c:v>1869.9999999999998</c:v>
                </c:pt>
                <c:pt idx="2">
                  <c:v>849.99999999999989</c:v>
                </c:pt>
                <c:pt idx="3">
                  <c:v>765</c:v>
                </c:pt>
                <c:pt idx="4">
                  <c:v>566.66666666666663</c:v>
                </c:pt>
                <c:pt idx="5">
                  <c:v>467.49999999999994</c:v>
                </c:pt>
                <c:pt idx="6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156.39999999999998</c:v>
                </c:pt>
                <c:pt idx="1">
                  <c:v>3165.4</c:v>
                </c:pt>
                <c:pt idx="2">
                  <c:v>2723.3999999999996</c:v>
                </c:pt>
                <c:pt idx="3">
                  <c:v>1363.4</c:v>
                </c:pt>
                <c:pt idx="4">
                  <c:v>805.23333333333335</c:v>
                </c:pt>
                <c:pt idx="5">
                  <c:v>426.98333333333329</c:v>
                </c:pt>
                <c:pt idx="6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169.99999999999997</c:v>
                </c:pt>
                <c:pt idx="1">
                  <c:v>3332</c:v>
                </c:pt>
                <c:pt idx="2">
                  <c:v>3026</c:v>
                </c:pt>
                <c:pt idx="3">
                  <c:v>1704.25</c:v>
                </c:pt>
                <c:pt idx="4">
                  <c:v>1150.3333333333333</c:v>
                </c:pt>
                <c:pt idx="5">
                  <c:v>776.33333333333326</c:v>
                </c:pt>
                <c:pt idx="6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111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10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09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08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07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06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05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14">
      <calculatedColumnFormula>B97</calculatedColumnFormula>
      <totalsRowFormula>ETC[[#Totals],[Posten]]</totalsRowFormula>
    </tableColumn>
    <tableColumn id="2" name="1 [k €]" totalsRowFunction="custom" dataDxfId="13" totalsRowDxfId="6">
      <calculatedColumnFormula>IF(C69=$L$70,$L$70,'Budgetierte Kosten'!$P2/(C69*1000))</calculatedColumnFormula>
      <totalsRowFormula>$E$92/(CPI[[#Totals],[1]]*1000)</totalsRowFormula>
    </tableColumn>
    <tableColumn id="3" name="2 [k €]" totalsRowFunction="custom" dataDxfId="12" totalsRowDxfId="5">
      <calculatedColumnFormula>IF(D69=$L$70,$L$70,$E$92/(D69*1000))</calculatedColumnFormula>
      <totalsRowFormula>$E$92/(CPI[[#Totals],[2]]*1000)</totalsRowFormula>
    </tableColumn>
    <tableColumn id="4" name="3 [k €]" totalsRowFunction="custom" dataDxfId="11" totalsRowDxfId="4">
      <calculatedColumnFormula>IF(E69=$L$70,$L$70,$E$92/(E69*1000))</calculatedColumnFormula>
      <totalsRowFormula>$E$92/(CPI[[#Totals],[3]]*1000)</totalsRowFormula>
    </tableColumn>
    <tableColumn id="5" name="4 [k €]" totalsRowFunction="custom" dataDxfId="10" totalsRowDxfId="3">
      <calculatedColumnFormula>IF(F69=$L$70,$L$70,$E$92/(F69*1000))</calculatedColumnFormula>
      <totalsRowFormula>$E$92/(CPI[[#Totals],[4]]*1000)</totalsRowFormula>
    </tableColumn>
    <tableColumn id="6" name="5 [k €]" totalsRowFunction="custom" dataDxfId="9" totalsRowDxfId="2">
      <calculatedColumnFormula>IF(G69=$L$70,$L$70,$E$92/(G69*1000))</calculatedColumnFormula>
      <totalsRowFormula>$E$92/(CPI[[#Totals],[5]]*1000)</totalsRowFormula>
    </tableColumn>
    <tableColumn id="7" name="6 [k €]" totalsRowFunction="custom" dataDxfId="8" totalsRowDxfId="1">
      <calculatedColumnFormula>IF(H69=$L$70,$L$70,$E$92/(H69*1000))</calculatedColumnFormula>
      <totalsRowFormula>$E$92/(CPI[[#Totals],[6]]*1000)</totalsRowFormula>
    </tableColumn>
    <tableColumn id="8" name="7 [k €]" totalsRowFunction="custom" dataDxfId="7" totalsRowDxfId="0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47">
      <calculatedColumnFormula>Kennzahlen!I69</calculatedColumnFormula>
    </tableColumn>
    <tableColumn id="3" name="SPI" dataDxfId="46">
      <calculatedColumnFormula>Kennzahlen!I82</calculatedColumnFormula>
    </tableColumn>
    <tableColumn id="4" name="Abgeschlossen" dataDxfId="45">
      <calculatedColumnFormula>'Fertigstellungsgrad der Akt.'!H2</calculatedColumnFormula>
    </tableColumn>
    <tableColumn id="5" name="Budget [k €]" dataDxfId="44"/>
    <tableColumn id="6" name="Status" dataDxfId="43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42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1">
      <calculatedColumnFormula>Kennzahlen!H69</calculatedColumnFormula>
    </tableColumn>
    <tableColumn id="3" name="SPI" dataDxfId="40">
      <calculatedColumnFormula>Kennzahlen!H82</calculatedColumnFormula>
    </tableColumn>
    <tableColumn id="4" name="Abgeschlossen" dataDxfId="39">
      <calculatedColumnFormula>'Fertigstellungsgrad der Akt.'!G2</calculatedColumnFormula>
    </tableColumn>
    <tableColumn id="5" name="Budget [k €]" dataDxfId="38">
      <calculatedColumnFormula>F5</calculatedColumnFormula>
    </tableColumn>
    <tableColumn id="6" name="Status" dataDxfId="37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04">
      <calculatedColumnFormula>B17</calculatedColumnFormula>
      <totalsRowFormula>AC[[#Totals],[Posten]]</totalsRowFormula>
    </tableColumn>
    <tableColumn id="2" name="1" totalsRowFunction="custom" dataDxfId="103" totalsRowDxfId="28">
      <calculatedColumnFormula>C4*'Fertigstellungsgrad der Akt.'!B2</calculatedColumnFormula>
      <totalsRowFormula>SUM(Tabelle2[1])</totalsRowFormula>
    </tableColumn>
    <tableColumn id="3" name="2" totalsRowFunction="custom" dataDxfId="102" totalsRowDxfId="27">
      <calculatedColumnFormula>D4*'Fertigstellungsgrad der Akt.'!C2</calculatedColumnFormula>
      <totalsRowFormula>SUM(Tabelle2[2])</totalsRowFormula>
    </tableColumn>
    <tableColumn id="4" name="3" totalsRowFunction="custom" dataDxfId="101" totalsRowDxfId="26">
      <calculatedColumnFormula>E4*'Fertigstellungsgrad der Akt.'!D2</calculatedColumnFormula>
      <totalsRowFormula>SUM(Tabelle2[3])</totalsRowFormula>
    </tableColumn>
    <tableColumn id="5" name="4" totalsRowFunction="custom" dataDxfId="100" totalsRowDxfId="25">
      <calculatedColumnFormula>F4*'Fertigstellungsgrad der Akt.'!E2</calculatedColumnFormula>
      <totalsRowFormula>SUM(Tabelle2[4])</totalsRowFormula>
    </tableColumn>
    <tableColumn id="6" name="5" totalsRowFunction="custom" dataDxfId="99" totalsRowDxfId="24">
      <calculatedColumnFormula>G4*'Fertigstellungsgrad der Akt.'!F2</calculatedColumnFormula>
      <totalsRowFormula>SUM(Tabelle2[5])</totalsRowFormula>
    </tableColumn>
    <tableColumn id="7" name="6" totalsRowFunction="custom" dataDxfId="98" totalsRowDxfId="23">
      <calculatedColumnFormula>H4*'Fertigstellungsgrad der Akt.'!G2</calculatedColumnFormula>
      <totalsRowFormula>SUM(Tabelle2[6])</totalsRowFormula>
    </tableColumn>
    <tableColumn id="8" name="7" totalsRowFunction="custom" dataDxfId="97" totalsRowDxfId="22">
      <calculatedColumnFormula>I4*'Fertigstellungsgrad der Akt.'!H2</calculatedColumnFormula>
      <totalsRowFormula>SUM(Tabelle2[7])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6">
      <calculatedColumnFormula>B4</calculatedColumnFormula>
      <totalsRowFormula>EV[[#Totals],[Posten]]</totalsRowFormula>
    </tableColumn>
    <tableColumn id="2" name="1" totalsRowFunction="custom" dataDxfId="95" totalsRowDxfId="9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93" totalsRowDxfId="92">
      <totalsRowFormula>SUM('Tatsächliche Kosten'!$B12:'Tatsächliche Kosten'!C12)</totalsRowFormula>
    </tableColumn>
    <tableColumn id="4" name="3" totalsRowFunction="custom" dataDxfId="91" totalsRowDxfId="90">
      <totalsRowFormula>SUM('Tatsächliche Kosten'!$B12:'Tatsächliche Kosten'!D12)</totalsRowFormula>
    </tableColumn>
    <tableColumn id="5" name="4" totalsRowFunction="custom" dataDxfId="89" totalsRowDxfId="88">
      <totalsRowFormula>SUM('Tatsächliche Kosten'!$B12:'Tatsächliche Kosten'!E12)</totalsRowFormula>
    </tableColumn>
    <tableColumn id="6" name="5" totalsRowFunction="custom" dataDxfId="87" totalsRowDxfId="86">
      <totalsRowFormula>SUM('Tatsächliche Kosten'!$B12:'Tatsächliche Kosten'!F12)</totalsRowFormula>
    </tableColumn>
    <tableColumn id="7" name="6" totalsRowFunction="custom" dataDxfId="85" totalsRowDxfId="84">
      <totalsRowFormula>SUM('Tatsächliche Kosten'!$B12:'Tatsächliche Kosten'!G12)</totalsRowFormula>
    </tableColumn>
    <tableColumn id="8" name="7" totalsRowFunction="custom" dataDxfId="83" totalsRowDxfId="82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Tabelle2[[#Totals],[Posten]]</totalsRowFormula>
    </tableColumn>
    <tableColumn id="2" name="1" totalsRowFunction="custom" dataDxfId="81">
      <calculatedColumnFormula>C30-C17</calculatedColumnFormula>
      <totalsRowFormula>Tabelle2[[#Totals],[1]]-AC[[#Totals],[1]]</totalsRowFormula>
    </tableColumn>
    <tableColumn id="3" name="2" totalsRowFunction="custom" dataDxfId="80">
      <calculatedColumnFormula>D30-D17</calculatedColumnFormula>
      <totalsRowFormula>Tabelle2[[#Totals],[2]]-AC[[#Totals],[2]]</totalsRowFormula>
    </tableColumn>
    <tableColumn id="4" name="3" totalsRowFunction="custom" dataDxfId="79">
      <calculatedColumnFormula>E30-E17</calculatedColumnFormula>
      <totalsRowFormula>Tabelle2[[#Totals],[3]]-AC[[#Totals],[3]]</totalsRowFormula>
    </tableColumn>
    <tableColumn id="5" name="4" totalsRowFunction="custom" dataDxfId="78">
      <calculatedColumnFormula>F30-F17</calculatedColumnFormula>
      <totalsRowFormula>Tabelle2[[#Totals],[4]]-AC[[#Totals],[4]]</totalsRowFormula>
    </tableColumn>
    <tableColumn id="6" name="5" totalsRowFunction="custom" dataDxfId="77">
      <calculatedColumnFormula>G30-G17</calculatedColumnFormula>
      <totalsRowFormula>Tabelle2[[#Totals],[5]]-AC[[#Totals],[5]]</totalsRowFormula>
    </tableColumn>
    <tableColumn id="7" name="6" totalsRowFunction="custom" dataDxfId="76">
      <calculatedColumnFormula>H30-H17</calculatedColumnFormula>
      <totalsRowFormula>Tabelle2[[#Totals],[6]]-AC[[#Totals],[6]]</totalsRowFormula>
    </tableColumn>
    <tableColumn id="8" name="7" totalsRowFunction="custom" dataDxfId="75">
      <calculatedColumnFormula>I30-I17</calculatedColumnFormula>
      <totalsRowFormula>Tabelle2[[#Totals],[7]]-AC[[#Totals],[7]]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74">
      <calculatedColumnFormula>C30-C4</calculatedColumnFormula>
      <totalsRowFormula>SUM(SV[1])</totalsRowFormula>
    </tableColumn>
    <tableColumn id="3" name="2" totalsRowFunction="custom" dataDxfId="73">
      <calculatedColumnFormula>D30-D4</calculatedColumnFormula>
      <totalsRowFormula>SUM(SV[2])</totalsRowFormula>
    </tableColumn>
    <tableColumn id="4" name="3" totalsRowFunction="custom" dataDxfId="72">
      <calculatedColumnFormula>E30-E4</calculatedColumnFormula>
      <totalsRowFormula>SUM(SV[3])</totalsRowFormula>
    </tableColumn>
    <tableColumn id="5" name="4" totalsRowFunction="custom" dataDxfId="71">
      <calculatedColumnFormula>F30-F4</calculatedColumnFormula>
      <totalsRowFormula>SUM(SV[4])</totalsRowFormula>
    </tableColumn>
    <tableColumn id="6" name="5" totalsRowFunction="custom" dataDxfId="70">
      <calculatedColumnFormula>G30-G4</calculatedColumnFormula>
      <totalsRowFormula>SUM(SV[5])</totalsRowFormula>
    </tableColumn>
    <tableColumn id="7" name="6" totalsRowFunction="custom" dataDxfId="69">
      <calculatedColumnFormula>H30-H4</calculatedColumnFormula>
      <totalsRowFormula>SUM(SV[6])</totalsRowFormula>
    </tableColumn>
    <tableColumn id="8" name="7" totalsRowFunction="custom" dataDxfId="68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7">
      <calculatedColumnFormula>IF(C17=0,$L$70,C30/C17)</calculatedColumnFormula>
      <totalsRowFormula>Tabelle2[[#Totals],[1]]/AC[[#Totals],[1]]</totalsRowFormula>
    </tableColumn>
    <tableColumn id="3" name="2" totalsRowFunction="custom" dataDxfId="66">
      <calculatedColumnFormula>IF(D17=0,$L$70,D30/D17)</calculatedColumnFormula>
      <totalsRowFormula>Tabelle2[[#Totals],[2]]/AC[[#Totals],[2]]</totalsRowFormula>
    </tableColumn>
    <tableColumn id="4" name="3" totalsRowFunction="custom" dataDxfId="65">
      <calculatedColumnFormula>IF(E17=0,$L$70,E30/E17)</calculatedColumnFormula>
      <totalsRowFormula>Tabelle2[[#Totals],[3]]/AC[[#Totals],[3]]</totalsRowFormula>
    </tableColumn>
    <tableColumn id="5" name="4" totalsRowFunction="custom" dataDxfId="64">
      <calculatedColumnFormula>IF(F17=0,$L$70,F30/F17)</calculatedColumnFormula>
      <totalsRowFormula>Tabelle2[[#Totals],[4]]/AC[[#Totals],[4]]</totalsRowFormula>
    </tableColumn>
    <tableColumn id="6" name="5" totalsRowFunction="custom" dataDxfId="63">
      <calculatedColumnFormula>IF(G17=0,$L$70,G30/G17)</calculatedColumnFormula>
      <totalsRowFormula>Tabelle2[[#Totals],[5]]/AC[[#Totals],[5]]</totalsRowFormula>
    </tableColumn>
    <tableColumn id="7" name="6" totalsRowFunction="custom" dataDxfId="62">
      <calculatedColumnFormula>IF(H17=0,$L$70,H30/H17)</calculatedColumnFormula>
      <totalsRowFormula>Tabelle2[[#Totals],[6]]/AC[[#Totals],[6]]</totalsRowFormula>
    </tableColumn>
    <tableColumn id="8" name="7" totalsRowFunction="custom" dataDxfId="61">
      <calculatedColumnFormula>IF(I17=0,"-",I30/I17)</calculatedColumnFormula>
      <totalsRowFormula>Tabelle2[[#Totals],[7]]/AC[[#Totals],[7]]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60">
      <calculatedColumnFormula>IF(C4=0,$L$70,C30/C4)</calculatedColumnFormula>
      <totalsRowFormula>Tabelle2[[#Totals],[1]]/EV[[#Totals],[1]]</totalsRowFormula>
    </tableColumn>
    <tableColumn id="3" name="2" totalsRowFunction="custom" dataDxfId="59">
      <calculatedColumnFormula>IF(D4=0,$L$70,D30/D4)</calculatedColumnFormula>
      <totalsRowFormula>Tabelle2[[#Totals],[2]]/EV[[#Totals],[2]]</totalsRowFormula>
    </tableColumn>
    <tableColumn id="4" name="3" totalsRowFunction="custom" dataDxfId="58">
      <calculatedColumnFormula>IF(E4=0,$L$70,E30/E4)</calculatedColumnFormula>
      <totalsRowFormula>Tabelle2[[#Totals],[3]]/EV[[#Totals],[3]]</totalsRowFormula>
    </tableColumn>
    <tableColumn id="5" name="4" totalsRowFunction="custom" dataDxfId="57">
      <calculatedColumnFormula>IF(F4=0,$L$70,F30/F4)</calculatedColumnFormula>
      <totalsRowFormula>Tabelle2[[#Totals],[4]]/EV[[#Totals],[4]]</totalsRowFormula>
    </tableColumn>
    <tableColumn id="6" name="5" totalsRowFunction="custom" dataDxfId="56">
      <calculatedColumnFormula>IF(G4=0,$L$70,G30/G4)</calculatedColumnFormula>
      <totalsRowFormula>Tabelle2[[#Totals],[5]]/EV[[#Totals],[5]]</totalsRowFormula>
    </tableColumn>
    <tableColumn id="7" name="6" totalsRowFunction="custom" dataDxfId="55">
      <calculatedColumnFormula>IF(H4=0,$L$70,H30/H4)</calculatedColumnFormula>
      <totalsRowFormula>Tabelle2[[#Totals],[6]]/EV[[#Totals],[6]]</totalsRowFormula>
    </tableColumn>
    <tableColumn id="8" name="7" totalsRowFunction="custom" dataDxfId="54">
      <calculatedColumnFormula>IF(I4=0,"-",I30/I4)</calculatedColumnFormula>
      <totalsRowFormula>Tabelle2[[#Totals],[7]]/EV[[#Totals],[7]]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36">
      <calculatedColumnFormula>B82</calculatedColumnFormula>
      <totalsRowFormula>SPI[[#Totals],[Posten]]</totalsRowFormula>
    </tableColumn>
    <tableColumn id="2" name="1 [k €]" totalsRowFunction="custom" dataDxfId="35" totalsRowDxfId="21">
      <calculatedColumnFormula>IF(C69=$L$70,$L$70,('Budgetierte Kosten'!$P2-C30)/(C69*1000))</calculatedColumnFormula>
      <totalsRowFormula>($E$92-Tabelle2[[#Totals],[1]])/(CPI[[#Totals],[1]]*1000)</totalsRowFormula>
    </tableColumn>
    <tableColumn id="3" name="2 [k €]" totalsRowFunction="custom" dataDxfId="34" totalsRowDxfId="20">
      <calculatedColumnFormula>IF(D69=$L$70,$L$70,($E$92-D30)/(D69*1000))</calculatedColumnFormula>
      <totalsRowFormula>($E$92-Tabelle2[[#Totals],[2]])/(CPI[[#Totals],[2]]*1000)</totalsRowFormula>
    </tableColumn>
    <tableColumn id="4" name="3 [k €]" totalsRowFunction="custom" dataDxfId="33" totalsRowDxfId="19">
      <calculatedColumnFormula>IF(E69=$L$70,$L$70,($E$92-E30)/(E69*1000))</calculatedColumnFormula>
      <totalsRowFormula>($E$92-Tabelle2[[#Totals],[3]])/(CPI[[#Totals],[3]]*1000)</totalsRowFormula>
    </tableColumn>
    <tableColumn id="5" name="4 [k €]" totalsRowFunction="custom" dataDxfId="32" totalsRowDxfId="18">
      <calculatedColumnFormula>IF(F69=$L$70,$L$70,($E$92-F30)/(F69*1000))</calculatedColumnFormula>
      <totalsRowFormula>($E$92-Tabelle2[[#Totals],[4]])/(CPI[[#Totals],[4]]*1000)</totalsRowFormula>
    </tableColumn>
    <tableColumn id="6" name="5 [k €]" totalsRowFunction="custom" dataDxfId="31" totalsRowDxfId="17">
      <calculatedColumnFormula>IF(G69=$L$70,$L$70,($E$92-G30)/(G69*1000))</calculatedColumnFormula>
      <totalsRowFormula>($E$92-Tabelle2[[#Totals],[5]])/(CPI[[#Totals],[5]]*1000)</totalsRowFormula>
    </tableColumn>
    <tableColumn id="7" name="6 [k €]" totalsRowFunction="custom" dataDxfId="30" totalsRowDxfId="16">
      <calculatedColumnFormula>IF(H69=$L$70,$L$70,($E$92-H30)/(H69*1000))</calculatedColumnFormula>
      <totalsRowFormula>($E$92-Tabelle2[[#Totals],[6]])/(CPI[[#Totals],[6]]*1000)</totalsRowFormula>
    </tableColumn>
    <tableColumn id="8" name="7 [k €]" totalsRowFunction="custom" dataDxfId="29" totalsRowDxfId="15">
      <calculatedColumnFormula>IF(I69=$L$70,$L$70,($E$92-I30)/(I69*1000))</calculatedColumnFormula>
      <totalsRowFormula>($E$92-Tabelle2[[#Totals],[7]])/(CPI[[#Totals],[7]]*1000)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abSelected="1" topLeftCell="A97" zoomScale="85" zoomScaleNormal="85" workbookViewId="0">
      <selection activeCell="J118" sqref="J118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EV[[#Totals],[Posten]]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t="s">
        <v>18</v>
      </c>
      <c r="L30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12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12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12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12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12" x14ac:dyDescent="0.2">
      <c r="B37" t="str">
        <f>AC[[#Totals],[Posten]]</f>
        <v>Gesamt</v>
      </c>
      <c r="C37" s="28">
        <f>SUM(Tabelle2[1])</f>
        <v>83320</v>
      </c>
      <c r="D37" s="28">
        <f>SUM(Tabelle2[2])</f>
        <v>30140</v>
      </c>
      <c r="E37" s="28">
        <f>SUM(Tabelle2[3])</f>
        <v>72860</v>
      </c>
      <c r="F37" s="28">
        <f>SUM(Tabelle2[4])</f>
        <v>139880</v>
      </c>
      <c r="G37" s="28">
        <f>SUM(Tabelle2[5])</f>
        <v>209400</v>
      </c>
      <c r="H37" s="28">
        <f>SUM(Tabelle2[6])</f>
        <v>349520</v>
      </c>
      <c r="I37" s="28">
        <f>SUM(Tabelle2[7])</f>
        <v>597240</v>
      </c>
    </row>
    <row r="40" spans="1:12" ht="23.25" x14ac:dyDescent="0.35">
      <c r="A40" s="27" t="s">
        <v>32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t="s">
        <v>18</v>
      </c>
      <c r="L43" t="s">
        <v>37</v>
      </c>
    </row>
    <row r="44" spans="1:12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12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12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12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12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Tabelle2[[#Totals],[Posten]]</f>
        <v>Gesamt</v>
      </c>
      <c r="C50" s="28">
        <f>Tabelle2[[#Totals],[1]]-AC[[#Totals],[1]]</f>
        <v>-280</v>
      </c>
      <c r="D50" s="28">
        <f>Tabelle2[[#Totals],[2]]-AC[[#Totals],[2]]</f>
        <v>-318460</v>
      </c>
      <c r="E50" s="28">
        <f>Tabelle2[[#Totals],[3]]-AC[[#Totals],[3]]</f>
        <v>-493040</v>
      </c>
      <c r="F50" s="28">
        <f>Tabelle2[[#Totals],[4]]-AC[[#Totals],[4]]</f>
        <v>-538020</v>
      </c>
      <c r="G50" s="28">
        <f>Tabelle2[[#Totals],[5]]-AC[[#Totals],[5]]</f>
        <v>-507750</v>
      </c>
      <c r="H50" s="28">
        <f>Tabelle2[[#Totals],[6]]-AC[[#Totals],[6]]</f>
        <v>-437280</v>
      </c>
      <c r="I50" s="28">
        <f>Tabelle2[[#Totals],[7]]-AC[[#Totals],[7]]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t="s">
        <v>18</v>
      </c>
      <c r="L56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t="s">
        <v>18</v>
      </c>
      <c r="L69" t="s">
        <v>72</v>
      </c>
      <c r="M69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Tabelle2[[#Totals],[1]]/AC[[#Totals],[1]]</f>
        <v>0.99665071770334923</v>
      </c>
      <c r="D76" s="29">
        <f>Tabelle2[[#Totals],[2]]/AC[[#Totals],[2]]</f>
        <v>8.6460126219162367E-2</v>
      </c>
      <c r="E76" s="29">
        <f>Tabelle2[[#Totals],[3]]/AC[[#Totals],[3]]</f>
        <v>0.12875066266124757</v>
      </c>
      <c r="F76" s="29">
        <f>Tabelle2[[#Totals],[4]]/AC[[#Totals],[4]]</f>
        <v>0.20634311845404926</v>
      </c>
      <c r="G76" s="29">
        <f>Tabelle2[[#Totals],[5]]/AC[[#Totals],[5]]</f>
        <v>0.29198912361430662</v>
      </c>
      <c r="H76" s="29">
        <f>Tabelle2[[#Totals],[6]]/AC[[#Totals],[6]]</f>
        <v>0.44422979156075243</v>
      </c>
      <c r="I76" s="29">
        <f>Tabelle2[[#Totals],[7]]/AC[[#Totals],[7]]</f>
        <v>0.68747050359712225</v>
      </c>
    </row>
    <row r="79" spans="1:20" ht="23.25" x14ac:dyDescent="0.35">
      <c r="A79" s="27" t="s">
        <v>35</v>
      </c>
    </row>
    <row r="81" spans="1:13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3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t="s">
        <v>18</v>
      </c>
      <c r="L82" t="s">
        <v>39</v>
      </c>
      <c r="M82" t="s">
        <v>36</v>
      </c>
    </row>
    <row r="83" spans="1:13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3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3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3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3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3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3" x14ac:dyDescent="0.2">
      <c r="B89" t="str">
        <f>CPI[[#Totals],[Posten]]</f>
        <v>Gesamt</v>
      </c>
      <c r="C89" s="29">
        <f>Tabelle2[[#Totals],[1]]/EV[[#Totals],[1]]</f>
        <v>1.0415000000000001</v>
      </c>
      <c r="D89" s="29">
        <f>Tabelle2[[#Totals],[2]]/EV[[#Totals],[2]]</f>
        <v>0.18837499999999999</v>
      </c>
      <c r="E89" s="29">
        <f>Tabelle2[[#Totals],[3]]/EV[[#Totals],[3]]</f>
        <v>0.27915708812260537</v>
      </c>
      <c r="F89" s="29">
        <f>Tabelle2[[#Totals],[4]]/EV[[#Totals],[4]]</f>
        <v>0.39965714285714288</v>
      </c>
      <c r="G89" s="29">
        <f>Tabelle2[[#Totals],[5]]/EV[[#Totals],[5]]</f>
        <v>0.44839400428265525</v>
      </c>
      <c r="H89" s="29">
        <f>Tabelle2[[#Totals],[6]]/EV[[#Totals],[6]]</f>
        <v>0.57867549668874174</v>
      </c>
      <c r="I89" s="29">
        <f>Tabelle2[[#Totals],[7]]/EV[[#Totals],[7]]</f>
        <v>0.82605809128630703</v>
      </c>
    </row>
    <row r="92" spans="1:13" ht="23.25" x14ac:dyDescent="0.35">
      <c r="A92" s="33" t="s">
        <v>69</v>
      </c>
      <c r="E92">
        <v>1500000</v>
      </c>
    </row>
    <row r="94" spans="1:13" ht="23.25" x14ac:dyDescent="0.35">
      <c r="A94" s="27" t="s">
        <v>67</v>
      </c>
    </row>
    <row r="96" spans="1:13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</row>
    <row r="97" spans="1:12" x14ac:dyDescent="0.2">
      <c r="B97" t="str">
        <f t="shared" ref="B97:B103" si="12">B82</f>
        <v>Anforderungsanalyse</v>
      </c>
      <c r="C97" s="29">
        <f>IF(C69=$L$70,$L$70,('Budgetierte Kosten'!$P2-C30)/(C69*1000))</f>
        <v>78.928571428571431</v>
      </c>
      <c r="D97" s="29">
        <f>IF(D69=$L$70,$L$70,('Budgetierte Kosten'!$P2-D30)/(D69*1000))</f>
        <v>1615</v>
      </c>
      <c r="E97" s="29">
        <f>IF(E69=$L$70,$L$70,('Budgetierte Kosten'!$P2-E30)/(E69*1000))</f>
        <v>1178.0999999999999</v>
      </c>
      <c r="F97" s="29">
        <f>IF(F69=$L$70,$L$70,('Budgetierte Kosten'!$P2-F30)/(F69*1000))</f>
        <v>315.34999999999997</v>
      </c>
      <c r="G97" s="29">
        <f>IF(G69=$L$70,$L$70,('Budgetierte Kosten'!$P2-G30)/(G69*1000))</f>
        <v>135.15</v>
      </c>
      <c r="H97" s="29">
        <f>IF(H69=$L$70,$L$70,('Budgetierte Kosten'!$P2-H30)/(H69*1000))</f>
        <v>33.787500000000001</v>
      </c>
      <c r="I97" s="29">
        <f>IF(I69=$L$70,$L$70,('Budgetierte Kosten'!$P2-I30)/(I69*1000))</f>
        <v>15.016666666666667</v>
      </c>
      <c r="K97" t="s">
        <v>18</v>
      </c>
      <c r="L97" t="s">
        <v>68</v>
      </c>
    </row>
    <row r="98" spans="1:12" x14ac:dyDescent="0.2">
      <c r="B98" t="str">
        <f t="shared" si="12"/>
        <v>Design und Architektur</v>
      </c>
      <c r="C98" s="29" t="str">
        <f>IF(C70=$L$70,$L$70,('Budgetierte Kosten'!$P3-C31)/(C70*1000))</f>
        <v>-</v>
      </c>
      <c r="D98" s="29" t="str">
        <f>IF(D70=$L$70,$L$70,('Budgetierte Kosten'!$P3-D31)/(D70*1000))</f>
        <v>-</v>
      </c>
      <c r="E98" s="29" t="str">
        <f>IF(E70=$L$70,$L$70,('Budgetierte Kosten'!$P3-E31)/(E70*1000))</f>
        <v>-</v>
      </c>
      <c r="F98" s="29">
        <f>IF(F70=$L$70,$L$70,('Budgetierte Kosten'!$P3-F31)/(F70*1000))</f>
        <v>807.50000000000011</v>
      </c>
      <c r="G98" s="29">
        <f>IF(G70=$L$70,$L$70,('Budgetierte Kosten'!$P3-G31)/(G70*1000))</f>
        <v>1130.5000000000002</v>
      </c>
      <c r="H98" s="29">
        <f>IF(H70=$L$70,$L$70,('Budgetierte Kosten'!$P3-H31)/(H70*1000))</f>
        <v>711.45</v>
      </c>
      <c r="I98" s="29">
        <f>IF(I70=$L$70,$L$70,('Budgetierte Kosten'!$P3-I31)/(I70*1000))</f>
        <v>131.32499999999999</v>
      </c>
    </row>
    <row r="99" spans="1:12" x14ac:dyDescent="0.2">
      <c r="B99" t="str">
        <f t="shared" si="12"/>
        <v>Implementierung</v>
      </c>
      <c r="C99" s="29" t="str">
        <f>IF(C71=$L$70,$L$70,('Budgetierte Kosten'!$P4-C32)/(C71*1000))</f>
        <v>-</v>
      </c>
      <c r="D99" s="29" t="str">
        <f>IF(D71=$L$70,$L$70,('Budgetierte Kosten'!$P4-D32)/(D71*1000))</f>
        <v>-</v>
      </c>
      <c r="E99" s="29" t="str">
        <f>IF(E71=$L$70,$L$70,('Budgetierte Kosten'!$P4-E32)/(E71*1000))</f>
        <v>-</v>
      </c>
      <c r="F99" s="29" t="str">
        <f>IF(F71=$L$70,$L$70,('Budgetierte Kosten'!$P4-F32)/(F71*1000))</f>
        <v>-</v>
      </c>
      <c r="G99" s="29" t="str">
        <f>IF(G71=$L$70,$L$70,('Budgetierte Kosten'!$P4-G32)/(G71*1000))</f>
        <v>-</v>
      </c>
      <c r="H99" s="29">
        <f>IF(H71=$L$70,$L$70,('Budgetierte Kosten'!$P4-H32)/(H71*1000))</f>
        <v>191.25</v>
      </c>
      <c r="I99" s="29">
        <f>IF(I71=$L$70,$L$70,('Budgetierte Kosten'!$P4-I32)/(I71*1000))</f>
        <v>127.50000000000001</v>
      </c>
    </row>
    <row r="100" spans="1:12" x14ac:dyDescent="0.2">
      <c r="B100" t="str">
        <f t="shared" si="12"/>
        <v>Integration und Test</v>
      </c>
      <c r="C100" s="29" t="str">
        <f>IF(C72=$L$70,$L$70,('Budgetierte Kosten'!$P5-C33)/(C72*1000))</f>
        <v>-</v>
      </c>
      <c r="D100" s="29" t="str">
        <f>IF(D72=$L$70,$L$70,('Budgetierte Kosten'!$P5-D33)/(D72*1000))</f>
        <v>-</v>
      </c>
      <c r="E100" s="29" t="str">
        <f>IF(E72=$L$70,$L$70,('Budgetierte Kosten'!$P5-E33)/(E72*1000))</f>
        <v>-</v>
      </c>
      <c r="F100" s="29" t="str">
        <f>IF(F72=$L$70,$L$70,('Budgetierte Kosten'!$P5-F33)/(F72*1000))</f>
        <v>-</v>
      </c>
      <c r="G100" s="29" t="str">
        <f>IF(G72=$L$70,$L$70,('Budgetierte Kosten'!$P5-G33)/(G72*1000))</f>
        <v>-</v>
      </c>
      <c r="H100" s="29" t="str">
        <f>IF(H72=$L$70,$L$70,('Budgetierte Kosten'!$P5-H33)/(H72*1000))</f>
        <v>-</v>
      </c>
      <c r="I100" s="29">
        <f>IF(I72=$L$70,$L$70,('Budgetierte Kosten'!$P5-I33)/(I72*1000))</f>
        <v>89.25</v>
      </c>
    </row>
    <row r="101" spans="1:12" x14ac:dyDescent="0.2">
      <c r="B101" t="str">
        <f t="shared" si="12"/>
        <v>Projektmanagement</v>
      </c>
      <c r="C101" s="29">
        <f>IF(C73=$L$70,$L$70,('Budgetierte Kosten'!$P6-C34)/(C73*1000))</f>
        <v>293.25</v>
      </c>
      <c r="D101" s="29">
        <f>IF(D73=$L$70,$L$70,('Budgetierte Kosten'!$P6-D34)/(D73*1000))</f>
        <v>1776.4999999999998</v>
      </c>
      <c r="E101" s="29">
        <f>IF(E73=$L$70,$L$70,('Budgetierte Kosten'!$P6-E34)/(E73*1000))</f>
        <v>722.49999999999989</v>
      </c>
      <c r="F101" s="29">
        <f>IF(F73=$L$70,$L$70,('Budgetierte Kosten'!$P6-F34)/(F73*1000))</f>
        <v>612</v>
      </c>
      <c r="G101" s="29">
        <f>IF(G73=$L$70,$L$70,('Budgetierte Kosten'!$P6-G34)/(G73*1000))</f>
        <v>396.66666666666663</v>
      </c>
      <c r="H101" s="29">
        <f>IF(H73=$L$70,$L$70,('Budgetierte Kosten'!$P6-H34)/(H73*1000))</f>
        <v>280.49999999999994</v>
      </c>
      <c r="I101" s="29">
        <f>IF(I73=$L$70,$L$70,('Budgetierte Kosten'!$P6-I34)/(I73*1000))</f>
        <v>204.00000000000003</v>
      </c>
    </row>
    <row r="102" spans="1:12" x14ac:dyDescent="0.2">
      <c r="B102" t="str">
        <f t="shared" si="12"/>
        <v>Puffer für unerwartetes</v>
      </c>
      <c r="C102" s="29">
        <f>IF(C74=$L$70,$L$70,('Budgetierte Kosten'!$P7-C35)/(C74*1000))</f>
        <v>156.39999999999998</v>
      </c>
      <c r="D102" s="29">
        <f>IF(D74=$L$70,$L$70,('Budgetierte Kosten'!$P7-D35)/(D74*1000))</f>
        <v>3165.4</v>
      </c>
      <c r="E102" s="29">
        <f>IF(E74=$L$70,$L$70,('Budgetierte Kosten'!$P7-E35)/(E74*1000))</f>
        <v>2723.3999999999996</v>
      </c>
      <c r="F102" s="29">
        <f>IF(F74=$L$70,$L$70,('Budgetierte Kosten'!$P7-F35)/(F74*1000))</f>
        <v>1363.4</v>
      </c>
      <c r="G102" s="29">
        <f>IF(G74=$L$70,$L$70,('Budgetierte Kosten'!$P7-G35)/(G74*1000))</f>
        <v>805.23333333333335</v>
      </c>
      <c r="H102" s="29">
        <f>IF(H74=$L$70,$L$70,('Budgetierte Kosten'!$P7-H35)/(H74*1000))</f>
        <v>426.98333333333329</v>
      </c>
      <c r="I102" s="29">
        <f>IF(I74=$L$70,$L$70,('Budgetierte Kosten'!$P7-I35)/(I74*1000))</f>
        <v>289.30909090909086</v>
      </c>
    </row>
    <row r="103" spans="1:12" x14ac:dyDescent="0.2">
      <c r="B103" t="str">
        <f t="shared" si="12"/>
        <v>Materialkosten</v>
      </c>
      <c r="C103" s="29"/>
      <c r="D103" s="29"/>
      <c r="E103" s="29"/>
      <c r="F103" s="29"/>
      <c r="G103" s="29"/>
      <c r="H103" s="29"/>
      <c r="I103" s="29"/>
      <c r="J103" t="s">
        <v>82</v>
      </c>
    </row>
    <row r="104" spans="1:12" x14ac:dyDescent="0.2">
      <c r="B104" t="str">
        <f>SPI[[#Totals],[Posten]]</f>
        <v>Gesamt</v>
      </c>
      <c r="C104" s="29">
        <f>($E$92-Tabelle2[[#Totals],[1]])/(CPI[[#Totals],[1]]*1000)</f>
        <v>1421.4408065290447</v>
      </c>
      <c r="D104" s="29">
        <f>($E$92-Tabelle2[[#Totals],[2]])/(CPI[[#Totals],[2]]*1000)</f>
        <v>17000.437823490378</v>
      </c>
      <c r="E104" s="29">
        <f>($E$92-Tabelle2[[#Totals],[3]])/(CPI[[#Totals],[3]]*1000)</f>
        <v>11084.525473510843</v>
      </c>
      <c r="F104" s="29">
        <f>($E$92-Tabelle2[[#Totals],[4]])/(CPI[[#Totals],[4]]*1000)</f>
        <v>6591.5452387760943</v>
      </c>
      <c r="G104" s="29">
        <f>($E$92-Tabelle2[[#Totals],[5]])/(CPI[[#Totals],[5]]*1000)</f>
        <v>4420.0276504297999</v>
      </c>
      <c r="H104" s="29">
        <f>($E$92-Tabelle2[[#Totals],[6]])/(CPI[[#Totals],[6]]*1000)</f>
        <v>2589.8308079652097</v>
      </c>
      <c r="I104" s="29">
        <f>($E$92-Tabelle2[[#Totals],[7]])/(CPI[[#Totals],[7]]*1000)</f>
        <v>1313.1617942535665</v>
      </c>
    </row>
    <row r="107" spans="1:12" ht="23.25" x14ac:dyDescent="0.35">
      <c r="A107" s="33" t="s">
        <v>70</v>
      </c>
    </row>
    <row r="109" spans="1:12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2" x14ac:dyDescent="0.2">
      <c r="B110" t="str">
        <f t="shared" ref="B110:B116" si="13">B97</f>
        <v>Anforderungsanalyse</v>
      </c>
      <c r="C110" s="29">
        <f>IF(C69=$L$70,$L$70,'Budgetierte Kosten'!$P2/(C69*1000))</f>
        <v>121.42857142857144</v>
      </c>
      <c r="D110" s="29">
        <f>IF(D69=$L$70,$L$70,'Budgetierte Kosten'!$P2/(D69*1000))</f>
        <v>1700</v>
      </c>
      <c r="E110" s="29">
        <f>IF(E69=$L$70,$L$70,'Budgetierte Kosten'!$P2/(E69*1000))</f>
        <v>1309</v>
      </c>
      <c r="F110" s="29">
        <f>IF(F69=$L$70,$L$70,'Budgetierte Kosten'!$P2/(F69*1000))</f>
        <v>450.49999999999994</v>
      </c>
      <c r="G110" s="29">
        <f>IF(G69=$L$70,$L$70,'Budgetierte Kosten'!$P2/(G69*1000))</f>
        <v>270.3</v>
      </c>
      <c r="H110" s="29">
        <f>IF(H69=$L$70,$L$70,'Budgetierte Kosten'!$P2/(H69*1000))</f>
        <v>168.9375</v>
      </c>
      <c r="I110" s="29">
        <f>IF(I69=$L$70,$L$70,'Budgetierte Kosten'!$P2/(I69*1000))</f>
        <v>150.16666666666669</v>
      </c>
      <c r="K110" t="s">
        <v>18</v>
      </c>
      <c r="L110" t="s">
        <v>71</v>
      </c>
    </row>
    <row r="111" spans="1:12" x14ac:dyDescent="0.2">
      <c r="B111" t="str">
        <f t="shared" si="13"/>
        <v>Design und Architektur</v>
      </c>
      <c r="C111" s="29" t="str">
        <f>IF(C70=$L$70,$L$70,'Budgetierte Kosten'!$P3/(C70*1000))</f>
        <v>-</v>
      </c>
      <c r="D111" s="29" t="str">
        <f>IF(D70=$L$70,$L$70,'Budgetierte Kosten'!$P3/(D70*1000))</f>
        <v>-</v>
      </c>
      <c r="E111" s="29" t="str">
        <f>IF(E70=$L$70,$L$70,'Budgetierte Kosten'!$P3/(E70*1000))</f>
        <v>-</v>
      </c>
      <c r="F111" s="29">
        <f>IF(F70=$L$70,$L$70,'Budgetierte Kosten'!$P3/(F70*1000))</f>
        <v>850.00000000000011</v>
      </c>
      <c r="G111" s="29">
        <f>IF(G70=$L$70,$L$70,'Budgetierte Kosten'!$P3/(G70*1000))</f>
        <v>1190.0000000000002</v>
      </c>
      <c r="H111" s="29">
        <f>IF(H70=$L$70,$L$70,'Budgetierte Kosten'!$P3/(H70*1000))</f>
        <v>790.50000000000011</v>
      </c>
      <c r="I111" s="29">
        <f>IF(I70=$L$70,$L$70,'Budgetierte Kosten'!$P3/(I70*1000))</f>
        <v>218.87499999999997</v>
      </c>
    </row>
    <row r="112" spans="1:12" x14ac:dyDescent="0.2">
      <c r="B112" t="str">
        <f t="shared" si="13"/>
        <v>Implementierung</v>
      </c>
      <c r="C112" s="29" t="str">
        <f>IF(C71=$L$70,$L$70,'Budgetierte Kosten'!$P4/(C71*1000))</f>
        <v>-</v>
      </c>
      <c r="D112" s="29" t="str">
        <f>IF(D71=$L$70,$L$70,'Budgetierte Kosten'!$P4/(D71*1000))</f>
        <v>-</v>
      </c>
      <c r="E112" s="29" t="str">
        <f>IF(E71=$L$70,$L$70,'Budgetierte Kosten'!$P4/(E71*1000))</f>
        <v>-</v>
      </c>
      <c r="F112" s="29" t="str">
        <f>IF(F71=$L$70,$L$70,'Budgetierte Kosten'!$P4/(F71*1000))</f>
        <v>-</v>
      </c>
      <c r="G112" s="29" t="str">
        <f>IF(G71=$L$70,$L$70,'Budgetierte Kosten'!$P4/(G71*1000))</f>
        <v>-</v>
      </c>
      <c r="H112" s="29">
        <f>IF(H71=$L$70,$L$70,'Budgetierte Kosten'!$P4/(H71*1000))</f>
        <v>212.5</v>
      </c>
      <c r="I112" s="29">
        <f>IF(I71=$L$70,$L$70,'Budgetierte Kosten'!$P4/(I71*1000))</f>
        <v>170.00000000000003</v>
      </c>
    </row>
    <row r="113" spans="2:10" x14ac:dyDescent="0.2">
      <c r="B113" t="str">
        <f t="shared" si="13"/>
        <v>Integration und Test</v>
      </c>
      <c r="C113" s="29" t="str">
        <f>IF(C72=$L$70,$L$70,'Budgetierte Kosten'!$P5/(C72*1000))</f>
        <v>-</v>
      </c>
      <c r="D113" s="29" t="str">
        <f>IF(D72=$L$70,$L$70,'Budgetierte Kosten'!$P5/(D72*1000))</f>
        <v>-</v>
      </c>
      <c r="E113" s="29" t="str">
        <f>IF(E72=$L$70,$L$70,'Budgetierte Kosten'!$P5/(E72*1000))</f>
        <v>-</v>
      </c>
      <c r="F113" s="29" t="str">
        <f>IF(F72=$L$70,$L$70,'Budgetierte Kosten'!$P5/(F72*1000))</f>
        <v>-</v>
      </c>
      <c r="G113" s="29" t="str">
        <f>IF(G72=$L$70,$L$70,'Budgetierte Kosten'!$P5/(G72*1000))</f>
        <v>-</v>
      </c>
      <c r="H113" s="29" t="str">
        <f>IF(H72=$L$70,$L$70,'Budgetierte Kosten'!$P5/(H72*1000))</f>
        <v>-</v>
      </c>
      <c r="I113" s="29">
        <f>IF(I72=$L$70,$L$70,'Budgetierte Kosten'!$P5/(I72*1000))</f>
        <v>119.00000000000001</v>
      </c>
    </row>
    <row r="114" spans="2:10" x14ac:dyDescent="0.2">
      <c r="B114" t="str">
        <f t="shared" si="13"/>
        <v>Projektmanagement</v>
      </c>
      <c r="C114" s="29">
        <f>IF(C73=$L$70,$L$70,'Budgetierte Kosten'!$P6/(C73*1000))</f>
        <v>318.75</v>
      </c>
      <c r="D114" s="29">
        <f>IF(D73=$L$70,$L$70,'Budgetierte Kosten'!$P6/(D73*1000))</f>
        <v>1869.9999999999998</v>
      </c>
      <c r="E114" s="29">
        <f>IF(E73=$L$70,$L$70,'Budgetierte Kosten'!$P6/(E73*1000))</f>
        <v>849.99999999999989</v>
      </c>
      <c r="F114" s="29">
        <f>IF(F73=$L$70,$L$70,'Budgetierte Kosten'!$P6/(F73*1000))</f>
        <v>765</v>
      </c>
      <c r="G114" s="29">
        <f>IF(G73=$L$70,$L$70,'Budgetierte Kosten'!$P6/(G73*1000))</f>
        <v>566.66666666666663</v>
      </c>
      <c r="H114" s="29">
        <f>IF(H73=$L$70,$L$70,'Budgetierte Kosten'!$P6/(H73*1000))</f>
        <v>467.49999999999994</v>
      </c>
      <c r="I114" s="29">
        <f>IF(I73=$L$70,$L$70,'Budgetierte Kosten'!$P6/(I73*1000))</f>
        <v>408.00000000000006</v>
      </c>
    </row>
    <row r="115" spans="2:10" x14ac:dyDescent="0.2">
      <c r="B115" t="str">
        <f t="shared" si="13"/>
        <v>Puffer für unerwartetes</v>
      </c>
      <c r="C115" s="29">
        <f>IF(C74=$L$70,$L$70,'Budgetierte Kosten'!$P7/(C74*1000))</f>
        <v>169.99999999999997</v>
      </c>
      <c r="D115" s="29">
        <f>IF(D74=$L$70,$L$70,'Budgetierte Kosten'!$P7/(D74*1000))</f>
        <v>3332</v>
      </c>
      <c r="E115" s="29">
        <f>IF(E74=$L$70,$L$70,'Budgetierte Kosten'!$P7/(E74*1000))</f>
        <v>3026</v>
      </c>
      <c r="F115" s="29">
        <f>IF(F74=$L$70,$L$70,'Budgetierte Kosten'!$P7/(F74*1000))</f>
        <v>1704.25</v>
      </c>
      <c r="G115" s="29">
        <f>IF(G74=$L$70,$L$70,'Budgetierte Kosten'!$P7/(G74*1000))</f>
        <v>1150.3333333333333</v>
      </c>
      <c r="H115" s="29">
        <f>IF(H74=$L$70,$L$70,'Budgetierte Kosten'!$P7/(H74*1000))</f>
        <v>776.33333333333326</v>
      </c>
      <c r="I115" s="29">
        <f>IF(I74=$L$70,$L$70,'Budgetierte Kosten'!$P7/(I74*1000))</f>
        <v>642.90909090909088</v>
      </c>
    </row>
    <row r="116" spans="2:10" x14ac:dyDescent="0.2">
      <c r="B116" t="str">
        <f t="shared" si="13"/>
        <v>Materialkosten</v>
      </c>
      <c r="C116" s="29"/>
      <c r="D116" s="29"/>
      <c r="E116" s="29"/>
      <c r="F116" s="29"/>
      <c r="G116" s="29"/>
      <c r="H116" s="29"/>
      <c r="I116" s="29"/>
      <c r="J116" t="s">
        <v>83</v>
      </c>
    </row>
    <row r="117" spans="2:10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15" sqref="F15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Gelb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Gelb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Gelb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Gelb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Akt.'!H9</f>
        <v>0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Gelb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Gelb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Gelb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Akt.'!G9</f>
        <v>0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53" priority="13" operator="greaterThanOrEqual">
      <formula>$K$4</formula>
    </cfRule>
    <cfRule type="cellIs" dxfId="52" priority="14" operator="lessThan">
      <formula>$K$3</formula>
    </cfRule>
    <cfRule type="cellIs" dxfId="51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6" zoomScale="85" zoomScaleNormal="85" workbookViewId="0">
      <selection activeCell="V170" sqref="V170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D1" zoomScale="125" zoomScaleNormal="125" workbookViewId="0">
      <selection activeCell="O16" sqref="O16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9" sqref="B9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2017-03-21T10:45:26Z</dcterms:modified>
</cp:coreProperties>
</file>