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L13" i="4" l="1"/>
  <c r="E18" i="6" l="1"/>
  <c r="E19" i="6"/>
  <c r="E20" i="6"/>
  <c r="E21" i="6"/>
  <c r="E22" i="6"/>
  <c r="E23" i="6"/>
  <c r="E24" i="6"/>
  <c r="E25" i="6"/>
  <c r="E5" i="6"/>
  <c r="E6" i="6"/>
  <c r="E7" i="6"/>
  <c r="E8" i="6"/>
  <c r="E9" i="6"/>
  <c r="E10" i="6"/>
  <c r="E11" i="6"/>
  <c r="E12" i="6"/>
  <c r="L26" i="1"/>
  <c r="C20" i="3"/>
  <c r="D20" i="3"/>
  <c r="E20" i="3"/>
  <c r="F20" i="3"/>
  <c r="G20" i="3"/>
  <c r="H20" i="3"/>
  <c r="B20" i="3"/>
  <c r="C19" i="3"/>
  <c r="D19" i="3"/>
  <c r="E19" i="3"/>
  <c r="F19" i="3"/>
  <c r="G19" i="3"/>
  <c r="H19" i="3"/>
  <c r="B19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13" i="3"/>
  <c r="D13" i="3"/>
  <c r="E13" i="3"/>
  <c r="F13" i="3"/>
  <c r="G13" i="3"/>
  <c r="H13" i="3"/>
  <c r="B13" i="3"/>
  <c r="A18" i="3"/>
  <c r="A17" i="3"/>
  <c r="A16" i="3"/>
  <c r="A15" i="3"/>
  <c r="A14" i="3"/>
  <c r="A13" i="3"/>
  <c r="Q11" i="1"/>
  <c r="Q3" i="1"/>
  <c r="Q4" i="1"/>
  <c r="Q5" i="1"/>
  <c r="Q6" i="1"/>
  <c r="Q7" i="1"/>
  <c r="Q2" i="1"/>
  <c r="C26" i="1" l="1"/>
  <c r="D26" i="1"/>
  <c r="E26" i="1"/>
  <c r="F26" i="1"/>
  <c r="G26" i="1"/>
  <c r="H26" i="1"/>
  <c r="I26" i="1"/>
  <c r="J26" i="1"/>
  <c r="K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O103" i="4" l="1"/>
  <c r="O98" i="4"/>
  <c r="O99" i="4"/>
  <c r="O100" i="4"/>
  <c r="O101" i="4"/>
  <c r="O102" i="4"/>
  <c r="O97" i="4"/>
  <c r="D11" i="4"/>
  <c r="E11" i="4"/>
  <c r="F11" i="4"/>
  <c r="G11" i="4"/>
  <c r="H11" i="4"/>
  <c r="I11" i="4"/>
  <c r="I10" i="4"/>
  <c r="D36" i="4" l="1"/>
  <c r="E36" i="4"/>
  <c r="F36" i="4"/>
  <c r="G36" i="4"/>
  <c r="H36" i="4"/>
  <c r="I36" i="4"/>
  <c r="P103" i="4" s="1"/>
  <c r="Q103" i="4" s="1"/>
  <c r="C36" i="4"/>
  <c r="C31" i="4"/>
  <c r="D31" i="4"/>
  <c r="E31" i="4"/>
  <c r="F31" i="4"/>
  <c r="G31" i="4"/>
  <c r="H31" i="4"/>
  <c r="I31" i="4"/>
  <c r="P98" i="4" s="1"/>
  <c r="Q98" i="4" s="1"/>
  <c r="C32" i="4"/>
  <c r="D32" i="4"/>
  <c r="E32" i="4"/>
  <c r="F32" i="4"/>
  <c r="G32" i="4"/>
  <c r="H32" i="4"/>
  <c r="I32" i="4"/>
  <c r="P99" i="4" s="1"/>
  <c r="Q99" i="4" s="1"/>
  <c r="C33" i="4"/>
  <c r="D33" i="4"/>
  <c r="E33" i="4"/>
  <c r="F33" i="4"/>
  <c r="G33" i="4"/>
  <c r="H33" i="4"/>
  <c r="I33" i="4"/>
  <c r="P100" i="4" s="1"/>
  <c r="Q100" i="4" s="1"/>
  <c r="C34" i="4"/>
  <c r="D34" i="4"/>
  <c r="E34" i="4"/>
  <c r="F34" i="4"/>
  <c r="G34" i="4"/>
  <c r="H34" i="4"/>
  <c r="I34" i="4"/>
  <c r="P101" i="4" s="1"/>
  <c r="Q101" i="4" s="1"/>
  <c r="C35" i="4"/>
  <c r="D35" i="4"/>
  <c r="E35" i="4"/>
  <c r="F35" i="4"/>
  <c r="G35" i="4"/>
  <c r="H35" i="4"/>
  <c r="I35" i="4"/>
  <c r="P102" i="4" s="1"/>
  <c r="Q102" i="4" s="1"/>
  <c r="D30" i="4"/>
  <c r="E30" i="4"/>
  <c r="F30" i="4"/>
  <c r="G30" i="4"/>
  <c r="H30" i="4"/>
  <c r="I30" i="4"/>
  <c r="P97" i="4" s="1"/>
  <c r="Q97" i="4" s="1"/>
  <c r="C30" i="4"/>
  <c r="F19" i="6" l="1"/>
  <c r="F20" i="6"/>
  <c r="F21" i="6"/>
  <c r="F22" i="6"/>
  <c r="F23" i="6"/>
  <c r="F24" i="6"/>
  <c r="F25" i="6"/>
  <c r="F18" i="6"/>
  <c r="F12" i="6"/>
  <c r="F5" i="6"/>
  <c r="B25" i="6"/>
  <c r="B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C11" i="4"/>
  <c r="B23" i="4" l="1"/>
  <c r="B36" i="4" s="1"/>
  <c r="F11" i="6" l="1"/>
  <c r="F6" i="6"/>
  <c r="F7" i="6"/>
  <c r="F8" i="6"/>
  <c r="F9" i="6"/>
  <c r="F10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L25" i="4" l="1"/>
  <c r="C111" i="4"/>
  <c r="C98" i="4"/>
  <c r="C112" i="4"/>
  <c r="C99" i="4"/>
  <c r="C113" i="4"/>
  <c r="C100" i="4"/>
  <c r="L24" i="4"/>
  <c r="D112" i="4"/>
  <c r="D99" i="4"/>
  <c r="H113" i="4"/>
  <c r="H100" i="4"/>
  <c r="D113" i="4"/>
  <c r="D100" i="4"/>
  <c r="G112" i="4"/>
  <c r="G99" i="4"/>
  <c r="E100" i="4"/>
  <c r="E113" i="4"/>
  <c r="G100" i="4"/>
  <c r="G113" i="4"/>
  <c r="F112" i="4"/>
  <c r="F99" i="4"/>
  <c r="E98" i="4"/>
  <c r="E111" i="4"/>
  <c r="F100" i="4"/>
  <c r="F113" i="4"/>
  <c r="E99" i="4"/>
  <c r="E112" i="4"/>
  <c r="D98" i="4"/>
  <c r="D111" i="4"/>
  <c r="I37" i="4"/>
  <c r="I89" i="4" s="1"/>
  <c r="B17" i="4"/>
  <c r="B30" i="4" s="1"/>
  <c r="B43" i="4" s="1"/>
  <c r="B56" i="4" s="1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L63" i="4" l="1"/>
  <c r="I116" i="4"/>
  <c r="L123" i="4" s="1"/>
  <c r="I103" i="4"/>
  <c r="N103" i="4" s="1"/>
  <c r="E116" i="4"/>
  <c r="E103" i="4"/>
  <c r="I102" i="4"/>
  <c r="N102" i="4"/>
  <c r="L51" i="4"/>
  <c r="I99" i="4"/>
  <c r="N99" i="4" s="1"/>
  <c r="I112" i="4"/>
  <c r="L119" i="4" s="1"/>
  <c r="I98" i="4"/>
  <c r="N98" i="4" s="1"/>
  <c r="I111" i="4"/>
  <c r="L118" i="4" s="1"/>
  <c r="E114" i="4"/>
  <c r="E101" i="4"/>
  <c r="I115" i="4"/>
  <c r="L122" i="4" s="1"/>
  <c r="I110" i="4"/>
  <c r="L117" i="4" s="1"/>
  <c r="I97" i="4"/>
  <c r="N97" i="4" s="1"/>
  <c r="I114" i="4"/>
  <c r="L121" i="4" s="1"/>
  <c r="I101" i="4"/>
  <c r="N101" i="4" s="1"/>
  <c r="I113" i="4"/>
  <c r="L120" i="4" s="1"/>
  <c r="I100" i="4"/>
  <c r="N100" i="4" s="1"/>
  <c r="H115" i="4"/>
  <c r="H102" i="4"/>
  <c r="G56" i="4"/>
  <c r="G37" i="4"/>
  <c r="F69" i="4"/>
  <c r="F37" i="4"/>
  <c r="H56" i="4"/>
  <c r="H37" i="4"/>
  <c r="I63" i="4"/>
  <c r="C82" i="4"/>
  <c r="C37" i="4"/>
  <c r="D56" i="4"/>
  <c r="D37" i="4"/>
  <c r="E69" i="4"/>
  <c r="E37" i="4"/>
  <c r="I76" i="4"/>
  <c r="I104" i="4" s="1"/>
  <c r="D12" i="6"/>
  <c r="I50" i="4"/>
  <c r="C74" i="4"/>
  <c r="D5" i="6"/>
  <c r="F47" i="4"/>
  <c r="G48" i="4"/>
  <c r="C87" i="4"/>
  <c r="B5" i="6"/>
  <c r="B69" i="4"/>
  <c r="B18" i="6" s="1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G11" i="6" s="1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L50" i="4" l="1"/>
  <c r="C97" i="4"/>
  <c r="C110" i="4"/>
  <c r="C101" i="4"/>
  <c r="C114" i="4"/>
  <c r="C115" i="4"/>
  <c r="C102" i="4"/>
  <c r="M124" i="4"/>
  <c r="H116" i="4"/>
  <c r="H103" i="4"/>
  <c r="F103" i="4"/>
  <c r="F116" i="4"/>
  <c r="C116" i="4"/>
  <c r="C103" i="4"/>
  <c r="G116" i="4"/>
  <c r="G103" i="4"/>
  <c r="D116" i="4"/>
  <c r="D103" i="4"/>
  <c r="C63" i="4"/>
  <c r="L62" i="4"/>
  <c r="L106" i="4"/>
  <c r="F111" i="4"/>
  <c r="F98" i="4"/>
  <c r="F114" i="4"/>
  <c r="F101" i="4"/>
  <c r="E110" i="4"/>
  <c r="E97" i="4"/>
  <c r="G97" i="4"/>
  <c r="G110" i="4"/>
  <c r="H99" i="4"/>
  <c r="H112" i="4"/>
  <c r="D101" i="4"/>
  <c r="D114" i="4"/>
  <c r="F110" i="4"/>
  <c r="F97" i="4"/>
  <c r="G115" i="4"/>
  <c r="G102" i="4"/>
  <c r="H98" i="4"/>
  <c r="H111" i="4"/>
  <c r="H114" i="4"/>
  <c r="H101" i="4"/>
  <c r="D115" i="4"/>
  <c r="D102" i="4"/>
  <c r="H110" i="4"/>
  <c r="H97" i="4"/>
  <c r="G101" i="4"/>
  <c r="G114" i="4"/>
  <c r="G98" i="4"/>
  <c r="G111" i="4"/>
  <c r="F115" i="4"/>
  <c r="F102" i="4"/>
  <c r="E102" i="4"/>
  <c r="E115" i="4"/>
  <c r="D110" i="4"/>
  <c r="D97" i="4"/>
  <c r="E63" i="4"/>
  <c r="G5" i="6"/>
  <c r="F50" i="4"/>
  <c r="F76" i="4"/>
  <c r="F117" i="4" s="1"/>
  <c r="F89" i="4"/>
  <c r="D76" i="4"/>
  <c r="D117" i="4" s="1"/>
  <c r="D89" i="4"/>
  <c r="D50" i="4"/>
  <c r="C12" i="6"/>
  <c r="G12" i="6" s="1"/>
  <c r="I117" i="4"/>
  <c r="L124" i="4" s="1"/>
  <c r="D63" i="4"/>
  <c r="H76" i="4"/>
  <c r="H104" i="4" s="1"/>
  <c r="H89" i="4"/>
  <c r="D25" i="6" s="1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<sst xmlns="http://schemas.openxmlformats.org/spreadsheetml/2006/main" count="212" uniqueCount="90">
  <si>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</si>
  <si>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</si>
  <si>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</si>
  <si>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</si>
  <si>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</si>
  <si>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</si>
  <si>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</si>
  <si>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</si>
  <si>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</si>
  <si>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</si>
  <si>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</si>
  <si>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</si>
  <si>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</si>
  <si>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</si>
  <si>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</si>
  <si>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</si>
  <si>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</si>
  <si>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</si>
  <si>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</si>
  <si>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</si>
  <si>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</si>
  <si>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</si>
  <si>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</si>
  <si>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</si>
  <si>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</si>
  <si>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</si>
  <si>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</si>
  <si>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</si>
  <si>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</si>
  <si>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</si>
  <si>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</si>
  <si>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</si>
  <si>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</si>
  <si>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</si>
  <si>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</si>
  <si>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</si>
  <si>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</si>
  <si>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</si>
  <si>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</si>
  <si>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</si>
  <si>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</si>
  <si>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</si>
  <si>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</si>
  <si>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</si>
  <si>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</si>
  <si>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</si>
  <si>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</si>
  <si>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</si>
  <si>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</si>
  <si>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</si>
  <si>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</si>
  <si>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</si>
  <si>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</si>
  <si>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</si>
  <si>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</si>
  <si>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</si>
  <si>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</si>
  <si>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</si>
  <si>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</si>
  <si>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</si>
  <si>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</si>
  <si>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</si>
  <si>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</si>
  <si>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</si>
  <si>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</si>
  <si>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</si>
  <si>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</si>
  <si>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</si>
  <si>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</si>
  <si>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</si>
  <si>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</si>
  <si>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</si>
  <si>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</si>
  <si>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</si>
  <si>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</si>
  <si>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</si>
  <si>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</si>
  <si>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</si>
  <si>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</si>
  <si>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</si>
  <si>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</si>
  <si>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</si>
  <si>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</si>
  <si>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</si>
  <si>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</si>
  <si>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</si>
  <si>
    <t>BAC-Anteil</t>
  </si>
  <si>
    <t>relativer BAC-Anteil</t>
  </si>
  <si>
    <t>Fertigstellungsgrad in Relation zum beigetragenen BAC</t>
  </si>
  <si>
    <t>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</si>
</sst>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€&quot;\ #,##0;\-&quot;€&quot;\ #,##0"/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22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41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  <xf numFmtId="0" fontId="21" fillId="0" borderId="0" xfId="0" applyFont="1"/>
    <xf numFmtId="5" fontId="0" fillId="0" borderId="0" xfId="0" applyNumberFormat="1"/>
    <xf numFmtId="5" fontId="13" fillId="0" borderId="0" xfId="0" applyNumberFormat="1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26"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78.928571428571431</c:v>
                </c:pt>
                <c:pt idx="1">
                  <c:v>1615</c:v>
                </c:pt>
                <c:pt idx="2">
                  <c:v>1178.0999999999999</c:v>
                </c:pt>
                <c:pt idx="3">
                  <c:v>315.34999999999997</c:v>
                </c:pt>
                <c:pt idx="4">
                  <c:v>135.15</c:v>
                </c:pt>
                <c:pt idx="5">
                  <c:v>33.787500000000001</c:v>
                </c:pt>
                <c:pt idx="6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121.42857142857144</c:v>
                </c:pt>
                <c:pt idx="1">
                  <c:v>1700</c:v>
                </c:pt>
                <c:pt idx="2">
                  <c:v>1309</c:v>
                </c:pt>
                <c:pt idx="3">
                  <c:v>450.49999999999994</c:v>
                </c:pt>
                <c:pt idx="4">
                  <c:v>270.3</c:v>
                </c:pt>
                <c:pt idx="5">
                  <c:v>168.9375</c:v>
                </c:pt>
                <c:pt idx="6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807.50000000000011</c:v>
                </c:pt>
                <c:pt idx="4">
                  <c:v>1130.5000000000002</c:v>
                </c:pt>
                <c:pt idx="5">
                  <c:v>711.45</c:v>
                </c:pt>
                <c:pt idx="6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850.00000000000011</c:v>
                </c:pt>
                <c:pt idx="4">
                  <c:v>1190.0000000000002</c:v>
                </c:pt>
                <c:pt idx="5">
                  <c:v>790.50000000000011</c:v>
                </c:pt>
                <c:pt idx="6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191.25</c:v>
                </c:pt>
                <c:pt idx="6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212.5</c:v>
                </c:pt>
                <c:pt idx="6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293.25</c:v>
                </c:pt>
                <c:pt idx="1">
                  <c:v>1776.4999999999998</c:v>
                </c:pt>
                <c:pt idx="2">
                  <c:v>722.49999999999989</c:v>
                </c:pt>
                <c:pt idx="3">
                  <c:v>612</c:v>
                </c:pt>
                <c:pt idx="4">
                  <c:v>396.66666666666663</c:v>
                </c:pt>
                <c:pt idx="5">
                  <c:v>280.49999999999994</c:v>
                </c:pt>
                <c:pt idx="6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318.75</c:v>
                </c:pt>
                <c:pt idx="1">
                  <c:v>1869.9999999999998</c:v>
                </c:pt>
                <c:pt idx="2">
                  <c:v>849.99999999999989</c:v>
                </c:pt>
                <c:pt idx="3">
                  <c:v>765</c:v>
                </c:pt>
                <c:pt idx="4">
                  <c:v>566.66666666666663</c:v>
                </c:pt>
                <c:pt idx="5">
                  <c:v>467.49999999999994</c:v>
                </c:pt>
                <c:pt idx="6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156.39999999999998</c:v>
                </c:pt>
                <c:pt idx="1">
                  <c:v>3165.4</c:v>
                </c:pt>
                <c:pt idx="2">
                  <c:v>2723.3999999999996</c:v>
                </c:pt>
                <c:pt idx="3">
                  <c:v>1363.4</c:v>
                </c:pt>
                <c:pt idx="4">
                  <c:v>805.23333333333335</c:v>
                </c:pt>
                <c:pt idx="5">
                  <c:v>426.98333333333329</c:v>
                </c:pt>
                <c:pt idx="6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169.99999999999997</c:v>
                </c:pt>
                <c:pt idx="1">
                  <c:v>3332</c:v>
                </c:pt>
                <c:pt idx="2">
                  <c:v>3026</c:v>
                </c:pt>
                <c:pt idx="3">
                  <c:v>1704.25</c:v>
                </c:pt>
                <c:pt idx="4">
                  <c:v>1150.3333333333333</c:v>
                </c:pt>
                <c:pt idx="5">
                  <c:v>776.33333333333326</c:v>
                </c:pt>
                <c:pt idx="6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98</c:v>
                </c:pt>
                <c:pt idx="1">
                  <c:v>84</c:v>
                </c:pt>
                <c:pt idx="2">
                  <c:v>76.766666666666666</c:v>
                </c:pt>
                <c:pt idx="3">
                  <c:v>73.599999999999994</c:v>
                </c:pt>
                <c:pt idx="4">
                  <c:v>66.600000000000009</c:v>
                </c:pt>
                <c:pt idx="5">
                  <c:v>110</c:v>
                </c:pt>
                <c:pt idx="6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100</c:v>
                </c:pt>
                <c:pt idx="1">
                  <c:v>87.5</c:v>
                </c:pt>
                <c:pt idx="2">
                  <c:v>81.666666666666671</c:v>
                </c:pt>
                <c:pt idx="3">
                  <c:v>80</c:v>
                </c:pt>
                <c:pt idx="4">
                  <c:v>74</c:v>
                </c:pt>
                <c:pt idx="5">
                  <c:v>125</c:v>
                </c:pt>
                <c:pt idx="6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"€"#,##0_);\("€"#,##0\)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"€"#,##0_);\("€"#,##0\)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"€"#,##0_);\("€"#,##0\)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"€"#,##0_);\("€"#,##0\)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"€"#,##0_);\("€"#,##0\)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7814270398610335"/>
          <c:h val="0.3787154776585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Kennzahlen!$C$43:$I$43</c:f>
              <c:numCache>
                <c:formatCode>#,##0\ "€"</c:formatCode>
                <c:ptCount val="7"/>
                <c:pt idx="0">
                  <c:v>7900</c:v>
                </c:pt>
                <c:pt idx="1">
                  <c:v>-77800</c:v>
                </c:pt>
                <c:pt idx="2">
                  <c:v>-116500</c:v>
                </c:pt>
                <c:pt idx="3">
                  <c:v>-91950</c:v>
                </c:pt>
                <c:pt idx="4">
                  <c:v>-63150</c:v>
                </c:pt>
                <c:pt idx="5">
                  <c:v>-19950</c:v>
                </c:pt>
                <c:pt idx="6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Kennzahlen!$C$56:$I$56</c:f>
              <c:numCache>
                <c:formatCode>#,##0\ "€"</c:formatCode>
                <c:ptCount val="7"/>
                <c:pt idx="0">
                  <c:v>2400</c:v>
                </c:pt>
                <c:pt idx="1">
                  <c:v>-88800</c:v>
                </c:pt>
                <c:pt idx="2">
                  <c:v>-129600</c:v>
                </c:pt>
                <c:pt idx="3">
                  <c:v>-100800</c:v>
                </c:pt>
                <c:pt idx="4">
                  <c:v>-72000</c:v>
                </c:pt>
                <c:pt idx="5">
                  <c:v>-28800</c:v>
                </c:pt>
                <c:pt idx="6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Kennzahlen!$C$44:$I$44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-30700</c:v>
                </c:pt>
                <c:pt idx="4">
                  <c:v>-47700</c:v>
                </c:pt>
                <c:pt idx="5">
                  <c:v>-55450</c:v>
                </c:pt>
                <c:pt idx="6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Kennzahlen!$C$57:$I$57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-20000</c:v>
                </c:pt>
                <c:pt idx="3">
                  <c:v>-40200</c:v>
                </c:pt>
                <c:pt idx="4">
                  <c:v>-84200</c:v>
                </c:pt>
                <c:pt idx="5">
                  <c:v>-128400</c:v>
                </c:pt>
                <c:pt idx="6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Kennzahlen!$C$45:$I$45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17950</c:v>
                </c:pt>
                <c:pt idx="6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Kennzahlen!$C$58:$I$58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-24000</c:v>
                </c:pt>
                <c:pt idx="4">
                  <c:v>-64000</c:v>
                </c:pt>
                <c:pt idx="5">
                  <c:v>-72800</c:v>
                </c:pt>
                <c:pt idx="6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Kennzahlen!$C$46:$I$46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Kennzahlen!$C$59:$I$59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Kennzahlen!$C$47:$I$47</c:f>
              <c:numCache>
                <c:formatCode>#,##0\ "€"</c:formatCode>
                <c:ptCount val="7"/>
                <c:pt idx="0">
                  <c:v>-2620</c:v>
                </c:pt>
                <c:pt idx="1">
                  <c:v>-79200</c:v>
                </c:pt>
                <c:pt idx="2">
                  <c:v>-84600</c:v>
                </c:pt>
                <c:pt idx="3">
                  <c:v>-95800</c:v>
                </c:pt>
                <c:pt idx="4">
                  <c:v>-84200</c:v>
                </c:pt>
                <c:pt idx="5">
                  <c:v>-72600</c:v>
                </c:pt>
                <c:pt idx="6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Kennzahlen!$C$60:$I$60</c:f>
              <c:numCache>
                <c:formatCode>#,##0\ "€"</c:formatCode>
                <c:ptCount val="7"/>
                <c:pt idx="0">
                  <c:v>880</c:v>
                </c:pt>
                <c:pt idx="1">
                  <c:v>-29700</c:v>
                </c:pt>
                <c:pt idx="2">
                  <c:v>-23100</c:v>
                </c:pt>
                <c:pt idx="3">
                  <c:v>-30800</c:v>
                </c:pt>
                <c:pt idx="4">
                  <c:v>-24200</c:v>
                </c:pt>
                <c:pt idx="5">
                  <c:v>-17600</c:v>
                </c:pt>
                <c:pt idx="6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Kennzahlen!$C$48:$I$48</c:f>
              <c:numCache>
                <c:formatCode>#,##0\ "€"</c:formatCode>
                <c:ptCount val="7"/>
                <c:pt idx="0">
                  <c:v>-5280</c:v>
                </c:pt>
                <c:pt idx="1">
                  <c:v>-161400</c:v>
                </c:pt>
                <c:pt idx="2">
                  <c:v>-292200</c:v>
                </c:pt>
                <c:pt idx="3">
                  <c:v>-320050</c:v>
                </c:pt>
                <c:pt idx="4">
                  <c:v>-313900</c:v>
                </c:pt>
                <c:pt idx="5">
                  <c:v>-302550</c:v>
                </c:pt>
                <c:pt idx="6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Kennzahlen!$C$61:$I$61</c:f>
              <c:numCache>
                <c:formatCode>#,##0\ "€"</c:formatCode>
                <c:ptCount val="7"/>
                <c:pt idx="0">
                  <c:v>320</c:v>
                </c:pt>
                <c:pt idx="1">
                  <c:v>-10800</c:v>
                </c:pt>
                <c:pt idx="2">
                  <c:v>-13600</c:v>
                </c:pt>
                <c:pt idx="3">
                  <c:v>-11200</c:v>
                </c:pt>
                <c:pt idx="4">
                  <c:v>-8800</c:v>
                </c:pt>
                <c:pt idx="5">
                  <c:v>-1200</c:v>
                </c:pt>
                <c:pt idx="6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Kennzahlen!$C$49:$I$49</c:f>
              <c:numCache>
                <c:formatCode>#,##0\ "€"</c:formatCode>
                <c:ptCount val="7"/>
                <c:pt idx="0">
                  <c:v>-280</c:v>
                </c:pt>
                <c:pt idx="1">
                  <c:v>-60</c:v>
                </c:pt>
                <c:pt idx="2">
                  <c:v>260</c:v>
                </c:pt>
                <c:pt idx="3">
                  <c:v>480</c:v>
                </c:pt>
                <c:pt idx="4">
                  <c:v>1200</c:v>
                </c:pt>
                <c:pt idx="5">
                  <c:v>-4680</c:v>
                </c:pt>
                <c:pt idx="6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Kennzahlen!$C$62:$I$62</c:f>
              <c:numCache>
                <c:formatCode>#,##0\ "€"</c:formatCode>
                <c:ptCount val="7"/>
                <c:pt idx="0">
                  <c:v>-280</c:v>
                </c:pt>
                <c:pt idx="1">
                  <c:v>-560</c:v>
                </c:pt>
                <c:pt idx="2">
                  <c:v>-1840</c:v>
                </c:pt>
                <c:pt idx="3">
                  <c:v>-3120</c:v>
                </c:pt>
                <c:pt idx="4">
                  <c:v>-4400</c:v>
                </c:pt>
                <c:pt idx="5">
                  <c:v>-5680</c:v>
                </c:pt>
                <c:pt idx="6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Kennzahlen!$C$50:$I$50</c:f>
              <c:numCache>
                <c:formatCode>#,##0\ "€"</c:formatCode>
                <c:ptCount val="7"/>
                <c:pt idx="0">
                  <c:v>-280</c:v>
                </c:pt>
                <c:pt idx="1">
                  <c:v>-318460</c:v>
                </c:pt>
                <c:pt idx="2">
                  <c:v>-493040</c:v>
                </c:pt>
                <c:pt idx="3">
                  <c:v>-538020</c:v>
                </c:pt>
                <c:pt idx="4">
                  <c:v>-507750</c:v>
                </c:pt>
                <c:pt idx="5">
                  <c:v>-437280</c:v>
                </c:pt>
                <c:pt idx="6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Kennzahlen!$C$63:$I$63</c:f>
              <c:numCache>
                <c:formatCode>#,##0\ "€"</c:formatCode>
                <c:ptCount val="7"/>
                <c:pt idx="0">
                  <c:v>3320</c:v>
                </c:pt>
                <c:pt idx="1">
                  <c:v>-129860</c:v>
                </c:pt>
                <c:pt idx="2">
                  <c:v>-188140</c:v>
                </c:pt>
                <c:pt idx="3">
                  <c:v>-210120</c:v>
                </c:pt>
                <c:pt idx="4">
                  <c:v>-257600</c:v>
                </c:pt>
                <c:pt idx="5">
                  <c:v>-254480</c:v>
                </c:pt>
                <c:pt idx="6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Kennzahlen!$N$43:$T$43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118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17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1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15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14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13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12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31">
      <calculatedColumnFormula>B97</calculatedColumnFormula>
      <totalsRowFormula>ETC[[#Totals],[Posten]]</totalsRowFormula>
    </tableColumn>
    <tableColumn id="2" name="1 [k €]" totalsRowFunction="custom" dataDxfId="30" totalsRowDxfId="29">
      <calculatedColumnFormula>IF(C69=$L$70,$L$70,'Budgetierte Kosten'!$P2/(C69*1000))</calculatedColumnFormula>
      <totalsRowFormula>$E$92/(CPI[[#Totals],[1]]*1000)</totalsRowFormula>
    </tableColumn>
    <tableColumn id="3" name="2 [k €]" totalsRowFunction="custom" dataDxfId="28" totalsRowDxfId="27">
      <calculatedColumnFormula>IF(D69=$L$70,$L$70,$E$92/(D69*1000))</calculatedColumnFormula>
      <totalsRowFormula>$E$92/(CPI[[#Totals],[2]]*1000)</totalsRowFormula>
    </tableColumn>
    <tableColumn id="4" name="3 [k €]" totalsRowFunction="custom" dataDxfId="26" totalsRowDxfId="25">
      <calculatedColumnFormula>IF(E69=$L$70,$L$70,$E$92/(E69*1000))</calculatedColumnFormula>
      <totalsRowFormula>$E$92/(CPI[[#Totals],[3]]*1000)</totalsRowFormula>
    </tableColumn>
    <tableColumn id="5" name="4 [k €]" totalsRowFunction="custom" dataDxfId="24" totalsRowDxfId="23">
      <calculatedColumnFormula>IF(F69=$L$70,$L$70,$E$92/(F69*1000))</calculatedColumnFormula>
      <totalsRowFormula>$E$92/(CPI[[#Totals],[4]]*1000)</totalsRowFormula>
    </tableColumn>
    <tableColumn id="6" name="5 [k €]" totalsRowFunction="custom" dataDxfId="22" totalsRowDxfId="21">
      <calculatedColumnFormula>IF(G69=$L$70,$L$70,$E$92/(G69*1000))</calculatedColumnFormula>
      <totalsRowFormula>$E$92/(CPI[[#Totals],[5]]*1000)</totalsRowFormula>
    </tableColumn>
    <tableColumn id="7" name="6 [k €]" totalsRowFunction="custom" dataDxfId="20" totalsRowDxfId="19">
      <calculatedColumnFormula>IF(H69=$L$70,$L$70,$E$92/(H69*1000))</calculatedColumnFormula>
      <totalsRowFormula>$E$92/(CPI[[#Totals],[6]]*1000)</totalsRowFormula>
    </tableColumn>
    <tableColumn id="8" name="7 [k €]" totalsRowFunction="custom" dataDxfId="18" totalsRowDxfId="17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N42:T43" totalsRowShown="0">
  <autoFilter ref="N42:T43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6">
      <calculatedColumnFormula>Kennzahlen!I69</calculatedColumnFormula>
    </tableColumn>
    <tableColumn id="3" name="SPI" dataDxfId="15">
      <calculatedColumnFormula>Kennzahlen!I82</calculatedColumnFormula>
    </tableColumn>
    <tableColumn id="4" name="Abgeschlossen" dataDxfId="14">
      <calculatedColumnFormula>'Fertigstellungsgrad der Akt.'!H2</calculatedColumnFormula>
    </tableColumn>
    <tableColumn id="5" name="Budget [k €]" dataDxfId="13"/>
    <tableColumn id="6" name="Status" dataDxfId="12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11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10">
      <calculatedColumnFormula>Kennzahlen!H69</calculatedColumnFormula>
    </tableColumn>
    <tableColumn id="3" name="SPI" dataDxfId="9">
      <calculatedColumnFormula>Kennzahlen!H82</calculatedColumnFormula>
    </tableColumn>
    <tableColumn id="4" name="Abgeschlossen" dataDxfId="8">
      <calculatedColumnFormula>'Fertigstellungsgrad der Akt.'!G2</calculatedColumnFormula>
    </tableColumn>
    <tableColumn id="5" name="Budget [k €]" dataDxfId="7">
      <calculatedColumnFormula>F5</calculatedColumnFormula>
    </tableColumn>
    <tableColumn id="6" name="Status" dataDxfId="6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11">
      <calculatedColumnFormula>B17</calculatedColumnFormula>
      <totalsRowFormula>AC[[#Totals],[Posten]]</totalsRowFormula>
    </tableColumn>
    <tableColumn id="2" name="1" totalsRowFunction="custom" dataDxfId="110" totalsRowDxfId="109">
      <calculatedColumnFormula>C4*'Fertigstellungsgrad der Akt.'!B2</calculatedColumnFormula>
      <totalsRowFormula>SUM(EV[1])</totalsRowFormula>
    </tableColumn>
    <tableColumn id="3" name="2" totalsRowFunction="custom" dataDxfId="108" totalsRowDxfId="107">
      <calculatedColumnFormula>D4*'Fertigstellungsgrad der Akt.'!C2</calculatedColumnFormula>
      <totalsRowFormula>SUM(EV[2])</totalsRowFormula>
    </tableColumn>
    <tableColumn id="4" name="3" totalsRowFunction="custom" dataDxfId="106" totalsRowDxfId="105">
      <calculatedColumnFormula>E4*'Fertigstellungsgrad der Akt.'!D2</calculatedColumnFormula>
      <totalsRowFormula>SUM(EV[3])</totalsRowFormula>
    </tableColumn>
    <tableColumn id="5" name="4" totalsRowFunction="custom" dataDxfId="104" totalsRowDxfId="103">
      <calculatedColumnFormula>F4*'Fertigstellungsgrad der Akt.'!E2</calculatedColumnFormula>
      <totalsRowFormula>SUM(EV[4])</totalsRowFormula>
    </tableColumn>
    <tableColumn id="6" name="5" totalsRowFunction="custom" dataDxfId="102" totalsRowDxfId="101">
      <calculatedColumnFormula>G4*'Fertigstellungsgrad der Akt.'!F2</calculatedColumnFormula>
      <totalsRowFormula>SUM(EV[5])</totalsRowFormula>
    </tableColumn>
    <tableColumn id="7" name="6" totalsRowFunction="custom" dataDxfId="100" totalsRowDxfId="99">
      <calculatedColumnFormula>H4*'Fertigstellungsgrad der Akt.'!G2</calculatedColumnFormula>
      <totalsRowFormula>SUM(EV[6])</totalsRowFormula>
    </tableColumn>
    <tableColumn id="8" name="7" totalsRowFunction="custom" dataDxfId="98" totalsRowDxfId="97">
      <calculatedColumnFormula>I4*'Fertigstellungsgrad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6">
      <calculatedColumnFormula>B4</calculatedColumnFormula>
      <totalsRowFormula>PV[[#Totals],[Posten]]</totalsRowFormula>
    </tableColumn>
    <tableColumn id="2" name="1" totalsRowFunction="custom" dataDxfId="95" totalsRowDxfId="9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93" totalsRowDxfId="92">
      <totalsRowFormula>SUM('Tatsächliche Kosten'!$B12:'Tatsächliche Kosten'!C12)</totalsRowFormula>
    </tableColumn>
    <tableColumn id="4" name="3" totalsRowFunction="custom" dataDxfId="91" totalsRowDxfId="90">
      <totalsRowFormula>SUM('Tatsächliche Kosten'!$B12:'Tatsächliche Kosten'!D12)</totalsRowFormula>
    </tableColumn>
    <tableColumn id="5" name="4" totalsRowFunction="custom" dataDxfId="89" totalsRowDxfId="88">
      <totalsRowFormula>SUM('Tatsächliche Kosten'!$B12:'Tatsächliche Kosten'!E12)</totalsRowFormula>
    </tableColumn>
    <tableColumn id="6" name="5" totalsRowFunction="custom" dataDxfId="87" totalsRowDxfId="86">
      <totalsRowFormula>SUM('Tatsächliche Kosten'!$B12:'Tatsächliche Kosten'!F12)</totalsRowFormula>
    </tableColumn>
    <tableColumn id="7" name="6" totalsRowFunction="custom" dataDxfId="85" totalsRowDxfId="84">
      <totalsRowFormula>SUM('Tatsächliche Kosten'!$B12:'Tatsächliche Kosten'!G12)</totalsRowFormula>
    </tableColumn>
    <tableColumn id="8" name="7" totalsRowFunction="custom" dataDxfId="83" totalsRowDxfId="82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EV[[#Totals],[Posten]]</totalsRowFormula>
    </tableColumn>
    <tableColumn id="2" name="1" totalsRowFunction="custom" dataDxfId="81">
      <calculatedColumnFormula>C30-C17</calculatedColumnFormula>
      <totalsRowFormula>EV[[#Totals],[1]]-AC[[#Totals],[1]]</totalsRowFormula>
    </tableColumn>
    <tableColumn id="3" name="2" totalsRowFunction="custom" dataDxfId="80">
      <calculatedColumnFormula>D30-D17</calculatedColumnFormula>
      <totalsRowFormula>EV[[#Totals],[2]]-AC[[#Totals],[2]]</totalsRowFormula>
    </tableColumn>
    <tableColumn id="4" name="3" totalsRowFunction="custom" dataDxfId="79">
      <calculatedColumnFormula>E30-E17</calculatedColumnFormula>
      <totalsRowFormula>EV[[#Totals],[3]]-AC[[#Totals],[3]]</totalsRowFormula>
    </tableColumn>
    <tableColumn id="5" name="4" totalsRowFunction="custom" dataDxfId="78">
      <calculatedColumnFormula>F30-F17</calculatedColumnFormula>
      <totalsRowFormula>EV[[#Totals],[4]]-AC[[#Totals],[4]]</totalsRowFormula>
    </tableColumn>
    <tableColumn id="6" name="5" totalsRowFunction="custom" dataDxfId="77">
      <calculatedColumnFormula>G30-G17</calculatedColumnFormula>
      <totalsRowFormula>EV[[#Totals],[5]]-AC[[#Totals],[5]]</totalsRowFormula>
    </tableColumn>
    <tableColumn id="7" name="6" totalsRowFunction="custom" dataDxfId="76">
      <calculatedColumnFormula>H30-H17</calculatedColumnFormula>
      <totalsRowFormula>EV[[#Totals],[6]]-AC[[#Totals],[6]]</totalsRowFormula>
    </tableColumn>
    <tableColumn id="8" name="7" totalsRowFunction="custom" dataDxfId="75">
      <calculatedColumnFormula>I30-I17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74">
      <calculatedColumnFormula>C30-C4</calculatedColumnFormula>
      <totalsRowFormula>SUM(SV[1])</totalsRowFormula>
    </tableColumn>
    <tableColumn id="3" name="2" totalsRowFunction="custom" dataDxfId="73">
      <calculatedColumnFormula>D30-D4</calculatedColumnFormula>
      <totalsRowFormula>SUM(SV[2])</totalsRowFormula>
    </tableColumn>
    <tableColumn id="4" name="3" totalsRowFunction="custom" dataDxfId="72">
      <calculatedColumnFormula>E30-E4</calculatedColumnFormula>
      <totalsRowFormula>SUM(SV[3])</totalsRowFormula>
    </tableColumn>
    <tableColumn id="5" name="4" totalsRowFunction="custom" dataDxfId="71">
      <calculatedColumnFormula>F30-F4</calculatedColumnFormula>
      <totalsRowFormula>SUM(SV[4])</totalsRowFormula>
    </tableColumn>
    <tableColumn id="6" name="5" totalsRowFunction="custom" dataDxfId="70">
      <calculatedColumnFormula>G30-G4</calculatedColumnFormula>
      <totalsRowFormula>SUM(SV[5])</totalsRowFormula>
    </tableColumn>
    <tableColumn id="7" name="6" totalsRowFunction="custom" dataDxfId="69">
      <calculatedColumnFormula>H30-H4</calculatedColumnFormula>
      <totalsRowFormula>SUM(SV[6])</totalsRowFormula>
    </tableColumn>
    <tableColumn id="8" name="7" totalsRowFunction="custom" dataDxfId="68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7">
      <calculatedColumnFormula>IF(C17=0,$L$70,C30/C17)</calculatedColumnFormula>
      <totalsRowFormula>EV[[#Totals],[1]]/AC[[#Totals],[1]]</totalsRowFormula>
    </tableColumn>
    <tableColumn id="3" name="2" totalsRowFunction="custom" dataDxfId="66">
      <calculatedColumnFormula>IF(D17=0,$L$70,D30/D17)</calculatedColumnFormula>
      <totalsRowFormula>EV[[#Totals],[2]]/AC[[#Totals],[2]]</totalsRowFormula>
    </tableColumn>
    <tableColumn id="4" name="3" totalsRowFunction="custom" dataDxfId="65">
      <calculatedColumnFormula>IF(E17=0,$L$70,E30/E17)</calculatedColumnFormula>
      <totalsRowFormula>EV[[#Totals],[3]]/AC[[#Totals],[3]]</totalsRowFormula>
    </tableColumn>
    <tableColumn id="5" name="4" totalsRowFunction="custom" dataDxfId="64">
      <calculatedColumnFormula>IF(F17=0,$L$70,F30/F17)</calculatedColumnFormula>
      <totalsRowFormula>EV[[#Totals],[4]]/AC[[#Totals],[4]]</totalsRowFormula>
    </tableColumn>
    <tableColumn id="6" name="5" totalsRowFunction="custom" dataDxfId="63">
      <calculatedColumnFormula>IF(G17=0,$L$70,G30/G17)</calculatedColumnFormula>
      <totalsRowFormula>EV[[#Totals],[5]]/AC[[#Totals],[5]]</totalsRowFormula>
    </tableColumn>
    <tableColumn id="7" name="6" totalsRowFunction="custom" dataDxfId="62">
      <calculatedColumnFormula>IF(H17=0,$L$70,H30/H17)</calculatedColumnFormula>
      <totalsRowFormula>EV[[#Totals],[6]]/AC[[#Totals],[6]]</totalsRowFormula>
    </tableColumn>
    <tableColumn id="8" name="7" totalsRowFunction="custom" dataDxfId="61">
      <calculatedColumnFormula>IF(I17=0,"-",I30/I17)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60" totalsRowDxfId="59">
      <calculatedColumnFormula>IF(C4=0,$L$70,C30/C4)</calculatedColumnFormula>
      <totalsRowFormula>EV[[#Totals],[1]]/PV[[#Totals],[1]]</totalsRowFormula>
    </tableColumn>
    <tableColumn id="3" name="2" totalsRowFunction="custom" dataDxfId="58" totalsRowDxfId="57">
      <calculatedColumnFormula>IF(D4=0,$L$70,D30/D4)</calculatedColumnFormula>
      <totalsRowFormula>EV[[#Totals],[2]]/PV[[#Totals],[2]]</totalsRowFormula>
    </tableColumn>
    <tableColumn id="4" name="3" totalsRowFunction="custom" dataDxfId="56" totalsRowDxfId="55">
      <calculatedColumnFormula>IF(E4=0,$L$70,E30/E4)</calculatedColumnFormula>
      <totalsRowFormula>EV[[#Totals],[3]]/PV[[#Totals],[3]]</totalsRowFormula>
    </tableColumn>
    <tableColumn id="5" name="4" totalsRowFunction="custom" dataDxfId="54" totalsRowDxfId="53">
      <calculatedColumnFormula>IF(F4=0,$L$70,F30/F4)</calculatedColumnFormula>
      <totalsRowFormula>EV[[#Totals],[4]]/PV[[#Totals],[4]]</totalsRowFormula>
    </tableColumn>
    <tableColumn id="6" name="5" totalsRowFunction="custom" dataDxfId="52" totalsRowDxfId="51">
      <calculatedColumnFormula>IF(G4=0,$L$70,G30/G4)</calculatedColumnFormula>
      <totalsRowFormula>EV[[#Totals],[5]]/PV[[#Totals],[5]]</totalsRowFormula>
    </tableColumn>
    <tableColumn id="7" name="6" totalsRowFunction="custom" dataDxfId="50" totalsRowDxfId="49">
      <calculatedColumnFormula>IF(H4=0,$L$70,H30/H4)</calculatedColumnFormula>
      <totalsRowFormula>EV[[#Totals],[6]]/PV[[#Totals],[6]]</totalsRowFormula>
    </tableColumn>
    <tableColumn id="8" name="7" totalsRowFunction="custom" dataDxfId="48" totalsRowDxfId="47">
      <calculatedColumnFormula>IF(I4=0,"-",I30/I4)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46">
      <calculatedColumnFormula>B82</calculatedColumnFormula>
      <totalsRowFormula>SPI[[#Totals],[Posten]]</totalsRowFormula>
    </tableColumn>
    <tableColumn id="2" name="1 [k €]" totalsRowFunction="custom" dataDxfId="45" totalsRowDxfId="44">
      <calculatedColumnFormula>IF(C69=$L$70,$L$70,('Budgetierte Kosten'!$P2-C30)/(C69*1000))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IF(D69=$L$70,$L$70,($E$92-D30)/(D69*1000))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IF(E69=$L$70,$L$70,($E$92-E30)/(E69*1000))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IF(F69=$L$70,$L$70,($E$92-F30)/(F69*1000))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IF(G69=$L$70,$L$70,($E$92-G30)/(G69*1000))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IF(H69=$L$70,$L$70,($E$92-H30)/(H69*1000))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IF(I69=$L$70,$L$70,($E$92-I30)/(I69*1000))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abSelected="1" zoomScale="85" zoomScaleNormal="85" workbookViewId="0">
      <selection activeCell="F13" sqref="F13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s="2" t="s">
        <v>18</v>
      </c>
      <c r="L3" s="2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s="2" t="s">
        <v>18</v>
      </c>
      <c r="L10" s="2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  <c r="K13" s="2" t="s">
        <v>89</v>
      </c>
      <c r="L13">
        <f>SUM(PV[7])</f>
        <v>723000</v>
      </c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s="2" t="s">
        <v>18</v>
      </c>
      <c r="L17" s="2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PV[[#Totals],[Posten]]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  <c r="K24" s="2" t="s">
        <v>89</v>
      </c>
      <c r="L24">
        <f>SUM(AC[1])</f>
        <v>83600</v>
      </c>
    </row>
    <row r="25" spans="1:12" x14ac:dyDescent="0.2">
      <c r="K25" s="2" t="s">
        <v>89</v>
      </c>
      <c r="L25">
        <f>SUM(AC[7])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s="2" t="s">
        <v>18</v>
      </c>
      <c r="L30" s="2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20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20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20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20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20" x14ac:dyDescent="0.2">
      <c r="B37" t="str">
        <f>AC[[#Totals],[Posten]]</f>
        <v>Gesamt</v>
      </c>
      <c r="C37" s="28">
        <f>SUM(EV[1])</f>
        <v>83320</v>
      </c>
      <c r="D37" s="28">
        <f>SUM(EV[2])</f>
        <v>30140</v>
      </c>
      <c r="E37" s="28">
        <f>SUM(EV[3])</f>
        <v>72860</v>
      </c>
      <c r="F37" s="28">
        <f>SUM(EV[4])</f>
        <v>139880</v>
      </c>
      <c r="G37" s="28">
        <f>SUM(EV[5])</f>
        <v>209400</v>
      </c>
      <c r="H37" s="28">
        <f>SUM(EV[6])</f>
        <v>349520</v>
      </c>
      <c r="I37" s="28">
        <f>SUM(EV[7])</f>
        <v>597240</v>
      </c>
    </row>
    <row r="40" spans="1:20" ht="23.25" x14ac:dyDescent="0.35">
      <c r="A40" s="27" t="s">
        <v>32</v>
      </c>
      <c r="N40" s="27" t="s">
        <v>41</v>
      </c>
    </row>
    <row r="42" spans="1:20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  <c r="N42" t="s">
        <v>19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  <c r="T42" t="s">
        <v>25</v>
      </c>
    </row>
    <row r="43" spans="1:20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s="2" t="s">
        <v>18</v>
      </c>
      <c r="L43" s="2" t="s">
        <v>37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20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20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20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20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EV[[#Totals],[Posten]]</f>
        <v>Gesamt</v>
      </c>
      <c r="C50" s="28">
        <f>EV[[#Totals],[1]]-AC[[#Totals],[1]]</f>
        <v>-280</v>
      </c>
      <c r="D50" s="28">
        <f>EV[[#Totals],[2]]-AC[[#Totals],[2]]</f>
        <v>-318460</v>
      </c>
      <c r="E50" s="28">
        <f>EV[[#Totals],[3]]-AC[[#Totals],[3]]</f>
        <v>-493040</v>
      </c>
      <c r="F50" s="28">
        <f>EV[[#Totals],[4]]-AC[[#Totals],[4]]</f>
        <v>-538020</v>
      </c>
      <c r="G50" s="28">
        <f>EV[[#Totals],[5]]-AC[[#Totals],[5]]</f>
        <v>-507750</v>
      </c>
      <c r="H50" s="28">
        <f>EV[[#Totals],[6]]-AC[[#Totals],[6]]</f>
        <v>-437280</v>
      </c>
      <c r="I50" s="28">
        <f>EV[[#Totals],[7]]-AC[[#Totals],[7]]</f>
        <v>-271510</v>
      </c>
      <c r="K50" s="2" t="s">
        <v>89</v>
      </c>
      <c r="L50">
        <f>SUM(CV[1])</f>
        <v>-280</v>
      </c>
    </row>
    <row r="51" spans="1:12" x14ac:dyDescent="0.2">
      <c r="K51" s="2" t="s">
        <v>89</v>
      </c>
      <c r="L51">
        <f>SUM(CV[7])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s="2" t="s">
        <v>18</v>
      </c>
      <c r="L56" s="2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  <c r="K62" s="2" t="s">
        <v>89</v>
      </c>
      <c r="L62">
        <f>SUM(SV[1])</f>
        <v>3320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  <c r="K63" s="2" t="s">
        <v>89</v>
      </c>
      <c r="L63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s="2" t="s">
        <v>18</v>
      </c>
      <c r="L69" s="2" t="s">
        <v>72</v>
      </c>
      <c r="M69" s="2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EV[[#Totals],[1]]/AC[[#Totals],[1]]</f>
        <v>0.99665071770334923</v>
      </c>
      <c r="D76" s="29">
        <f>EV[[#Totals],[2]]/AC[[#Totals],[2]]</f>
        <v>8.6460126219162367E-2</v>
      </c>
      <c r="E76" s="29">
        <f>EV[[#Totals],[3]]/AC[[#Totals],[3]]</f>
        <v>0.12875066266124757</v>
      </c>
      <c r="F76" s="29">
        <f>EV[[#Totals],[4]]/AC[[#Totals],[4]]</f>
        <v>0.20634311845404926</v>
      </c>
      <c r="G76" s="29">
        <f>EV[[#Totals],[5]]/AC[[#Totals],[5]]</f>
        <v>0.29198912361430662</v>
      </c>
      <c r="H76" s="29">
        <f>EV[[#Totals],[6]]/AC[[#Totals],[6]]</f>
        <v>0.44422979156075243</v>
      </c>
      <c r="I76" s="29">
        <f>EV[[#Totals],[7]]/AC[[#Totals],[7]]</f>
        <v>0.68747050359712225</v>
      </c>
    </row>
    <row r="79" spans="1:20" ht="23.25" x14ac:dyDescent="0.35">
      <c r="A79" s="27" t="s">
        <v>35</v>
      </c>
    </row>
    <row r="81" spans="1:17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7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s="2" t="s">
        <v>18</v>
      </c>
      <c r="L82" s="2" t="s">
        <v>39</v>
      </c>
      <c r="M82" s="2" t="s">
        <v>36</v>
      </c>
    </row>
    <row r="83" spans="1:17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7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7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7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7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7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7" x14ac:dyDescent="0.2">
      <c r="B89" t="str">
        <f>CPI[[#Totals],[Posten]]</f>
        <v>Gesamt</v>
      </c>
      <c r="C89" s="29">
        <f>EV[[#Totals],[1]]/PV[[#Totals],[1]]</f>
        <v>1.0415000000000001</v>
      </c>
      <c r="D89" s="29">
        <f>EV[[#Totals],[2]]/PV[[#Totals],[2]]</f>
        <v>0.18837499999999999</v>
      </c>
      <c r="E89" s="29">
        <f>EV[[#Totals],[3]]/PV[[#Totals],[3]]</f>
        <v>0.27915708812260537</v>
      </c>
      <c r="F89" s="29">
        <f>EV[[#Totals],[4]]/PV[[#Totals],[4]]</f>
        <v>0.39965714285714288</v>
      </c>
      <c r="G89" s="29">
        <f>EV[[#Totals],[5]]/PV[[#Totals],[5]]</f>
        <v>0.44839400428265525</v>
      </c>
      <c r="H89" s="29">
        <f>EV[[#Totals],[6]]/PV[[#Totals],[6]]</f>
        <v>0.57867549668874174</v>
      </c>
      <c r="I89" s="29">
        <f>EV[[#Totals],[7]]/PV[[#Totals],[7]]</f>
        <v>0.82605809128630703</v>
      </c>
    </row>
    <row r="92" spans="1:17" ht="23.25" x14ac:dyDescent="0.35">
      <c r="A92" s="33" t="s">
        <v>69</v>
      </c>
      <c r="E92">
        <v>1500000</v>
      </c>
    </row>
    <row r="94" spans="1:17" ht="23.25" x14ac:dyDescent="0.35">
      <c r="A94" s="27" t="s">
        <v>67</v>
      </c>
    </row>
    <row r="95" spans="1:17" x14ac:dyDescent="0.2">
      <c r="N95" s="2" t="s">
        <v>89</v>
      </c>
    </row>
    <row r="96" spans="1:17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  <c r="N96" t="s">
        <v>82</v>
      </c>
      <c r="O96" t="s">
        <v>83</v>
      </c>
      <c r="P96" t="s">
        <v>84</v>
      </c>
      <c r="Q96" t="s">
        <v>82</v>
      </c>
    </row>
    <row r="97" spans="1:17" x14ac:dyDescent="0.2">
      <c r="B97" t="str">
        <f t="shared" ref="B97:B103" si="12">B82</f>
        <v>Anforderungsanalyse</v>
      </c>
      <c r="C97" s="29">
        <f>IF(C69=$L$70,$L$70,('Budgetierte Kosten'!$P2-C30)/(C69*1000))</f>
        <v>78.928571428571431</v>
      </c>
      <c r="D97" s="29">
        <f>IF(D69=$L$70,$L$70,('Budgetierte Kosten'!$P2-D30)/(D69*1000))</f>
        <v>1615</v>
      </c>
      <c r="E97" s="29">
        <f>IF(E69=$L$70,$L$70,('Budgetierte Kosten'!$P2-E30)/(E69*1000))</f>
        <v>1178.0999999999999</v>
      </c>
      <c r="F97" s="29">
        <f>IF(F69=$L$70,$L$70,('Budgetierte Kosten'!$P2-F30)/(F69*1000))</f>
        <v>315.34999999999997</v>
      </c>
      <c r="G97" s="29">
        <f>IF(G69=$L$70,$L$70,('Budgetierte Kosten'!$P2-G30)/(G69*1000))</f>
        <v>135.15</v>
      </c>
      <c r="H97" s="29">
        <f>IF(H69=$L$70,$L$70,('Budgetierte Kosten'!$P2-H30)/(H69*1000))</f>
        <v>33.787500000000001</v>
      </c>
      <c r="I97" s="29">
        <f>IF(I69=$L$70,$L$70,('Budgetierte Kosten'!$P2-I30)/(I69*1000))</f>
        <v>15.016666666666667</v>
      </c>
      <c r="K97" s="2" t="s">
        <v>18</v>
      </c>
      <c r="L97" s="2" t="s">
        <v>68</v>
      </c>
      <c r="N97">
        <f>ETC[[#This Row],[7 '[k €']]]*I69</f>
        <v>14.4</v>
      </c>
      <c r="O97">
        <f>'Budgetierte Kosten'!P2</f>
        <v>144000</v>
      </c>
      <c r="P97" s="28">
        <f>I30</f>
        <v>129600</v>
      </c>
      <c r="Q97" s="28">
        <f>O97-P97</f>
        <v>14400</v>
      </c>
    </row>
    <row r="98" spans="1:17" x14ac:dyDescent="0.2">
      <c r="B98" t="str">
        <f t="shared" si="12"/>
        <v>Design und Architektur</v>
      </c>
      <c r="C98" s="29" t="str">
        <f>IF(C70=$L$70,$L$70,('Budgetierte Kosten'!$P3-C31)/(C70*1000))</f>
        <v>-</v>
      </c>
      <c r="D98" s="29" t="str">
        <f>IF(D70=$L$70,$L$70,('Budgetierte Kosten'!$P3-D31)/(D70*1000))</f>
        <v>-</v>
      </c>
      <c r="E98" s="29" t="str">
        <f>IF(E70=$L$70,$L$70,('Budgetierte Kosten'!$P3-E31)/(E70*1000))</f>
        <v>-</v>
      </c>
      <c r="F98" s="29">
        <f>IF(F70=$L$70,$L$70,('Budgetierte Kosten'!$P3-F31)/(F70*1000))</f>
        <v>807.50000000000011</v>
      </c>
      <c r="G98" s="29">
        <f>IF(G70=$L$70,$L$70,('Budgetierte Kosten'!$P3-G31)/(G70*1000))</f>
        <v>1130.5000000000002</v>
      </c>
      <c r="H98" s="29">
        <f>IF(H70=$L$70,$L$70,('Budgetierte Kosten'!$P3-H31)/(H70*1000))</f>
        <v>711.45</v>
      </c>
      <c r="I98" s="29">
        <f>IF(I70=$L$70,$L$70,('Budgetierte Kosten'!$P3-I31)/(I70*1000))</f>
        <v>131.32499999999999</v>
      </c>
      <c r="N98">
        <f>ETC[[#This Row],[7 '[k €']]]*I70</f>
        <v>141.6</v>
      </c>
      <c r="O98">
        <f>'Budgetierte Kosten'!P3</f>
        <v>236000</v>
      </c>
      <c r="P98" s="28">
        <f t="shared" ref="P98:P103" si="13">I31</f>
        <v>94400</v>
      </c>
      <c r="Q98" s="28">
        <f t="shared" ref="Q98:Q103" si="14">O98-P98</f>
        <v>141600</v>
      </c>
    </row>
    <row r="99" spans="1:17" x14ac:dyDescent="0.2">
      <c r="B99" t="str">
        <f t="shared" si="12"/>
        <v>Implementierung</v>
      </c>
      <c r="C99" s="29" t="str">
        <f>IF(C71=$L$70,$L$70,('Budgetierte Kosten'!$P4-C32)/(C71*1000))</f>
        <v>-</v>
      </c>
      <c r="D99" s="29" t="str">
        <f>IF(D71=$L$70,$L$70,('Budgetierte Kosten'!$P4-D32)/(D71*1000))</f>
        <v>-</v>
      </c>
      <c r="E99" s="29" t="str">
        <f>IF(E71=$L$70,$L$70,('Budgetierte Kosten'!$P4-E32)/(E71*1000))</f>
        <v>-</v>
      </c>
      <c r="F99" s="29" t="str">
        <f>IF(F71=$L$70,$L$70,('Budgetierte Kosten'!$P4-F32)/(F71*1000))</f>
        <v>-</v>
      </c>
      <c r="G99" s="29" t="str">
        <f>IF(G71=$L$70,$L$70,('Budgetierte Kosten'!$P4-G32)/(G71*1000))</f>
        <v>-</v>
      </c>
      <c r="H99" s="29">
        <f>IF(H71=$L$70,$L$70,('Budgetierte Kosten'!$P4-H32)/(H71*1000))</f>
        <v>191.25</v>
      </c>
      <c r="I99" s="29">
        <f>IF(I71=$L$70,$L$70,('Budgetierte Kosten'!$P4-I32)/(I71*1000))</f>
        <v>127.50000000000001</v>
      </c>
      <c r="N99">
        <f>ETC[[#This Row],[7 '[k €']]]*I71</f>
        <v>294</v>
      </c>
      <c r="O99">
        <f>'Budgetierte Kosten'!P4</f>
        <v>392000</v>
      </c>
      <c r="P99" s="28">
        <f t="shared" si="13"/>
        <v>98000</v>
      </c>
      <c r="Q99" s="28">
        <f t="shared" si="14"/>
        <v>294000</v>
      </c>
    </row>
    <row r="100" spans="1:17" x14ac:dyDescent="0.2">
      <c r="B100" t="str">
        <f t="shared" si="12"/>
        <v>Integration und Test</v>
      </c>
      <c r="C100" s="29" t="str">
        <f>IF(C72=$L$70,$L$70,('Budgetierte Kosten'!$P5-C33)/(C72*1000))</f>
        <v>-</v>
      </c>
      <c r="D100" s="29" t="str">
        <f>IF(D72=$L$70,$L$70,('Budgetierte Kosten'!$P5-D33)/(D72*1000))</f>
        <v>-</v>
      </c>
      <c r="E100" s="29" t="str">
        <f>IF(E72=$L$70,$L$70,('Budgetierte Kosten'!$P5-E33)/(E72*1000))</f>
        <v>-</v>
      </c>
      <c r="F100" s="29" t="str">
        <f>IF(F72=$L$70,$L$70,('Budgetierte Kosten'!$P5-F33)/(F72*1000))</f>
        <v>-</v>
      </c>
      <c r="G100" s="29" t="str">
        <f>IF(G72=$L$70,$L$70,('Budgetierte Kosten'!$P5-G33)/(G72*1000))</f>
        <v>-</v>
      </c>
      <c r="H100" s="29" t="str">
        <f>IF(H72=$L$70,$L$70,('Budgetierte Kosten'!$P5-H33)/(H72*1000))</f>
        <v>-</v>
      </c>
      <c r="I100" s="29">
        <f>IF(I72=$L$70,$L$70,('Budgetierte Kosten'!$P5-I33)/(I72*1000))</f>
        <v>89.25</v>
      </c>
      <c r="N100">
        <f>ETC[[#This Row],[7 '[k €']]]*I72</f>
        <v>189</v>
      </c>
      <c r="O100">
        <f>'Budgetierte Kosten'!P5</f>
        <v>252000</v>
      </c>
      <c r="P100" s="28">
        <f t="shared" si="13"/>
        <v>63000</v>
      </c>
      <c r="Q100" s="28">
        <f t="shared" si="14"/>
        <v>189000</v>
      </c>
    </row>
    <row r="101" spans="1:17" x14ac:dyDescent="0.2">
      <c r="B101" t="str">
        <f t="shared" si="12"/>
        <v>Projektmanagement</v>
      </c>
      <c r="C101" s="29">
        <f>IF(C73=$L$70,$L$70,('Budgetierte Kosten'!$P6-C34)/(C73*1000))</f>
        <v>293.25</v>
      </c>
      <c r="D101" s="29">
        <f>IF(D73=$L$70,$L$70,('Budgetierte Kosten'!$P6-D34)/(D73*1000))</f>
        <v>1776.4999999999998</v>
      </c>
      <c r="E101" s="29">
        <f>IF(E73=$L$70,$L$70,('Budgetierte Kosten'!$P6-E34)/(E73*1000))</f>
        <v>722.49999999999989</v>
      </c>
      <c r="F101" s="29">
        <f>IF(F73=$L$70,$L$70,('Budgetierte Kosten'!$P6-F34)/(F73*1000))</f>
        <v>612</v>
      </c>
      <c r="G101" s="29">
        <f>IF(G73=$L$70,$L$70,('Budgetierte Kosten'!$P6-G34)/(G73*1000))</f>
        <v>396.66666666666663</v>
      </c>
      <c r="H101" s="29">
        <f>IF(H73=$L$70,$L$70,('Budgetierte Kosten'!$P6-H34)/(H73*1000))</f>
        <v>280.49999999999994</v>
      </c>
      <c r="I101" s="29">
        <f>IF(I73=$L$70,$L$70,('Budgetierte Kosten'!$P6-I34)/(I73*1000))</f>
        <v>204.00000000000003</v>
      </c>
      <c r="N101">
        <f>ETC[[#This Row],[7 '[k €']]]*I73</f>
        <v>143</v>
      </c>
      <c r="O101">
        <f>'Budgetierte Kosten'!P6</f>
        <v>286000</v>
      </c>
      <c r="P101" s="28">
        <f t="shared" si="13"/>
        <v>143000</v>
      </c>
      <c r="Q101" s="28">
        <f t="shared" si="14"/>
        <v>143000</v>
      </c>
    </row>
    <row r="102" spans="1:17" x14ac:dyDescent="0.2">
      <c r="B102" t="str">
        <f t="shared" si="12"/>
        <v>Puffer für unerwartetes</v>
      </c>
      <c r="C102" s="29">
        <f>IF(C74=$L$70,$L$70,('Budgetierte Kosten'!$P7-C35)/(C74*1000))</f>
        <v>156.39999999999998</v>
      </c>
      <c r="D102" s="29">
        <f>IF(D74=$L$70,$L$70,('Budgetierte Kosten'!$P7-D35)/(D74*1000))</f>
        <v>3165.4</v>
      </c>
      <c r="E102" s="29">
        <f>IF(E74=$L$70,$L$70,('Budgetierte Kosten'!$P7-E35)/(E74*1000))</f>
        <v>2723.3999999999996</v>
      </c>
      <c r="F102" s="29">
        <f>IF(F74=$L$70,$L$70,('Budgetierte Kosten'!$P7-F35)/(F74*1000))</f>
        <v>1363.4</v>
      </c>
      <c r="G102" s="29">
        <f>IF(G74=$L$70,$L$70,('Budgetierte Kosten'!$P7-G35)/(G74*1000))</f>
        <v>805.23333333333335</v>
      </c>
      <c r="H102" s="29">
        <f>IF(H74=$L$70,$L$70,('Budgetierte Kosten'!$P7-H35)/(H74*1000))</f>
        <v>426.98333333333329</v>
      </c>
      <c r="I102" s="29">
        <f>IF(I74=$L$70,$L$70,('Budgetierte Kosten'!$P7-I35)/(I74*1000))</f>
        <v>289.30909090909086</v>
      </c>
      <c r="N102">
        <f>ETC[[#This Row],[7 '[k €']]]*I74</f>
        <v>46.8</v>
      </c>
      <c r="O102">
        <f>'Budgetierte Kosten'!P7</f>
        <v>104000</v>
      </c>
      <c r="P102" s="28">
        <f t="shared" si="13"/>
        <v>57200.000000000007</v>
      </c>
      <c r="Q102" s="28">
        <f t="shared" si="14"/>
        <v>46799.999999999993</v>
      </c>
    </row>
    <row r="103" spans="1:17" x14ac:dyDescent="0.2">
      <c r="B103" t="str">
        <f t="shared" si="12"/>
        <v>Materialkosten</v>
      </c>
      <c r="C103" s="29">
        <f>IF(C75=$L$70,$L$70,('Budgetierte Kosten'!$O11-C36)/(C75*1000))</f>
        <v>98</v>
      </c>
      <c r="D103" s="29">
        <f>IF(D75=$L$70,$L$70,('Budgetierte Kosten'!$O11-D36)/(D75*1000))</f>
        <v>84</v>
      </c>
      <c r="E103" s="29">
        <f>IF(E75=$L$70,$L$70,('Budgetierte Kosten'!$O11-E36)/(E75*1000))</f>
        <v>76.766666666666666</v>
      </c>
      <c r="F103" s="29">
        <f>IF(F75=$L$70,$L$70,('Budgetierte Kosten'!$O11-F36)/(F75*1000))</f>
        <v>73.599999999999994</v>
      </c>
      <c r="G103" s="29">
        <f>IF(G75=$L$70,$L$70,('Budgetierte Kosten'!$O11-G36)/(G75*1000))</f>
        <v>66.600000000000009</v>
      </c>
      <c r="H103" s="29">
        <f>IF(H75=$L$70,$L$70,('Budgetierte Kosten'!$O11-H36)/(H75*1000))</f>
        <v>110</v>
      </c>
      <c r="I103" s="29">
        <f>IF(I75=$L$70,$L$70,('Budgetierte Kosten'!$O11-I36)/(I75*1000))</f>
        <v>99.514285714285691</v>
      </c>
      <c r="N103">
        <f>ETC[[#This Row],[7 '[k €']]]*I75</f>
        <v>73.959999999999994</v>
      </c>
      <c r="O103">
        <f>'Budgetierte Kosten'!O11</f>
        <v>86000</v>
      </c>
      <c r="P103" s="28">
        <f t="shared" si="13"/>
        <v>12040.000000000002</v>
      </c>
      <c r="Q103" s="28">
        <f t="shared" si="14"/>
        <v>73960</v>
      </c>
    </row>
    <row r="104" spans="1:17" x14ac:dyDescent="0.2">
      <c r="B104" t="str">
        <f>SPI[[#Totals],[Posten]]</f>
        <v>Gesamt</v>
      </c>
      <c r="C104" s="29">
        <f>($E$92-EV[[#Totals],[1]])/(CPI[[#Totals],[1]]*1000)</f>
        <v>1421.4408065290447</v>
      </c>
      <c r="D104" s="29">
        <f>($E$92-EV[[#Totals],[2]])/(CPI[[#Totals],[2]]*1000)</f>
        <v>17000.437823490378</v>
      </c>
      <c r="E104" s="29">
        <f>($E$92-EV[[#Totals],[3]])/(CPI[[#Totals],[3]]*1000)</f>
        <v>11084.525473510843</v>
      </c>
      <c r="F104" s="29">
        <f>($E$92-EV[[#Totals],[4]])/(CPI[[#Totals],[4]]*1000)</f>
        <v>6591.5452387760943</v>
      </c>
      <c r="G104" s="29">
        <f>($E$92-EV[[#Totals],[5]])/(CPI[[#Totals],[5]]*1000)</f>
        <v>4420.0276504297999</v>
      </c>
      <c r="H104" s="29">
        <f>($E$92-EV[[#Totals],[6]])/(CPI[[#Totals],[6]]*1000)</f>
        <v>2589.8308079652097</v>
      </c>
      <c r="I104" s="29">
        <f>($E$92-EV[[#Totals],[7]])/(CPI[[#Totals],[7]]*1000)</f>
        <v>1313.1617942535665</v>
      </c>
    </row>
    <row r="106" spans="1:17" x14ac:dyDescent="0.2">
      <c r="K106" s="2" t="s">
        <v>89</v>
      </c>
      <c r="L106">
        <f>SUM(ETC[7 '[k €']])</f>
        <v>955.91504329004329</v>
      </c>
    </row>
    <row r="107" spans="1:17" ht="23.25" x14ac:dyDescent="0.35">
      <c r="A107" s="33" t="s">
        <v>70</v>
      </c>
    </row>
    <row r="109" spans="1:17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7" x14ac:dyDescent="0.2">
      <c r="B110" t="str">
        <f t="shared" ref="B110:B116" si="15">B97</f>
        <v>Anforderungsanalyse</v>
      </c>
      <c r="C110" s="29">
        <f>IF(C69=$L$70,$L$70,'Budgetierte Kosten'!$P2/(C69*1000))</f>
        <v>121.42857142857144</v>
      </c>
      <c r="D110" s="29">
        <f>IF(D69=$L$70,$L$70,'Budgetierte Kosten'!$P2/(D69*1000))</f>
        <v>1700</v>
      </c>
      <c r="E110" s="29">
        <f>IF(E69=$L$70,$L$70,'Budgetierte Kosten'!$P2/(E69*1000))</f>
        <v>1309</v>
      </c>
      <c r="F110" s="29">
        <f>IF(F69=$L$70,$L$70,'Budgetierte Kosten'!$P2/(F69*1000))</f>
        <v>450.49999999999994</v>
      </c>
      <c r="G110" s="29">
        <f>IF(G69=$L$70,$L$70,'Budgetierte Kosten'!$P2/(G69*1000))</f>
        <v>270.3</v>
      </c>
      <c r="H110" s="29">
        <f>IF(H69=$L$70,$L$70,'Budgetierte Kosten'!$P2/(H69*1000))</f>
        <v>168.9375</v>
      </c>
      <c r="I110" s="29">
        <f>IF(I69=$L$70,$L$70,'Budgetierte Kosten'!$P2/(I69*1000))</f>
        <v>150.16666666666669</v>
      </c>
      <c r="K110" s="2" t="s">
        <v>18</v>
      </c>
      <c r="L110" s="2" t="s">
        <v>71</v>
      </c>
    </row>
    <row r="111" spans="1:17" x14ac:dyDescent="0.2">
      <c r="B111" t="str">
        <f t="shared" si="15"/>
        <v>Design und Architektur</v>
      </c>
      <c r="C111" s="29" t="str">
        <f>IF(C70=$L$70,$L$70,'Budgetierte Kosten'!$P3/(C70*1000))</f>
        <v>-</v>
      </c>
      <c r="D111" s="29" t="str">
        <f>IF(D70=$L$70,$L$70,'Budgetierte Kosten'!$P3/(D70*1000))</f>
        <v>-</v>
      </c>
      <c r="E111" s="29" t="str">
        <f>IF(E70=$L$70,$L$70,'Budgetierte Kosten'!$P3/(E70*1000))</f>
        <v>-</v>
      </c>
      <c r="F111" s="29">
        <f>IF(F70=$L$70,$L$70,'Budgetierte Kosten'!$P3/(F70*1000))</f>
        <v>850.00000000000011</v>
      </c>
      <c r="G111" s="29">
        <f>IF(G70=$L$70,$L$70,'Budgetierte Kosten'!$P3/(G70*1000))</f>
        <v>1190.0000000000002</v>
      </c>
      <c r="H111" s="29">
        <f>IF(H70=$L$70,$L$70,'Budgetierte Kosten'!$P3/(H70*1000))</f>
        <v>790.50000000000011</v>
      </c>
      <c r="I111" s="29">
        <f>IF(I70=$L$70,$L$70,'Budgetierte Kosten'!$P3/(I70*1000))</f>
        <v>218.87499999999997</v>
      </c>
    </row>
    <row r="112" spans="1:17" x14ac:dyDescent="0.2">
      <c r="B112" t="str">
        <f t="shared" si="15"/>
        <v>Implementierung</v>
      </c>
      <c r="C112" s="29" t="str">
        <f>IF(C71=$L$70,$L$70,'Budgetierte Kosten'!$P4/(C71*1000))</f>
        <v>-</v>
      </c>
      <c r="D112" s="29" t="str">
        <f>IF(D71=$L$70,$L$70,'Budgetierte Kosten'!$P4/(D71*1000))</f>
        <v>-</v>
      </c>
      <c r="E112" s="29" t="str">
        <f>IF(E71=$L$70,$L$70,'Budgetierte Kosten'!$P4/(E71*1000))</f>
        <v>-</v>
      </c>
      <c r="F112" s="29" t="str">
        <f>IF(F71=$L$70,$L$70,'Budgetierte Kosten'!$P4/(F71*1000))</f>
        <v>-</v>
      </c>
      <c r="G112" s="29" t="str">
        <f>IF(G71=$L$70,$L$70,'Budgetierte Kosten'!$P4/(G71*1000))</f>
        <v>-</v>
      </c>
      <c r="H112" s="29">
        <f>IF(H71=$L$70,$L$70,'Budgetierte Kosten'!$P4/(H71*1000))</f>
        <v>212.5</v>
      </c>
      <c r="I112" s="29">
        <f>IF(I71=$L$70,$L$70,'Budgetierte Kosten'!$P4/(I71*1000))</f>
        <v>170.00000000000003</v>
      </c>
    </row>
    <row r="113" spans="2:13" x14ac:dyDescent="0.2">
      <c r="B113" t="str">
        <f t="shared" si="15"/>
        <v>Integration und Test</v>
      </c>
      <c r="C113" s="29" t="str">
        <f>IF(C72=$L$70,$L$70,'Budgetierte Kosten'!$P5/(C72*1000))</f>
        <v>-</v>
      </c>
      <c r="D113" s="29" t="str">
        <f>IF(D72=$L$70,$L$70,'Budgetierte Kosten'!$P5/(D72*1000))</f>
        <v>-</v>
      </c>
      <c r="E113" s="29" t="str">
        <f>IF(E72=$L$70,$L$70,'Budgetierte Kosten'!$P5/(E72*1000))</f>
        <v>-</v>
      </c>
      <c r="F113" s="29" t="str">
        <f>IF(F72=$L$70,$L$70,'Budgetierte Kosten'!$P5/(F72*1000))</f>
        <v>-</v>
      </c>
      <c r="G113" s="29" t="str">
        <f>IF(G72=$L$70,$L$70,'Budgetierte Kosten'!$P5/(G72*1000))</f>
        <v>-</v>
      </c>
      <c r="H113" s="29" t="str">
        <f>IF(H72=$L$70,$L$70,'Budgetierte Kosten'!$P5/(H72*1000))</f>
        <v>-</v>
      </c>
      <c r="I113" s="29">
        <f>IF(I72=$L$70,$L$70,'Budgetierte Kosten'!$P5/(I72*1000))</f>
        <v>119.00000000000001</v>
      </c>
    </row>
    <row r="114" spans="2:13" x14ac:dyDescent="0.2">
      <c r="B114" t="str">
        <f t="shared" si="15"/>
        <v>Projektmanagement</v>
      </c>
      <c r="C114" s="29">
        <f>IF(C73=$L$70,$L$70,'Budgetierte Kosten'!$P6/(C73*1000))</f>
        <v>318.75</v>
      </c>
      <c r="D114" s="29">
        <f>IF(D73=$L$70,$L$70,'Budgetierte Kosten'!$P6/(D73*1000))</f>
        <v>1869.9999999999998</v>
      </c>
      <c r="E114" s="29">
        <f>IF(E73=$L$70,$L$70,'Budgetierte Kosten'!$P6/(E73*1000))</f>
        <v>849.99999999999989</v>
      </c>
      <c r="F114" s="29">
        <f>IF(F73=$L$70,$L$70,'Budgetierte Kosten'!$P6/(F73*1000))</f>
        <v>765</v>
      </c>
      <c r="G114" s="29">
        <f>IF(G73=$L$70,$L$70,'Budgetierte Kosten'!$P6/(G73*1000))</f>
        <v>566.66666666666663</v>
      </c>
      <c r="H114" s="29">
        <f>IF(H73=$L$70,$L$70,'Budgetierte Kosten'!$P6/(H73*1000))</f>
        <v>467.49999999999994</v>
      </c>
      <c r="I114" s="29">
        <f>IF(I73=$L$70,$L$70,'Budgetierte Kosten'!$P6/(I73*1000))</f>
        <v>408.00000000000006</v>
      </c>
    </row>
    <row r="115" spans="2:13" x14ac:dyDescent="0.2">
      <c r="B115" t="str">
        <f t="shared" si="15"/>
        <v>Puffer für unerwartetes</v>
      </c>
      <c r="C115" s="29">
        <f>IF(C74=$L$70,$L$70,'Budgetierte Kosten'!$P7/(C74*1000))</f>
        <v>169.99999999999997</v>
      </c>
      <c r="D115" s="29">
        <f>IF(D74=$L$70,$L$70,'Budgetierte Kosten'!$P7/(D74*1000))</f>
        <v>3332</v>
      </c>
      <c r="E115" s="29">
        <f>IF(E74=$L$70,$L$70,'Budgetierte Kosten'!$P7/(E74*1000))</f>
        <v>3026</v>
      </c>
      <c r="F115" s="29">
        <f>IF(F74=$L$70,$L$70,'Budgetierte Kosten'!$P7/(F74*1000))</f>
        <v>1704.25</v>
      </c>
      <c r="G115" s="29">
        <f>IF(G74=$L$70,$L$70,'Budgetierte Kosten'!$P7/(G74*1000))</f>
        <v>1150.3333333333333</v>
      </c>
      <c r="H115" s="29">
        <f>IF(H74=$L$70,$L$70,'Budgetierte Kosten'!$P7/(H74*1000))</f>
        <v>776.33333333333326</v>
      </c>
      <c r="I115" s="29">
        <f>IF(I74=$L$70,$L$70,'Budgetierte Kosten'!$P7/(I74*1000))</f>
        <v>642.90909090909088</v>
      </c>
    </row>
    <row r="116" spans="2:13" x14ac:dyDescent="0.2">
      <c r="B116" t="str">
        <f t="shared" si="15"/>
        <v>Materialkosten</v>
      </c>
      <c r="C116" s="29">
        <f>IF(C75=$L$70,$L$70,'Budgetierte Kosten'!$O11/(C75*1000))</f>
        <v>100</v>
      </c>
      <c r="D116" s="29">
        <f>IF(D75=$L$70,$L$70,'Budgetierte Kosten'!$O11/(D75*1000))</f>
        <v>87.5</v>
      </c>
      <c r="E116" s="29">
        <f>IF(E75=$L$70,$L$70,'Budgetierte Kosten'!$O11/(E75*1000))</f>
        <v>81.666666666666671</v>
      </c>
      <c r="F116" s="29">
        <f>IF(F75=$L$70,$L$70,'Budgetierte Kosten'!$O11/(F75*1000))</f>
        <v>80</v>
      </c>
      <c r="G116" s="29">
        <f>IF(G75=$L$70,$L$70,'Budgetierte Kosten'!$O11/(G75*1000))</f>
        <v>74</v>
      </c>
      <c r="H116" s="29">
        <f>IF(H75=$L$70,$L$70,'Budgetierte Kosten'!$O11/(H75*1000))</f>
        <v>125</v>
      </c>
      <c r="I116" s="29">
        <f>IF(I75=$L$70,$L$70,'Budgetierte Kosten'!$O11/(I75*1000))</f>
        <v>115.71428571428569</v>
      </c>
    </row>
    <row r="117" spans="2:13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  <c r="K117" s="2" t="s">
        <v>89</v>
      </c>
      <c r="L117">
        <f>I110*I69</f>
        <v>144</v>
      </c>
    </row>
    <row r="118" spans="2:13" x14ac:dyDescent="0.2">
      <c r="L118">
        <f t="shared" ref="L118:L124" si="16">I111*I70</f>
        <v>235.99999999999997</v>
      </c>
    </row>
    <row r="119" spans="2:13" x14ac:dyDescent="0.2">
      <c r="L119">
        <f t="shared" si="16"/>
        <v>392.00000000000006</v>
      </c>
    </row>
    <row r="120" spans="2:13" x14ac:dyDescent="0.2">
      <c r="L120">
        <f t="shared" si="16"/>
        <v>252.00000000000003</v>
      </c>
    </row>
    <row r="121" spans="2:13" x14ac:dyDescent="0.2">
      <c r="L121">
        <f t="shared" si="16"/>
        <v>286</v>
      </c>
    </row>
    <row r="122" spans="2:13" x14ac:dyDescent="0.2">
      <c r="L122">
        <f t="shared" si="16"/>
        <v>104</v>
      </c>
    </row>
    <row r="123" spans="2:13" x14ac:dyDescent="0.2">
      <c r="L123">
        <f t="shared" si="16"/>
        <v>86</v>
      </c>
    </row>
    <row r="124" spans="2:13" x14ac:dyDescent="0.2">
      <c r="L124">
        <f t="shared" si="16"/>
        <v>1499.9999999999998</v>
      </c>
      <c r="M124">
        <f>SUM(L117:L123)</f>
        <v>1500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C15" sqref="C15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0.95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Rot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Akt.'!H20</f>
        <v>0.39816000000000001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Rot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Akt.'!G20</f>
        <v>0.23301333333333335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5" priority="13" operator="greaterThanOrEqual">
      <formula>$K$4</formula>
    </cfRule>
    <cfRule type="cellIs" dxfId="4" priority="14" operator="lessThan">
      <formula>$K$3</formula>
    </cfRule>
    <cfRule type="cellIs" dxfId="3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I16" sqref="I16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10" zoomScale="125" zoomScaleNormal="125" workbookViewId="0">
      <selection activeCell="A31" sqref="A31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0" width="9.42578125" customWidth="1"/>
    <col min="11" max="11" width="11.5703125" customWidth="1"/>
    <col min="12" max="12" width="11.7109375" customWidth="1"/>
    <col min="13" max="13" width="11.5703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 t="s">
        <v>86</v>
      </c>
      <c r="Q1" s="2" t="s">
        <v>87</v>
      </c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  <c r="Q2">
        <f>P2/$P$11</f>
        <v>9.6000000000000002E-2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  <c r="Q3">
        <f t="shared" ref="Q3:Q7" si="2">P3/$P$11</f>
        <v>0.15733333333333333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  <c r="Q4">
        <f t="shared" si="2"/>
        <v>0.26133333333333331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  <c r="Q5">
        <f t="shared" si="2"/>
        <v>0.16800000000000001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  <c r="Q6">
        <f t="shared" si="2"/>
        <v>0.19066666666666668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  <c r="Q7">
        <f t="shared" si="2"/>
        <v>6.933333333333333E-2</v>
      </c>
    </row>
    <row r="8" spans="1:17" s="2" customFormat="1" ht="12.95" customHeight="1" x14ac:dyDescent="0.2">
      <c r="A8" s="1" t="s">
        <v>7</v>
      </c>
      <c r="B8" s="2">
        <f t="shared" ref="B8:O8" si="3">SUM(B2:B7)</f>
        <v>975</v>
      </c>
      <c r="C8" s="2">
        <f t="shared" si="3"/>
        <v>975</v>
      </c>
      <c r="D8" s="2">
        <f t="shared" si="3"/>
        <v>1225</v>
      </c>
      <c r="E8" s="2">
        <f t="shared" si="3"/>
        <v>1075</v>
      </c>
      <c r="F8" s="2">
        <f t="shared" si="3"/>
        <v>1425</v>
      </c>
      <c r="G8" s="2">
        <f t="shared" si="3"/>
        <v>1675</v>
      </c>
      <c r="H8" s="2">
        <f t="shared" si="3"/>
        <v>1425</v>
      </c>
      <c r="I8" s="2">
        <f t="shared" si="3"/>
        <v>1525</v>
      </c>
      <c r="J8" s="2">
        <f t="shared" si="3"/>
        <v>1575</v>
      </c>
      <c r="K8" s="2">
        <f t="shared" si="3"/>
        <v>1775</v>
      </c>
      <c r="L8" s="2">
        <f t="shared" si="3"/>
        <v>1725</v>
      </c>
      <c r="M8" s="2">
        <f t="shared" si="3"/>
        <v>1325</v>
      </c>
      <c r="N8" s="2">
        <f t="shared" si="3"/>
        <v>975</v>
      </c>
      <c r="O8" s="2">
        <f t="shared" si="3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4">B8*$B$14</f>
        <v>78000</v>
      </c>
      <c r="C10" s="12">
        <f t="shared" si="4"/>
        <v>78000</v>
      </c>
      <c r="D10" s="12">
        <f t="shared" si="4"/>
        <v>98000</v>
      </c>
      <c r="E10" s="12">
        <f t="shared" si="4"/>
        <v>86000</v>
      </c>
      <c r="F10" s="12">
        <f t="shared" si="4"/>
        <v>114000</v>
      </c>
      <c r="G10" s="12">
        <f t="shared" si="4"/>
        <v>134000</v>
      </c>
      <c r="H10" s="12">
        <f t="shared" si="4"/>
        <v>114000</v>
      </c>
      <c r="I10" s="12">
        <f t="shared" si="4"/>
        <v>122000</v>
      </c>
      <c r="J10" s="12">
        <f t="shared" si="4"/>
        <v>126000</v>
      </c>
      <c r="K10" s="12">
        <f t="shared" si="4"/>
        <v>142000</v>
      </c>
      <c r="L10" s="12">
        <f t="shared" si="4"/>
        <v>138000</v>
      </c>
      <c r="M10" s="12">
        <f t="shared" si="4"/>
        <v>106000</v>
      </c>
      <c r="N10" s="12">
        <f t="shared" si="4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  <c r="Q11">
        <f>O11/$P$11</f>
        <v>5.7333333333333333E-2</v>
      </c>
    </row>
    <row r="12" spans="1:17" s="2" customFormat="1" ht="12.95" customHeight="1" x14ac:dyDescent="0.2">
      <c r="A12" s="1" t="s">
        <v>11</v>
      </c>
      <c r="B12" s="14">
        <f t="shared" ref="B12:N12" si="5">SUM(B10:B11)</f>
        <v>80000</v>
      </c>
      <c r="C12" s="14">
        <f t="shared" si="5"/>
        <v>80000</v>
      </c>
      <c r="D12" s="14">
        <f t="shared" si="5"/>
        <v>101000</v>
      </c>
      <c r="E12" s="14">
        <f t="shared" si="5"/>
        <v>89000</v>
      </c>
      <c r="F12" s="14">
        <f t="shared" si="5"/>
        <v>117000</v>
      </c>
      <c r="G12" s="14">
        <f t="shared" si="5"/>
        <v>137000</v>
      </c>
      <c r="H12" s="14">
        <f t="shared" si="5"/>
        <v>119000</v>
      </c>
      <c r="I12" s="14">
        <f t="shared" si="5"/>
        <v>127000</v>
      </c>
      <c r="J12" s="14">
        <f t="shared" si="5"/>
        <v>141000</v>
      </c>
      <c r="K12" s="14">
        <f t="shared" si="5"/>
        <v>157000</v>
      </c>
      <c r="L12" s="14">
        <f t="shared" si="5"/>
        <v>153000</v>
      </c>
      <c r="M12" s="14">
        <f t="shared" si="5"/>
        <v>116000</v>
      </c>
      <c r="N12" s="14">
        <f t="shared" si="5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85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 s="39">
        <f>B2*$B$14</f>
        <v>48000</v>
      </c>
      <c r="C19" s="39">
        <f>C2*$B$14 + B19</f>
        <v>96000</v>
      </c>
      <c r="D19" s="39">
        <f t="shared" ref="D19:N19" si="6">D2*$B$14 + C19</f>
        <v>144000</v>
      </c>
      <c r="E19" s="39">
        <f t="shared" si="6"/>
        <v>144000</v>
      </c>
      <c r="F19" s="39">
        <f t="shared" si="6"/>
        <v>144000</v>
      </c>
      <c r="G19" s="39">
        <f t="shared" si="6"/>
        <v>144000</v>
      </c>
      <c r="H19" s="39">
        <f t="shared" si="6"/>
        <v>144000</v>
      </c>
      <c r="I19" s="39">
        <f t="shared" si="6"/>
        <v>144000</v>
      </c>
      <c r="J19" s="39">
        <f t="shared" si="6"/>
        <v>144000</v>
      </c>
      <c r="K19" s="39">
        <f t="shared" si="6"/>
        <v>144000</v>
      </c>
      <c r="L19" s="39">
        <f t="shared" si="6"/>
        <v>144000</v>
      </c>
      <c r="M19" s="39">
        <f t="shared" si="6"/>
        <v>144000</v>
      </c>
      <c r="N19" s="39">
        <f t="shared" si="6"/>
        <v>144000</v>
      </c>
      <c r="O19" s="6"/>
      <c r="P19" s="7"/>
    </row>
    <row r="20" spans="1:16" ht="12.95" customHeight="1" x14ac:dyDescent="0.2">
      <c r="A20" s="5" t="s">
        <v>2</v>
      </c>
      <c r="B20" s="39">
        <f t="shared" ref="B20:B24" si="7">B3*$B$14</f>
        <v>0</v>
      </c>
      <c r="C20" s="39">
        <f t="shared" ref="C20:N24" si="8">C3*$B$14 + B20</f>
        <v>0</v>
      </c>
      <c r="D20" s="39">
        <f t="shared" si="8"/>
        <v>20000</v>
      </c>
      <c r="E20" s="39">
        <f t="shared" si="8"/>
        <v>52000</v>
      </c>
      <c r="F20" s="39">
        <f t="shared" si="8"/>
        <v>96000</v>
      </c>
      <c r="G20" s="39">
        <f t="shared" si="8"/>
        <v>152000</v>
      </c>
      <c r="H20" s="39">
        <f t="shared" si="8"/>
        <v>172000</v>
      </c>
      <c r="I20" s="39">
        <f t="shared" si="8"/>
        <v>192000</v>
      </c>
      <c r="J20" s="39">
        <f t="shared" si="8"/>
        <v>208000</v>
      </c>
      <c r="K20" s="39">
        <f t="shared" si="8"/>
        <v>224000</v>
      </c>
      <c r="L20" s="39">
        <f t="shared" si="8"/>
        <v>236000</v>
      </c>
      <c r="M20" s="39">
        <f t="shared" si="8"/>
        <v>236000</v>
      </c>
      <c r="N20" s="39">
        <f t="shared" si="8"/>
        <v>236000</v>
      </c>
      <c r="O20" s="6"/>
      <c r="P20" s="7"/>
    </row>
    <row r="21" spans="1:16" ht="12.95" customHeight="1" x14ac:dyDescent="0.2">
      <c r="A21" s="5" t="s">
        <v>3</v>
      </c>
      <c r="B21" s="39">
        <f t="shared" si="7"/>
        <v>0</v>
      </c>
      <c r="C21" s="39">
        <f t="shared" si="8"/>
        <v>0</v>
      </c>
      <c r="D21" s="39">
        <f t="shared" si="8"/>
        <v>0</v>
      </c>
      <c r="E21" s="39">
        <f t="shared" si="8"/>
        <v>24000</v>
      </c>
      <c r="F21" s="39">
        <f t="shared" si="8"/>
        <v>64000</v>
      </c>
      <c r="G21" s="39">
        <f t="shared" si="8"/>
        <v>112000</v>
      </c>
      <c r="H21" s="39">
        <f t="shared" si="8"/>
        <v>160000</v>
      </c>
      <c r="I21" s="39">
        <f t="shared" si="8"/>
        <v>208000</v>
      </c>
      <c r="J21" s="39">
        <f t="shared" si="8"/>
        <v>256000</v>
      </c>
      <c r="K21" s="39">
        <f t="shared" si="8"/>
        <v>304000</v>
      </c>
      <c r="L21" s="39">
        <f t="shared" si="8"/>
        <v>352000</v>
      </c>
      <c r="M21" s="39">
        <f t="shared" si="8"/>
        <v>380000</v>
      </c>
      <c r="N21" s="39">
        <f t="shared" si="8"/>
        <v>392000</v>
      </c>
      <c r="O21" s="6"/>
      <c r="P21" s="7"/>
    </row>
    <row r="22" spans="1:16" ht="12.95" customHeight="1" x14ac:dyDescent="0.2">
      <c r="A22" s="5" t="s">
        <v>4</v>
      </c>
      <c r="B22" s="39">
        <f t="shared" si="7"/>
        <v>0</v>
      </c>
      <c r="C22" s="39">
        <f t="shared" si="8"/>
        <v>0</v>
      </c>
      <c r="D22" s="39">
        <f t="shared" si="8"/>
        <v>0</v>
      </c>
      <c r="E22" s="39">
        <f t="shared" si="8"/>
        <v>0</v>
      </c>
      <c r="F22" s="39">
        <f t="shared" si="8"/>
        <v>0</v>
      </c>
      <c r="G22" s="39">
        <f t="shared" si="8"/>
        <v>0</v>
      </c>
      <c r="H22" s="39">
        <f t="shared" si="8"/>
        <v>16000</v>
      </c>
      <c r="I22" s="39">
        <f t="shared" si="8"/>
        <v>40000</v>
      </c>
      <c r="J22" s="39">
        <f t="shared" si="8"/>
        <v>72000</v>
      </c>
      <c r="K22" s="39">
        <f t="shared" si="8"/>
        <v>120000</v>
      </c>
      <c r="L22" s="39">
        <f t="shared" si="8"/>
        <v>168000</v>
      </c>
      <c r="M22" s="39">
        <f t="shared" si="8"/>
        <v>216000</v>
      </c>
      <c r="N22" s="39">
        <f t="shared" si="8"/>
        <v>252000</v>
      </c>
      <c r="O22" s="6"/>
      <c r="P22" s="7"/>
    </row>
    <row r="23" spans="1:16" ht="12.95" customHeight="1" x14ac:dyDescent="0.2">
      <c r="A23" s="5" t="s">
        <v>5</v>
      </c>
      <c r="B23" s="39">
        <f t="shared" si="7"/>
        <v>22000</v>
      </c>
      <c r="C23" s="39">
        <f t="shared" si="8"/>
        <v>44000</v>
      </c>
      <c r="D23" s="39">
        <f t="shared" si="8"/>
        <v>66000</v>
      </c>
      <c r="E23" s="39">
        <f t="shared" si="8"/>
        <v>88000</v>
      </c>
      <c r="F23" s="39">
        <f t="shared" si="8"/>
        <v>110000</v>
      </c>
      <c r="G23" s="39">
        <f t="shared" si="8"/>
        <v>132000</v>
      </c>
      <c r="H23" s="39">
        <f t="shared" si="8"/>
        <v>154000</v>
      </c>
      <c r="I23" s="39">
        <f t="shared" si="8"/>
        <v>176000</v>
      </c>
      <c r="J23" s="39">
        <f t="shared" si="8"/>
        <v>198000</v>
      </c>
      <c r="K23" s="39">
        <f t="shared" si="8"/>
        <v>220000</v>
      </c>
      <c r="L23" s="39">
        <f t="shared" si="8"/>
        <v>242000</v>
      </c>
      <c r="M23" s="39">
        <f t="shared" si="8"/>
        <v>264000</v>
      </c>
      <c r="N23" s="39">
        <f t="shared" si="8"/>
        <v>286000</v>
      </c>
      <c r="O23" s="6"/>
      <c r="P23" s="7"/>
    </row>
    <row r="24" spans="1:16" ht="12.95" customHeight="1" x14ac:dyDescent="0.2">
      <c r="A24" s="5" t="s">
        <v>6</v>
      </c>
      <c r="B24" s="39">
        <f t="shared" si="7"/>
        <v>8000</v>
      </c>
      <c r="C24" s="39">
        <f t="shared" si="8"/>
        <v>16000</v>
      </c>
      <c r="D24" s="39">
        <f t="shared" si="8"/>
        <v>24000</v>
      </c>
      <c r="E24" s="39">
        <f t="shared" si="8"/>
        <v>32000</v>
      </c>
      <c r="F24" s="39">
        <f t="shared" si="8"/>
        <v>40000</v>
      </c>
      <c r="G24" s="39">
        <f t="shared" si="8"/>
        <v>48000</v>
      </c>
      <c r="H24" s="39">
        <f t="shared" si="8"/>
        <v>56000</v>
      </c>
      <c r="I24" s="39">
        <f t="shared" si="8"/>
        <v>64000</v>
      </c>
      <c r="J24" s="39">
        <f t="shared" si="8"/>
        <v>72000</v>
      </c>
      <c r="K24" s="39">
        <f t="shared" si="8"/>
        <v>80000</v>
      </c>
      <c r="L24" s="39">
        <f t="shared" si="8"/>
        <v>88000</v>
      </c>
      <c r="M24" s="39">
        <f t="shared" si="8"/>
        <v>96000</v>
      </c>
      <c r="N24" s="39">
        <f t="shared" si="8"/>
        <v>104000</v>
      </c>
      <c r="O24" s="6"/>
      <c r="P24" s="7"/>
    </row>
    <row r="25" spans="1:16" ht="12.95" customHeight="1" x14ac:dyDescent="0.2">
      <c r="A25" s="5" t="s">
        <v>26</v>
      </c>
      <c r="B25" s="39">
        <f>B11</f>
        <v>2000</v>
      </c>
      <c r="C25" s="39">
        <f>C11+B25</f>
        <v>4000</v>
      </c>
      <c r="D25" s="39">
        <f t="shared" ref="D25:N25" si="9">D11+C25</f>
        <v>7000</v>
      </c>
      <c r="E25" s="39">
        <f t="shared" si="9"/>
        <v>10000</v>
      </c>
      <c r="F25" s="39">
        <f t="shared" si="9"/>
        <v>13000</v>
      </c>
      <c r="G25" s="39">
        <f t="shared" si="9"/>
        <v>16000</v>
      </c>
      <c r="H25" s="39">
        <f t="shared" si="9"/>
        <v>21000</v>
      </c>
      <c r="I25" s="39">
        <f t="shared" si="9"/>
        <v>26000</v>
      </c>
      <c r="J25" s="39">
        <f t="shared" si="9"/>
        <v>41000</v>
      </c>
      <c r="K25" s="39">
        <f t="shared" si="9"/>
        <v>56000</v>
      </c>
      <c r="L25" s="39">
        <f t="shared" si="9"/>
        <v>71000</v>
      </c>
      <c r="M25" s="39">
        <f t="shared" si="9"/>
        <v>81000</v>
      </c>
      <c r="N25" s="39">
        <f t="shared" si="9"/>
        <v>86000</v>
      </c>
      <c r="O25" s="2"/>
      <c r="P25" s="8"/>
    </row>
    <row r="26" spans="1:16" s="2" customFormat="1" ht="12.95" customHeight="1" x14ac:dyDescent="0.2">
      <c r="A26" s="37" t="s">
        <v>80</v>
      </c>
      <c r="B26" s="40">
        <f>SUM(B19:B25)</f>
        <v>80000</v>
      </c>
      <c r="C26" s="40">
        <f t="shared" ref="C26:N26" si="10">SUM(C19:C25)</f>
        <v>160000</v>
      </c>
      <c r="D26" s="40">
        <f t="shared" si="10"/>
        <v>261000</v>
      </c>
      <c r="E26" s="40">
        <f t="shared" si="10"/>
        <v>350000</v>
      </c>
      <c r="F26" s="40">
        <f t="shared" si="10"/>
        <v>467000</v>
      </c>
      <c r="G26" s="40">
        <f t="shared" si="10"/>
        <v>604000</v>
      </c>
      <c r="H26" s="40">
        <f t="shared" si="10"/>
        <v>723000</v>
      </c>
      <c r="I26" s="40">
        <f t="shared" si="10"/>
        <v>850000</v>
      </c>
      <c r="J26" s="40">
        <f t="shared" si="10"/>
        <v>991000</v>
      </c>
      <c r="K26" s="40">
        <f t="shared" si="10"/>
        <v>1148000</v>
      </c>
      <c r="L26" s="40">
        <f>SUM(L19:L25)</f>
        <v>1301000</v>
      </c>
      <c r="M26" s="40">
        <f t="shared" si="10"/>
        <v>1417000</v>
      </c>
      <c r="N26" s="40">
        <f t="shared" si="10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3" sqref="B13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B9" s="26"/>
      <c r="C9" s="26"/>
      <c r="D9" s="26"/>
      <c r="E9" s="26"/>
      <c r="F9" s="26"/>
      <c r="G9" s="26"/>
      <c r="H9" s="26"/>
      <c r="I9" s="2"/>
      <c r="J9" s="2"/>
      <c r="K9" s="2"/>
      <c r="L9" s="2"/>
      <c r="M9" s="2"/>
    </row>
    <row r="10" spans="1:13" ht="12.95" customHeight="1" x14ac:dyDescent="0.2">
      <c r="B10" s="26"/>
      <c r="C10" s="26"/>
      <c r="D10" s="26"/>
      <c r="E10" s="26"/>
      <c r="F10" s="26"/>
      <c r="G10" s="26"/>
      <c r="H10" s="26"/>
      <c r="I10" s="2"/>
      <c r="J10" s="2"/>
      <c r="K10" s="2"/>
      <c r="L10" s="2"/>
      <c r="M10" s="2"/>
    </row>
    <row r="11" spans="1:13" ht="12.95" customHeight="1" x14ac:dyDescent="0.25">
      <c r="A11" s="38" t="s">
        <v>88</v>
      </c>
    </row>
    <row r="12" spans="1:13" ht="12.95" customHeight="1" x14ac:dyDescent="0.2">
      <c r="A12" s="2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</row>
    <row r="13" spans="1:13" ht="12.95" customHeight="1" x14ac:dyDescent="0.2">
      <c r="A13" s="15" t="str">
        <f>'Budgetierte Kosten'!A2</f>
        <v>Anforderungsanalyse</v>
      </c>
      <c r="B13" s="26">
        <f>B2*'Budgetierte Kosten'!$Q2</f>
        <v>3.3599999999999998E-2</v>
      </c>
      <c r="C13" s="26">
        <f>C2*'Budgetierte Kosten'!$Q2</f>
        <v>4.8000000000000004E-3</v>
      </c>
      <c r="D13" s="26">
        <f>D2*'Budgetierte Kosten'!$Q2</f>
        <v>9.6000000000000009E-3</v>
      </c>
      <c r="E13" s="26">
        <f>E2*'Budgetierte Kosten'!$Q2</f>
        <v>2.8799999999999999E-2</v>
      </c>
      <c r="F13" s="26">
        <f>F2*'Budgetierte Kosten'!$Q2</f>
        <v>4.8000000000000001E-2</v>
      </c>
      <c r="G13" s="26">
        <f>G2*'Budgetierte Kosten'!$Q2</f>
        <v>7.6800000000000007E-2</v>
      </c>
      <c r="H13" s="26">
        <f>H2*'Budgetierte Kosten'!$Q2</f>
        <v>8.6400000000000005E-2</v>
      </c>
    </row>
    <row r="14" spans="1:13" ht="12.95" customHeight="1" x14ac:dyDescent="0.2">
      <c r="A14" s="15" t="str">
        <f>'Budgetierte Kosten'!A3</f>
        <v>Design und Architektur</v>
      </c>
      <c r="B14" s="26">
        <f>B3*'Budgetierte Kosten'!$Q3</f>
        <v>0</v>
      </c>
      <c r="C14" s="26">
        <f>C3*'Budgetierte Kosten'!$Q3</f>
        <v>0</v>
      </c>
      <c r="D14" s="26">
        <f>D3*'Budgetierte Kosten'!$Q3</f>
        <v>0</v>
      </c>
      <c r="E14" s="26">
        <f>E3*'Budgetierte Kosten'!$Q3</f>
        <v>7.8666666666666659E-3</v>
      </c>
      <c r="F14" s="26">
        <f>F3*'Budgetierte Kosten'!$Q3</f>
        <v>7.8666666666666659E-3</v>
      </c>
      <c r="G14" s="26">
        <f>G3*'Budgetierte Kosten'!$Q3</f>
        <v>1.5733333333333332E-2</v>
      </c>
      <c r="H14" s="26">
        <f>H3*'Budgetierte Kosten'!$Q3</f>
        <v>6.2933333333333327E-2</v>
      </c>
    </row>
    <row r="15" spans="1:13" ht="12.95" customHeight="1" x14ac:dyDescent="0.2">
      <c r="A15" s="15" t="str">
        <f>'Budgetierte Kosten'!A4</f>
        <v>Implementierung</v>
      </c>
      <c r="B15" s="26">
        <f>B4*'Budgetierte Kosten'!$Q4</f>
        <v>0</v>
      </c>
      <c r="C15" s="26">
        <f>C4*'Budgetierte Kosten'!$Q4</f>
        <v>0</v>
      </c>
      <c r="D15" s="26">
        <f>D4*'Budgetierte Kosten'!$Q4</f>
        <v>0</v>
      </c>
      <c r="E15" s="26">
        <f>E4*'Budgetierte Kosten'!$Q4</f>
        <v>0</v>
      </c>
      <c r="F15" s="26">
        <f>F4*'Budgetierte Kosten'!$Q4</f>
        <v>0</v>
      </c>
      <c r="G15" s="26">
        <f>G4*'Budgetierte Kosten'!$Q4</f>
        <v>2.6133333333333331E-2</v>
      </c>
      <c r="H15" s="26">
        <f>H4*'Budgetierte Kosten'!$Q4</f>
        <v>6.5333333333333327E-2</v>
      </c>
    </row>
    <row r="16" spans="1:13" ht="12.95" customHeight="1" x14ac:dyDescent="0.2">
      <c r="A16" s="15" t="str">
        <f>'Budgetierte Kosten'!A5</f>
        <v>Integration und Test</v>
      </c>
      <c r="B16" s="26">
        <f>B5*'Budgetierte Kosten'!$Q5</f>
        <v>0</v>
      </c>
      <c r="C16" s="26">
        <f>C5*'Budgetierte Kosten'!$Q5</f>
        <v>0</v>
      </c>
      <c r="D16" s="26">
        <f>D5*'Budgetierte Kosten'!$Q5</f>
        <v>0</v>
      </c>
      <c r="E16" s="26">
        <f>E5*'Budgetierte Kosten'!$Q5</f>
        <v>0</v>
      </c>
      <c r="F16" s="26">
        <f>F5*'Budgetierte Kosten'!$Q5</f>
        <v>0</v>
      </c>
      <c r="G16" s="26">
        <f>G5*'Budgetierte Kosten'!$Q5</f>
        <v>0</v>
      </c>
      <c r="H16" s="26">
        <f>H5*'Budgetierte Kosten'!$Q5</f>
        <v>4.2000000000000003E-2</v>
      </c>
    </row>
    <row r="17" spans="1:8" ht="12.95" customHeight="1" x14ac:dyDescent="0.2">
      <c r="A17" s="15" t="str">
        <f>'Budgetierte Kosten'!A6</f>
        <v>Projektmanagement</v>
      </c>
      <c r="B17" s="26">
        <f>B6*'Budgetierte Kosten'!$Q6</f>
        <v>1.5253333333333334E-2</v>
      </c>
      <c r="C17" s="26">
        <f>C6*'Budgetierte Kosten'!$Q6</f>
        <v>9.5333333333333346E-3</v>
      </c>
      <c r="D17" s="26">
        <f>D6*'Budgetierte Kosten'!$Q6</f>
        <v>2.86E-2</v>
      </c>
      <c r="E17" s="26">
        <f>E6*'Budgetierte Kosten'!$Q6</f>
        <v>3.8133333333333339E-2</v>
      </c>
      <c r="F17" s="26">
        <f>F6*'Budgetierte Kosten'!$Q6</f>
        <v>5.7200000000000001E-2</v>
      </c>
      <c r="G17" s="26">
        <f>G6*'Budgetierte Kosten'!$Q6</f>
        <v>7.6266666666666677E-2</v>
      </c>
      <c r="H17" s="26">
        <f>H6*'Budgetierte Kosten'!$Q6</f>
        <v>9.5333333333333339E-2</v>
      </c>
    </row>
    <row r="18" spans="1:8" ht="12.95" customHeight="1" x14ac:dyDescent="0.2">
      <c r="A18" s="15" t="str">
        <f>'Budgetierte Kosten'!A7</f>
        <v>Puffer für unerwartetes</v>
      </c>
      <c r="B18" s="26">
        <f>B7*'Budgetierte Kosten'!$Q7</f>
        <v>5.5466666666666668E-3</v>
      </c>
      <c r="C18" s="26">
        <f>C7*'Budgetierte Kosten'!$Q7</f>
        <v>3.4666666666666665E-3</v>
      </c>
      <c r="D18" s="26">
        <f>D7*'Budgetierte Kosten'!$Q7</f>
        <v>6.933333333333333E-3</v>
      </c>
      <c r="E18" s="26">
        <f>E7*'Budgetierte Kosten'!$Q7</f>
        <v>1.3866666666666666E-2</v>
      </c>
      <c r="F18" s="26">
        <f>F7*'Budgetierte Kosten'!$Q7</f>
        <v>2.0799999999999999E-2</v>
      </c>
      <c r="G18" s="26">
        <f>G7*'Budgetierte Kosten'!$Q7</f>
        <v>3.1199999999999999E-2</v>
      </c>
      <c r="H18" s="26">
        <f>H7*'Budgetierte Kosten'!$Q7</f>
        <v>3.8133333333333332E-2</v>
      </c>
    </row>
    <row r="19" spans="1:8" ht="12.95" customHeight="1" x14ac:dyDescent="0.2">
      <c r="A19" t="s">
        <v>14</v>
      </c>
      <c r="B19" s="26">
        <f>B8*'Budgetierte Kosten'!$Q11</f>
        <v>1.1466666666666667E-3</v>
      </c>
      <c r="C19" s="26">
        <f>C8*'Budgetierte Kosten'!$Q11</f>
        <v>2.2933333333333334E-3</v>
      </c>
      <c r="D19" s="26">
        <f>D8*'Budgetierte Kosten'!$Q11</f>
        <v>3.4399999999999999E-3</v>
      </c>
      <c r="E19" s="26">
        <f>E8*'Budgetierte Kosten'!$Q11</f>
        <v>4.5866666666666668E-3</v>
      </c>
      <c r="F19" s="26">
        <f>F8*'Budgetierte Kosten'!$Q11</f>
        <v>5.7333333333333333E-3</v>
      </c>
      <c r="G19" s="26">
        <f>G8*'Budgetierte Kosten'!$Q11</f>
        <v>6.8799999999999998E-3</v>
      </c>
      <c r="H19" s="26">
        <f>H8*'Budgetierte Kosten'!$Q11</f>
        <v>8.0266666666666681E-3</v>
      </c>
    </row>
    <row r="20" spans="1:8" ht="12.95" customHeight="1" x14ac:dyDescent="0.2">
      <c r="A20" s="2" t="s">
        <v>15</v>
      </c>
      <c r="B20" s="17">
        <f>SUM(B13:B19)</f>
        <v>5.5546666666666661E-2</v>
      </c>
      <c r="C20" s="17">
        <f t="shared" ref="C20:H20" si="0">SUM(C13:C19)</f>
        <v>2.0093333333333338E-2</v>
      </c>
      <c r="D20" s="17">
        <f t="shared" si="0"/>
        <v>4.8573333333333329E-2</v>
      </c>
      <c r="E20" s="17">
        <f t="shared" si="0"/>
        <v>9.3253333333333341E-2</v>
      </c>
      <c r="F20" s="17">
        <f t="shared" si="0"/>
        <v>0.13960000000000003</v>
      </c>
      <c r="G20" s="17">
        <f t="shared" si="0"/>
        <v>0.23301333333333335</v>
      </c>
      <c r="H20" s="17">
        <f t="shared" si="0"/>
        <v>0.39816000000000001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2017-03-23T14:45:20Z</dcterms:modified>
</cp:coreProperties>
</file>