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OneDrive\Documentos\GitHub\Alura-Automa--o\Alura-Automação\"/>
    </mc:Choice>
  </mc:AlternateContent>
  <xr:revisionPtr revIDLastSave="0" documentId="13_ncr:1_{70867D93-EF8F-43B0-9075-C992B121348F}" xr6:coauthVersionLast="47" xr6:coauthVersionMax="47" xr10:uidLastSave="{00000000-0000-0000-0000-000000000000}"/>
  <bookViews>
    <workbookView xWindow="-120" yWindow="-120" windowWidth="29040" windowHeight="16440" firstSheet="2" activeTab="4" xr2:uid="{F6D97A53-F63B-4272-A181-44B26E0B790F}"/>
  </bookViews>
  <sheets>
    <sheet name="Meu Gráfico" sheetId="6" state="hidden" r:id="rId1"/>
    <sheet name="Planilha3" sheetId="5" state="hidden" r:id="rId2"/>
    <sheet name="Produtos" sheetId="17" r:id="rId3"/>
    <sheet name="Dados" sheetId="19" r:id="rId4"/>
    <sheet name="dashboard" sheetId="18" r:id="rId5"/>
    <sheet name="Vendas" sheetId="16" r:id="rId6"/>
    <sheet name="Meus Números (Tabela)" sheetId="12" state="hidden" r:id="rId7"/>
    <sheet name="Filtro Avançado" sheetId="9" state="hidden" r:id="rId8"/>
  </sheets>
  <definedNames>
    <definedName name="_xlnm._FilterDatabase" localSheetId="5" hidden="1">Vendas!$B$2:$F$61</definedName>
    <definedName name="_xlnm.Extract" localSheetId="7">'Filtro Avançado'!$B$6:$H$6</definedName>
    <definedName name="_xlnm.Criteria" localSheetId="7">'Filtro Avançado'!$B$2:$C$3</definedName>
    <definedName name="Int_Nome_Produtos">#REF!</definedName>
    <definedName name="Int_Quantidade">#REF!</definedName>
  </definedNames>
  <calcPr calcId="181029" iterateDelta="1E-4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6" l="1"/>
  <c r="E5" i="16"/>
  <c r="E6" i="16"/>
  <c r="L4" i="19" s="1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3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H3" i="16"/>
  <c r="BK4" i="18" s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B4" i="19"/>
  <c r="L2" i="19"/>
  <c r="B3" i="19"/>
  <c r="G4" i="16"/>
  <c r="G3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L3" i="19"/>
  <c r="B2" i="19"/>
  <c r="AP4" i="18"/>
  <c r="U4" i="18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" i="17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G4" i="19" s="1"/>
  <c r="F5" i="19" l="1"/>
  <c r="G7" i="19"/>
  <c r="G3" i="19"/>
  <c r="G6" i="19"/>
  <c r="F2" i="19"/>
  <c r="F7" i="19"/>
  <c r="F3" i="19"/>
  <c r="G5" i="19"/>
  <c r="F4" i="19"/>
  <c r="F6" i="19"/>
  <c r="G2" i="19"/>
  <c r="L5" i="19"/>
  <c r="B4" i="12"/>
  <c r="H4" i="12"/>
  <c r="G4" i="12"/>
  <c r="F4" i="12"/>
  <c r="D4" i="12"/>
  <c r="C4" i="12"/>
  <c r="J3" i="19" l="1"/>
  <c r="K3" i="19" s="1"/>
  <c r="J4" i="19"/>
  <c r="K4" i="19" s="1"/>
  <c r="J2" i="19"/>
  <c r="K2" i="19" s="1"/>
</calcChain>
</file>

<file path=xl/sharedStrings.xml><?xml version="1.0" encoding="utf-8"?>
<sst xmlns="http://schemas.openxmlformats.org/spreadsheetml/2006/main" count="379" uniqueCount="108">
  <si>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</si>
  <si>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</si>
  <si>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</si>
  <si>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</si>
  <si>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</si>
  <si>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</si>
  <si>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</si>
  <si>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</si>
  <si>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</si>
  <si>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</si>
  <si>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</si>
  <si>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</si>
  <si>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</si>
  <si>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</si>
  <si>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</si>
  <si>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</si>
  <si>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</si>
  <si>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</si>
  <si>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</si>
  <si>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</si>
  <si>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</si>
  <si>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</si>
  <si>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</si>
  <si>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</si>
  <si>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</si>
  <si>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</si>
  <si>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</si>
  <si>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</si>
  <si>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</si>
  <si>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</si>
  <si>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</si>
  <si>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</si>
  <si>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</si>
  <si>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</si>
  <si>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</si>
  <si>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</si>
  <si>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</si>
  <si>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</si>
  <si>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</si>
  <si>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</si>
  <si>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</si>
  <si>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</si>
  <si>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</si>
  <si>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</si>
  <si>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</si>
  <si>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</si>
  <si>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</si>
  <si>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</si>
  <si>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</si>
  <si>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</si>
  <si>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</si>
  <si>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</si>
  <si>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</si>
  <si>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</si>
  <si>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</si>
  <si>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</si>
  <si>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</si>
  <si>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</si>
  <si>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</si>
  <si>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</si>
  <si>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</si>
  <si>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</si>
  <si>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</si>
  <si>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</si>
  <si>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</si>
  <si>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</si>
  <si>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</si>
  <si>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</si>
  <si>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</si>
  <si>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</si>
  <si>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</si>
  <si>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</si>
  <si>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</si>
  <si>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</si>
  <si>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</si>
  <si>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</si>
  <si>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</si>
  <si>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</si>
  <si>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</si>
  <si>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</si>
  <si>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</si>
  <si>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</si>
  <si>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Clara</t>
  </si>
  <si>
    <t>João</t>
  </si>
  <si>
    <t>Vendedor</t>
  </si>
  <si>
    <t>Sarah</t>
  </si>
  <si>
    <t>Data</t>
  </si>
  <si>
    <t>Estoque</t>
  </si>
  <si>
    <t>Situação</t>
  </si>
  <si>
    <t>TOTAL DE PRODUTOS</t>
  </si>
  <si>
    <t>PRODUTOS VENDIDOS</t>
  </si>
  <si>
    <t>TOTAL DE VENDAS</t>
  </si>
  <si>
    <t>VENDAS MENSAIS</t>
  </si>
  <si>
    <t>Vendas por Categorias</t>
  </si>
  <si>
    <t>Ranking Vendedores</t>
  </si>
  <si>
    <t>Vendedores</t>
  </si>
  <si>
    <t>total</t>
  </si>
  <si>
    <t>N_mes</t>
  </si>
  <si>
    <t>mês</t>
  </si>
  <si>
    <t>Jan</t>
  </si>
  <si>
    <t>Fev</t>
  </si>
  <si>
    <t>Mar</t>
  </si>
  <si>
    <t>Abr</t>
  </si>
  <si>
    <t>Mai</t>
  </si>
  <si>
    <t>Jun</t>
  </si>
  <si>
    <t>%Categoria</t>
  </si>
  <si>
    <t>%Restante</t>
  </si>
  <si>
    <t>Valor Unitário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</si>
</sst>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Montserrat"/>
    </font>
    <font>
      <b/>
      <sz val="11"/>
      <color theme="1"/>
      <name val="Montserrat"/>
    </font>
    <font>
      <sz val="11"/>
      <color theme="1"/>
      <name val="Montserrat"/>
    </font>
    <font>
      <b/>
      <sz val="36"/>
      <color theme="1"/>
      <name val="Montserrat"/>
    </font>
    <font>
      <u val="singleAccounting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5" borderId="0" applyNumberFormat="0" applyBorder="0" applyAlignment="0" applyProtection="0"/>
    <xf numFmtId="0" fontId="7" fillId="3" borderId="0" applyNumberFormat="0" applyBorder="0" applyAlignment="0" applyProtection="0">
      <alignment horizontal="center"/>
    </xf>
    <xf numFmtId="0" fontId="2" fillId="4" borderId="10" applyNumberFormat="0" applyBorder="0" applyAlignment="0" applyProtection="0">
      <alignment horizontal="center"/>
    </xf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2" fillId="4" borderId="1" xfId="0" applyFont="1" applyFill="1" applyBorder="1" applyAlignment="1">
      <alignment horizontal="center"/>
    </xf>
    <xf numFmtId="0" fontId="5" fillId="0" borderId="0" xfId="0" applyFont="1"/>
    <xf numFmtId="0" fontId="6" fillId="0" borderId="17" xfId="0" applyFont="1" applyBorder="1" applyAlignment="1">
      <alignment horizontal="center" vertical="center"/>
    </xf>
    <xf numFmtId="0" fontId="2" fillId="4" borderId="16" xfId="3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vertical="center"/>
    </xf>
    <xf numFmtId="164" fontId="14" fillId="0" borderId="0" xfId="0" applyNumberFormat="1" applyFont="1"/>
    <xf numFmtId="44" fontId="0" fillId="0" borderId="0" xfId="4" applyFont="1"/>
    <xf numFmtId="0" fontId="15" fillId="0" borderId="0" xfId="0" applyFont="1"/>
    <xf numFmtId="44" fontId="15" fillId="0" borderId="0" xfId="4" applyFont="1"/>
    <xf numFmtId="0" fontId="0" fillId="0" borderId="0" xfId="0" applyAlignment="1">
      <alignment horizontal="center" vertical="center"/>
    </xf>
    <xf numFmtId="44" fontId="0" fillId="0" borderId="0" xfId="4" applyFont="1" applyBorder="1"/>
    <xf numFmtId="0" fontId="15" fillId="0" borderId="18" xfId="0" applyFont="1" applyBorder="1"/>
    <xf numFmtId="0" fontId="15" fillId="0" borderId="19" xfId="0" applyFont="1" applyBorder="1"/>
    <xf numFmtId="0" fontId="15" fillId="0" borderId="20" xfId="0" applyFont="1" applyBorder="1"/>
    <xf numFmtId="0" fontId="0" fillId="0" borderId="21" xfId="0" applyBorder="1" applyAlignment="1">
      <alignment horizontal="center" vertical="center"/>
    </xf>
    <xf numFmtId="0" fontId="0" fillId="0" borderId="22" xfId="0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4" fontId="0" fillId="0" borderId="24" xfId="4" applyFont="1" applyBorder="1"/>
    <xf numFmtId="0" fontId="0" fillId="0" borderId="25" xfId="0" applyBorder="1"/>
    <xf numFmtId="9" fontId="15" fillId="0" borderId="0" xfId="5" applyFont="1"/>
    <xf numFmtId="9" fontId="0" fillId="0" borderId="0" xfId="5" applyFont="1"/>
    <xf numFmtId="0" fontId="1" fillId="3" borderId="0" xfId="0" applyFont="1" applyFill="1" applyAlignment="1">
      <alignment horizontal="center"/>
    </xf>
    <xf numFmtId="0" fontId="10" fillId="3" borderId="18" xfId="2" applyFont="1" applyBorder="1" applyAlignment="1">
      <alignment horizontal="center" vertical="center"/>
    </xf>
    <xf numFmtId="0" fontId="10" fillId="3" borderId="19" xfId="2" applyFont="1" applyBorder="1" applyAlignment="1">
      <alignment horizontal="center" vertical="center"/>
    </xf>
    <xf numFmtId="0" fontId="10" fillId="3" borderId="20" xfId="2" applyFont="1" applyBorder="1" applyAlignment="1">
      <alignment horizontal="center" vertical="center"/>
    </xf>
    <xf numFmtId="0" fontId="10" fillId="3" borderId="23" xfId="2" applyFont="1" applyBorder="1" applyAlignment="1">
      <alignment horizontal="center" vertical="center"/>
    </xf>
    <xf numFmtId="0" fontId="10" fillId="3" borderId="24" xfId="2" applyFont="1" applyBorder="1" applyAlignment="1">
      <alignment horizontal="center" vertical="center"/>
    </xf>
    <xf numFmtId="0" fontId="10" fillId="3" borderId="25" xfId="2" applyFont="1" applyBorder="1" applyAlignment="1">
      <alignment horizontal="center" vertic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1" fillId="3" borderId="18" xfId="2" applyFont="1" applyBorder="1" applyAlignment="1">
      <alignment horizontal="center" vertical="center"/>
    </xf>
    <xf numFmtId="0" fontId="11" fillId="3" borderId="19" xfId="2" applyFont="1" applyBorder="1" applyAlignment="1">
      <alignment horizontal="center" vertical="center"/>
    </xf>
    <xf numFmtId="0" fontId="11" fillId="3" borderId="20" xfId="2" applyFont="1" applyBorder="1" applyAlignment="1">
      <alignment horizontal="center" vertical="center"/>
    </xf>
    <xf numFmtId="0" fontId="11" fillId="3" borderId="23" xfId="2" applyFont="1" applyBorder="1" applyAlignment="1">
      <alignment horizontal="center" vertical="center"/>
    </xf>
    <xf numFmtId="0" fontId="11" fillId="3" borderId="24" xfId="2" applyFont="1" applyBorder="1" applyAlignment="1">
      <alignment horizontal="center" vertical="center"/>
    </xf>
    <xf numFmtId="0" fontId="11" fillId="3" borderId="25" xfId="2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164" fontId="13" fillId="0" borderId="18" xfId="4" applyNumberFormat="1" applyFont="1" applyBorder="1" applyAlignment="1">
      <alignment horizontal="center" vertical="center"/>
    </xf>
    <xf numFmtId="164" fontId="13" fillId="0" borderId="19" xfId="4" applyNumberFormat="1" applyFont="1" applyBorder="1" applyAlignment="1">
      <alignment horizontal="center" vertical="center"/>
    </xf>
    <xf numFmtId="164" fontId="13" fillId="0" borderId="20" xfId="4" applyNumberFormat="1" applyFont="1" applyBorder="1" applyAlignment="1">
      <alignment horizontal="center" vertical="center"/>
    </xf>
    <xf numFmtId="164" fontId="13" fillId="0" borderId="21" xfId="4" applyNumberFormat="1" applyFont="1" applyBorder="1" applyAlignment="1">
      <alignment horizontal="center" vertical="center"/>
    </xf>
    <xf numFmtId="164" fontId="13" fillId="0" borderId="0" xfId="4" applyNumberFormat="1" applyFont="1" applyBorder="1" applyAlignment="1">
      <alignment horizontal="center" vertical="center"/>
    </xf>
    <xf numFmtId="164" fontId="13" fillId="0" borderId="22" xfId="4" applyNumberFormat="1" applyFont="1" applyBorder="1" applyAlignment="1">
      <alignment horizontal="center" vertical="center"/>
    </xf>
    <xf numFmtId="164" fontId="13" fillId="0" borderId="23" xfId="4" applyNumberFormat="1" applyFont="1" applyBorder="1" applyAlignment="1">
      <alignment horizontal="center" vertical="center"/>
    </xf>
    <xf numFmtId="164" fontId="13" fillId="0" borderId="24" xfId="4" applyNumberFormat="1" applyFont="1" applyBorder="1" applyAlignment="1">
      <alignment horizontal="center" vertical="center"/>
    </xf>
    <xf numFmtId="164" fontId="13" fillId="0" borderId="25" xfId="4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13" xfId="2" applyBorder="1" applyAlignment="1">
      <alignment horizontal="center" vertical="center"/>
    </xf>
    <xf numFmtId="0" fontId="7" fillId="3" borderId="14" xfId="2" applyBorder="1" applyAlignment="1">
      <alignment horizontal="center" vertical="center"/>
    </xf>
    <xf numFmtId="0" fontId="7" fillId="3" borderId="15" xfId="2" applyBorder="1" applyAlignment="1">
      <alignment horizontal="center" vertical="center"/>
    </xf>
    <xf numFmtId="44" fontId="0" fillId="0" borderId="0" xfId="4" applyFont="1" applyAlignment="1">
      <alignment horizontal="center"/>
    </xf>
    <xf numFmtId="44" fontId="2" fillId="2" borderId="0" xfId="4" applyFont="1" applyFill="1" applyBorder="1" applyAlignment="1">
      <alignment horizontal="center"/>
    </xf>
  </cellXfs>
  <cellStyles count="6">
    <cellStyle name="Cabeçalho Meteora" xfId="3" xr:uid="{43DBFFA1-791E-423B-B2A6-377CC2810274}"/>
    <cellStyle name="Ênfase4" xfId="1" builtinId="41" customBuiltin="1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18">
    <dxf>
      <numFmt numFmtId="0" formatCode="General"/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CC"/>
      <color rgb="FFDAFF01"/>
      <color rgb="FFF87F46"/>
      <color rgb="FFEE6471"/>
      <color rgb="FF9353FF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microsoft.com/office/2017/06/relationships/rdRichValueStructure" Target="richData/rdrichvaluestructure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microsoft.com/office/2017/06/relationships/rdRichValueTypes" Target="richData/rdRichValueTypes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Relationship Id="rId14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 - AULA INICIAL.xlsx]Planilha3!Tabela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AFF0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Dados!$A$2:$A$4</c:f>
              <c:strCache>
                <c:ptCount val="3"/>
                <c:pt idx="0">
                  <c:v>Clara</c:v>
                </c:pt>
                <c:pt idx="1">
                  <c:v>João</c:v>
                </c:pt>
                <c:pt idx="2">
                  <c:v>Sarah</c:v>
                </c:pt>
              </c:strCache>
            </c:strRef>
          </c:cat>
          <c:val>
            <c:numRef>
              <c:f>Dados!$B$2:$B$4</c:f>
              <c:numCache>
                <c:formatCode>_("R$"* #,##0.00_);_("R$"* \(#,##0.00\);_("R$"* "-"??_);_(@_)</c:formatCode>
                <c:ptCount val="3"/>
                <c:pt idx="0">
                  <c:v>6780.4999999999991</c:v>
                </c:pt>
                <c:pt idx="1">
                  <c:v>5075.2</c:v>
                </c:pt>
                <c:pt idx="2">
                  <c:v>5881.7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6-4182-AA30-FF5962E54D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20238032"/>
        <c:axId val="1511962528"/>
      </c:barChart>
      <c:catAx>
        <c:axId val="152023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1962528"/>
        <c:crosses val="autoZero"/>
        <c:auto val="1"/>
        <c:lblAlgn val="ctr"/>
        <c:lblOffset val="100"/>
        <c:noMultiLvlLbl val="0"/>
      </c:catAx>
      <c:valAx>
        <c:axId val="151196252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2023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 w="19050">
              <a:solidFill>
                <a:schemeClr val="tx1"/>
              </a:solidFill>
            </a:ln>
            <a:effectLst>
              <a:innerShdw blurRad="63500" dist="50800">
                <a:prstClr val="black">
                  <a:alpha val="50000"/>
                </a:prst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Dados!$F$2:$F$7</c:f>
              <c:numCache>
                <c:formatCode>_("R$"* #,##0.00_);_("R$"* \(#,##0.00\);_("R$"* "-"??_);_(@_)</c:formatCode>
                <c:ptCount val="6"/>
                <c:pt idx="0">
                  <c:v>2241.4</c:v>
                </c:pt>
                <c:pt idx="1">
                  <c:v>2595.6999999999998</c:v>
                </c:pt>
                <c:pt idx="2">
                  <c:v>3443.6</c:v>
                </c:pt>
                <c:pt idx="3">
                  <c:v>4054.6</c:v>
                </c:pt>
                <c:pt idx="4">
                  <c:v>1919.1</c:v>
                </c:pt>
                <c:pt idx="5">
                  <c:v>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0-4615-BF6A-503110567C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7462112"/>
        <c:axId val="1657461152"/>
      </c:bar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Dados!$G$2:$G$7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0-4615-BF6A-503110567C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488080"/>
        <c:axId val="608490960"/>
      </c:lineChart>
      <c:catAx>
        <c:axId val="16574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461152"/>
        <c:crosses val="autoZero"/>
        <c:auto val="1"/>
        <c:lblAlgn val="ctr"/>
        <c:lblOffset val="100"/>
        <c:noMultiLvlLbl val="0"/>
      </c:catAx>
      <c:valAx>
        <c:axId val="1657461152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462112"/>
        <c:crosses val="autoZero"/>
        <c:crossBetween val="between"/>
      </c:valAx>
      <c:valAx>
        <c:axId val="608490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accent2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488080"/>
        <c:crosses val="max"/>
        <c:crossBetween val="between"/>
      </c:valAx>
      <c:catAx>
        <c:axId val="60848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490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2253493275745719"/>
          <c:y val="1.6949160082370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1654130535677518"/>
          <c:y val="0.16835364934100688"/>
          <c:w val="0.57476286224707163"/>
          <c:h val="0.75255027027459853"/>
        </c:manualLayout>
      </c:layout>
      <c:doughnutChart>
        <c:varyColors val="1"/>
        <c:ser>
          <c:idx val="0"/>
          <c:order val="0"/>
          <c:tx>
            <c:strRef>
              <c:f>Dados!$I$2</c:f>
              <c:strCache>
                <c:ptCount val="1"/>
                <c:pt idx="0">
                  <c:v>Acessórios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DAFF01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AF-4388-A551-A4D7902948AC}"/>
              </c:ext>
            </c:extLst>
          </c:dPt>
          <c:dPt>
            <c:idx val="1"/>
            <c:bubble3D val="0"/>
            <c:spPr>
              <a:solidFill>
                <a:srgbClr val="CCCCCC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AF-4388-A551-A4D7902948AC}"/>
              </c:ext>
            </c:extLst>
          </c:dPt>
          <c:dLbls>
            <c:dLbl>
              <c:idx val="0"/>
              <c:layout>
                <c:manualLayout>
                  <c:x val="-0.10019719858413863"/>
                  <c:y val="0.24239856861896375"/>
                </c:manualLayout>
              </c:layout>
              <c:tx>
                <c:rich>
                  <a:bodyPr rot="0" spcFirstLastPara="1" vertOverflow="ellipsis" vert="horz" wrap="non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5F7FBF2E-F036-4FFE-A2EB-816D9D964FE8}" type="PERCENTAGE">
                      <a:rPr lang="en-US" sz="1800">
                        <a:solidFill>
                          <a:sysClr val="windowText" lastClr="000000"/>
                        </a:solidFill>
                        <a:effectLst/>
                      </a:rPr>
                      <a:pPr>
                        <a:defRPr sz="1000" b="1" i="0" u="none" strike="noStrike" kern="1200" baseline="0">
                          <a:solidFill>
                            <a:sysClr val="windowText" lastClr="000000"/>
                          </a:solidFill>
                          <a:effectLst/>
                          <a:latin typeface="+mn-lt"/>
                          <a:ea typeface="+mn-ea"/>
                          <a:cs typeface="+mn-cs"/>
                        </a:defRPr>
                      </a:pPr>
                      <a:t>[PORCENTAGEM]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6282609626308003"/>
                      <c:h val="0.165078591164460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FAF-4388-A551-A4D7902948A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AF-4388-A551-A4D7902948AC}"/>
                </c:ext>
              </c:extLst>
            </c:dLbl>
            <c:spPr>
              <a:solidFill>
                <a:srgbClr val="CCCCCC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Dados!$J$2:$K$2</c:f>
              <c:numCache>
                <c:formatCode>0%</c:formatCode>
                <c:ptCount val="2"/>
                <c:pt idx="0">
                  <c:v>0.14733839232356488</c:v>
                </c:pt>
                <c:pt idx="1">
                  <c:v>0.85266160767643506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AF-4388-A551-A4D7902948A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4682453014541053"/>
          <c:y val="2.2695035460992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740693909611661"/>
          <c:y val="0.21240185402356618"/>
          <c:w val="0.63781290112458566"/>
          <c:h val="0.74366270173675086"/>
        </c:manualLayout>
      </c:layout>
      <c:doughnutChart>
        <c:varyColors val="1"/>
        <c:ser>
          <c:idx val="0"/>
          <c:order val="0"/>
          <c:tx>
            <c:strRef>
              <c:f>Dados!$I$3</c:f>
              <c:strCache>
                <c:ptCount val="1"/>
                <c:pt idx="0">
                  <c:v>Calçado</c:v>
                </c:pt>
              </c:strCache>
            </c:strRef>
          </c:tx>
          <c:spPr>
            <a:solidFill>
              <a:srgbClr val="CCCCCC"/>
            </a:solidFill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DAFF01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F2-4214-A05A-CC12F559750B}"/>
              </c:ext>
            </c:extLst>
          </c:dPt>
          <c:dPt>
            <c:idx val="1"/>
            <c:bubble3D val="0"/>
            <c:spPr>
              <a:solidFill>
                <a:srgbClr val="CCCCCC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F2-4214-A05A-CC12F559750B}"/>
              </c:ext>
            </c:extLst>
          </c:dPt>
          <c:dLbls>
            <c:dLbl>
              <c:idx val="0"/>
              <c:layout>
                <c:manualLayout>
                  <c:x val="-0.20437956204379554"/>
                  <c:y val="0.14184397163120568"/>
                </c:manualLayout>
              </c:layout>
              <c:tx>
                <c:rich>
                  <a:bodyPr rot="0" spcFirstLastPara="1" vertOverflow="ellipsis" vert="horz" wrap="non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4136421C-0CF3-4575-ACBD-487081A2A3E9}" type="PERCENTAGE">
                      <a:rPr lang="en-US" sz="1800">
                        <a:solidFill>
                          <a:schemeClr val="dk1"/>
                        </a:solidFill>
                        <a:effectLst/>
                      </a:rPr>
                      <a:pPr>
                        <a:defRPr sz="1600" b="1" i="0" u="none" strike="noStrike" kern="1200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defRPr>
                      </a:pPr>
                      <a:t>[PORCENTAGEM]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9F2-4214-A05A-CC12F559750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F2-4214-A05A-CC12F55975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Dados!$J$3:$K$3</c:f>
              <c:numCache>
                <c:formatCode>0%</c:formatCode>
                <c:ptCount val="2"/>
                <c:pt idx="0">
                  <c:v>0.32123648336283778</c:v>
                </c:pt>
                <c:pt idx="1">
                  <c:v>0.67876351663716217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F2-4214-A05A-CC12F559750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4001348789734613"/>
          <c:y val="2.0767467357719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1446631671041119"/>
          <c:y val="0.17996301095274483"/>
          <c:w val="0.59486548556430441"/>
          <c:h val="0.7228745141034586"/>
        </c:manualLayout>
      </c:layout>
      <c:doughnutChart>
        <c:varyColors val="1"/>
        <c:ser>
          <c:idx val="0"/>
          <c:order val="0"/>
          <c:tx>
            <c:strRef>
              <c:f>Dados!$I$4</c:f>
              <c:strCache>
                <c:ptCount val="1"/>
                <c:pt idx="0">
                  <c:v>Vestuário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DAFF01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69-4C09-93E5-273A00EE5F71}"/>
              </c:ext>
            </c:extLst>
          </c:dPt>
          <c:dPt>
            <c:idx val="1"/>
            <c:bubble3D val="0"/>
            <c:spPr>
              <a:solidFill>
                <a:srgbClr val="CCCCCC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69-4C09-93E5-273A00EE5F71}"/>
              </c:ext>
            </c:extLst>
          </c:dPt>
          <c:dLbls>
            <c:dLbl>
              <c:idx val="0"/>
              <c:layout>
                <c:manualLayout>
                  <c:x val="-0.21840040828229804"/>
                  <c:y val="-3.3755274261603477E-2"/>
                </c:manualLayout>
              </c:layout>
              <c:tx>
                <c:rich>
                  <a:bodyPr rot="0" spcFirstLastPara="1" vertOverflow="ellipsis" vert="horz" wrap="none" lIns="38100" tIns="19050" rIns="38100" bIns="25200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0987354-5DC4-4C49-B007-7BD651A8A8CE}" type="PERCENTAGE">
                      <a:rPr lang="en-US" sz="1800"/>
                      <a:pPr>
                        <a:defRPr sz="16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[PORCENTAGEM]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634718576844561"/>
                      <c:h val="0.1313842098851567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069-4C09-93E5-273A00EE5F7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69-4C09-93E5-273A00EE5F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25200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val>
            <c:numRef>
              <c:f>Dados!$J$4:$K$4</c:f>
              <c:numCache>
                <c:formatCode>0%</c:formatCode>
                <c:ptCount val="2"/>
                <c:pt idx="0">
                  <c:v>0.53142512431359734</c:v>
                </c:pt>
                <c:pt idx="1">
                  <c:v>0.46857487568640266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C09-93E5-273A00EE5F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</xdr:row>
      <xdr:rowOff>9525</xdr:rowOff>
    </xdr:from>
    <xdr:to>
      <xdr:col>20</xdr:col>
      <xdr:colOff>19050</xdr:colOff>
      <xdr:row>5</xdr:row>
      <xdr:rowOff>133351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E879426-9892-9DF2-98BA-D83BE1E40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581025"/>
          <a:ext cx="4324350" cy="504826"/>
        </a:xfrm>
        <a:prstGeom prst="rect">
          <a:avLst/>
        </a:prstGeom>
      </xdr:spPr>
    </xdr:pic>
    <xdr:clientData/>
  </xdr:twoCellAnchor>
  <xdr:twoCellAnchor>
    <xdr:from>
      <xdr:col>43</xdr:col>
      <xdr:colOff>9525</xdr:colOff>
      <xdr:row>28</xdr:row>
      <xdr:rowOff>9524</xdr:rowOff>
    </xdr:from>
    <xdr:to>
      <xdr:col>80</xdr:col>
      <xdr:colOff>200025</xdr:colOff>
      <xdr:row>39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7184DE-94C5-846C-8C3C-38C3EBCFE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9526</xdr:colOff>
      <xdr:row>11</xdr:row>
      <xdr:rowOff>19051</xdr:rowOff>
    </xdr:from>
    <xdr:to>
      <xdr:col>80</xdr:col>
      <xdr:colOff>200026</xdr:colOff>
      <xdr:row>24</xdr:row>
      <xdr:rowOff>171451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FFA27F-3A77-30DF-16D6-2ACEFD052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9524</xdr:colOff>
      <xdr:row>28</xdr:row>
      <xdr:rowOff>19050</xdr:rowOff>
    </xdr:from>
    <xdr:to>
      <xdr:col>15</xdr:col>
      <xdr:colOff>104775</xdr:colOff>
      <xdr:row>39</xdr:row>
      <xdr:rowOff>171449</xdr:rowOff>
    </xdr:to>
    <xdr:graphicFrame macro="">
      <xdr:nvGraphicFramePr>
        <xdr:cNvPr id="6" name="Gráfico 4">
          <a:extLst>
            <a:ext uri="{FF2B5EF4-FFF2-40B4-BE49-F238E27FC236}">
              <a16:creationId xmlns:a16="http://schemas.microsoft.com/office/drawing/2014/main" id="{1233AD8D-7E2D-3590-1363-CBA3A1C6C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95251</xdr:colOff>
      <xdr:row>28</xdr:row>
      <xdr:rowOff>19050</xdr:rowOff>
    </xdr:from>
    <xdr:to>
      <xdr:col>27</xdr:col>
      <xdr:colOff>76201</xdr:colOff>
      <xdr:row>39</xdr:row>
      <xdr:rowOff>161925</xdr:rowOff>
    </xdr:to>
    <xdr:graphicFrame macro="">
      <xdr:nvGraphicFramePr>
        <xdr:cNvPr id="7" name="Gráfico 5">
          <a:extLst>
            <a:ext uri="{FF2B5EF4-FFF2-40B4-BE49-F238E27FC236}">
              <a16:creationId xmlns:a16="http://schemas.microsoft.com/office/drawing/2014/main" id="{1C7BF013-5BA0-7EB6-E771-EF5A0E4C0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85725</xdr:colOff>
      <xdr:row>28</xdr:row>
      <xdr:rowOff>9525</xdr:rowOff>
    </xdr:from>
    <xdr:to>
      <xdr:col>39</xdr:col>
      <xdr:colOff>200025</xdr:colOff>
      <xdr:row>39</xdr:row>
      <xdr:rowOff>171450</xdr:rowOff>
    </xdr:to>
    <xdr:graphicFrame macro="">
      <xdr:nvGraphicFramePr>
        <xdr:cNvPr id="8" name="Gráfico 6">
          <a:extLst>
            <a:ext uri="{FF2B5EF4-FFF2-40B4-BE49-F238E27FC236}">
              <a16:creationId xmlns:a16="http://schemas.microsoft.com/office/drawing/2014/main" id="{3CE77D46-0E69-B06B-A276-0285BF615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H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G42" totalsRowShown="0" headerRowDxfId="17">
  <autoFilter ref="A3:G42" xr:uid="{40AC111B-A369-4C0B-9503-7C5B9442DAEA}"/>
  <tableColumns count="7">
    <tableColumn id="1" xr3:uid="{2F8ED5FF-48A1-488E-9DF1-FE060F71A415}" name="Código"/>
    <tableColumn id="2" xr3:uid="{E100D4E2-C3A0-43FF-A1D9-90A4BC2A9918}" name="Produtos"/>
    <tableColumn id="3" xr3:uid="{2EF7FEE0-6B6F-4534-86A0-46B6555B7BEF}" name="Tamanho" dataDxfId="16"/>
    <tableColumn id="4" xr3:uid="{4435A4B8-E7F0-4D66-A4F8-6A9FEAA36D5A}" name="Categoria"/>
    <tableColumn id="6" xr3:uid="{15F9CACC-A558-4A20-80CF-C2ADA2603221}" name="Estoque" dataDxfId="15"/>
    <tableColumn id="7" xr3:uid="{47341692-C6E3-4D07-A99B-C56805CF57DF}" name="Situação" dataDxfId="14">
      <calculatedColumnFormula>TB_Produtos[[#This Row],[Estoque]]</calculatedColumnFormula>
    </tableColumn>
    <tableColumn id="5" xr3:uid="{CA8AD0DE-58EC-4839-85FB-1DD75DA28087}" name="Preço Unitário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I61" totalsRowShown="0" headerRowDxfId="12" dataDxfId="11" headerRowCellStyle="Cabeçalho Meteora">
  <autoFilter ref="A2:I61" xr:uid="{AD739091-30BD-4C30-BDDA-7504C0C4B6E2}"/>
  <tableColumns count="9">
    <tableColumn id="7" xr3:uid="{5E8DE7C3-CDB6-4314-A5CC-C44D3C21973F}" name="Mês" dataDxfId="10">
      <calculatedColumnFormula>MONTH(TB_Vendas[[#This Row],[Data]])</calculatedColumnFormula>
    </tableColumn>
    <tableColumn id="1" xr3:uid="{43632F1F-6978-4CE7-BB13-7CCE587D6821}" name="Data" dataDxfId="9"/>
    <tableColumn id="2" xr3:uid="{49DF5362-33BE-4541-BD47-0B512249381E}" name="Código" dataDxfId="8"/>
    <tableColumn id="3" xr3:uid="{B3C718A1-FEFF-4C65-9CA1-DF94EF755918}" name="Tamanho" dataDxfId="0">
      <calculatedColumnFormula>LOOKUP(C3,TB_Produtos[Código],TB_Produtos[Tamanho])</calculatedColumnFormula>
    </tableColumn>
    <tableColumn id="4" xr3:uid="{1F3EAF93-84E7-4086-BE54-3AB7D71B21A8}" name="Categoria" dataDxfId="7">
      <calculatedColumnFormula>LOOKUP(TB_Vendas[Código],TB_Produtos[Código],TB_Produtos[Categoria])</calculatedColumnFormula>
    </tableColumn>
    <tableColumn id="5" xr3:uid="{7DC2ADED-AF8A-4BC8-A38E-FEF676FE49C9}" name="Qtd" dataDxfId="6"/>
    <tableColumn id="9" xr3:uid="{014F2A03-A99F-4FB9-A519-23CACB02F979}" name="Valor Unitário" dataDxfId="2" dataCellStyle="Moeda">
      <calculatedColumnFormula>LOOKUP(TB_Vendas[[#This Row],[Código]],TB_Produtos[Código],TB_Produtos[Preço Unitário])</calculatedColumnFormula>
    </tableColumn>
    <tableColumn id="6" xr3:uid="{9459B662-6A4F-4486-82B1-12F67B8F842E}" name="Total" dataDxfId="1">
      <calculatedColumnFormula>F3*G3</calculatedColumnFormula>
    </tableColumn>
    <tableColumn id="8" xr3:uid="{192FEBCA-1287-48A6-9BE6-69528F71C305}" name="Vendedor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5" x14ac:dyDescent="0.25"/>
  <cols>
    <col min="1" max="1" width="19.42578125" bestFit="1" customWidth="1"/>
    <col min="2" max="2" width="12.28515625" bestFit="1" customWidth="1"/>
  </cols>
  <sheetData>
    <row r="3" spans="1:2" x14ac:dyDescent="0.25">
      <c r="A3" s="21" t="s">
        <v>0</v>
      </c>
      <c r="B3" t="s">
        <v>19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21</v>
      </c>
      <c r="B8">
        <v>22</v>
      </c>
    </row>
    <row r="9" spans="1:2" x14ac:dyDescent="0.25">
      <c r="A9" t="s">
        <v>22</v>
      </c>
      <c r="B9">
        <v>28</v>
      </c>
    </row>
    <row r="10" spans="1:2" x14ac:dyDescent="0.25">
      <c r="A10" t="s">
        <v>23</v>
      </c>
      <c r="B10">
        <v>3</v>
      </c>
    </row>
    <row r="11" spans="1:2" x14ac:dyDescent="0.25">
      <c r="A11" t="s">
        <v>24</v>
      </c>
      <c r="B11">
        <v>2</v>
      </c>
    </row>
    <row r="12" spans="1:2" x14ac:dyDescent="0.25">
      <c r="A12" t="s">
        <v>25</v>
      </c>
      <c r="B12">
        <v>4</v>
      </c>
    </row>
    <row r="13" spans="1:2" x14ac:dyDescent="0.25">
      <c r="A13" t="s">
        <v>26</v>
      </c>
      <c r="B13">
        <v>4</v>
      </c>
    </row>
    <row r="14" spans="1:2" x14ac:dyDescent="0.25">
      <c r="A14" t="s">
        <v>27</v>
      </c>
      <c r="B14">
        <v>19</v>
      </c>
    </row>
    <row r="15" spans="1:2" x14ac:dyDescent="0.25">
      <c r="A15" t="s">
        <v>28</v>
      </c>
      <c r="B15">
        <v>6</v>
      </c>
    </row>
    <row r="16" spans="1:2" x14ac:dyDescent="0.25">
      <c r="A16" t="s">
        <v>29</v>
      </c>
      <c r="B16">
        <v>7</v>
      </c>
    </row>
    <row r="17" spans="1:2" x14ac:dyDescent="0.25">
      <c r="A17" t="s">
        <v>30</v>
      </c>
      <c r="B17">
        <v>10</v>
      </c>
    </row>
    <row r="18" spans="1:2" x14ac:dyDescent="0.25">
      <c r="A18" t="s">
        <v>31</v>
      </c>
      <c r="B18">
        <v>1</v>
      </c>
    </row>
    <row r="19" spans="1:2" x14ac:dyDescent="0.25">
      <c r="A19" t="s">
        <v>32</v>
      </c>
      <c r="B19">
        <v>9</v>
      </c>
    </row>
    <row r="20" spans="1:2" x14ac:dyDescent="0.25">
      <c r="A20" t="s">
        <v>33</v>
      </c>
      <c r="B20">
        <v>1</v>
      </c>
    </row>
    <row r="21" spans="1:2" x14ac:dyDescent="0.25">
      <c r="A21" t="s">
        <v>34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G42"/>
  <sheetViews>
    <sheetView zoomScale="150" zoomScaleNormal="1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5" x14ac:dyDescent="0.25"/>
  <cols>
    <col min="1" max="1" width="13.5703125" bestFit="1" customWidth="1"/>
    <col min="2" max="2" width="15.5703125" customWidth="1"/>
    <col min="3" max="3" width="16.140625" style="1" bestFit="1" customWidth="1"/>
    <col min="4" max="4" width="16.7109375" bestFit="1" customWidth="1"/>
    <col min="5" max="5" width="15" bestFit="1" customWidth="1"/>
    <col min="6" max="6" width="15.42578125" bestFit="1" customWidth="1"/>
    <col min="7" max="7" width="21.7109375" customWidth="1"/>
  </cols>
  <sheetData>
    <row r="1" spans="1:7" ht="21" x14ac:dyDescent="0.35">
      <c r="A1" s="52" t="s">
        <v>15</v>
      </c>
      <c r="B1" s="52"/>
      <c r="C1" s="52"/>
      <c r="D1" s="52"/>
      <c r="E1" s="52"/>
      <c r="F1" s="52"/>
      <c r="G1" s="52"/>
    </row>
    <row r="2" spans="1:7" ht="4.5" customHeight="1" x14ac:dyDescent="0.35">
      <c r="A2" s="2"/>
      <c r="B2" s="2"/>
      <c r="C2" s="2"/>
      <c r="D2" s="2"/>
      <c r="E2" s="2"/>
      <c r="F2" s="2"/>
      <c r="G2" s="2"/>
    </row>
    <row r="3" spans="1:7" s="1" customFormat="1" ht="18.75" x14ac:dyDescent="0.3">
      <c r="A3" s="27" t="s">
        <v>41</v>
      </c>
      <c r="B3" s="27" t="s">
        <v>0</v>
      </c>
      <c r="C3" s="27" t="s">
        <v>1</v>
      </c>
      <c r="D3" s="27" t="s">
        <v>10</v>
      </c>
      <c r="E3" s="27" t="s">
        <v>87</v>
      </c>
      <c r="F3" s="27" t="s">
        <v>88</v>
      </c>
      <c r="G3" s="27" t="s">
        <v>11</v>
      </c>
    </row>
    <row r="4" spans="1:7" x14ac:dyDescent="0.25">
      <c r="A4" t="s">
        <v>43</v>
      </c>
      <c r="B4" t="s">
        <v>5</v>
      </c>
      <c r="C4" s="1" t="s">
        <v>2</v>
      </c>
      <c r="D4" t="s">
        <v>12</v>
      </c>
      <c r="E4" s="1">
        <v>12</v>
      </c>
      <c r="F4" s="1">
        <f>TB_Produtos[[#This Row],[Estoque]]</f>
        <v>12</v>
      </c>
      <c r="G4" s="28">
        <v>65.900000000000006</v>
      </c>
    </row>
    <row r="5" spans="1:7" x14ac:dyDescent="0.25">
      <c r="A5" t="s">
        <v>44</v>
      </c>
      <c r="B5" t="s">
        <v>5</v>
      </c>
      <c r="C5" s="1" t="s">
        <v>3</v>
      </c>
      <c r="D5" t="s">
        <v>12</v>
      </c>
      <c r="E5" s="1">
        <v>15</v>
      </c>
      <c r="F5" s="1">
        <f>TB_Produtos[[#This Row],[Estoque]]</f>
        <v>15</v>
      </c>
      <c r="G5" s="28">
        <v>69.900000000000006</v>
      </c>
    </row>
    <row r="6" spans="1:7" x14ac:dyDescent="0.25">
      <c r="A6" t="s">
        <v>45</v>
      </c>
      <c r="B6" t="s">
        <v>5</v>
      </c>
      <c r="C6" s="1" t="s">
        <v>4</v>
      </c>
      <c r="D6" t="s">
        <v>12</v>
      </c>
      <c r="E6" s="1">
        <v>5</v>
      </c>
      <c r="F6" s="1">
        <f>TB_Produtos[[#This Row],[Estoque]]</f>
        <v>5</v>
      </c>
      <c r="G6" s="28">
        <v>70.900000000000006</v>
      </c>
    </row>
    <row r="7" spans="1:7" x14ac:dyDescent="0.25">
      <c r="A7" t="s">
        <v>46</v>
      </c>
      <c r="B7" t="s">
        <v>34</v>
      </c>
      <c r="C7" s="1" t="s">
        <v>8</v>
      </c>
      <c r="D7" t="s">
        <v>13</v>
      </c>
      <c r="E7" s="1">
        <v>2</v>
      </c>
      <c r="F7" s="1">
        <f>TB_Produtos[[#This Row],[Estoque]]</f>
        <v>2</v>
      </c>
      <c r="G7" s="28">
        <v>145</v>
      </c>
    </row>
    <row r="8" spans="1:7" x14ac:dyDescent="0.25">
      <c r="A8" t="s">
        <v>47</v>
      </c>
      <c r="B8" t="s">
        <v>33</v>
      </c>
      <c r="C8" s="1" t="s">
        <v>8</v>
      </c>
      <c r="D8" t="s">
        <v>13</v>
      </c>
      <c r="E8" s="1">
        <v>1</v>
      </c>
      <c r="F8" s="1">
        <f>TB_Produtos[[#This Row],[Estoque]]</f>
        <v>1</v>
      </c>
      <c r="G8" s="28">
        <v>259.89999999999998</v>
      </c>
    </row>
    <row r="9" spans="1:7" x14ac:dyDescent="0.25">
      <c r="A9" t="s">
        <v>48</v>
      </c>
      <c r="B9" t="s">
        <v>6</v>
      </c>
      <c r="C9" s="1" t="s">
        <v>8</v>
      </c>
      <c r="D9" t="s">
        <v>13</v>
      </c>
      <c r="E9" s="1">
        <v>11</v>
      </c>
      <c r="F9" s="1">
        <f>TB_Produtos[[#This Row],[Estoque]]</f>
        <v>11</v>
      </c>
      <c r="G9" s="28">
        <v>39.9</v>
      </c>
    </row>
    <row r="10" spans="1:7" x14ac:dyDescent="0.25">
      <c r="A10" t="s">
        <v>49</v>
      </c>
      <c r="B10" t="s">
        <v>27</v>
      </c>
      <c r="C10" s="1" t="s">
        <v>2</v>
      </c>
      <c r="D10" t="s">
        <v>12</v>
      </c>
      <c r="E10" s="1">
        <v>6</v>
      </c>
      <c r="F10" s="1">
        <f>TB_Produtos[[#This Row],[Estoque]]</f>
        <v>6</v>
      </c>
      <c r="G10" s="28">
        <v>85.9</v>
      </c>
    </row>
    <row r="11" spans="1:7" x14ac:dyDescent="0.25">
      <c r="A11" t="s">
        <v>50</v>
      </c>
      <c r="B11" t="s">
        <v>27</v>
      </c>
      <c r="C11" s="1" t="s">
        <v>3</v>
      </c>
      <c r="D11" t="s">
        <v>12</v>
      </c>
      <c r="E11" s="1">
        <v>5</v>
      </c>
      <c r="F11" s="1">
        <f>TB_Produtos[[#This Row],[Estoque]]</f>
        <v>5</v>
      </c>
      <c r="G11" s="28">
        <v>89.9</v>
      </c>
    </row>
    <row r="12" spans="1:7" x14ac:dyDescent="0.25">
      <c r="A12" t="s">
        <v>51</v>
      </c>
      <c r="B12" t="s">
        <v>27</v>
      </c>
      <c r="C12" s="1" t="s">
        <v>4</v>
      </c>
      <c r="D12" t="s">
        <v>12</v>
      </c>
      <c r="E12" s="1">
        <v>8</v>
      </c>
      <c r="F12" s="1">
        <f>TB_Produtos[[#This Row],[Estoque]]</f>
        <v>8</v>
      </c>
      <c r="G12" s="28">
        <v>92.9</v>
      </c>
    </row>
    <row r="13" spans="1:7" x14ac:dyDescent="0.25">
      <c r="A13" t="s">
        <v>52</v>
      </c>
      <c r="B13" t="s">
        <v>30</v>
      </c>
      <c r="C13" s="1" t="s">
        <v>2</v>
      </c>
      <c r="D13" t="s">
        <v>12</v>
      </c>
      <c r="E13" s="1">
        <v>2</v>
      </c>
      <c r="F13" s="1">
        <f>TB_Produtos[[#This Row],[Estoque]]</f>
        <v>2</v>
      </c>
      <c r="G13" s="28">
        <v>44.9</v>
      </c>
    </row>
    <row r="14" spans="1:7" x14ac:dyDescent="0.25">
      <c r="A14" t="s">
        <v>53</v>
      </c>
      <c r="B14" t="s">
        <v>30</v>
      </c>
      <c r="C14" s="1" t="s">
        <v>3</v>
      </c>
      <c r="D14" t="s">
        <v>12</v>
      </c>
      <c r="E14" s="1">
        <v>3</v>
      </c>
      <c r="F14" s="1">
        <f>TB_Produtos[[#This Row],[Estoque]]</f>
        <v>3</v>
      </c>
      <c r="G14" s="28">
        <v>46.9</v>
      </c>
    </row>
    <row r="15" spans="1:7" x14ac:dyDescent="0.25">
      <c r="A15" t="s">
        <v>54</v>
      </c>
      <c r="B15" t="s">
        <v>30</v>
      </c>
      <c r="C15" s="1" t="s">
        <v>4</v>
      </c>
      <c r="D15" t="s">
        <v>12</v>
      </c>
      <c r="E15" s="1">
        <v>5</v>
      </c>
      <c r="F15" s="1">
        <f>TB_Produtos[[#This Row],[Estoque]]</f>
        <v>5</v>
      </c>
      <c r="G15" s="28">
        <v>48.9</v>
      </c>
    </row>
    <row r="16" spans="1:7" x14ac:dyDescent="0.25">
      <c r="A16" t="s">
        <v>55</v>
      </c>
      <c r="B16" t="s">
        <v>22</v>
      </c>
      <c r="C16" s="1" t="s">
        <v>2</v>
      </c>
      <c r="D16" t="s">
        <v>12</v>
      </c>
      <c r="E16" s="1">
        <v>6</v>
      </c>
      <c r="F16" s="1">
        <f>TB_Produtos[[#This Row],[Estoque]]</f>
        <v>6</v>
      </c>
      <c r="G16" s="28">
        <v>39.9</v>
      </c>
    </row>
    <row r="17" spans="1:7" x14ac:dyDescent="0.25">
      <c r="A17" t="s">
        <v>56</v>
      </c>
      <c r="B17" t="s">
        <v>22</v>
      </c>
      <c r="C17" s="1" t="s">
        <v>3</v>
      </c>
      <c r="D17" t="s">
        <v>12</v>
      </c>
      <c r="E17" s="1">
        <v>10</v>
      </c>
      <c r="F17" s="1">
        <f>TB_Produtos[[#This Row],[Estoque]]</f>
        <v>10</v>
      </c>
      <c r="G17" s="28">
        <v>39.9</v>
      </c>
    </row>
    <row r="18" spans="1:7" x14ac:dyDescent="0.25">
      <c r="A18" t="s">
        <v>57</v>
      </c>
      <c r="B18" t="s">
        <v>22</v>
      </c>
      <c r="C18" s="1" t="s">
        <v>4</v>
      </c>
      <c r="D18" t="s">
        <v>12</v>
      </c>
      <c r="E18" s="1">
        <v>12</v>
      </c>
      <c r="F18" s="1">
        <f>TB_Produtos[[#This Row],[Estoque]]</f>
        <v>12</v>
      </c>
      <c r="G18" s="28">
        <v>42.5</v>
      </c>
    </row>
    <row r="19" spans="1:7" x14ac:dyDescent="0.25">
      <c r="A19" t="s">
        <v>58</v>
      </c>
      <c r="B19" t="s">
        <v>9</v>
      </c>
      <c r="C19" s="1" t="s">
        <v>2</v>
      </c>
      <c r="D19" t="s">
        <v>12</v>
      </c>
      <c r="E19" s="1">
        <v>6</v>
      </c>
      <c r="F19" s="1">
        <f>TB_Produtos[[#This Row],[Estoque]]</f>
        <v>6</v>
      </c>
      <c r="G19" s="28">
        <v>25.9</v>
      </c>
    </row>
    <row r="20" spans="1:7" x14ac:dyDescent="0.25">
      <c r="A20" t="s">
        <v>59</v>
      </c>
      <c r="B20" t="s">
        <v>21</v>
      </c>
      <c r="C20" s="1" t="s">
        <v>3</v>
      </c>
      <c r="D20" t="s">
        <v>12</v>
      </c>
      <c r="E20" s="1">
        <v>10</v>
      </c>
      <c r="F20" s="1">
        <f>TB_Produtos[[#This Row],[Estoque]]</f>
        <v>10</v>
      </c>
      <c r="G20" s="28">
        <v>29.9</v>
      </c>
    </row>
    <row r="21" spans="1:7" x14ac:dyDescent="0.25">
      <c r="A21" t="s">
        <v>60</v>
      </c>
      <c r="B21" t="s">
        <v>21</v>
      </c>
      <c r="C21" s="1" t="s">
        <v>4</v>
      </c>
      <c r="D21" t="s">
        <v>12</v>
      </c>
      <c r="E21" s="1">
        <v>12</v>
      </c>
      <c r="F21" s="1">
        <f>TB_Produtos[[#This Row],[Estoque]]</f>
        <v>12</v>
      </c>
      <c r="G21" s="28">
        <v>32.9</v>
      </c>
    </row>
    <row r="22" spans="1:7" x14ac:dyDescent="0.25">
      <c r="A22" t="s">
        <v>61</v>
      </c>
      <c r="B22" t="s">
        <v>7</v>
      </c>
      <c r="C22" s="1" t="s">
        <v>8</v>
      </c>
      <c r="D22" t="s">
        <v>13</v>
      </c>
      <c r="E22" s="1">
        <v>21</v>
      </c>
      <c r="F22" s="1">
        <f>TB_Produtos[[#This Row],[Estoque]]</f>
        <v>21</v>
      </c>
      <c r="G22" s="28">
        <v>49.9</v>
      </c>
    </row>
    <row r="23" spans="1:7" x14ac:dyDescent="0.25">
      <c r="A23" t="s">
        <v>62</v>
      </c>
      <c r="B23" t="s">
        <v>26</v>
      </c>
      <c r="C23" s="1" t="s">
        <v>2</v>
      </c>
      <c r="D23" t="s">
        <v>12</v>
      </c>
      <c r="E23" s="1">
        <v>5</v>
      </c>
      <c r="F23" s="1">
        <f>TB_Produtos[[#This Row],[Estoque]]</f>
        <v>5</v>
      </c>
      <c r="G23" s="28">
        <v>299.89999999999998</v>
      </c>
    </row>
    <row r="24" spans="1:7" x14ac:dyDescent="0.25">
      <c r="A24" t="s">
        <v>63</v>
      </c>
      <c r="B24" t="s">
        <v>26</v>
      </c>
      <c r="C24" s="1" t="s">
        <v>3</v>
      </c>
      <c r="D24" t="s">
        <v>12</v>
      </c>
      <c r="E24" s="1">
        <v>5</v>
      </c>
      <c r="F24" s="1">
        <f>TB_Produtos[[#This Row],[Estoque]]</f>
        <v>5</v>
      </c>
      <c r="G24" s="28">
        <v>302.89999999999998</v>
      </c>
    </row>
    <row r="25" spans="1:7" x14ac:dyDescent="0.25">
      <c r="A25" t="s">
        <v>64</v>
      </c>
      <c r="B25" t="s">
        <v>26</v>
      </c>
      <c r="C25" s="1" t="s">
        <v>4</v>
      </c>
      <c r="D25" t="s">
        <v>12</v>
      </c>
      <c r="E25" s="1">
        <v>5</v>
      </c>
      <c r="F25" s="1">
        <f>TB_Produtos[[#This Row],[Estoque]]</f>
        <v>5</v>
      </c>
      <c r="G25" s="28">
        <v>300</v>
      </c>
    </row>
    <row r="26" spans="1:7" x14ac:dyDescent="0.25">
      <c r="A26" t="s">
        <v>65</v>
      </c>
      <c r="B26" t="s">
        <v>25</v>
      </c>
      <c r="C26" s="1" t="s">
        <v>2</v>
      </c>
      <c r="D26" t="s">
        <v>12</v>
      </c>
      <c r="E26" s="1">
        <v>5</v>
      </c>
      <c r="F26" s="1">
        <f>TB_Produtos[[#This Row],[Estoque]]</f>
        <v>5</v>
      </c>
      <c r="G26" s="28">
        <v>249.9</v>
      </c>
    </row>
    <row r="27" spans="1:7" x14ac:dyDescent="0.25">
      <c r="A27" t="s">
        <v>66</v>
      </c>
      <c r="B27" t="s">
        <v>25</v>
      </c>
      <c r="C27" s="1" t="s">
        <v>3</v>
      </c>
      <c r="D27" t="s">
        <v>12</v>
      </c>
      <c r="E27" s="1">
        <v>5</v>
      </c>
      <c r="F27" s="1">
        <f>TB_Produtos[[#This Row],[Estoque]]</f>
        <v>5</v>
      </c>
      <c r="G27" s="28">
        <v>259.89999999999998</v>
      </c>
    </row>
    <row r="28" spans="1:7" x14ac:dyDescent="0.25">
      <c r="A28" t="s">
        <v>67</v>
      </c>
      <c r="B28" t="s">
        <v>25</v>
      </c>
      <c r="C28" s="1" t="s">
        <v>4</v>
      </c>
      <c r="D28" t="s">
        <v>12</v>
      </c>
      <c r="E28" s="1">
        <v>5</v>
      </c>
      <c r="F28" s="1">
        <f>TB_Produtos[[#This Row],[Estoque]]</f>
        <v>5</v>
      </c>
      <c r="G28" s="28">
        <v>299.89999999999998</v>
      </c>
    </row>
    <row r="29" spans="1:7" x14ac:dyDescent="0.25">
      <c r="A29" t="s">
        <v>68</v>
      </c>
      <c r="B29" t="s">
        <v>24</v>
      </c>
      <c r="C29" s="1" t="s">
        <v>8</v>
      </c>
      <c r="D29" t="s">
        <v>13</v>
      </c>
      <c r="E29" s="1">
        <v>3</v>
      </c>
      <c r="F29" s="1">
        <f>TB_Produtos[[#This Row],[Estoque]]</f>
        <v>3</v>
      </c>
      <c r="G29" s="28">
        <v>349.9</v>
      </c>
    </row>
    <row r="30" spans="1:7" x14ac:dyDescent="0.25">
      <c r="A30" t="s">
        <v>69</v>
      </c>
      <c r="B30" t="s">
        <v>23</v>
      </c>
      <c r="C30" s="1" t="s">
        <v>8</v>
      </c>
      <c r="D30" t="s">
        <v>13</v>
      </c>
      <c r="E30" s="1">
        <v>3</v>
      </c>
      <c r="F30" s="1">
        <f>TB_Produtos[[#This Row],[Estoque]]</f>
        <v>3</v>
      </c>
      <c r="G30" s="28">
        <v>399.9</v>
      </c>
    </row>
    <row r="31" spans="1:7" x14ac:dyDescent="0.25">
      <c r="A31" t="s">
        <v>70</v>
      </c>
      <c r="B31" t="s">
        <v>32</v>
      </c>
      <c r="C31" s="1">
        <v>36</v>
      </c>
      <c r="D31" t="s">
        <v>14</v>
      </c>
      <c r="E31" s="1">
        <v>5</v>
      </c>
      <c r="F31" s="1">
        <f>TB_Produtos[[#This Row],[Estoque]]</f>
        <v>5</v>
      </c>
      <c r="G31" s="28">
        <v>249.9</v>
      </c>
    </row>
    <row r="32" spans="1:7" x14ac:dyDescent="0.25">
      <c r="A32" t="s">
        <v>71</v>
      </c>
      <c r="B32" t="s">
        <v>32</v>
      </c>
      <c r="C32" s="1">
        <v>37</v>
      </c>
      <c r="D32" t="s">
        <v>14</v>
      </c>
      <c r="E32" s="1">
        <v>3</v>
      </c>
      <c r="F32" s="1">
        <f>TB_Produtos[[#This Row],[Estoque]]</f>
        <v>3</v>
      </c>
      <c r="G32" s="28">
        <v>255</v>
      </c>
    </row>
    <row r="33" spans="1:7" x14ac:dyDescent="0.25">
      <c r="A33" t="s">
        <v>72</v>
      </c>
      <c r="B33" t="s">
        <v>32</v>
      </c>
      <c r="C33" s="1">
        <v>38</v>
      </c>
      <c r="D33" t="s">
        <v>14</v>
      </c>
      <c r="E33" s="1">
        <v>5</v>
      </c>
      <c r="F33" s="1">
        <f>TB_Produtos[[#This Row],[Estoque]]</f>
        <v>5</v>
      </c>
      <c r="G33" s="28">
        <v>259.89999999999998</v>
      </c>
    </row>
    <row r="34" spans="1:7" x14ac:dyDescent="0.25">
      <c r="A34" t="s">
        <v>73</v>
      </c>
      <c r="B34" t="s">
        <v>31</v>
      </c>
      <c r="C34" s="1">
        <v>36</v>
      </c>
      <c r="D34" t="s">
        <v>14</v>
      </c>
      <c r="E34" s="1">
        <v>5</v>
      </c>
      <c r="F34" s="1">
        <f>TB_Produtos[[#This Row],[Estoque]]</f>
        <v>5</v>
      </c>
      <c r="G34" s="28">
        <v>199.9</v>
      </c>
    </row>
    <row r="35" spans="1:7" x14ac:dyDescent="0.25">
      <c r="A35" t="s">
        <v>74</v>
      </c>
      <c r="B35" t="s">
        <v>31</v>
      </c>
      <c r="C35" s="1">
        <v>37</v>
      </c>
      <c r="D35" t="s">
        <v>14</v>
      </c>
      <c r="E35" s="1">
        <v>5</v>
      </c>
      <c r="F35" s="1">
        <f>TB_Produtos[[#This Row],[Estoque]]</f>
        <v>5</v>
      </c>
      <c r="G35" s="28">
        <v>249.9</v>
      </c>
    </row>
    <row r="36" spans="1:7" x14ac:dyDescent="0.25">
      <c r="A36" t="s">
        <v>75</v>
      </c>
      <c r="B36" t="s">
        <v>31</v>
      </c>
      <c r="C36" s="1">
        <v>38</v>
      </c>
      <c r="D36" t="s">
        <v>14</v>
      </c>
      <c r="E36" s="1">
        <v>5</v>
      </c>
      <c r="F36" s="1">
        <f>TB_Produtos[[#This Row],[Estoque]]</f>
        <v>5</v>
      </c>
      <c r="G36" s="28">
        <v>259.89999999999998</v>
      </c>
    </row>
    <row r="37" spans="1:7" x14ac:dyDescent="0.25">
      <c r="A37" t="s">
        <v>76</v>
      </c>
      <c r="B37" t="s">
        <v>29</v>
      </c>
      <c r="C37" s="1" t="s">
        <v>2</v>
      </c>
      <c r="D37" t="s">
        <v>12</v>
      </c>
      <c r="E37" s="1">
        <v>3</v>
      </c>
      <c r="F37" s="1">
        <f>TB_Produtos[[#This Row],[Estoque]]</f>
        <v>3</v>
      </c>
      <c r="G37" s="28">
        <v>89.9</v>
      </c>
    </row>
    <row r="38" spans="1:7" x14ac:dyDescent="0.25">
      <c r="A38" t="s">
        <v>77</v>
      </c>
      <c r="B38" t="s">
        <v>29</v>
      </c>
      <c r="C38" s="1" t="s">
        <v>3</v>
      </c>
      <c r="D38" t="s">
        <v>12</v>
      </c>
      <c r="E38" s="1">
        <v>3</v>
      </c>
      <c r="F38" s="1">
        <f>TB_Produtos[[#This Row],[Estoque]]</f>
        <v>3</v>
      </c>
      <c r="G38" s="28">
        <v>91.4</v>
      </c>
    </row>
    <row r="39" spans="1:7" x14ac:dyDescent="0.25">
      <c r="A39" t="s">
        <v>78</v>
      </c>
      <c r="B39" t="s">
        <v>29</v>
      </c>
      <c r="C39" s="1" t="s">
        <v>4</v>
      </c>
      <c r="D39" t="s">
        <v>12</v>
      </c>
      <c r="E39" s="1">
        <v>3</v>
      </c>
      <c r="F39" s="1">
        <f>TB_Produtos[[#This Row],[Estoque]]</f>
        <v>3</v>
      </c>
      <c r="G39" s="28">
        <v>93.5</v>
      </c>
    </row>
    <row r="40" spans="1:7" x14ac:dyDescent="0.25">
      <c r="A40" t="s">
        <v>79</v>
      </c>
      <c r="B40" t="s">
        <v>28</v>
      </c>
      <c r="C40" s="1" t="s">
        <v>2</v>
      </c>
      <c r="D40" t="s">
        <v>12</v>
      </c>
      <c r="E40" s="1">
        <v>2</v>
      </c>
      <c r="F40" s="1">
        <f>TB_Produtos[[#This Row],[Estoque]]</f>
        <v>2</v>
      </c>
      <c r="G40" s="28">
        <v>140</v>
      </c>
    </row>
    <row r="41" spans="1:7" x14ac:dyDescent="0.25">
      <c r="A41" t="s">
        <v>80</v>
      </c>
      <c r="B41" t="s">
        <v>28</v>
      </c>
      <c r="C41" s="1" t="s">
        <v>3</v>
      </c>
      <c r="D41" t="s">
        <v>12</v>
      </c>
      <c r="E41" s="1">
        <v>2</v>
      </c>
      <c r="F41" s="1">
        <f>TB_Produtos[[#This Row],[Estoque]]</f>
        <v>2</v>
      </c>
      <c r="G41" s="28">
        <v>142.9</v>
      </c>
    </row>
    <row r="42" spans="1:7" x14ac:dyDescent="0.25">
      <c r="A42" t="s">
        <v>81</v>
      </c>
      <c r="B42" t="s">
        <v>28</v>
      </c>
      <c r="C42" s="1" t="s">
        <v>4</v>
      </c>
      <c r="D42" t="s">
        <v>12</v>
      </c>
      <c r="E42" s="1">
        <v>2</v>
      </c>
      <c r="F42" s="1">
        <f>TB_Produtos[[#This Row],[Estoque]]</f>
        <v>2</v>
      </c>
      <c r="G42" s="28">
        <v>146</v>
      </c>
    </row>
  </sheetData>
  <mergeCells count="1">
    <mergeCell ref="A1:G1"/>
  </mergeCells>
  <conditionalFormatting sqref="F4:F42">
    <cfRule type="iconSet" priority="1">
      <iconSet iconSet="3Symbols" showValue="0">
        <cfvo type="percent" val="0"/>
        <cfvo type="num" val="3"/>
        <cfvo type="percent" val="10" gte="0"/>
      </iconSet>
    </cfRule>
    <cfRule type="cellIs" dxfId="4" priority="3" operator="lessThan">
      <formula>3</formula>
    </cfRule>
  </conditionalFormatting>
  <conditionalFormatting sqref="G4:G42">
    <cfRule type="dataBar" priority="2">
      <dataBar>
        <cfvo type="min"/>
        <cfvo type="max"/>
        <color rgb="FFDAFF01"/>
      </dataBar>
      <extLst>
        <ext xmlns:x14="http://schemas.microsoft.com/office/spreadsheetml/2009/9/main" uri="{B025F937-C7B1-47D3-B67F-A62EFF666E3E}">
          <x14:id>{D60DF3B7-7EF8-4AA8-ABA4-31894846E9FA}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0DF3B7-7EF8-4AA8-ABA4-31894846E9FA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G4:G42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96DB2-B00E-4AF0-810F-837D9879C4B6}">
  <dimension ref="A1:L7"/>
  <sheetViews>
    <sheetView workbookViewId="0">
      <selection activeCell="I4" sqref="I4"/>
    </sheetView>
  </sheetViews>
  <sheetFormatPr defaultRowHeight="15" x14ac:dyDescent="0.25"/>
  <cols>
    <col min="1" max="1" width="11.85546875" bestFit="1" customWidth="1"/>
    <col min="2" max="2" width="12.140625" style="36" bestFit="1" customWidth="1"/>
    <col min="6" max="6" width="12.140625" bestFit="1" customWidth="1"/>
    <col min="9" max="9" width="10.85546875" bestFit="1" customWidth="1"/>
    <col min="10" max="10" width="11" style="51" bestFit="1" customWidth="1"/>
    <col min="11" max="11" width="10.42578125" style="51" bestFit="1" customWidth="1"/>
    <col min="12" max="12" width="13.28515625" style="36" bestFit="1" customWidth="1"/>
  </cols>
  <sheetData>
    <row r="1" spans="1:12" x14ac:dyDescent="0.25">
      <c r="A1" s="37" t="s">
        <v>95</v>
      </c>
      <c r="B1" s="36" t="s">
        <v>96</v>
      </c>
      <c r="D1" s="41" t="s">
        <v>97</v>
      </c>
      <c r="E1" s="42" t="s">
        <v>98</v>
      </c>
      <c r="F1" s="42" t="s">
        <v>17</v>
      </c>
      <c r="G1" s="43" t="s">
        <v>16</v>
      </c>
      <c r="I1" s="37" t="s">
        <v>10</v>
      </c>
      <c r="J1" s="50" t="s">
        <v>105</v>
      </c>
      <c r="K1" s="50" t="s">
        <v>106</v>
      </c>
      <c r="L1" s="38" t="s">
        <v>17</v>
      </c>
    </row>
    <row r="2" spans="1:12" x14ac:dyDescent="0.25">
      <c r="A2" t="s">
        <v>82</v>
      </c>
      <c r="B2" s="36">
        <f>SUMIF(Vendas!$I$3:$I$61,A2, Vendas!$H$3:$H$61)</f>
        <v>6780.4999999999991</v>
      </c>
      <c r="D2" s="44">
        <v>1</v>
      </c>
      <c r="E2" s="39" t="s">
        <v>99</v>
      </c>
      <c r="F2" s="40">
        <f>SUMIF(Vendas!$A$3:$A$61,D2,TB_Vendas[Total])</f>
        <v>2241.4</v>
      </c>
      <c r="G2" s="45">
        <f>SUMIF(TB_Vendas[Mês],D2,TB_Vendas[Qtd])</f>
        <v>14</v>
      </c>
      <c r="I2" t="s">
        <v>13</v>
      </c>
      <c r="J2" s="51">
        <f xml:space="preserve"> L2 / $L$5</f>
        <v>0.14733839232356488</v>
      </c>
      <c r="K2" s="51">
        <f>SUM(1-J2)</f>
        <v>0.85266160767643506</v>
      </c>
      <c r="L2" s="36">
        <f>SUMIF(TB_Vendas[Categoria],I2,TB_Vendas[Total])</f>
        <v>2613.4</v>
      </c>
    </row>
    <row r="3" spans="1:12" x14ac:dyDescent="0.25">
      <c r="A3" t="s">
        <v>83</v>
      </c>
      <c r="B3" s="36">
        <f>SUMIF(Vendas!$I$3:$I$61,A3, Vendas!$H$3:$H$61)</f>
        <v>5075.2</v>
      </c>
      <c r="D3" s="44">
        <v>2</v>
      </c>
      <c r="E3" s="39" t="s">
        <v>100</v>
      </c>
      <c r="F3" s="40">
        <f>SUMIF(Vendas!$A$3:$A$61,D3,TB_Vendas[Total])</f>
        <v>2595.6999999999998</v>
      </c>
      <c r="G3" s="45">
        <f>SUMIF(TB_Vendas[Mês],D3,TB_Vendas[Qtd])</f>
        <v>15</v>
      </c>
      <c r="I3" t="s">
        <v>14</v>
      </c>
      <c r="J3" s="51">
        <f t="shared" ref="J3:J4" si="0" xml:space="preserve"> L3 / $L$5</f>
        <v>0.32123648336283778</v>
      </c>
      <c r="K3" s="51">
        <f>SUM(1-J3)</f>
        <v>0.67876351663716217</v>
      </c>
      <c r="L3" s="36">
        <f>SUMIF(TB_Vendas[Categoria],I3,TB_Vendas[Total])</f>
        <v>5697.9</v>
      </c>
    </row>
    <row r="4" spans="1:12" x14ac:dyDescent="0.25">
      <c r="A4" t="s">
        <v>85</v>
      </c>
      <c r="B4" s="36">
        <f>SUMIF(Vendas!$I$3:$I$61,A4, Vendas!$H$3:$H$61)</f>
        <v>5881.7</v>
      </c>
      <c r="D4" s="44">
        <v>3</v>
      </c>
      <c r="E4" s="39" t="s">
        <v>101</v>
      </c>
      <c r="F4" s="40">
        <f>SUMIF(Vendas!$A$3:$A$61,D4,TB_Vendas[Total])</f>
        <v>3443.6</v>
      </c>
      <c r="G4" s="45">
        <f>SUMIF(TB_Vendas[Mês],D4,TB_Vendas[Qtd])</f>
        <v>26</v>
      </c>
      <c r="I4" t="s">
        <v>12</v>
      </c>
      <c r="J4" s="51">
        <f t="shared" si="0"/>
        <v>0.53142512431359734</v>
      </c>
      <c r="K4" s="51">
        <f>SUM(1-J4)</f>
        <v>0.46857487568640266</v>
      </c>
      <c r="L4" s="36">
        <f>SUMIF(TB_Vendas[Categoria],I4,TB_Vendas[Total])</f>
        <v>9426.1000000000022</v>
      </c>
    </row>
    <row r="5" spans="1:12" x14ac:dyDescent="0.25">
      <c r="D5" s="44">
        <v>4</v>
      </c>
      <c r="E5" s="39" t="s">
        <v>102</v>
      </c>
      <c r="F5" s="40">
        <f>SUMIF(Vendas!$A$3:$A$61,D5,TB_Vendas[Total])</f>
        <v>4054.6</v>
      </c>
      <c r="G5" s="45">
        <f>SUMIF(TB_Vendas[Mês],D5,TB_Vendas[Qtd])</f>
        <v>28</v>
      </c>
      <c r="I5" t="s">
        <v>17</v>
      </c>
      <c r="L5" s="36">
        <f>SUM(L2:L4)</f>
        <v>17737.400000000001</v>
      </c>
    </row>
    <row r="6" spans="1:12" x14ac:dyDescent="0.25">
      <c r="D6" s="44">
        <v>5</v>
      </c>
      <c r="E6" s="39" t="s">
        <v>103</v>
      </c>
      <c r="F6" s="40">
        <f>SUMIF(Vendas!$A$3:$A$61,D6,TB_Vendas[Total])</f>
        <v>1919.1</v>
      </c>
      <c r="G6" s="45">
        <f>SUMIF(TB_Vendas[Mês],D6,TB_Vendas[Qtd])</f>
        <v>17</v>
      </c>
    </row>
    <row r="7" spans="1:12" ht="15.75" thickBot="1" x14ac:dyDescent="0.3">
      <c r="D7" s="46">
        <v>6</v>
      </c>
      <c r="E7" s="47" t="s">
        <v>104</v>
      </c>
      <c r="F7" s="48">
        <f>SUMIF(Vendas!$A$3:$A$61,D7,TB_Vendas[Total])</f>
        <v>3483</v>
      </c>
      <c r="G7" s="49">
        <f>SUMIF(TB_Vendas[Mês],D7,TB_Vendas[Qtd])</f>
        <v>31</v>
      </c>
    </row>
  </sheetData>
  <phoneticPr fontId="16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A6A3-A665-4F97-8524-0862F65887F1}">
  <dimension ref="C1:CC40"/>
  <sheetViews>
    <sheetView showGridLines="0" showRowColHeaders="0" tabSelected="1" zoomScaleNormal="100" workbookViewId="0">
      <selection activeCell="A41" sqref="A41"/>
    </sheetView>
  </sheetViews>
  <sheetFormatPr defaultColWidth="3.28515625" defaultRowHeight="15" customHeight="1" x14ac:dyDescent="0.35"/>
  <cols>
    <col min="1" max="16384" width="3.28515625" style="33"/>
  </cols>
  <sheetData>
    <row r="1" spans="3:81" ht="15" customHeight="1" thickBot="1" x14ac:dyDescent="0.4"/>
    <row r="2" spans="3:81" ht="15" customHeight="1" x14ac:dyDescent="0.35"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U2" s="68" t="s">
        <v>89</v>
      </c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70"/>
      <c r="AP2" s="68" t="s">
        <v>90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70"/>
      <c r="BK2" s="68" t="s">
        <v>91</v>
      </c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70"/>
    </row>
    <row r="3" spans="3:81" ht="15" customHeight="1" thickBot="1" x14ac:dyDescent="0.4"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U3" s="71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3"/>
      <c r="AP3" s="71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3"/>
      <c r="BK3" s="71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3"/>
    </row>
    <row r="4" spans="3:81" ht="15" customHeight="1" x14ac:dyDescent="0.3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U4" s="74">
        <f>COUNTA(Produtos!A4:A42)</f>
        <v>39</v>
      </c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6"/>
      <c r="AP4" s="74">
        <f>SUM(Vendas!F3:F61)</f>
        <v>131</v>
      </c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6"/>
      <c r="BK4" s="83">
        <f>SUM(Vendas!H3:H61)</f>
        <v>17737.399999999998</v>
      </c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5"/>
    </row>
    <row r="5" spans="3:81" ht="15" customHeight="1" x14ac:dyDescent="0.35"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U5" s="77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9"/>
      <c r="AP5" s="77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9"/>
      <c r="BK5" s="86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8"/>
    </row>
    <row r="6" spans="3:81" ht="15" customHeight="1" x14ac:dyDescent="0.35"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U6" s="77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9"/>
      <c r="AP6" s="77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9"/>
      <c r="BK6" s="86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7"/>
      <c r="BY6" s="87"/>
      <c r="BZ6" s="87"/>
      <c r="CA6" s="87"/>
      <c r="CB6" s="87"/>
      <c r="CC6" s="88"/>
    </row>
    <row r="7" spans="3:81" ht="15" customHeight="1" x14ac:dyDescent="0.35"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U7" s="77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9"/>
      <c r="AP7" s="77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9"/>
      <c r="BK7" s="86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8"/>
    </row>
    <row r="8" spans="3:81" ht="15" customHeight="1" thickBot="1" x14ac:dyDescent="0.4"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U8" s="80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2"/>
      <c r="AP8" s="80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2"/>
      <c r="BK8" s="89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1"/>
    </row>
    <row r="9" spans="3:81" ht="15" customHeight="1" thickBot="1" x14ac:dyDescent="0.4"/>
    <row r="10" spans="3:81" ht="15" customHeight="1" x14ac:dyDescent="0.35">
      <c r="C10" s="53" t="s">
        <v>92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5"/>
    </row>
    <row r="11" spans="3:81" ht="15" customHeight="1" thickBot="1" x14ac:dyDescent="0.4">
      <c r="C11" s="56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8"/>
    </row>
    <row r="12" spans="3:81" ht="15" customHeight="1" x14ac:dyDescent="0.3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1"/>
    </row>
    <row r="13" spans="3:81" ht="15" customHeight="1" x14ac:dyDescent="0.35">
      <c r="C13" s="62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4"/>
    </row>
    <row r="14" spans="3:81" ht="15" customHeight="1" x14ac:dyDescent="0.35">
      <c r="C14" s="62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4"/>
    </row>
    <row r="15" spans="3:81" ht="15" customHeight="1" x14ac:dyDescent="0.35">
      <c r="C15" s="62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4"/>
    </row>
    <row r="16" spans="3:81" ht="15" customHeight="1" x14ac:dyDescent="0.35">
      <c r="C16" s="62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4"/>
    </row>
    <row r="17" spans="3:81" ht="15" customHeight="1" x14ac:dyDescent="0.35">
      <c r="C17" s="62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4"/>
    </row>
    <row r="18" spans="3:81" ht="15" customHeight="1" x14ac:dyDescent="0.35">
      <c r="C18" s="62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4"/>
    </row>
    <row r="19" spans="3:81" ht="15" customHeight="1" x14ac:dyDescent="0.35">
      <c r="C19" s="62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4"/>
    </row>
    <row r="20" spans="3:81" ht="15" customHeight="1" x14ac:dyDescent="0.35">
      <c r="C20" s="62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4"/>
    </row>
    <row r="21" spans="3:81" ht="15" customHeight="1" x14ac:dyDescent="0.35">
      <c r="C21" s="62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4"/>
    </row>
    <row r="22" spans="3:81" ht="15" customHeight="1" x14ac:dyDescent="0.35">
      <c r="C22" s="62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4"/>
    </row>
    <row r="23" spans="3:81" ht="15" customHeight="1" x14ac:dyDescent="0.35">
      <c r="C23" s="62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4"/>
    </row>
    <row r="24" spans="3:81" ht="15" customHeight="1" x14ac:dyDescent="0.35">
      <c r="C24" s="62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4"/>
    </row>
    <row r="25" spans="3:81" ht="15" customHeight="1" thickBot="1" x14ac:dyDescent="0.4">
      <c r="C25" s="65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7"/>
    </row>
    <row r="26" spans="3:81" ht="15" customHeight="1" thickBot="1" x14ac:dyDescent="0.4"/>
    <row r="27" spans="3:81" ht="15" customHeight="1" x14ac:dyDescent="0.35">
      <c r="C27" s="53" t="s">
        <v>93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5"/>
      <c r="AR27" s="53" t="s">
        <v>94</v>
      </c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5"/>
    </row>
    <row r="28" spans="3:81" ht="15" customHeight="1" thickBot="1" x14ac:dyDescent="0.4">
      <c r="C28" s="56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8"/>
      <c r="AR28" s="56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8"/>
    </row>
    <row r="29" spans="3:81" ht="15" customHeight="1" x14ac:dyDescent="0.3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1"/>
      <c r="AR29" s="59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1"/>
    </row>
    <row r="30" spans="3:81" ht="15" customHeight="1" x14ac:dyDescent="0.35">
      <c r="C30" s="62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4"/>
      <c r="AR30" s="62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4"/>
    </row>
    <row r="31" spans="3:81" ht="15" customHeight="1" x14ac:dyDescent="0.35">
      <c r="C31" s="62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4"/>
      <c r="AR31" s="62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4"/>
    </row>
    <row r="32" spans="3:81" ht="15" customHeight="1" x14ac:dyDescent="0.35">
      <c r="C32" s="62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4"/>
      <c r="AR32" s="62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4"/>
    </row>
    <row r="33" spans="3:81" ht="15" customHeight="1" x14ac:dyDescent="0.35">
      <c r="C33" s="62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4"/>
      <c r="AR33" s="62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4"/>
    </row>
    <row r="34" spans="3:81" ht="15" customHeight="1" x14ac:dyDescent="0.35">
      <c r="C34" s="62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4"/>
      <c r="AR34" s="62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4"/>
    </row>
    <row r="35" spans="3:81" ht="15" customHeight="1" x14ac:dyDescent="0.35">
      <c r="C35" s="62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4"/>
      <c r="AR35" s="62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4"/>
    </row>
    <row r="36" spans="3:81" ht="15" customHeight="1" x14ac:dyDescent="0.35">
      <c r="C36" s="62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4"/>
      <c r="AR36" s="62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4"/>
    </row>
    <row r="37" spans="3:81" ht="15" customHeight="1" x14ac:dyDescent="0.35">
      <c r="C37" s="62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4"/>
      <c r="AR37" s="62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4"/>
    </row>
    <row r="38" spans="3:81" ht="15" customHeight="1" x14ac:dyDescent="0.35">
      <c r="C38" s="6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4"/>
      <c r="AR38" s="62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4"/>
    </row>
    <row r="39" spans="3:81" ht="15" customHeight="1" x14ac:dyDescent="0.35">
      <c r="C39" s="6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4"/>
      <c r="AR39" s="62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4"/>
    </row>
    <row r="40" spans="3:81" ht="15" customHeight="1" thickBot="1" x14ac:dyDescent="0.4">
      <c r="C40" s="65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7"/>
      <c r="AR40" s="65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7"/>
    </row>
  </sheetData>
  <mergeCells count="12">
    <mergeCell ref="U2:AM3"/>
    <mergeCell ref="AP2:BH3"/>
    <mergeCell ref="BK2:CC3"/>
    <mergeCell ref="U4:AM8"/>
    <mergeCell ref="AP4:BH8"/>
    <mergeCell ref="BK4:CC8"/>
    <mergeCell ref="C10:CC11"/>
    <mergeCell ref="C27:AN28"/>
    <mergeCell ref="AR27:CC28"/>
    <mergeCell ref="C12:CC25"/>
    <mergeCell ref="C29:AN40"/>
    <mergeCell ref="AR29:CC40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I61"/>
  <sheetViews>
    <sheetView zoomScale="140" zoomScaleNormal="140" workbookViewId="0">
      <selection activeCell="F4" sqref="F4"/>
    </sheetView>
  </sheetViews>
  <sheetFormatPr defaultRowHeight="15" x14ac:dyDescent="0.25"/>
  <cols>
    <col min="1" max="1" width="8.85546875" style="1" customWidth="1"/>
    <col min="2" max="2" width="11.5703125" style="1" bestFit="1" customWidth="1"/>
    <col min="3" max="3" width="13.5703125" style="1" bestFit="1" customWidth="1"/>
    <col min="4" max="4" width="15.42578125" style="1" customWidth="1"/>
    <col min="5" max="5" width="15.85546875" style="1" customWidth="1"/>
    <col min="6" max="6" width="8.5703125" customWidth="1"/>
    <col min="7" max="7" width="23.140625" style="36" customWidth="1"/>
    <col min="8" max="8" width="14.85546875" customWidth="1"/>
    <col min="9" max="9" width="17" bestFit="1" customWidth="1"/>
  </cols>
  <sheetData>
    <row r="1" spans="1:9" ht="21" x14ac:dyDescent="0.35">
      <c r="A1" s="52" t="s">
        <v>15</v>
      </c>
      <c r="B1" s="52"/>
      <c r="C1" s="52"/>
      <c r="D1" s="52"/>
      <c r="E1" s="52"/>
      <c r="F1" s="52"/>
      <c r="G1" s="52"/>
      <c r="H1" s="52"/>
      <c r="I1" s="52"/>
    </row>
    <row r="2" spans="1:9" ht="18.75" x14ac:dyDescent="0.3">
      <c r="A2" s="32" t="s">
        <v>42</v>
      </c>
      <c r="B2" s="32" t="s">
        <v>86</v>
      </c>
      <c r="C2" s="32" t="s">
        <v>41</v>
      </c>
      <c r="D2" s="32" t="s">
        <v>1</v>
      </c>
      <c r="E2" s="32" t="s">
        <v>10</v>
      </c>
      <c r="F2" s="32" t="s">
        <v>16</v>
      </c>
      <c r="G2" s="97" t="s">
        <v>107</v>
      </c>
      <c r="H2" s="30" t="s">
        <v>17</v>
      </c>
      <c r="I2" s="32" t="s">
        <v>84</v>
      </c>
    </row>
    <row r="3" spans="1:9" x14ac:dyDescent="0.25">
      <c r="A3" s="31">
        <f>MONTH(TB_Vendas[[#This Row],[Data]])</f>
        <v>1</v>
      </c>
      <c r="B3" s="29">
        <v>44931</v>
      </c>
      <c r="C3" s="1" t="s">
        <v>69</v>
      </c>
      <c r="D3" s="1" t="str">
        <f>LOOKUP(C3,TB_Produtos[Código],TB_Produtos[Tamanho])</f>
        <v>Único</v>
      </c>
      <c r="E3" s="1" t="str">
        <f>LOOKUP(TB_Vendas[Código],TB_Produtos[Código],TB_Produtos[Categoria])</f>
        <v>Acessórios</v>
      </c>
      <c r="F3" s="1">
        <v>1</v>
      </c>
      <c r="G3" s="96">
        <f>LOOKUP(TB_Vendas[[#This Row],[Código]],TB_Produtos[Código],TB_Produtos[Preço Unitário])</f>
        <v>399.9</v>
      </c>
      <c r="H3" s="28">
        <f t="shared" ref="H3:H34" si="0">F3*G3</f>
        <v>399.9</v>
      </c>
      <c r="I3" s="1" t="s">
        <v>83</v>
      </c>
    </row>
    <row r="4" spans="1:9" x14ac:dyDescent="0.25">
      <c r="A4" s="31">
        <f>MONTH(TB_Vendas[[#This Row],[Data]])</f>
        <v>1</v>
      </c>
      <c r="B4" s="29">
        <v>44932</v>
      </c>
      <c r="C4" s="1" t="s">
        <v>73</v>
      </c>
      <c r="D4" s="1">
        <f>LOOKUP(C4,TB_Produtos[Código],TB_Produtos[Tamanho])</f>
        <v>36</v>
      </c>
      <c r="E4" s="1" t="str">
        <f>LOOKUP(TB_Vendas[Código],TB_Produtos[Código],TB_Produtos[Categoria])</f>
        <v>Calçado</v>
      </c>
      <c r="F4" s="1">
        <v>1</v>
      </c>
      <c r="G4" s="96">
        <f>LOOKUP(TB_Vendas[[#This Row],[Código]],TB_Produtos[Código],TB_Produtos[Preço Unitário])</f>
        <v>199.9</v>
      </c>
      <c r="H4" s="28">
        <f t="shared" si="0"/>
        <v>199.9</v>
      </c>
      <c r="I4" s="1" t="s">
        <v>82</v>
      </c>
    </row>
    <row r="5" spans="1:9" x14ac:dyDescent="0.25">
      <c r="A5" s="31">
        <f>MONTH(TB_Vendas[[#This Row],[Data]])</f>
        <v>1</v>
      </c>
      <c r="B5" s="29">
        <v>44933</v>
      </c>
      <c r="C5" s="1" t="s">
        <v>74</v>
      </c>
      <c r="D5" s="1">
        <f>LOOKUP(C5,TB_Produtos[Código],TB_Produtos[Tamanho])</f>
        <v>37</v>
      </c>
      <c r="E5" s="1" t="str">
        <f>LOOKUP(TB_Vendas[Código],TB_Produtos[Código],TB_Produtos[Categoria])</f>
        <v>Calçado</v>
      </c>
      <c r="F5" s="1">
        <v>2</v>
      </c>
      <c r="G5" s="96">
        <f>LOOKUP(TB_Vendas[[#This Row],[Código]],TB_Produtos[Código],TB_Produtos[Preço Unitário])</f>
        <v>249.9</v>
      </c>
      <c r="H5" s="28">
        <f t="shared" si="0"/>
        <v>499.8</v>
      </c>
      <c r="I5" s="1" t="s">
        <v>85</v>
      </c>
    </row>
    <row r="6" spans="1:9" x14ac:dyDescent="0.25">
      <c r="A6" s="31">
        <f>MONTH(TB_Vendas[[#This Row],[Data]])</f>
        <v>1</v>
      </c>
      <c r="B6" s="29">
        <v>44938</v>
      </c>
      <c r="C6" s="1" t="s">
        <v>53</v>
      </c>
      <c r="D6" s="1" t="str">
        <f>LOOKUP(C6,TB_Produtos[Código],TB_Produtos[Tamanho])</f>
        <v>M</v>
      </c>
      <c r="E6" s="1" t="str">
        <f>LOOKUP(TB_Vendas[Código],TB_Produtos[Código],TB_Produtos[Categoria])</f>
        <v>Vestuário</v>
      </c>
      <c r="F6" s="1">
        <v>1</v>
      </c>
      <c r="G6" s="96">
        <f>LOOKUP(TB_Vendas[[#This Row],[Código]],TB_Produtos[Código],TB_Produtos[Preço Unitário])</f>
        <v>46.9</v>
      </c>
      <c r="H6" s="28">
        <f t="shared" si="0"/>
        <v>46.9</v>
      </c>
      <c r="I6" s="1" t="s">
        <v>85</v>
      </c>
    </row>
    <row r="7" spans="1:9" x14ac:dyDescent="0.25">
      <c r="A7" s="31">
        <f>MONTH(TB_Vendas[[#This Row],[Data]])</f>
        <v>1</v>
      </c>
      <c r="B7" s="29">
        <v>44939</v>
      </c>
      <c r="C7" s="1" t="s">
        <v>80</v>
      </c>
      <c r="D7" s="1" t="str">
        <f>LOOKUP(C7,TB_Produtos[Código],TB_Produtos[Tamanho])</f>
        <v>M</v>
      </c>
      <c r="E7" s="1" t="str">
        <f>LOOKUP(TB_Vendas[Código],TB_Produtos[Código],TB_Produtos[Categoria])</f>
        <v>Vestuário</v>
      </c>
      <c r="F7" s="1">
        <v>1</v>
      </c>
      <c r="G7" s="96">
        <f>LOOKUP(TB_Vendas[[#This Row],[Código]],TB_Produtos[Código],TB_Produtos[Preço Unitário])</f>
        <v>142.9</v>
      </c>
      <c r="H7" s="28">
        <f t="shared" si="0"/>
        <v>142.9</v>
      </c>
      <c r="I7" s="1" t="s">
        <v>82</v>
      </c>
    </row>
    <row r="8" spans="1:9" x14ac:dyDescent="0.25">
      <c r="A8" s="31">
        <f>MONTH(TB_Vendas[[#This Row],[Data]])</f>
        <v>1</v>
      </c>
      <c r="B8" s="29">
        <v>44943</v>
      </c>
      <c r="C8" s="1" t="s">
        <v>73</v>
      </c>
      <c r="D8" s="1">
        <f>LOOKUP(C8,TB_Produtos[Código],TB_Produtos[Tamanho])</f>
        <v>36</v>
      </c>
      <c r="E8" s="1" t="str">
        <f>LOOKUP(TB_Vendas[Código],TB_Produtos[Código],TB_Produtos[Categoria])</f>
        <v>Calçado</v>
      </c>
      <c r="F8" s="1">
        <v>1</v>
      </c>
      <c r="G8" s="96">
        <f>LOOKUP(TB_Vendas[[#This Row],[Código]],TB_Produtos[Código],TB_Produtos[Preço Unitário])</f>
        <v>199.9</v>
      </c>
      <c r="H8" s="28">
        <f t="shared" si="0"/>
        <v>199.9</v>
      </c>
      <c r="I8" s="1" t="s">
        <v>82</v>
      </c>
    </row>
    <row r="9" spans="1:9" x14ac:dyDescent="0.25">
      <c r="A9" s="31">
        <f>MONTH(TB_Vendas[[#This Row],[Data]])</f>
        <v>1</v>
      </c>
      <c r="B9" s="29">
        <v>44949</v>
      </c>
      <c r="C9" s="1" t="s">
        <v>68</v>
      </c>
      <c r="D9" s="1" t="str">
        <f>LOOKUP(C9,TB_Produtos[Código],TB_Produtos[Tamanho])</f>
        <v>Único</v>
      </c>
      <c r="E9" s="1" t="str">
        <f>LOOKUP(TB_Vendas[Código],TB_Produtos[Código],TB_Produtos[Categoria])</f>
        <v>Acessórios</v>
      </c>
      <c r="F9" s="1">
        <v>1</v>
      </c>
      <c r="G9" s="96">
        <f>LOOKUP(TB_Vendas[[#This Row],[Código]],TB_Produtos[Código],TB_Produtos[Preço Unitário])</f>
        <v>349.9</v>
      </c>
      <c r="H9" s="28">
        <f t="shared" si="0"/>
        <v>349.9</v>
      </c>
      <c r="I9" s="1" t="s">
        <v>83</v>
      </c>
    </row>
    <row r="10" spans="1:9" x14ac:dyDescent="0.25">
      <c r="A10" s="31">
        <f>MONTH(TB_Vendas[[#This Row],[Data]])</f>
        <v>1</v>
      </c>
      <c r="B10" s="29">
        <v>44952</v>
      </c>
      <c r="C10" s="1" t="s">
        <v>56</v>
      </c>
      <c r="D10" s="1" t="str">
        <f>LOOKUP(C10,TB_Produtos[Código],TB_Produtos[Tamanho])</f>
        <v>M</v>
      </c>
      <c r="E10" s="1" t="str">
        <f>LOOKUP(TB_Vendas[Código],TB_Produtos[Código],TB_Produtos[Categoria])</f>
        <v>Vestuário</v>
      </c>
      <c r="F10" s="1">
        <v>2</v>
      </c>
      <c r="G10" s="96">
        <f>LOOKUP(TB_Vendas[[#This Row],[Código]],TB_Produtos[Código],TB_Produtos[Preço Unitário])</f>
        <v>39.9</v>
      </c>
      <c r="H10" s="28">
        <f t="shared" si="0"/>
        <v>79.8</v>
      </c>
      <c r="I10" s="1" t="s">
        <v>82</v>
      </c>
    </row>
    <row r="11" spans="1:9" x14ac:dyDescent="0.25">
      <c r="A11" s="31">
        <f>MONTH(TB_Vendas[[#This Row],[Data]])</f>
        <v>1</v>
      </c>
      <c r="B11" s="29">
        <v>44954</v>
      </c>
      <c r="C11" s="1" t="s">
        <v>57</v>
      </c>
      <c r="D11" s="1" t="str">
        <f>LOOKUP(C11,TB_Produtos[Código],TB_Produtos[Tamanho])</f>
        <v>G</v>
      </c>
      <c r="E11" s="1" t="str">
        <f>LOOKUP(TB_Vendas[Código],TB_Produtos[Código],TB_Produtos[Categoria])</f>
        <v>Vestuário</v>
      </c>
      <c r="F11" s="1">
        <v>2</v>
      </c>
      <c r="G11" s="96">
        <f>LOOKUP(TB_Vendas[[#This Row],[Código]],TB_Produtos[Código],TB_Produtos[Preço Unitário])</f>
        <v>42.5</v>
      </c>
      <c r="H11" s="28">
        <f t="shared" si="0"/>
        <v>85</v>
      </c>
      <c r="I11" s="1" t="s">
        <v>82</v>
      </c>
    </row>
    <row r="12" spans="1:9" x14ac:dyDescent="0.25">
      <c r="A12" s="31">
        <f>MONTH(TB_Vendas[[#This Row],[Data]])</f>
        <v>1</v>
      </c>
      <c r="B12" s="29">
        <v>44955</v>
      </c>
      <c r="C12" s="1" t="s">
        <v>77</v>
      </c>
      <c r="D12" s="1" t="str">
        <f>LOOKUP(C12,TB_Produtos[Código],TB_Produtos[Tamanho])</f>
        <v>M</v>
      </c>
      <c r="E12" s="1" t="str">
        <f>LOOKUP(TB_Vendas[Código],TB_Produtos[Código],TB_Produtos[Categoria])</f>
        <v>Vestuário</v>
      </c>
      <c r="F12" s="1">
        <v>1</v>
      </c>
      <c r="G12" s="96">
        <f>LOOKUP(TB_Vendas[[#This Row],[Código]],TB_Produtos[Código],TB_Produtos[Preço Unitário])</f>
        <v>91.4</v>
      </c>
      <c r="H12" s="28">
        <f t="shared" si="0"/>
        <v>91.4</v>
      </c>
      <c r="I12" s="1" t="s">
        <v>85</v>
      </c>
    </row>
    <row r="13" spans="1:9" x14ac:dyDescent="0.25">
      <c r="A13" s="31">
        <f>MONTH(TB_Vendas[[#This Row],[Data]])</f>
        <v>1</v>
      </c>
      <c r="B13" s="29">
        <v>44956</v>
      </c>
      <c r="C13" s="1" t="s">
        <v>81</v>
      </c>
      <c r="D13" s="1" t="str">
        <f>LOOKUP(C13,TB_Produtos[Código],TB_Produtos[Tamanho])</f>
        <v>G</v>
      </c>
      <c r="E13" s="1" t="str">
        <f>LOOKUP(TB_Vendas[Código],TB_Produtos[Código],TB_Produtos[Categoria])</f>
        <v>Vestuário</v>
      </c>
      <c r="F13" s="1">
        <v>1</v>
      </c>
      <c r="G13" s="96">
        <f>LOOKUP(TB_Vendas[[#This Row],[Código]],TB_Produtos[Código],TB_Produtos[Preço Unitário])</f>
        <v>146</v>
      </c>
      <c r="H13" s="28">
        <f t="shared" si="0"/>
        <v>146</v>
      </c>
      <c r="I13" s="1" t="s">
        <v>83</v>
      </c>
    </row>
    <row r="14" spans="1:9" x14ac:dyDescent="0.25">
      <c r="A14" s="31">
        <f>MONTH(TB_Vendas[[#This Row],[Data]])</f>
        <v>2</v>
      </c>
      <c r="B14" s="29">
        <v>44960</v>
      </c>
      <c r="C14" s="1" t="s">
        <v>47</v>
      </c>
      <c r="D14" s="1" t="str">
        <f>LOOKUP(C14,TB_Produtos[Código],TB_Produtos[Tamanho])</f>
        <v>Único</v>
      </c>
      <c r="E14" s="1" t="str">
        <f>LOOKUP(TB_Vendas[Código],TB_Produtos[Código],TB_Produtos[Categoria])</f>
        <v>Acessórios</v>
      </c>
      <c r="F14" s="1">
        <v>1</v>
      </c>
      <c r="G14" s="96">
        <f>LOOKUP(TB_Vendas[[#This Row],[Código]],TB_Produtos[Código],TB_Produtos[Preço Unitário])</f>
        <v>259.89999999999998</v>
      </c>
      <c r="H14" s="28">
        <f t="shared" si="0"/>
        <v>259.89999999999998</v>
      </c>
      <c r="I14" s="1" t="s">
        <v>85</v>
      </c>
    </row>
    <row r="15" spans="1:9" x14ac:dyDescent="0.25">
      <c r="A15" s="31">
        <f>MONTH(TB_Vendas[[#This Row],[Data]])</f>
        <v>2</v>
      </c>
      <c r="B15" s="29">
        <v>44962</v>
      </c>
      <c r="C15" s="1" t="s">
        <v>62</v>
      </c>
      <c r="D15" s="1" t="str">
        <f>LOOKUP(C15,TB_Produtos[Código],TB_Produtos[Tamanho])</f>
        <v>P</v>
      </c>
      <c r="E15" s="1" t="str">
        <f>LOOKUP(TB_Vendas[Código],TB_Produtos[Código],TB_Produtos[Categoria])</f>
        <v>Vestuário</v>
      </c>
      <c r="F15" s="1">
        <v>2</v>
      </c>
      <c r="G15" s="96">
        <f>LOOKUP(TB_Vendas[[#This Row],[Código]],TB_Produtos[Código],TB_Produtos[Preço Unitário])</f>
        <v>299.89999999999998</v>
      </c>
      <c r="H15" s="28">
        <f t="shared" si="0"/>
        <v>599.79999999999995</v>
      </c>
      <c r="I15" s="1" t="s">
        <v>83</v>
      </c>
    </row>
    <row r="16" spans="1:9" x14ac:dyDescent="0.25">
      <c r="A16" s="31">
        <f>MONTH(TB_Vendas[[#This Row],[Data]])</f>
        <v>2</v>
      </c>
      <c r="B16" s="29">
        <v>44975</v>
      </c>
      <c r="C16" s="1" t="s">
        <v>74</v>
      </c>
      <c r="D16" s="1">
        <f>LOOKUP(C16,TB_Produtos[Código],TB_Produtos[Tamanho])</f>
        <v>37</v>
      </c>
      <c r="E16" s="1" t="str">
        <f>LOOKUP(TB_Vendas[Código],TB_Produtos[Código],TB_Produtos[Categoria])</f>
        <v>Calçado</v>
      </c>
      <c r="F16" s="1">
        <v>1</v>
      </c>
      <c r="G16" s="96">
        <f>LOOKUP(TB_Vendas[[#This Row],[Código]],TB_Produtos[Código],TB_Produtos[Preço Unitário])</f>
        <v>249.9</v>
      </c>
      <c r="H16" s="28">
        <f t="shared" si="0"/>
        <v>249.9</v>
      </c>
      <c r="I16" s="1" t="s">
        <v>82</v>
      </c>
    </row>
    <row r="17" spans="1:9" x14ac:dyDescent="0.25">
      <c r="A17" s="31">
        <f>MONTH(TB_Vendas[[#This Row],[Data]])</f>
        <v>2</v>
      </c>
      <c r="B17" s="29">
        <v>44978</v>
      </c>
      <c r="C17" s="1" t="s">
        <v>78</v>
      </c>
      <c r="D17" s="1" t="str">
        <f>LOOKUP(C17,TB_Produtos[Código],TB_Produtos[Tamanho])</f>
        <v>G</v>
      </c>
      <c r="E17" s="1" t="str">
        <f>LOOKUP(TB_Vendas[Código],TB_Produtos[Código],TB_Produtos[Categoria])</f>
        <v>Vestuário</v>
      </c>
      <c r="F17" s="1">
        <v>2</v>
      </c>
      <c r="G17" s="96">
        <f>LOOKUP(TB_Vendas[[#This Row],[Código]],TB_Produtos[Código],TB_Produtos[Preço Unitário])</f>
        <v>93.5</v>
      </c>
      <c r="H17" s="28">
        <f t="shared" si="0"/>
        <v>187</v>
      </c>
      <c r="I17" s="1" t="s">
        <v>85</v>
      </c>
    </row>
    <row r="18" spans="1:9" ht="17.25" x14ac:dyDescent="0.4">
      <c r="A18" s="31">
        <f>MONTH(TB_Vendas[[#This Row],[Data]])</f>
        <v>2</v>
      </c>
      <c r="B18" s="29">
        <v>44981</v>
      </c>
      <c r="C18" s="1" t="s">
        <v>72</v>
      </c>
      <c r="D18" s="1">
        <f>LOOKUP(C18,TB_Produtos[Código],TB_Produtos[Tamanho])</f>
        <v>38</v>
      </c>
      <c r="E18" s="1" t="str">
        <f>LOOKUP(TB_Vendas[Código],TB_Produtos[Código],TB_Produtos[Categoria])</f>
        <v>Calçado</v>
      </c>
      <c r="F18" s="1">
        <v>4</v>
      </c>
      <c r="G18" s="96">
        <f>LOOKUP(TB_Vendas[[#This Row],[Código]],TB_Produtos[Código],TB_Produtos[Preço Unitário])</f>
        <v>259.89999999999998</v>
      </c>
      <c r="H18" s="35">
        <f t="shared" si="0"/>
        <v>1039.5999999999999</v>
      </c>
      <c r="I18" s="1" t="s">
        <v>83</v>
      </c>
    </row>
    <row r="19" spans="1:9" x14ac:dyDescent="0.25">
      <c r="A19" s="31">
        <f>MONTH(TB_Vendas[[#This Row],[Data]])</f>
        <v>2</v>
      </c>
      <c r="B19" s="29">
        <v>44982</v>
      </c>
      <c r="C19" s="1" t="s">
        <v>55</v>
      </c>
      <c r="D19" s="1" t="str">
        <f>LOOKUP(C19,TB_Produtos[Código],TB_Produtos[Tamanho])</f>
        <v>P</v>
      </c>
      <c r="E19" s="1" t="str">
        <f>LOOKUP(TB_Vendas[Código],TB_Produtos[Código],TB_Produtos[Categoria])</f>
        <v>Vestuário</v>
      </c>
      <c r="F19" s="1">
        <v>3</v>
      </c>
      <c r="G19" s="96">
        <f>LOOKUP(TB_Vendas[[#This Row],[Código]],TB_Produtos[Código],TB_Produtos[Preço Unitário])</f>
        <v>39.9</v>
      </c>
      <c r="H19" s="28">
        <f t="shared" si="0"/>
        <v>119.69999999999999</v>
      </c>
      <c r="I19" s="1" t="s">
        <v>83</v>
      </c>
    </row>
    <row r="20" spans="1:9" x14ac:dyDescent="0.25">
      <c r="A20" s="31">
        <f>MONTH(TB_Vendas[[#This Row],[Data]])</f>
        <v>2</v>
      </c>
      <c r="B20" s="29">
        <v>44983</v>
      </c>
      <c r="C20" s="1" t="s">
        <v>44</v>
      </c>
      <c r="D20" s="1" t="str">
        <f>LOOKUP(C20,TB_Produtos[Código],TB_Produtos[Tamanho])</f>
        <v>M</v>
      </c>
      <c r="E20" s="1" t="str">
        <f>LOOKUP(TB_Vendas[Código],TB_Produtos[Código],TB_Produtos[Categoria])</f>
        <v>Vestuário</v>
      </c>
      <c r="F20" s="1">
        <v>2</v>
      </c>
      <c r="G20" s="96">
        <f>LOOKUP(TB_Vendas[[#This Row],[Código]],TB_Produtos[Código],TB_Produtos[Preço Unitário])</f>
        <v>69.900000000000006</v>
      </c>
      <c r="H20" s="28">
        <f t="shared" si="0"/>
        <v>139.80000000000001</v>
      </c>
      <c r="I20" s="1" t="s">
        <v>82</v>
      </c>
    </row>
    <row r="21" spans="1:9" x14ac:dyDescent="0.25">
      <c r="A21" s="31">
        <f>MONTH(TB_Vendas[[#This Row],[Data]])</f>
        <v>3</v>
      </c>
      <c r="B21" s="29">
        <v>44986</v>
      </c>
      <c r="C21" s="1" t="s">
        <v>59</v>
      </c>
      <c r="D21" s="1" t="str">
        <f>LOOKUP(C21,TB_Produtos[Código],TB_Produtos[Tamanho])</f>
        <v>M</v>
      </c>
      <c r="E21" s="1" t="str">
        <f>LOOKUP(TB_Vendas[Código],TB_Produtos[Código],TB_Produtos[Categoria])</f>
        <v>Vestuário</v>
      </c>
      <c r="F21" s="1">
        <v>3</v>
      </c>
      <c r="G21" s="96">
        <f>LOOKUP(TB_Vendas[[#This Row],[Código]],TB_Produtos[Código],TB_Produtos[Preço Unitário])</f>
        <v>29.9</v>
      </c>
      <c r="H21" s="28">
        <f t="shared" si="0"/>
        <v>89.699999999999989</v>
      </c>
      <c r="I21" s="1" t="s">
        <v>85</v>
      </c>
    </row>
    <row r="22" spans="1:9" x14ac:dyDescent="0.25">
      <c r="A22" s="31">
        <f>MONTH(TB_Vendas[[#This Row],[Data]])</f>
        <v>3</v>
      </c>
      <c r="B22" s="29">
        <v>44986</v>
      </c>
      <c r="C22" s="1" t="s">
        <v>74</v>
      </c>
      <c r="D22" s="1">
        <f>LOOKUP(C22,TB_Produtos[Código],TB_Produtos[Tamanho])</f>
        <v>37</v>
      </c>
      <c r="E22" s="1" t="str">
        <f>LOOKUP(TB_Vendas[Código],TB_Produtos[Código],TB_Produtos[Categoria])</f>
        <v>Calçado</v>
      </c>
      <c r="F22" s="1">
        <v>1</v>
      </c>
      <c r="G22" s="96">
        <f>LOOKUP(TB_Vendas[[#This Row],[Código]],TB_Produtos[Código],TB_Produtos[Preço Unitário])</f>
        <v>249.9</v>
      </c>
      <c r="H22" s="28">
        <f t="shared" si="0"/>
        <v>249.9</v>
      </c>
      <c r="I22" s="1" t="s">
        <v>82</v>
      </c>
    </row>
    <row r="23" spans="1:9" x14ac:dyDescent="0.25">
      <c r="A23" s="31">
        <f>MONTH(TB_Vendas[[#This Row],[Data]])</f>
        <v>3</v>
      </c>
      <c r="B23" s="29">
        <v>44987</v>
      </c>
      <c r="C23" s="1" t="s">
        <v>47</v>
      </c>
      <c r="D23" s="1" t="str">
        <f>LOOKUP(C23,TB_Produtos[Código],TB_Produtos[Tamanho])</f>
        <v>Único</v>
      </c>
      <c r="E23" s="1" t="str">
        <f>LOOKUP(TB_Vendas[Código],TB_Produtos[Código],TB_Produtos[Categoria])</f>
        <v>Acessórios</v>
      </c>
      <c r="F23" s="1">
        <v>4</v>
      </c>
      <c r="G23" s="96">
        <f>LOOKUP(TB_Vendas[[#This Row],[Código]],TB_Produtos[Código],TB_Produtos[Preço Unitário])</f>
        <v>259.89999999999998</v>
      </c>
      <c r="H23" s="28">
        <f t="shared" si="0"/>
        <v>1039.5999999999999</v>
      </c>
      <c r="I23" s="1" t="s">
        <v>82</v>
      </c>
    </row>
    <row r="24" spans="1:9" x14ac:dyDescent="0.25">
      <c r="A24" s="31">
        <f>MONTH(TB_Vendas[[#This Row],[Data]])</f>
        <v>3</v>
      </c>
      <c r="B24" s="29">
        <v>44988</v>
      </c>
      <c r="C24" s="1" t="s">
        <v>54</v>
      </c>
      <c r="D24" s="1" t="str">
        <f>LOOKUP(C24,TB_Produtos[Código],TB_Produtos[Tamanho])</f>
        <v>G</v>
      </c>
      <c r="E24" s="1" t="str">
        <f>LOOKUP(TB_Vendas[Código],TB_Produtos[Código],TB_Produtos[Categoria])</f>
        <v>Vestuário</v>
      </c>
      <c r="F24" s="1">
        <v>2</v>
      </c>
      <c r="G24" s="96">
        <f>LOOKUP(TB_Vendas[[#This Row],[Código]],TB_Produtos[Código],TB_Produtos[Preço Unitário])</f>
        <v>48.9</v>
      </c>
      <c r="H24" s="28">
        <f t="shared" si="0"/>
        <v>97.8</v>
      </c>
      <c r="I24" s="1" t="s">
        <v>85</v>
      </c>
    </row>
    <row r="25" spans="1:9" x14ac:dyDescent="0.25">
      <c r="A25" s="31">
        <f>MONTH(TB_Vendas[[#This Row],[Data]])</f>
        <v>3</v>
      </c>
      <c r="B25" s="29">
        <v>44989</v>
      </c>
      <c r="C25" s="1" t="s">
        <v>56</v>
      </c>
      <c r="D25" s="1" t="str">
        <f>LOOKUP(C25,TB_Produtos[Código],TB_Produtos[Tamanho])</f>
        <v>M</v>
      </c>
      <c r="E25" s="1" t="str">
        <f>LOOKUP(TB_Vendas[Código],TB_Produtos[Código],TB_Produtos[Categoria])</f>
        <v>Vestuário</v>
      </c>
      <c r="F25" s="1">
        <v>3</v>
      </c>
      <c r="G25" s="96">
        <f>LOOKUP(TB_Vendas[[#This Row],[Código]],TB_Produtos[Código],TB_Produtos[Preço Unitário])</f>
        <v>39.9</v>
      </c>
      <c r="H25" s="28">
        <f t="shared" si="0"/>
        <v>119.69999999999999</v>
      </c>
      <c r="I25" s="1" t="s">
        <v>82</v>
      </c>
    </row>
    <row r="26" spans="1:9" x14ac:dyDescent="0.25">
      <c r="A26" s="31">
        <f>MONTH(TB_Vendas[[#This Row],[Data]])</f>
        <v>3</v>
      </c>
      <c r="B26" s="29">
        <v>44994</v>
      </c>
      <c r="C26" s="1" t="s">
        <v>66</v>
      </c>
      <c r="D26" s="1" t="str">
        <f>LOOKUP(C26,TB_Produtos[Código],TB_Produtos[Tamanho])</f>
        <v>M</v>
      </c>
      <c r="E26" s="1" t="str">
        <f>LOOKUP(TB_Vendas[Código],TB_Produtos[Código],TB_Produtos[Categoria])</f>
        <v>Vestuário</v>
      </c>
      <c r="F26" s="1">
        <v>2</v>
      </c>
      <c r="G26" s="96">
        <f>LOOKUP(TB_Vendas[[#This Row],[Código]],TB_Produtos[Código],TB_Produtos[Preço Unitário])</f>
        <v>259.89999999999998</v>
      </c>
      <c r="H26" s="28">
        <f t="shared" si="0"/>
        <v>519.79999999999995</v>
      </c>
      <c r="I26" s="1" t="s">
        <v>85</v>
      </c>
    </row>
    <row r="27" spans="1:9" x14ac:dyDescent="0.25">
      <c r="A27" s="31">
        <f>MONTH(TB_Vendas[[#This Row],[Data]])</f>
        <v>3</v>
      </c>
      <c r="B27" s="29">
        <v>44999</v>
      </c>
      <c r="C27" s="1" t="s">
        <v>74</v>
      </c>
      <c r="D27" s="1">
        <f>LOOKUP(C27,TB_Produtos[Código],TB_Produtos[Tamanho])</f>
        <v>37</v>
      </c>
      <c r="E27" s="1" t="str">
        <f>LOOKUP(TB_Vendas[Código],TB_Produtos[Código],TB_Produtos[Categoria])</f>
        <v>Calçado</v>
      </c>
      <c r="F27" s="1">
        <v>1</v>
      </c>
      <c r="G27" s="96">
        <f>LOOKUP(TB_Vendas[[#This Row],[Código]],TB_Produtos[Código],TB_Produtos[Preço Unitário])</f>
        <v>249.9</v>
      </c>
      <c r="H27" s="28">
        <f t="shared" si="0"/>
        <v>249.9</v>
      </c>
      <c r="I27" s="1" t="s">
        <v>85</v>
      </c>
    </row>
    <row r="28" spans="1:9" x14ac:dyDescent="0.25">
      <c r="A28" s="31">
        <f>MONTH(TB_Vendas[[#This Row],[Data]])</f>
        <v>3</v>
      </c>
      <c r="B28" s="29">
        <v>45004</v>
      </c>
      <c r="C28" s="1" t="s">
        <v>45</v>
      </c>
      <c r="D28" s="1" t="str">
        <f>LOOKUP(C28,TB_Produtos[Código],TB_Produtos[Tamanho])</f>
        <v>G</v>
      </c>
      <c r="E28" s="1" t="str">
        <f>LOOKUP(TB_Vendas[Código],TB_Produtos[Código],TB_Produtos[Categoria])</f>
        <v>Vestuário</v>
      </c>
      <c r="F28" s="1">
        <v>5</v>
      </c>
      <c r="G28" s="96">
        <f>LOOKUP(TB_Vendas[[#This Row],[Código]],TB_Produtos[Código],TB_Produtos[Preço Unitário])</f>
        <v>70.900000000000006</v>
      </c>
      <c r="H28" s="28">
        <f t="shared" si="0"/>
        <v>354.5</v>
      </c>
      <c r="I28" s="1" t="s">
        <v>85</v>
      </c>
    </row>
    <row r="29" spans="1:9" x14ac:dyDescent="0.25">
      <c r="A29" s="31">
        <f>MONTH(TB_Vendas[[#This Row],[Data]])</f>
        <v>3</v>
      </c>
      <c r="B29" s="29">
        <v>45006</v>
      </c>
      <c r="C29" s="1" t="s">
        <v>71</v>
      </c>
      <c r="D29" s="1">
        <f>LOOKUP(C29,TB_Produtos[Código],TB_Produtos[Tamanho])</f>
        <v>37</v>
      </c>
      <c r="E29" s="1" t="str">
        <f>LOOKUP(TB_Vendas[Código],TB_Produtos[Código],TB_Produtos[Categoria])</f>
        <v>Calçado</v>
      </c>
      <c r="F29" s="1">
        <v>2</v>
      </c>
      <c r="G29" s="96">
        <f>LOOKUP(TB_Vendas[[#This Row],[Código]],TB_Produtos[Código],TB_Produtos[Preço Unitário])</f>
        <v>255</v>
      </c>
      <c r="H29" s="28">
        <f t="shared" si="0"/>
        <v>510</v>
      </c>
      <c r="I29" s="1" t="s">
        <v>83</v>
      </c>
    </row>
    <row r="30" spans="1:9" x14ac:dyDescent="0.25">
      <c r="A30" s="31">
        <f>MONTH(TB_Vendas[[#This Row],[Data]])</f>
        <v>3</v>
      </c>
      <c r="B30" s="29">
        <v>45010</v>
      </c>
      <c r="C30" s="1" t="s">
        <v>45</v>
      </c>
      <c r="D30" s="1" t="str">
        <f>LOOKUP(C30,TB_Produtos[Código],TB_Produtos[Tamanho])</f>
        <v>G</v>
      </c>
      <c r="E30" s="1" t="str">
        <f>LOOKUP(TB_Vendas[Código],TB_Produtos[Código],TB_Produtos[Categoria])</f>
        <v>Vestuário</v>
      </c>
      <c r="F30" s="1">
        <v>3</v>
      </c>
      <c r="G30" s="96">
        <f>LOOKUP(TB_Vendas[[#This Row],[Código]],TB_Produtos[Código],TB_Produtos[Preço Unitário])</f>
        <v>70.900000000000006</v>
      </c>
      <c r="H30" s="28">
        <f t="shared" si="0"/>
        <v>212.70000000000002</v>
      </c>
      <c r="I30" s="1" t="s">
        <v>82</v>
      </c>
    </row>
    <row r="31" spans="1:9" x14ac:dyDescent="0.25">
      <c r="A31" s="31">
        <f>MONTH(TB_Vendas[[#This Row],[Data]])</f>
        <v>4</v>
      </c>
      <c r="B31" s="29">
        <v>45018</v>
      </c>
      <c r="C31" s="1" t="s">
        <v>64</v>
      </c>
      <c r="D31" s="1" t="str">
        <f>LOOKUP(C31,TB_Produtos[Código],TB_Produtos[Tamanho])</f>
        <v>G</v>
      </c>
      <c r="E31" s="1" t="str">
        <f>LOOKUP(TB_Vendas[Código],TB_Produtos[Código],TB_Produtos[Categoria])</f>
        <v>Vestuário</v>
      </c>
      <c r="F31" s="1">
        <v>1</v>
      </c>
      <c r="G31" s="96">
        <f>LOOKUP(TB_Vendas[[#This Row],[Código]],TB_Produtos[Código],TB_Produtos[Preço Unitário])</f>
        <v>300</v>
      </c>
      <c r="H31" s="28">
        <f t="shared" si="0"/>
        <v>300</v>
      </c>
      <c r="I31" s="1" t="s">
        <v>85</v>
      </c>
    </row>
    <row r="32" spans="1:9" x14ac:dyDescent="0.25">
      <c r="A32" s="31">
        <f>MONTH(TB_Vendas[[#This Row],[Data]])</f>
        <v>4</v>
      </c>
      <c r="B32" s="29">
        <v>45020</v>
      </c>
      <c r="C32" s="1" t="s">
        <v>70</v>
      </c>
      <c r="D32" s="1">
        <f>LOOKUP(C32,TB_Produtos[Código],TB_Produtos[Tamanho])</f>
        <v>36</v>
      </c>
      <c r="E32" s="1" t="str">
        <f>LOOKUP(TB_Vendas[Código],TB_Produtos[Código],TB_Produtos[Categoria])</f>
        <v>Calçado</v>
      </c>
      <c r="F32" s="1">
        <v>4</v>
      </c>
      <c r="G32" s="96">
        <f>LOOKUP(TB_Vendas[[#This Row],[Código]],TB_Produtos[Código],TB_Produtos[Preço Unitário])</f>
        <v>249.9</v>
      </c>
      <c r="H32" s="28">
        <f t="shared" si="0"/>
        <v>999.6</v>
      </c>
      <c r="I32" s="1" t="s">
        <v>85</v>
      </c>
    </row>
    <row r="33" spans="1:9" x14ac:dyDescent="0.25">
      <c r="A33" s="31">
        <f>MONTH(TB_Vendas[[#This Row],[Data]])</f>
        <v>4</v>
      </c>
      <c r="B33" s="29">
        <v>45024</v>
      </c>
      <c r="C33" s="1" t="s">
        <v>80</v>
      </c>
      <c r="D33" s="1" t="str">
        <f>LOOKUP(C33,TB_Produtos[Código],TB_Produtos[Tamanho])</f>
        <v>M</v>
      </c>
      <c r="E33" s="1" t="str">
        <f>LOOKUP(TB_Vendas[Código],TB_Produtos[Código],TB_Produtos[Categoria])</f>
        <v>Vestuário</v>
      </c>
      <c r="F33" s="1">
        <v>3</v>
      </c>
      <c r="G33" s="96">
        <f>LOOKUP(TB_Vendas[[#This Row],[Código]],TB_Produtos[Código],TB_Produtos[Preço Unitário])</f>
        <v>142.9</v>
      </c>
      <c r="H33" s="28">
        <f t="shared" si="0"/>
        <v>428.70000000000005</v>
      </c>
      <c r="I33" s="1" t="s">
        <v>82</v>
      </c>
    </row>
    <row r="34" spans="1:9" x14ac:dyDescent="0.25">
      <c r="A34" s="31">
        <f>MONTH(TB_Vendas[[#This Row],[Data]])</f>
        <v>4</v>
      </c>
      <c r="B34" s="29">
        <v>45027</v>
      </c>
      <c r="C34" s="1" t="s">
        <v>43</v>
      </c>
      <c r="D34" s="1" t="str">
        <f>LOOKUP(C34,TB_Produtos[Código],TB_Produtos[Tamanho])</f>
        <v>P</v>
      </c>
      <c r="E34" s="1" t="str">
        <f>LOOKUP(TB_Vendas[Código],TB_Produtos[Código],TB_Produtos[Categoria])</f>
        <v>Vestuário</v>
      </c>
      <c r="F34" s="1">
        <v>2</v>
      </c>
      <c r="G34" s="96">
        <f>LOOKUP(TB_Vendas[[#This Row],[Código]],TB_Produtos[Código],TB_Produtos[Preço Unitário])</f>
        <v>65.900000000000006</v>
      </c>
      <c r="H34" s="28">
        <f t="shared" si="0"/>
        <v>131.80000000000001</v>
      </c>
      <c r="I34" s="1" t="s">
        <v>83</v>
      </c>
    </row>
    <row r="35" spans="1:9" x14ac:dyDescent="0.25">
      <c r="A35" s="31">
        <f>MONTH(TB_Vendas[[#This Row],[Data]])</f>
        <v>4</v>
      </c>
      <c r="B35" s="29">
        <v>45028</v>
      </c>
      <c r="C35" s="1" t="s">
        <v>51</v>
      </c>
      <c r="D35" s="1" t="str">
        <f>LOOKUP(C35,TB_Produtos[Código],TB_Produtos[Tamanho])</f>
        <v>G</v>
      </c>
      <c r="E35" s="1" t="str">
        <f>LOOKUP(TB_Vendas[Código],TB_Produtos[Código],TB_Produtos[Categoria])</f>
        <v>Vestuário</v>
      </c>
      <c r="F35" s="1">
        <v>1</v>
      </c>
      <c r="G35" s="96">
        <f>LOOKUP(TB_Vendas[[#This Row],[Código]],TB_Produtos[Código],TB_Produtos[Preço Unitário])</f>
        <v>92.9</v>
      </c>
      <c r="H35" s="28">
        <f t="shared" ref="H35:H66" si="1">F35*G35</f>
        <v>92.9</v>
      </c>
      <c r="I35" s="1" t="s">
        <v>85</v>
      </c>
    </row>
    <row r="36" spans="1:9" x14ac:dyDescent="0.25">
      <c r="A36" s="31">
        <f>MONTH(TB_Vendas[[#This Row],[Data]])</f>
        <v>4</v>
      </c>
      <c r="B36" s="29">
        <v>45029</v>
      </c>
      <c r="C36" s="1" t="s">
        <v>55</v>
      </c>
      <c r="D36" s="1" t="str">
        <f>LOOKUP(C36,TB_Produtos[Código],TB_Produtos[Tamanho])</f>
        <v>P</v>
      </c>
      <c r="E36" s="1" t="str">
        <f>LOOKUP(TB_Vendas[Código],TB_Produtos[Código],TB_Produtos[Categoria])</f>
        <v>Vestuário</v>
      </c>
      <c r="F36" s="1">
        <v>3</v>
      </c>
      <c r="G36" s="96">
        <f>LOOKUP(TB_Vendas[[#This Row],[Código]],TB_Produtos[Código],TB_Produtos[Preço Unitário])</f>
        <v>39.9</v>
      </c>
      <c r="H36" s="28">
        <f t="shared" si="1"/>
        <v>119.69999999999999</v>
      </c>
      <c r="I36" s="1" t="s">
        <v>85</v>
      </c>
    </row>
    <row r="37" spans="1:9" x14ac:dyDescent="0.25">
      <c r="A37" s="31">
        <f>MONTH(TB_Vendas[[#This Row],[Data]])</f>
        <v>4</v>
      </c>
      <c r="B37" s="29">
        <v>45031</v>
      </c>
      <c r="C37" s="1" t="s">
        <v>63</v>
      </c>
      <c r="D37" s="1" t="str">
        <f>LOOKUP(C37,TB_Produtos[Código],TB_Produtos[Tamanho])</f>
        <v>M</v>
      </c>
      <c r="E37" s="1" t="str">
        <f>LOOKUP(TB_Vendas[Código],TB_Produtos[Código],TB_Produtos[Categoria])</f>
        <v>Vestuário</v>
      </c>
      <c r="F37" s="1">
        <v>4</v>
      </c>
      <c r="G37" s="96">
        <f>LOOKUP(TB_Vendas[[#This Row],[Código]],TB_Produtos[Código],TB_Produtos[Preço Unitário])</f>
        <v>302.89999999999998</v>
      </c>
      <c r="H37" s="28">
        <f t="shared" si="1"/>
        <v>1211.5999999999999</v>
      </c>
      <c r="I37" s="1" t="s">
        <v>82</v>
      </c>
    </row>
    <row r="38" spans="1:9" x14ac:dyDescent="0.25">
      <c r="A38" s="31">
        <f>MONTH(TB_Vendas[[#This Row],[Data]])</f>
        <v>4</v>
      </c>
      <c r="B38" s="29">
        <v>45038</v>
      </c>
      <c r="C38" s="1" t="s">
        <v>44</v>
      </c>
      <c r="D38" s="1" t="str">
        <f>LOOKUP(C38,TB_Produtos[Código],TB_Produtos[Tamanho])</f>
        <v>M</v>
      </c>
      <c r="E38" s="1" t="str">
        <f>LOOKUP(TB_Vendas[Código],TB_Produtos[Código],TB_Produtos[Categoria])</f>
        <v>Vestuário</v>
      </c>
      <c r="F38" s="1">
        <v>2</v>
      </c>
      <c r="G38" s="96">
        <f>LOOKUP(TB_Vendas[[#This Row],[Código]],TB_Produtos[Código],TB_Produtos[Preço Unitário])</f>
        <v>69.900000000000006</v>
      </c>
      <c r="H38" s="28">
        <f t="shared" si="1"/>
        <v>139.80000000000001</v>
      </c>
      <c r="I38" s="1" t="s">
        <v>82</v>
      </c>
    </row>
    <row r="39" spans="1:9" x14ac:dyDescent="0.25">
      <c r="A39" s="31">
        <f>MONTH(TB_Vendas[[#This Row],[Data]])</f>
        <v>4</v>
      </c>
      <c r="B39" s="29">
        <v>45039</v>
      </c>
      <c r="C39" s="1" t="s">
        <v>81</v>
      </c>
      <c r="D39" s="1" t="str">
        <f>LOOKUP(C39,TB_Produtos[Código],TB_Produtos[Tamanho])</f>
        <v>G</v>
      </c>
      <c r="E39" s="1" t="str">
        <f>LOOKUP(TB_Vendas[Código],TB_Produtos[Código],TB_Produtos[Categoria])</f>
        <v>Vestuário</v>
      </c>
      <c r="F39" s="1">
        <v>3</v>
      </c>
      <c r="G39" s="96">
        <f>LOOKUP(TB_Vendas[[#This Row],[Código]],TB_Produtos[Código],TB_Produtos[Preço Unitário])</f>
        <v>146</v>
      </c>
      <c r="H39" s="28">
        <f t="shared" si="1"/>
        <v>438</v>
      </c>
      <c r="I39" s="1" t="s">
        <v>85</v>
      </c>
    </row>
    <row r="40" spans="1:9" x14ac:dyDescent="0.25">
      <c r="A40" s="31">
        <f>MONTH(TB_Vendas[[#This Row],[Data]])</f>
        <v>4</v>
      </c>
      <c r="B40" s="29">
        <v>45042</v>
      </c>
      <c r="C40" s="1" t="s">
        <v>60</v>
      </c>
      <c r="D40" s="1" t="str">
        <f>LOOKUP(C40,TB_Produtos[Código],TB_Produtos[Tamanho])</f>
        <v>G</v>
      </c>
      <c r="E40" s="1" t="str">
        <f>LOOKUP(TB_Vendas[Código],TB_Produtos[Código],TB_Produtos[Categoria])</f>
        <v>Vestuário</v>
      </c>
      <c r="F40" s="1">
        <v>1</v>
      </c>
      <c r="G40" s="96">
        <f>LOOKUP(TB_Vendas[[#This Row],[Código]],TB_Produtos[Código],TB_Produtos[Preço Unitário])</f>
        <v>32.9</v>
      </c>
      <c r="H40" s="28">
        <f t="shared" si="1"/>
        <v>32.9</v>
      </c>
      <c r="I40" s="1" t="s">
        <v>83</v>
      </c>
    </row>
    <row r="41" spans="1:9" x14ac:dyDescent="0.25">
      <c r="A41" s="31">
        <f>MONTH(TB_Vendas[[#This Row],[Data]])</f>
        <v>4</v>
      </c>
      <c r="B41" s="29">
        <v>45043</v>
      </c>
      <c r="C41" s="1" t="s">
        <v>56</v>
      </c>
      <c r="D41" s="1" t="str">
        <f>LOOKUP(C41,TB_Produtos[Código],TB_Produtos[Tamanho])</f>
        <v>M</v>
      </c>
      <c r="E41" s="1" t="str">
        <f>LOOKUP(TB_Vendas[Código],TB_Produtos[Código],TB_Produtos[Categoria])</f>
        <v>Vestuário</v>
      </c>
      <c r="F41" s="1">
        <v>4</v>
      </c>
      <c r="G41" s="96">
        <f>LOOKUP(TB_Vendas[[#This Row],[Código]],TB_Produtos[Código],TB_Produtos[Preço Unitário])</f>
        <v>39.9</v>
      </c>
      <c r="H41" s="28">
        <f t="shared" si="1"/>
        <v>159.6</v>
      </c>
      <c r="I41" s="1" t="s">
        <v>83</v>
      </c>
    </row>
    <row r="42" spans="1:9" x14ac:dyDescent="0.25">
      <c r="A42" s="31">
        <f>MONTH(TB_Vendas[[#This Row],[Data]])</f>
        <v>5</v>
      </c>
      <c r="B42" s="29">
        <v>45054</v>
      </c>
      <c r="C42" s="1" t="s">
        <v>67</v>
      </c>
      <c r="D42" s="1" t="str">
        <f>LOOKUP(C42,TB_Produtos[Código],TB_Produtos[Tamanho])</f>
        <v>G</v>
      </c>
      <c r="E42" s="1" t="str">
        <f>LOOKUP(TB_Vendas[Código],TB_Produtos[Código],TB_Produtos[Categoria])</f>
        <v>Vestuário</v>
      </c>
      <c r="F42" s="1">
        <v>2</v>
      </c>
      <c r="G42" s="96">
        <f>LOOKUP(TB_Vendas[[#This Row],[Código]],TB_Produtos[Código],TB_Produtos[Preço Unitário])</f>
        <v>299.89999999999998</v>
      </c>
      <c r="H42" s="28">
        <f t="shared" si="1"/>
        <v>599.79999999999995</v>
      </c>
      <c r="I42" s="1" t="s">
        <v>82</v>
      </c>
    </row>
    <row r="43" spans="1:9" x14ac:dyDescent="0.25">
      <c r="A43" s="31">
        <f>MONTH(TB_Vendas[[#This Row],[Data]])</f>
        <v>5</v>
      </c>
      <c r="B43" s="29">
        <v>45055</v>
      </c>
      <c r="C43" s="1" t="s">
        <v>57</v>
      </c>
      <c r="D43" s="1" t="str">
        <f>LOOKUP(C43,TB_Produtos[Código],TB_Produtos[Tamanho])</f>
        <v>G</v>
      </c>
      <c r="E43" s="1" t="str">
        <f>LOOKUP(TB_Vendas[Código],TB_Produtos[Código],TB_Produtos[Categoria])</f>
        <v>Vestuário</v>
      </c>
      <c r="F43" s="1">
        <v>3</v>
      </c>
      <c r="G43" s="96">
        <f>LOOKUP(TB_Vendas[[#This Row],[Código]],TB_Produtos[Código],TB_Produtos[Preço Unitário])</f>
        <v>42.5</v>
      </c>
      <c r="H43" s="28">
        <f t="shared" si="1"/>
        <v>127.5</v>
      </c>
      <c r="I43" s="1" t="s">
        <v>82</v>
      </c>
    </row>
    <row r="44" spans="1:9" x14ac:dyDescent="0.25">
      <c r="A44" s="31">
        <f>MONTH(TB_Vendas[[#This Row],[Data]])</f>
        <v>5</v>
      </c>
      <c r="B44" s="29">
        <v>45056</v>
      </c>
      <c r="C44" s="1" t="s">
        <v>74</v>
      </c>
      <c r="D44" s="1">
        <f>LOOKUP(C44,TB_Produtos[Código],TB_Produtos[Tamanho])</f>
        <v>37</v>
      </c>
      <c r="E44" s="1" t="str">
        <f>LOOKUP(TB_Vendas[Código],TB_Produtos[Código],TB_Produtos[Categoria])</f>
        <v>Calçado</v>
      </c>
      <c r="F44" s="1">
        <v>1</v>
      </c>
      <c r="G44" s="96">
        <f>LOOKUP(TB_Vendas[[#This Row],[Código]],TB_Produtos[Código],TB_Produtos[Preço Unitário])</f>
        <v>249.9</v>
      </c>
      <c r="H44" s="28">
        <f t="shared" si="1"/>
        <v>249.9</v>
      </c>
      <c r="I44" s="1" t="s">
        <v>85</v>
      </c>
    </row>
    <row r="45" spans="1:9" x14ac:dyDescent="0.25">
      <c r="A45" s="31">
        <f>MONTH(TB_Vendas[[#This Row],[Data]])</f>
        <v>5</v>
      </c>
      <c r="B45" s="29">
        <v>45057</v>
      </c>
      <c r="C45" s="1" t="s">
        <v>74</v>
      </c>
      <c r="D45" s="1">
        <f>LOOKUP(C45,TB_Produtos[Código],TB_Produtos[Tamanho])</f>
        <v>37</v>
      </c>
      <c r="E45" s="1" t="str">
        <f>LOOKUP(TB_Vendas[Código],TB_Produtos[Código],TB_Produtos[Categoria])</f>
        <v>Calçado</v>
      </c>
      <c r="F45" s="1">
        <v>2</v>
      </c>
      <c r="G45" s="96">
        <f>LOOKUP(TB_Vendas[[#This Row],[Código]],TB_Produtos[Código],TB_Produtos[Preço Unitário])</f>
        <v>249.9</v>
      </c>
      <c r="H45" s="28">
        <f t="shared" si="1"/>
        <v>499.8</v>
      </c>
      <c r="I45" s="1" t="s">
        <v>83</v>
      </c>
    </row>
    <row r="46" spans="1:9" x14ac:dyDescent="0.25">
      <c r="A46" s="31">
        <f>MONTH(TB_Vendas[[#This Row],[Data]])</f>
        <v>5</v>
      </c>
      <c r="B46" s="29">
        <v>45058</v>
      </c>
      <c r="C46" s="1" t="s">
        <v>54</v>
      </c>
      <c r="D46" s="1" t="str">
        <f>LOOKUP(C46,TB_Produtos[Código],TB_Produtos[Tamanho])</f>
        <v>G</v>
      </c>
      <c r="E46" s="1" t="str">
        <f>LOOKUP(TB_Vendas[Código],TB_Produtos[Código],TB_Produtos[Categoria])</f>
        <v>Vestuário</v>
      </c>
      <c r="F46" s="1">
        <v>3</v>
      </c>
      <c r="G46" s="96">
        <f>LOOKUP(TB_Vendas[[#This Row],[Código]],TB_Produtos[Código],TB_Produtos[Preço Unitário])</f>
        <v>48.9</v>
      </c>
      <c r="H46" s="28">
        <f t="shared" si="1"/>
        <v>146.69999999999999</v>
      </c>
      <c r="I46" s="1" t="s">
        <v>82</v>
      </c>
    </row>
    <row r="47" spans="1:9" x14ac:dyDescent="0.25">
      <c r="A47" s="31">
        <f>MONTH(TB_Vendas[[#This Row],[Data]])</f>
        <v>5</v>
      </c>
      <c r="B47" s="29">
        <v>45061</v>
      </c>
      <c r="C47" s="1" t="s">
        <v>61</v>
      </c>
      <c r="D47" s="1" t="str">
        <f>LOOKUP(C47,TB_Produtos[Código],TB_Produtos[Tamanho])</f>
        <v>Único</v>
      </c>
      <c r="E47" s="1" t="str">
        <f>LOOKUP(TB_Vendas[Código],TB_Produtos[Código],TB_Produtos[Categoria])</f>
        <v>Acessórios</v>
      </c>
      <c r="F47" s="1">
        <v>2</v>
      </c>
      <c r="G47" s="96">
        <f>LOOKUP(TB_Vendas[[#This Row],[Código]],TB_Produtos[Código],TB_Produtos[Preço Unitário])</f>
        <v>49.9</v>
      </c>
      <c r="H47" s="28">
        <f t="shared" si="1"/>
        <v>99.8</v>
      </c>
      <c r="I47" s="1" t="s">
        <v>83</v>
      </c>
    </row>
    <row r="48" spans="1:9" x14ac:dyDescent="0.25">
      <c r="A48" s="31">
        <f>MONTH(TB_Vendas[[#This Row],[Data]])</f>
        <v>5</v>
      </c>
      <c r="B48" s="29">
        <v>45064</v>
      </c>
      <c r="C48" s="1" t="s">
        <v>54</v>
      </c>
      <c r="D48" s="1" t="str">
        <f>LOOKUP(C48,TB_Produtos[Código],TB_Produtos[Tamanho])</f>
        <v>G</v>
      </c>
      <c r="E48" s="1" t="str">
        <f>LOOKUP(TB_Vendas[Código],TB_Produtos[Código],TB_Produtos[Categoria])</f>
        <v>Vestuário</v>
      </c>
      <c r="F48" s="1">
        <v>4</v>
      </c>
      <c r="G48" s="96">
        <f>LOOKUP(TB_Vendas[[#This Row],[Código]],TB_Produtos[Código],TB_Produtos[Preço Unitário])</f>
        <v>48.9</v>
      </c>
      <c r="H48" s="28">
        <f t="shared" si="1"/>
        <v>195.6</v>
      </c>
      <c r="I48" s="1" t="s">
        <v>85</v>
      </c>
    </row>
    <row r="49" spans="1:9" x14ac:dyDescent="0.25">
      <c r="A49" s="31">
        <f>MONTH(TB_Vendas[[#This Row],[Data]])</f>
        <v>6</v>
      </c>
      <c r="B49" s="29">
        <v>45084</v>
      </c>
      <c r="C49" s="1" t="s">
        <v>70</v>
      </c>
      <c r="D49" s="1">
        <f>LOOKUP(C49,TB_Produtos[Código],TB_Produtos[Tamanho])</f>
        <v>36</v>
      </c>
      <c r="E49" s="1" t="str">
        <f>LOOKUP(TB_Vendas[Código],TB_Produtos[Código],TB_Produtos[Categoria])</f>
        <v>Calçado</v>
      </c>
      <c r="F49" s="1">
        <v>3</v>
      </c>
      <c r="G49" s="96">
        <f>LOOKUP(TB_Vendas[[#This Row],[Código]],TB_Produtos[Código],TB_Produtos[Preço Unitário])</f>
        <v>249.9</v>
      </c>
      <c r="H49" s="28">
        <f t="shared" si="1"/>
        <v>749.7</v>
      </c>
      <c r="I49" s="1" t="s">
        <v>82</v>
      </c>
    </row>
    <row r="50" spans="1:9" x14ac:dyDescent="0.25">
      <c r="A50" s="31">
        <f>MONTH(TB_Vendas[[#This Row],[Data]])</f>
        <v>6</v>
      </c>
      <c r="B50" s="29">
        <v>45084</v>
      </c>
      <c r="C50" s="1" t="s">
        <v>64</v>
      </c>
      <c r="D50" s="1" t="str">
        <f>LOOKUP(C50,TB_Produtos[Código],TB_Produtos[Tamanho])</f>
        <v>G</v>
      </c>
      <c r="E50" s="1" t="str">
        <f>LOOKUP(TB_Vendas[Código],TB_Produtos[Código],TB_Produtos[Categoria])</f>
        <v>Vestuário</v>
      </c>
      <c r="F50" s="1">
        <v>2</v>
      </c>
      <c r="G50" s="96">
        <f>LOOKUP(TB_Vendas[[#This Row],[Código]],TB_Produtos[Código],TB_Produtos[Preço Unitário])</f>
        <v>300</v>
      </c>
      <c r="H50" s="28">
        <f t="shared" si="1"/>
        <v>600</v>
      </c>
      <c r="I50" s="1" t="s">
        <v>85</v>
      </c>
    </row>
    <row r="51" spans="1:9" x14ac:dyDescent="0.25">
      <c r="A51" s="31">
        <f>MONTH(TB_Vendas[[#This Row],[Data]])</f>
        <v>6</v>
      </c>
      <c r="B51" s="29">
        <v>45086</v>
      </c>
      <c r="C51" s="1" t="s">
        <v>61</v>
      </c>
      <c r="D51" s="1" t="str">
        <f>LOOKUP(C51,TB_Produtos[Código],TB_Produtos[Tamanho])</f>
        <v>Único</v>
      </c>
      <c r="E51" s="1" t="str">
        <f>LOOKUP(TB_Vendas[Código],TB_Produtos[Código],TB_Produtos[Categoria])</f>
        <v>Acessórios</v>
      </c>
      <c r="F51" s="1">
        <v>2</v>
      </c>
      <c r="G51" s="96">
        <f>LOOKUP(TB_Vendas[[#This Row],[Código]],TB_Produtos[Código],TB_Produtos[Preço Unitário])</f>
        <v>49.9</v>
      </c>
      <c r="H51" s="28">
        <f t="shared" si="1"/>
        <v>99.8</v>
      </c>
      <c r="I51" s="1" t="s">
        <v>85</v>
      </c>
    </row>
    <row r="52" spans="1:9" x14ac:dyDescent="0.25">
      <c r="A52" s="31">
        <f>MONTH(TB_Vendas[[#This Row],[Data]])</f>
        <v>6</v>
      </c>
      <c r="B52" s="29">
        <v>45086</v>
      </c>
      <c r="C52" s="1" t="s">
        <v>78</v>
      </c>
      <c r="D52" s="1" t="str">
        <f>LOOKUP(C52,TB_Produtos[Código],TB_Produtos[Tamanho])</f>
        <v>G</v>
      </c>
      <c r="E52" s="1" t="str">
        <f>LOOKUP(TB_Vendas[Código],TB_Produtos[Código],TB_Produtos[Categoria])</f>
        <v>Vestuário</v>
      </c>
      <c r="F52" s="1">
        <v>2</v>
      </c>
      <c r="G52" s="96">
        <f>LOOKUP(TB_Vendas[[#This Row],[Código]],TB_Produtos[Código],TB_Produtos[Preço Unitário])</f>
        <v>93.5</v>
      </c>
      <c r="H52" s="28">
        <f t="shared" si="1"/>
        <v>187</v>
      </c>
      <c r="I52" s="1" t="s">
        <v>83</v>
      </c>
    </row>
    <row r="53" spans="1:9" x14ac:dyDescent="0.25">
      <c r="A53" s="31">
        <f>MONTH(TB_Vendas[[#This Row],[Data]])</f>
        <v>6</v>
      </c>
      <c r="B53" s="29">
        <v>45088</v>
      </c>
      <c r="C53" s="1" t="s">
        <v>46</v>
      </c>
      <c r="D53" s="1" t="str">
        <f>LOOKUP(C53,TB_Produtos[Código],TB_Produtos[Tamanho])</f>
        <v>Único</v>
      </c>
      <c r="E53" s="1" t="str">
        <f>LOOKUP(TB_Vendas[Código],TB_Produtos[Código],TB_Produtos[Categoria])</f>
        <v>Acessórios</v>
      </c>
      <c r="F53" s="1">
        <v>1</v>
      </c>
      <c r="G53" s="96">
        <f>LOOKUP(TB_Vendas[[#This Row],[Código]],TB_Produtos[Código],TB_Produtos[Preço Unitário])</f>
        <v>145</v>
      </c>
      <c r="H53" s="28">
        <f t="shared" si="1"/>
        <v>145</v>
      </c>
      <c r="I53" s="1" t="s">
        <v>82</v>
      </c>
    </row>
    <row r="54" spans="1:9" x14ac:dyDescent="0.25">
      <c r="A54" s="31">
        <f>MONTH(TB_Vendas[[#This Row],[Data]])</f>
        <v>6</v>
      </c>
      <c r="B54" s="29">
        <v>45090</v>
      </c>
      <c r="C54" s="1" t="s">
        <v>63</v>
      </c>
      <c r="D54" s="1" t="str">
        <f>LOOKUP(C54,TB_Produtos[Código],TB_Produtos[Tamanho])</f>
        <v>M</v>
      </c>
      <c r="E54" s="1" t="str">
        <f>LOOKUP(TB_Vendas[Código],TB_Produtos[Código],TB_Produtos[Categoria])</f>
        <v>Vestuário</v>
      </c>
      <c r="F54" s="1">
        <v>1</v>
      </c>
      <c r="G54" s="96">
        <f>LOOKUP(TB_Vendas[[#This Row],[Código]],TB_Produtos[Código],TB_Produtos[Preço Unitário])</f>
        <v>302.89999999999998</v>
      </c>
      <c r="H54" s="28">
        <f t="shared" si="1"/>
        <v>302.89999999999998</v>
      </c>
      <c r="I54" s="1" t="s">
        <v>82</v>
      </c>
    </row>
    <row r="55" spans="1:9" x14ac:dyDescent="0.25">
      <c r="A55" s="31">
        <f>MONTH(TB_Vendas[[#This Row],[Data]])</f>
        <v>6</v>
      </c>
      <c r="B55" s="29">
        <v>45093</v>
      </c>
      <c r="C55" s="1" t="s">
        <v>44</v>
      </c>
      <c r="D55" s="1" t="str">
        <f>LOOKUP(C55,TB_Produtos[Código],TB_Produtos[Tamanho])</f>
        <v>M</v>
      </c>
      <c r="E55" s="1" t="str">
        <f>LOOKUP(TB_Vendas[Código],TB_Produtos[Código],TB_Produtos[Categoria])</f>
        <v>Vestuário</v>
      </c>
      <c r="F55" s="1">
        <v>3</v>
      </c>
      <c r="G55" s="96">
        <f>LOOKUP(TB_Vendas[[#This Row],[Código]],TB_Produtos[Código],TB_Produtos[Preço Unitário])</f>
        <v>69.900000000000006</v>
      </c>
      <c r="H55" s="28">
        <f t="shared" si="1"/>
        <v>209.70000000000002</v>
      </c>
      <c r="I55" s="1" t="s">
        <v>82</v>
      </c>
    </row>
    <row r="56" spans="1:9" x14ac:dyDescent="0.25">
      <c r="A56" s="31">
        <f>MONTH(TB_Vendas[[#This Row],[Data]])</f>
        <v>6</v>
      </c>
      <c r="B56" s="29">
        <v>45093</v>
      </c>
      <c r="C56" s="1" t="s">
        <v>57</v>
      </c>
      <c r="D56" s="1" t="str">
        <f>LOOKUP(C56,TB_Produtos[Código],TB_Produtos[Tamanho])</f>
        <v>G</v>
      </c>
      <c r="E56" s="1" t="str">
        <f>LOOKUP(TB_Vendas[Código],TB_Produtos[Código],TB_Produtos[Categoria])</f>
        <v>Vestuário</v>
      </c>
      <c r="F56" s="1">
        <v>4</v>
      </c>
      <c r="G56" s="96">
        <f>LOOKUP(TB_Vendas[[#This Row],[Código]],TB_Produtos[Código],TB_Produtos[Preço Unitário])</f>
        <v>42.5</v>
      </c>
      <c r="H56" s="28">
        <f t="shared" si="1"/>
        <v>170</v>
      </c>
      <c r="I56" s="1" t="s">
        <v>85</v>
      </c>
    </row>
    <row r="57" spans="1:9" x14ac:dyDescent="0.25">
      <c r="A57" s="31">
        <f>MONTH(TB_Vendas[[#This Row],[Data]])</f>
        <v>6</v>
      </c>
      <c r="B57" s="29">
        <v>45094</v>
      </c>
      <c r="C57" s="1" t="s">
        <v>61</v>
      </c>
      <c r="D57" s="1" t="str">
        <f>LOOKUP(C57,TB_Produtos[Código],TB_Produtos[Tamanho])</f>
        <v>Único</v>
      </c>
      <c r="E57" s="1" t="str">
        <f>LOOKUP(TB_Vendas[Código],TB_Produtos[Código],TB_Produtos[Categoria])</f>
        <v>Acessórios</v>
      </c>
      <c r="F57" s="1">
        <v>2</v>
      </c>
      <c r="G57" s="96">
        <f>LOOKUP(TB_Vendas[[#This Row],[Código]],TB_Produtos[Código],TB_Produtos[Preço Unitário])</f>
        <v>49.9</v>
      </c>
      <c r="H57" s="28">
        <f t="shared" si="1"/>
        <v>99.8</v>
      </c>
      <c r="I57" s="1" t="s">
        <v>85</v>
      </c>
    </row>
    <row r="58" spans="1:9" x14ac:dyDescent="0.25">
      <c r="A58" s="31">
        <f>MONTH(TB_Vendas[[#This Row],[Data]])</f>
        <v>6</v>
      </c>
      <c r="B58" s="29">
        <v>45097</v>
      </c>
      <c r="C58" s="1" t="s">
        <v>44</v>
      </c>
      <c r="D58" s="1" t="str">
        <f>LOOKUP(C58,TB_Produtos[Código],TB_Produtos[Tamanho])</f>
        <v>M</v>
      </c>
      <c r="E58" s="1" t="str">
        <f>LOOKUP(TB_Vendas[Código],TB_Produtos[Código],TB_Produtos[Categoria])</f>
        <v>Vestuário</v>
      </c>
      <c r="F58" s="1">
        <v>1</v>
      </c>
      <c r="G58" s="96">
        <f>LOOKUP(TB_Vendas[[#This Row],[Código]],TB_Produtos[Código],TB_Produtos[Preço Unitário])</f>
        <v>69.900000000000006</v>
      </c>
      <c r="H58" s="28">
        <f t="shared" si="1"/>
        <v>69.900000000000006</v>
      </c>
      <c r="I58" s="1" t="s">
        <v>83</v>
      </c>
    </row>
    <row r="59" spans="1:9" x14ac:dyDescent="0.25">
      <c r="A59" s="31">
        <f>MONTH(TB_Vendas[[#This Row],[Data]])</f>
        <v>6</v>
      </c>
      <c r="B59" s="29">
        <v>45105</v>
      </c>
      <c r="C59" s="1" t="s">
        <v>50</v>
      </c>
      <c r="D59" s="1" t="str">
        <f>LOOKUP(C59,TB_Produtos[Código],TB_Produtos[Tamanho])</f>
        <v>M</v>
      </c>
      <c r="E59" s="1" t="str">
        <f>LOOKUP(TB_Vendas[Código],TB_Produtos[Código],TB_Produtos[Categoria])</f>
        <v>Vestuário</v>
      </c>
      <c r="F59" s="1">
        <v>5</v>
      </c>
      <c r="G59" s="96">
        <f>LOOKUP(TB_Vendas[[#This Row],[Código]],TB_Produtos[Código],TB_Produtos[Preço Unitário])</f>
        <v>89.9</v>
      </c>
      <c r="H59" s="28">
        <f t="shared" si="1"/>
        <v>449.5</v>
      </c>
      <c r="I59" s="1" t="s">
        <v>83</v>
      </c>
    </row>
    <row r="60" spans="1:9" x14ac:dyDescent="0.25">
      <c r="A60" s="31">
        <f>MONTH(TB_Vendas[[#This Row],[Data]])</f>
        <v>6</v>
      </c>
      <c r="B60" s="29">
        <v>45105</v>
      </c>
      <c r="C60" s="1" t="s">
        <v>79</v>
      </c>
      <c r="D60" s="1" t="str">
        <f>LOOKUP(C60,TB_Produtos[Código],TB_Produtos[Tamanho])</f>
        <v>P</v>
      </c>
      <c r="E60" s="1" t="str">
        <f>LOOKUP(TB_Vendas[Código],TB_Produtos[Código],TB_Produtos[Categoria])</f>
        <v>Vestuário</v>
      </c>
      <c r="F60" s="1">
        <v>2</v>
      </c>
      <c r="G60" s="96">
        <f>LOOKUP(TB_Vendas[[#This Row],[Código]],TB_Produtos[Código],TB_Produtos[Preço Unitário])</f>
        <v>140</v>
      </c>
      <c r="H60" s="28">
        <f t="shared" si="1"/>
        <v>280</v>
      </c>
      <c r="I60" s="1" t="s">
        <v>83</v>
      </c>
    </row>
    <row r="61" spans="1:9" x14ac:dyDescent="0.25">
      <c r="A61" s="31">
        <f>MONTH(TB_Vendas[[#This Row],[Data]])</f>
        <v>6</v>
      </c>
      <c r="B61" s="29">
        <v>45106</v>
      </c>
      <c r="C61" s="1" t="s">
        <v>48</v>
      </c>
      <c r="D61" s="1" t="str">
        <f>LOOKUP(C61,TB_Produtos[Código],TB_Produtos[Tamanho])</f>
        <v>Único</v>
      </c>
      <c r="E61" s="1" t="str">
        <f>LOOKUP(TB_Vendas[Código],TB_Produtos[Código],TB_Produtos[Categoria])</f>
        <v>Acessórios</v>
      </c>
      <c r="F61" s="1">
        <v>3</v>
      </c>
      <c r="G61" s="96">
        <f>LOOKUP(TB_Vendas[[#This Row],[Código]],TB_Produtos[Código],TB_Produtos[Preço Unitário])</f>
        <v>39.9</v>
      </c>
      <c r="H61" s="28">
        <f t="shared" si="1"/>
        <v>119.69999999999999</v>
      </c>
      <c r="I61" s="1" t="s">
        <v>85</v>
      </c>
    </row>
  </sheetData>
  <mergeCells count="1">
    <mergeCell ref="A1:I1"/>
  </mergeCells>
  <conditionalFormatting sqref="F2:G2">
    <cfRule type="cellIs" dxfId="3" priority="2" operator="equal">
      <formula>0</formula>
    </cfRule>
  </conditionalFormatting>
  <conditionalFormatting sqref="I3:I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B3" sqref="B3"/>
    </sheetView>
  </sheetViews>
  <sheetFormatPr defaultRowHeight="15" x14ac:dyDescent="0.25"/>
  <cols>
    <col min="2" max="4" width="21.28515625" customWidth="1"/>
    <col min="5" max="5" width="6" customWidth="1"/>
    <col min="6" max="8" width="21.28515625" customWidth="1"/>
  </cols>
  <sheetData>
    <row r="1" spans="1:8" s="23" customFormat="1" ht="48" customHeight="1" thickBot="1" x14ac:dyDescent="0.5">
      <c r="A1" s="92" t="s">
        <v>36</v>
      </c>
      <c r="B1" s="92"/>
      <c r="C1" s="92"/>
      <c r="D1" s="92"/>
      <c r="E1" s="92"/>
      <c r="F1" s="92"/>
      <c r="G1" s="92"/>
      <c r="H1" s="92"/>
    </row>
    <row r="2" spans="1:8" ht="33.75" customHeight="1" thickBot="1" x14ac:dyDescent="0.3">
      <c r="B2" s="93" t="s">
        <v>39</v>
      </c>
      <c r="C2" s="94"/>
      <c r="D2" s="95"/>
      <c r="F2" s="93" t="s">
        <v>22</v>
      </c>
      <c r="G2" s="94"/>
      <c r="H2" s="95"/>
    </row>
    <row r="3" spans="1:8" ht="63.75" customHeight="1" x14ac:dyDescent="0.25">
      <c r="B3" s="25" t="s">
        <v>37</v>
      </c>
      <c r="C3" s="25" t="s">
        <v>38</v>
      </c>
      <c r="D3" s="25" t="s">
        <v>40</v>
      </c>
      <c r="F3" s="25" t="s">
        <v>37</v>
      </c>
      <c r="G3" s="25" t="s">
        <v>38</v>
      </c>
      <c r="H3" s="25" t="s">
        <v>40</v>
      </c>
    </row>
    <row r="4" spans="1:8" ht="63.75" customHeight="1" thickBot="1" x14ac:dyDescent="0.3">
      <c r="B4" s="24" t="e">
        <f>COUNTIF(#REF!,"&gt;0")</f>
        <v>#REF!</v>
      </c>
      <c r="C4" s="24" t="e">
        <f>SUM(#REF!)</f>
        <v>#REF!</v>
      </c>
      <c r="D4" s="26" t="e">
        <f>AVERAGE(#REF!)</f>
        <v>#REF!</v>
      </c>
      <c r="F4" s="24" t="e">
        <f>COUNTIF(#REF!,F2)</f>
        <v>#REF!</v>
      </c>
      <c r="G4" s="24" t="e">
        <f>SUMIF(#REF!,F2,#REF!)</f>
        <v>#REF!</v>
      </c>
      <c r="H4" s="26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22" t="s">
        <v>1</v>
      </c>
      <c r="C2" s="22" t="s">
        <v>16</v>
      </c>
    </row>
    <row r="3" spans="2:8" x14ac:dyDescent="0.25">
      <c r="B3" s="4" t="s">
        <v>4</v>
      </c>
      <c r="C3" s="4" t="s">
        <v>35</v>
      </c>
    </row>
    <row r="5" spans="2:8" ht="15.75" thickBot="1" x14ac:dyDescent="0.3"/>
    <row r="6" spans="2:8" ht="19.5" thickBot="1" x14ac:dyDescent="0.35">
      <c r="B6" s="12" t="s">
        <v>0</v>
      </c>
      <c r="C6" s="13" t="s">
        <v>1</v>
      </c>
      <c r="D6" s="13" t="s">
        <v>10</v>
      </c>
      <c r="E6" s="13" t="s">
        <v>11</v>
      </c>
      <c r="F6" s="13" t="s">
        <v>20</v>
      </c>
      <c r="G6" s="14" t="s">
        <v>16</v>
      </c>
      <c r="H6" s="13" t="s">
        <v>18</v>
      </c>
    </row>
    <row r="7" spans="2:8" x14ac:dyDescent="0.25">
      <c r="B7" s="9" t="s">
        <v>27</v>
      </c>
      <c r="C7" s="10" t="s">
        <v>4</v>
      </c>
      <c r="D7" s="11" t="s">
        <v>12</v>
      </c>
      <c r="E7" s="17">
        <v>92.9</v>
      </c>
      <c r="F7" s="17">
        <v>83.61</v>
      </c>
      <c r="G7" s="18">
        <v>6</v>
      </c>
      <c r="H7" s="17">
        <v>501.65999999999997</v>
      </c>
    </row>
    <row r="8" spans="2:8" x14ac:dyDescent="0.25">
      <c r="B8" s="9" t="s">
        <v>30</v>
      </c>
      <c r="C8" s="10" t="s">
        <v>4</v>
      </c>
      <c r="D8" s="11" t="s">
        <v>12</v>
      </c>
      <c r="E8" s="17">
        <v>48.9</v>
      </c>
      <c r="F8" s="17">
        <v>44.01</v>
      </c>
      <c r="G8" s="18">
        <v>2</v>
      </c>
      <c r="H8" s="17">
        <v>88.02</v>
      </c>
    </row>
    <row r="9" spans="2:8" x14ac:dyDescent="0.25">
      <c r="B9" s="9" t="s">
        <v>22</v>
      </c>
      <c r="C9" s="10" t="s">
        <v>4</v>
      </c>
      <c r="D9" s="11" t="s">
        <v>12</v>
      </c>
      <c r="E9" s="17">
        <v>42.5</v>
      </c>
      <c r="F9" s="17">
        <v>38.25</v>
      </c>
      <c r="G9" s="18">
        <v>6</v>
      </c>
      <c r="H9" s="17">
        <v>229.5</v>
      </c>
    </row>
    <row r="10" spans="2:8" x14ac:dyDescent="0.25">
      <c r="B10" s="9" t="s">
        <v>9</v>
      </c>
      <c r="C10" s="10" t="s">
        <v>4</v>
      </c>
      <c r="D10" s="11" t="s">
        <v>12</v>
      </c>
      <c r="E10" s="17">
        <v>32.9</v>
      </c>
      <c r="F10" s="17">
        <v>29.61</v>
      </c>
      <c r="G10" s="18">
        <v>6</v>
      </c>
      <c r="H10" s="17">
        <v>177.66</v>
      </c>
    </row>
    <row r="11" spans="2:8" x14ac:dyDescent="0.25">
      <c r="B11" s="5" t="s">
        <v>26</v>
      </c>
      <c r="C11" s="4" t="s">
        <v>4</v>
      </c>
      <c r="D11" s="3" t="s">
        <v>12</v>
      </c>
      <c r="E11" s="15">
        <v>299.89999999999998</v>
      </c>
      <c r="F11" s="15">
        <v>269.90999999999997</v>
      </c>
      <c r="G11" s="19">
        <v>1</v>
      </c>
      <c r="H11" s="15">
        <v>269.90999999999997</v>
      </c>
    </row>
    <row r="12" spans="2:8" x14ac:dyDescent="0.25">
      <c r="B12" s="5" t="s">
        <v>25</v>
      </c>
      <c r="C12" s="4" t="s">
        <v>4</v>
      </c>
      <c r="D12" s="3" t="s">
        <v>12</v>
      </c>
      <c r="E12" s="15">
        <v>299.89999999999998</v>
      </c>
      <c r="F12" s="15">
        <v>269.90999999999997</v>
      </c>
      <c r="G12" s="19">
        <v>1</v>
      </c>
      <c r="H12" s="15">
        <v>269.90999999999997</v>
      </c>
    </row>
    <row r="13" spans="2:8" x14ac:dyDescent="0.25">
      <c r="B13" s="5" t="s">
        <v>29</v>
      </c>
      <c r="C13" s="4" t="s">
        <v>4</v>
      </c>
      <c r="D13" s="3" t="s">
        <v>12</v>
      </c>
      <c r="E13" s="15">
        <v>93.5</v>
      </c>
      <c r="F13" s="15">
        <v>84.15</v>
      </c>
      <c r="G13" s="19">
        <v>2</v>
      </c>
      <c r="H13" s="15">
        <v>168.3</v>
      </c>
    </row>
    <row r="14" spans="2:8" ht="15.75" thickBot="1" x14ac:dyDescent="0.3">
      <c r="B14" s="6" t="s">
        <v>28</v>
      </c>
      <c r="C14" s="7" t="s">
        <v>4</v>
      </c>
      <c r="D14" s="8" t="s">
        <v>12</v>
      </c>
      <c r="E14" s="16">
        <v>146</v>
      </c>
      <c r="F14" s="16">
        <v>131.4</v>
      </c>
      <c r="G14" s="20">
        <v>2</v>
      </c>
      <c r="H14" s="16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7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Planilha3</vt:lpstr>
      <vt:lpstr>Produtos</vt:lpstr>
      <vt:lpstr>Dados</vt:lpstr>
      <vt:lpstr>dashboard</vt:lpstr>
      <vt:lpstr>Vendas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Daniel Brown</cp:lastModifiedBy>
  <cp:lastPrinted>2023-06-07T14:57:58Z</cp:lastPrinted>
  <dcterms:created xsi:type="dcterms:W3CDTF">2023-06-02T17:54:12Z</dcterms:created>
  <dcterms:modified xsi:type="dcterms:W3CDTF">2024-10-31T10:24:52Z</dcterms:modified>
</cp:coreProperties>
</file>