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mc:AlternateContent xmlns:mc="http://schemas.openxmlformats.org/markup-compatibility/2006">
    <mc:Choice Requires="x15">
      <x15ac:absPath xmlns:x15ac="http://schemas.microsoft.com/office/spreadsheetml/2010/11/ac" url="https://d.docs.live.net/fce3bf280eb8d13e/FINM3406 Group 16/"/>
    </mc:Choice>
  </mc:AlternateContent>
  <xr:revisionPtr revIDLastSave="0" documentId="8_{E79E5DCA-B8D5-4B0E-9B92-E4AAA5F8C139}" xr6:coauthVersionLast="47" xr6:coauthVersionMax="47" xr10:uidLastSave="{00000000-0000-0000-0000-000000000000}"/>
  <bookViews>
    <workbookView xWindow="0" yWindow="760" windowWidth="30240" windowHeight="17500" firstSheet="10" activeTab="10" xr2:uid="{28491DD9-49AC-E842-868E-1E4C2BC7FF1C}"/>
  </bookViews>
  <sheets>
    <sheet name="Cover" sheetId="5" r:id="rId1"/>
    <sheet name="Assumptions" sheetId="6" r:id="rId2"/>
    <sheet name="Development Schedule" sheetId="11" r:id="rId3"/>
    <sheet name="Rent Schedule" sheetId="9" r:id="rId4"/>
    <sheet name="Expenditure Schedule" sheetId="14" r:id="rId5"/>
    <sheet name="Debt &amp; Equity Schedule" sheetId="15" r:id="rId6"/>
    <sheet name="DCF" sheetId="3" r:id="rId7"/>
    <sheet name="Hypothetical Development" sheetId="4" r:id="rId8"/>
    <sheet name="Financial Statements" sheetId="7" r:id="rId9"/>
    <sheet name="Sensitivity Analysis" sheetId="8" r:id="rId10"/>
    <sheet name="Graphs" sheetId="18" r:id="rId11"/>
  </sheets>
  <definedNames>
    <definedName name="solver_eng" localSheetId="9" hidden="1">1</definedName>
    <definedName name="solver_lin" localSheetId="9" hidden="1">2</definedName>
    <definedName name="solver_neg" localSheetId="9" hidden="1">1</definedName>
    <definedName name="solver_num" localSheetId="9" hidden="1">0</definedName>
    <definedName name="solver_opt" localSheetId="9" hidden="1">'Sensitivity Analysis'!$D$10</definedName>
    <definedName name="solver_typ" localSheetId="9" hidden="1">1</definedName>
    <definedName name="solver_val" localSheetId="9" hidden="1">0</definedName>
    <definedName name="solver_ver" localSheetId="9" hidden="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 i="8" l="1"/>
  <c r="D37" i="8"/>
  <c r="D35" i="8"/>
  <c r="D33" i="8"/>
  <c r="D32" i="8"/>
  <c r="D31" i="8"/>
  <c r="I30" i="8"/>
  <c r="J30" i="8"/>
  <c r="K30" i="8"/>
  <c r="G30" i="8"/>
  <c r="F30" i="8"/>
  <c r="E30" i="8"/>
  <c r="I20" i="8"/>
  <c r="J20" i="8"/>
  <c r="K20" i="8"/>
  <c r="G20" i="8"/>
  <c r="F20" i="8"/>
  <c r="E20" i="8"/>
  <c r="D27" i="8"/>
  <c r="D26" i="8"/>
  <c r="D25" i="8"/>
  <c r="D23" i="8"/>
  <c r="D22" i="8"/>
  <c r="D21" i="8"/>
  <c r="D16" i="8"/>
  <c r="D17" i="8"/>
  <c r="D15" i="8"/>
  <c r="D12" i="8"/>
  <c r="D11" i="8"/>
  <c r="D13" i="8"/>
  <c r="Y33" i="3"/>
  <c r="L22" i="11"/>
  <c r="L20" i="11"/>
  <c r="L18" i="11"/>
  <c r="L16" i="11"/>
  <c r="L13" i="11"/>
  <c r="L10" i="11"/>
  <c r="C84" i="11"/>
  <c r="C7" i="8"/>
  <c r="D51" i="8"/>
  <c r="D50" i="8"/>
  <c r="D49" i="8"/>
  <c r="C51" i="8"/>
  <c r="C50" i="8"/>
  <c r="C49" i="8"/>
  <c r="D47" i="8"/>
  <c r="D46" i="8"/>
  <c r="D45" i="8"/>
  <c r="C47" i="8"/>
  <c r="C46" i="8"/>
  <c r="C45" i="8"/>
  <c r="D43" i="8"/>
  <c r="D42" i="8"/>
  <c r="D41" i="8"/>
  <c r="C43" i="8"/>
  <c r="C42" i="8"/>
  <c r="C41" i="8"/>
  <c r="C29" i="4"/>
  <c r="C33" i="4"/>
  <c r="D9" i="4"/>
  <c r="E33" i="11"/>
  <c r="E36" i="11"/>
  <c r="E39" i="11"/>
  <c r="E41" i="11"/>
  <c r="Q56" i="18"/>
  <c r="R56" i="18"/>
  <c r="S56" i="18"/>
  <c r="P56" i="18"/>
  <c r="T27" i="18"/>
  <c r="U27" i="18"/>
  <c r="V27" i="18"/>
  <c r="S27" i="18"/>
  <c r="P27" i="18"/>
  <c r="Q27" i="18"/>
  <c r="R27" i="18"/>
  <c r="O27" i="18"/>
  <c r="V28" i="18"/>
  <c r="U28" i="18"/>
  <c r="T28" i="18"/>
  <c r="S28" i="18"/>
  <c r="R28" i="18"/>
  <c r="Q28" i="18"/>
  <c r="P28" i="18"/>
  <c r="O28"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30" i="18"/>
  <c r="N157" i="18"/>
  <c r="N158" i="18"/>
  <c r="N159" i="18"/>
  <c r="N160" i="18"/>
  <c r="N161" i="18"/>
  <c r="N162" i="18"/>
  <c r="N163" i="18"/>
  <c r="N164" i="18"/>
  <c r="N165" i="18"/>
  <c r="N166" i="18"/>
  <c r="N167" i="18"/>
  <c r="N168" i="18"/>
  <c r="N169" i="18"/>
  <c r="N170" i="18"/>
  <c r="N171" i="18"/>
  <c r="N172" i="18"/>
  <c r="N173" i="18"/>
  <c r="N174" i="18"/>
  <c r="N175" i="18"/>
  <c r="N156" i="18"/>
  <c r="K157" i="18"/>
  <c r="K158" i="18"/>
  <c r="K159" i="18"/>
  <c r="K160" i="18"/>
  <c r="K161" i="18"/>
  <c r="K162" i="18"/>
  <c r="K163" i="18"/>
  <c r="K164" i="18"/>
  <c r="K165" i="18"/>
  <c r="K166" i="18"/>
  <c r="K167" i="18"/>
  <c r="K168" i="18"/>
  <c r="K169" i="18"/>
  <c r="K170" i="18"/>
  <c r="K171" i="18"/>
  <c r="K172" i="18"/>
  <c r="K173" i="18"/>
  <c r="K174" i="18"/>
  <c r="K175" i="18"/>
  <c r="K156" i="18"/>
  <c r="D65" i="6"/>
  <c r="D40" i="15"/>
  <c r="D41" i="15"/>
  <c r="E41" i="15"/>
  <c r="C41" i="15"/>
  <c r="E40" i="15"/>
  <c r="E20" i="3"/>
  <c r="D20" i="3"/>
  <c r="C20" i="3"/>
  <c r="E19" i="3"/>
  <c r="D19" i="3"/>
  <c r="C19" i="3"/>
  <c r="G10" i="8"/>
  <c r="F10" i="8"/>
  <c r="E10" i="8"/>
  <c r="I10" i="8"/>
  <c r="J10" i="8"/>
  <c r="K10" i="8"/>
  <c r="D28" i="14"/>
  <c r="F24" i="7"/>
  <c r="I24" i="7"/>
  <c r="J24" i="7"/>
  <c r="K24" i="7"/>
  <c r="L24" i="7"/>
  <c r="M24" i="7"/>
  <c r="N24" i="7"/>
  <c r="O24" i="7"/>
  <c r="P24" i="7"/>
  <c r="Q24" i="7"/>
  <c r="R24" i="7"/>
  <c r="S24" i="7"/>
  <c r="T24" i="7"/>
  <c r="U24" i="7"/>
  <c r="V24" i="7"/>
  <c r="E24" i="7"/>
  <c r="E17" i="7"/>
  <c r="F17" i="7"/>
  <c r="G17" i="7"/>
  <c r="E18" i="7"/>
  <c r="F18" i="7"/>
  <c r="G18" i="7"/>
  <c r="E19" i="7"/>
  <c r="F19" i="7"/>
  <c r="G19" i="7"/>
  <c r="E20" i="7"/>
  <c r="E21" i="7"/>
  <c r="E22" i="7"/>
  <c r="E23" i="7"/>
  <c r="F23" i="7"/>
  <c r="G23" i="7"/>
  <c r="T70" i="14"/>
  <c r="V17" i="7"/>
  <c r="L49" i="6"/>
  <c r="J53" i="3"/>
  <c r="H54" i="3"/>
  <c r="I54" i="3"/>
  <c r="K193" i="6"/>
  <c r="L53" i="6"/>
  <c r="E61" i="11"/>
  <c r="E62" i="11"/>
  <c r="E63" i="11"/>
  <c r="C61" i="11"/>
  <c r="C62" i="11"/>
  <c r="T61" i="14"/>
  <c r="X36" i="3"/>
  <c r="S61" i="14"/>
  <c r="W36" i="3"/>
  <c r="R61" i="14"/>
  <c r="V36" i="3"/>
  <c r="Q61" i="14"/>
  <c r="U36" i="3"/>
  <c r="P61" i="14"/>
  <c r="T36" i="3"/>
  <c r="O61" i="14"/>
  <c r="S36" i="3"/>
  <c r="N61" i="14"/>
  <c r="R36" i="3"/>
  <c r="M61" i="14"/>
  <c r="Q36" i="3"/>
  <c r="L61" i="14"/>
  <c r="P36" i="3"/>
  <c r="K61" i="14"/>
  <c r="O36" i="3"/>
  <c r="J61" i="14"/>
  <c r="N36" i="3"/>
  <c r="I61" i="14"/>
  <c r="M36" i="3"/>
  <c r="H61" i="14"/>
  <c r="L36" i="3"/>
  <c r="G61" i="14"/>
  <c r="K36" i="3"/>
  <c r="D61" i="14"/>
  <c r="H36" i="3"/>
  <c r="C61" i="14"/>
  <c r="G36" i="3"/>
  <c r="G29" i="14"/>
  <c r="G28" i="14"/>
  <c r="G27" i="14"/>
  <c r="G26" i="14"/>
  <c r="G25" i="14"/>
  <c r="C9" i="14"/>
  <c r="C13" i="14"/>
  <c r="N7" i="14"/>
  <c r="O7" i="14"/>
  <c r="P7" i="14"/>
  <c r="Q7" i="14"/>
  <c r="R7" i="14"/>
  <c r="S7" i="14"/>
  <c r="T7" i="14"/>
  <c r="M7" i="14"/>
  <c r="L7" i="14"/>
  <c r="K7" i="14"/>
  <c r="J7" i="14"/>
  <c r="I7" i="14"/>
  <c r="H7" i="14"/>
  <c r="G7" i="14"/>
  <c r="F7" i="14"/>
  <c r="E7" i="14"/>
  <c r="D7" i="14"/>
  <c r="C7" i="14"/>
  <c r="C63" i="11"/>
  <c r="C14" i="14"/>
  <c r="F53" i="6"/>
  <c r="C9" i="6" s="1"/>
  <c r="U11" i="7"/>
  <c r="T11" i="7"/>
  <c r="S11" i="7"/>
  <c r="R11" i="7"/>
  <c r="Q11" i="7"/>
  <c r="P11" i="7"/>
  <c r="O11" i="7"/>
  <c r="N11" i="7"/>
  <c r="M11" i="7"/>
  <c r="L11" i="7"/>
  <c r="K11" i="7"/>
  <c r="J11" i="7"/>
  <c r="I11" i="7"/>
  <c r="H11" i="7"/>
  <c r="G11" i="7"/>
  <c r="F11" i="7"/>
  <c r="E11" i="7"/>
  <c r="G42" i="7"/>
  <c r="H42" i="7"/>
  <c r="I42" i="7"/>
  <c r="J42" i="7"/>
  <c r="K42" i="7"/>
  <c r="L42" i="7"/>
  <c r="M42" i="7"/>
  <c r="N42" i="7"/>
  <c r="O42" i="7"/>
  <c r="P42" i="7"/>
  <c r="Q42" i="7"/>
  <c r="R42" i="7"/>
  <c r="S42" i="7"/>
  <c r="T42" i="7"/>
  <c r="U42" i="7"/>
  <c r="V42" i="7"/>
  <c r="E43" i="7"/>
  <c r="F43" i="7"/>
  <c r="G43" i="7"/>
  <c r="H43" i="7"/>
  <c r="I43" i="7"/>
  <c r="J43" i="7"/>
  <c r="K43" i="7"/>
  <c r="L43" i="7"/>
  <c r="M43" i="7"/>
  <c r="N43" i="7"/>
  <c r="O43" i="7"/>
  <c r="P43" i="7"/>
  <c r="Q43" i="7"/>
  <c r="R43" i="7"/>
  <c r="S43" i="7"/>
  <c r="T43" i="7"/>
  <c r="U43" i="7"/>
  <c r="H51" i="7"/>
  <c r="J51" i="7"/>
  <c r="K51" i="7"/>
  <c r="L51" i="7"/>
  <c r="M51" i="7"/>
  <c r="N51" i="7"/>
  <c r="O51" i="7"/>
  <c r="P51" i="7"/>
  <c r="Q51" i="7"/>
  <c r="R51" i="7"/>
  <c r="S51" i="7"/>
  <c r="T51" i="7"/>
  <c r="U51" i="7"/>
  <c r="E52" i="7"/>
  <c r="F52" i="7"/>
  <c r="G52" i="7"/>
  <c r="F53" i="7"/>
  <c r="F31" i="7"/>
  <c r="G53" i="7"/>
  <c r="G31" i="7"/>
  <c r="F74" i="14"/>
  <c r="H21" i="7"/>
  <c r="G74" i="14"/>
  <c r="I21" i="7"/>
  <c r="H74" i="14"/>
  <c r="J21" i="7"/>
  <c r="I74" i="14"/>
  <c r="K21" i="7"/>
  <c r="J74" i="14"/>
  <c r="L21" i="7"/>
  <c r="K74" i="14"/>
  <c r="M21" i="7"/>
  <c r="L74" i="14"/>
  <c r="N21" i="7"/>
  <c r="M74" i="14"/>
  <c r="O21" i="7"/>
  <c r="N74" i="14"/>
  <c r="P21" i="7"/>
  <c r="O74" i="14"/>
  <c r="Q21" i="7"/>
  <c r="P74" i="14"/>
  <c r="R21" i="7"/>
  <c r="Q74" i="14"/>
  <c r="S21" i="7"/>
  <c r="R74" i="14"/>
  <c r="T21" i="7"/>
  <c r="S74" i="14"/>
  <c r="U21" i="7"/>
  <c r="T74" i="14"/>
  <c r="V21" i="7"/>
  <c r="F75" i="14"/>
  <c r="H22" i="7"/>
  <c r="G75" i="14"/>
  <c r="I22" i="7"/>
  <c r="H75" i="14"/>
  <c r="J22" i="7"/>
  <c r="I75" i="14"/>
  <c r="K22" i="7"/>
  <c r="J75" i="14"/>
  <c r="L22" i="7"/>
  <c r="K75" i="14"/>
  <c r="M22" i="7"/>
  <c r="L75" i="14"/>
  <c r="N22" i="7"/>
  <c r="M75" i="14"/>
  <c r="O22" i="7"/>
  <c r="N75" i="14"/>
  <c r="P22" i="7"/>
  <c r="O75" i="14"/>
  <c r="Q22" i="7"/>
  <c r="P75" i="14"/>
  <c r="R22" i="7"/>
  <c r="Q75" i="14"/>
  <c r="S22" i="7"/>
  <c r="R75" i="14"/>
  <c r="T22" i="7"/>
  <c r="S75" i="14"/>
  <c r="U22" i="7"/>
  <c r="T75" i="14"/>
  <c r="V22" i="7"/>
  <c r="E75" i="14"/>
  <c r="G22" i="7"/>
  <c r="E74" i="14"/>
  <c r="G21" i="7"/>
  <c r="C39" i="9"/>
  <c r="D39" i="9"/>
  <c r="G53" i="3"/>
  <c r="H53" i="3"/>
  <c r="H56" i="3"/>
  <c r="I53" i="3"/>
  <c r="I56" i="3"/>
  <c r="J50" i="3"/>
  <c r="H25" i="7"/>
  <c r="E39" i="9"/>
  <c r="C11" i="4"/>
  <c r="I23" i="4"/>
  <c r="C12" i="4"/>
  <c r="I21" i="4"/>
  <c r="D75" i="14"/>
  <c r="F22" i="7"/>
  <c r="D74" i="14"/>
  <c r="F21" i="7"/>
  <c r="C96" i="14"/>
  <c r="D93" i="14"/>
  <c r="D90" i="14"/>
  <c r="E90" i="14"/>
  <c r="C90" i="14"/>
  <c r="D95" i="14"/>
  <c r="E95" i="14"/>
  <c r="E25" i="4"/>
  <c r="D25" i="4"/>
  <c r="F21" i="4"/>
  <c r="F22" i="4"/>
  <c r="F23" i="4"/>
  <c r="F24" i="4"/>
  <c r="F20" i="4"/>
  <c r="D16" i="15"/>
  <c r="E16" i="15"/>
  <c r="F16" i="15"/>
  <c r="H24" i="15"/>
  <c r="G11" i="15"/>
  <c r="F11" i="15"/>
  <c r="I56" i="6"/>
  <c r="I55" i="6"/>
  <c r="G67" i="11"/>
  <c r="C67" i="11"/>
  <c r="C66" i="11"/>
  <c r="G66" i="11"/>
  <c r="L117" i="6"/>
  <c r="L125" i="6"/>
  <c r="L159" i="6"/>
  <c r="L126" i="6"/>
  <c r="L131" i="6"/>
  <c r="L154" i="6"/>
  <c r="S23" i="3"/>
  <c r="T23" i="3"/>
  <c r="U23" i="3"/>
  <c r="V23" i="3"/>
  <c r="G40" i="11"/>
  <c r="C8" i="15"/>
  <c r="K90" i="6"/>
  <c r="K89" i="6"/>
  <c r="K77" i="6"/>
  <c r="J78" i="6"/>
  <c r="J80" i="6"/>
  <c r="J81" i="6"/>
  <c r="J83" i="6"/>
  <c r="J85" i="6"/>
  <c r="J87" i="6"/>
  <c r="J77" i="6"/>
  <c r="S50" i="3"/>
  <c r="Q25" i="7"/>
  <c r="T50" i="3"/>
  <c r="R25" i="7"/>
  <c r="U50" i="3"/>
  <c r="S25" i="7"/>
  <c r="V50" i="3"/>
  <c r="T25" i="7"/>
  <c r="W50" i="3"/>
  <c r="U25" i="7"/>
  <c r="X50" i="3"/>
  <c r="V25" i="7"/>
  <c r="R50" i="3"/>
  <c r="P25" i="7"/>
  <c r="N7" i="9"/>
  <c r="O7" i="9"/>
  <c r="P7" i="9"/>
  <c r="Q7" i="9"/>
  <c r="R7" i="9"/>
  <c r="S7" i="9"/>
  <c r="T7" i="9"/>
  <c r="R9" i="3"/>
  <c r="S9" i="3"/>
  <c r="T9" i="3"/>
  <c r="U9" i="3"/>
  <c r="V9" i="3"/>
  <c r="W9" i="3"/>
  <c r="X9" i="3"/>
  <c r="D53" i="6"/>
  <c r="C53" i="6"/>
  <c r="E52" i="6"/>
  <c r="E45" i="6"/>
  <c r="E46" i="6"/>
  <c r="E47" i="6"/>
  <c r="E48" i="6"/>
  <c r="E49" i="6"/>
  <c r="E50" i="6"/>
  <c r="E51" i="6"/>
  <c r="E44" i="6"/>
  <c r="L110" i="6"/>
  <c r="I181" i="6"/>
  <c r="C40" i="11"/>
  <c r="E40" i="11"/>
  <c r="K105" i="6"/>
  <c r="K104" i="6"/>
  <c r="K102" i="6"/>
  <c r="K101" i="6"/>
  <c r="K99" i="6"/>
  <c r="K98" i="6"/>
  <c r="K109" i="6"/>
  <c r="D21" i="9"/>
  <c r="H31" i="3"/>
  <c r="F7" i="7"/>
  <c r="E21" i="9"/>
  <c r="I31" i="3"/>
  <c r="G7" i="7"/>
  <c r="C21" i="9"/>
  <c r="G31" i="3"/>
  <c r="E7" i="7"/>
  <c r="E130" i="6"/>
  <c r="E47" i="14"/>
  <c r="K87" i="6"/>
  <c r="K85" i="6"/>
  <c r="K83" i="6"/>
  <c r="K81" i="6"/>
  <c r="K80" i="6"/>
  <c r="K78" i="6"/>
  <c r="L67" i="6"/>
  <c r="L68" i="6"/>
  <c r="L77" i="6"/>
  <c r="G11" i="11"/>
  <c r="L69" i="6"/>
  <c r="L66" i="6"/>
  <c r="L78" i="6"/>
  <c r="E126" i="6"/>
  <c r="E42" i="14"/>
  <c r="C9" i="9"/>
  <c r="C12" i="9"/>
  <c r="M7" i="9"/>
  <c r="L7" i="9"/>
  <c r="K7" i="9"/>
  <c r="J7" i="9"/>
  <c r="I7" i="9"/>
  <c r="H7" i="9"/>
  <c r="G7" i="9"/>
  <c r="F7" i="9"/>
  <c r="E7" i="9"/>
  <c r="D7" i="9"/>
  <c r="D40" i="11"/>
  <c r="C7" i="9"/>
  <c r="F11" i="6"/>
  <c r="F12" i="6"/>
  <c r="K50" i="3"/>
  <c r="I25" i="7"/>
  <c r="L50" i="3"/>
  <c r="J25" i="7"/>
  <c r="M50" i="3"/>
  <c r="K25" i="7"/>
  <c r="N50" i="3"/>
  <c r="L25" i="7"/>
  <c r="O50" i="3"/>
  <c r="M25" i="7"/>
  <c r="P50" i="3"/>
  <c r="N25" i="7"/>
  <c r="Q50" i="3"/>
  <c r="O25" i="7"/>
  <c r="D42" i="11"/>
  <c r="D31" i="11"/>
  <c r="D32" i="11"/>
  <c r="D34" i="11"/>
  <c r="D35" i="11"/>
  <c r="D37" i="11"/>
  <c r="D38" i="11"/>
  <c r="D11" i="11"/>
  <c r="L52" i="6"/>
  <c r="C16" i="4"/>
  <c r="K163" i="11"/>
  <c r="E53" i="6"/>
  <c r="H32" i="3"/>
  <c r="F8" i="7"/>
  <c r="F13" i="7"/>
  <c r="G32" i="3"/>
  <c r="E8" i="7"/>
  <c r="E13" i="7"/>
  <c r="I32" i="3"/>
  <c r="E33" i="7"/>
  <c r="E44" i="7"/>
  <c r="G44" i="7"/>
  <c r="G33" i="7"/>
  <c r="F33" i="7"/>
  <c r="F44" i="7"/>
  <c r="F25" i="4"/>
  <c r="I24" i="15"/>
  <c r="D67" i="11"/>
  <c r="D66" i="11"/>
  <c r="E67" i="11"/>
  <c r="E66" i="11"/>
  <c r="E12" i="11"/>
  <c r="G32" i="11"/>
  <c r="G34" i="11"/>
  <c r="G35" i="11"/>
  <c r="G37" i="11"/>
  <c r="G38" i="11"/>
  <c r="E11" i="11"/>
  <c r="G69" i="11"/>
  <c r="D69" i="11"/>
  <c r="E69" i="11"/>
  <c r="C69" i="11"/>
  <c r="L146" i="6"/>
  <c r="L152" i="6"/>
  <c r="L164" i="6"/>
  <c r="D60" i="11"/>
  <c r="D59" i="11"/>
  <c r="D58" i="11"/>
  <c r="D57" i="11"/>
  <c r="D56" i="11"/>
  <c r="F56" i="11"/>
  <c r="W23" i="3"/>
  <c r="X23" i="3"/>
  <c r="C42" i="11"/>
  <c r="E42" i="11"/>
  <c r="G42" i="11"/>
  <c r="G31" i="11"/>
  <c r="K110" i="6"/>
  <c r="G12" i="11"/>
  <c r="I182" i="6"/>
  <c r="I183" i="6"/>
  <c r="C31" i="11"/>
  <c r="E31" i="11"/>
  <c r="C32" i="11"/>
  <c r="E32" i="11"/>
  <c r="C34" i="11"/>
  <c r="E34" i="11"/>
  <c r="C35" i="11"/>
  <c r="E35" i="11"/>
  <c r="C37" i="11"/>
  <c r="E37" i="11"/>
  <c r="C38" i="11"/>
  <c r="E38" i="11"/>
  <c r="L73" i="6"/>
  <c r="L74" i="6"/>
  <c r="L72" i="6"/>
  <c r="C6" i="11"/>
  <c r="C11" i="11"/>
  <c r="D12" i="11"/>
  <c r="C12" i="11"/>
  <c r="L80" i="6"/>
  <c r="L81" i="6"/>
  <c r="C13" i="9"/>
  <c r="D43" i="11"/>
  <c r="D44" i="11"/>
  <c r="F69" i="11"/>
  <c r="F67" i="11"/>
  <c r="F31" i="11"/>
  <c r="F40" i="11"/>
  <c r="F42" i="11"/>
  <c r="F66" i="11"/>
  <c r="G60" i="11"/>
  <c r="F60" i="11"/>
  <c r="G58" i="11"/>
  <c r="F58" i="11"/>
  <c r="G59" i="11"/>
  <c r="F59" i="11"/>
  <c r="F37" i="11"/>
  <c r="F12" i="11"/>
  <c r="F35" i="11"/>
  <c r="F34" i="11"/>
  <c r="F38" i="11"/>
  <c r="F11" i="11"/>
  <c r="F32" i="11"/>
  <c r="G57" i="11"/>
  <c r="F57" i="11"/>
  <c r="D61" i="11"/>
  <c r="G43" i="11"/>
  <c r="G44" i="11"/>
  <c r="G45" i="11"/>
  <c r="I14" i="4"/>
  <c r="C7" i="11"/>
  <c r="D6" i="11"/>
  <c r="D7" i="11"/>
  <c r="C12" i="6"/>
  <c r="G8" i="7"/>
  <c r="G13" i="7"/>
  <c r="J24" i="15"/>
  <c r="G15" i="11"/>
  <c r="E15" i="11"/>
  <c r="G8" i="11"/>
  <c r="E8" i="11"/>
  <c r="G14" i="11"/>
  <c r="E14" i="11"/>
  <c r="G6" i="11"/>
  <c r="E6" i="11"/>
  <c r="G7" i="11"/>
  <c r="E7" i="11"/>
  <c r="G68" i="11"/>
  <c r="G70" i="11"/>
  <c r="G71" i="11"/>
  <c r="G72" i="11"/>
  <c r="I18" i="4"/>
  <c r="D68" i="11"/>
  <c r="D70" i="11"/>
  <c r="D71" i="11"/>
  <c r="D72" i="11"/>
  <c r="E68" i="11"/>
  <c r="E70" i="11"/>
  <c r="E71" i="11"/>
  <c r="E72" i="11"/>
  <c r="C68" i="11"/>
  <c r="G56" i="11"/>
  <c r="C43" i="11"/>
  <c r="E43" i="11"/>
  <c r="D45" i="11"/>
  <c r="L83" i="6"/>
  <c r="D15" i="11"/>
  <c r="C15" i="11"/>
  <c r="D8" i="11"/>
  <c r="C8" i="11"/>
  <c r="D14" i="11"/>
  <c r="C14" i="11"/>
  <c r="L75" i="6"/>
  <c r="C147" i="6"/>
  <c r="C148" i="6"/>
  <c r="F20" i="9"/>
  <c r="F61" i="11"/>
  <c r="F62" i="11"/>
  <c r="F63" i="11"/>
  <c r="F6" i="11"/>
  <c r="F15" i="11"/>
  <c r="E44" i="11"/>
  <c r="E45" i="11"/>
  <c r="F43" i="11"/>
  <c r="F44" i="11"/>
  <c r="F45" i="11"/>
  <c r="C70" i="11"/>
  <c r="F68" i="11"/>
  <c r="F70" i="11"/>
  <c r="F71" i="11"/>
  <c r="F72" i="11"/>
  <c r="F7" i="11"/>
  <c r="F14" i="11"/>
  <c r="C44" i="11"/>
  <c r="D62" i="11"/>
  <c r="F8" i="11"/>
  <c r="G61" i="11"/>
  <c r="G62" i="11"/>
  <c r="G63" i="11"/>
  <c r="I17" i="4"/>
  <c r="C10" i="4"/>
  <c r="I33" i="3"/>
  <c r="K24" i="15"/>
  <c r="G9" i="11"/>
  <c r="E9" i="11"/>
  <c r="G17" i="11"/>
  <c r="E17" i="11"/>
  <c r="D9" i="11"/>
  <c r="C9" i="11"/>
  <c r="L85" i="6"/>
  <c r="D17" i="11"/>
  <c r="C17" i="11"/>
  <c r="F17" i="9"/>
  <c r="G20" i="9"/>
  <c r="F19" i="9"/>
  <c r="F18" i="9"/>
  <c r="G18" i="9"/>
  <c r="H18" i="9"/>
  <c r="I18" i="9"/>
  <c r="J18" i="9"/>
  <c r="K18" i="9"/>
  <c r="L18" i="9"/>
  <c r="M18" i="9"/>
  <c r="N18" i="9"/>
  <c r="O18" i="9"/>
  <c r="P18" i="9"/>
  <c r="Q18" i="9"/>
  <c r="R18" i="9"/>
  <c r="S18" i="9"/>
  <c r="T18" i="9"/>
  <c r="I49" i="6"/>
  <c r="L54" i="6"/>
  <c r="Q9" i="3"/>
  <c r="P9" i="3"/>
  <c r="O9" i="3"/>
  <c r="N9" i="3"/>
  <c r="M9" i="3"/>
  <c r="L9" i="3"/>
  <c r="J9" i="3"/>
  <c r="K9" i="3"/>
  <c r="I9" i="3"/>
  <c r="H9" i="3"/>
  <c r="G9" i="3"/>
  <c r="D70" i="6"/>
  <c r="F71" i="6"/>
  <c r="F75" i="6"/>
  <c r="E22" i="6"/>
  <c r="E23" i="6"/>
  <c r="E24" i="6"/>
  <c r="E25" i="6"/>
  <c r="E26" i="6"/>
  <c r="E27" i="6"/>
  <c r="E28" i="6"/>
  <c r="E29" i="6"/>
  <c r="E30" i="6"/>
  <c r="E31" i="6"/>
  <c r="E32" i="6"/>
  <c r="E33" i="6"/>
  <c r="E34" i="6"/>
  <c r="E35" i="6"/>
  <c r="E36" i="6"/>
  <c r="E37" i="6"/>
  <c r="E38" i="6"/>
  <c r="E127" i="6"/>
  <c r="E40" i="14"/>
  <c r="E129" i="6"/>
  <c r="E45" i="14"/>
  <c r="E134" i="6"/>
  <c r="E53" i="14"/>
  <c r="E139" i="6"/>
  <c r="E59" i="14"/>
  <c r="E136" i="6"/>
  <c r="E56" i="14"/>
  <c r="E132" i="6"/>
  <c r="E50" i="14"/>
  <c r="L55" i="6"/>
  <c r="C10" i="14" s="1"/>
  <c r="F17" i="11"/>
  <c r="D63" i="11"/>
  <c r="C45" i="11"/>
  <c r="F9" i="11"/>
  <c r="C71" i="11"/>
  <c r="E61" i="14"/>
  <c r="E69" i="14"/>
  <c r="G19" i="9"/>
  <c r="H19" i="9"/>
  <c r="I19" i="9"/>
  <c r="J19" i="9"/>
  <c r="K19" i="9"/>
  <c r="L19" i="9"/>
  <c r="M19" i="9"/>
  <c r="N19" i="9"/>
  <c r="O19" i="9"/>
  <c r="P19" i="9"/>
  <c r="Q19" i="9"/>
  <c r="R19" i="9"/>
  <c r="S19" i="9"/>
  <c r="T19" i="9"/>
  <c r="L24" i="15"/>
  <c r="G19" i="11"/>
  <c r="E19" i="11"/>
  <c r="E140" i="6"/>
  <c r="L87" i="6"/>
  <c r="D19" i="11"/>
  <c r="C19" i="11"/>
  <c r="G17" i="9"/>
  <c r="H17" i="9"/>
  <c r="I17" i="9"/>
  <c r="J17" i="9"/>
  <c r="K17" i="9"/>
  <c r="L17" i="9"/>
  <c r="M17" i="9"/>
  <c r="N17" i="9"/>
  <c r="F21" i="9"/>
  <c r="J31" i="3"/>
  <c r="H7" i="7"/>
  <c r="H20" i="9"/>
  <c r="C16" i="3"/>
  <c r="E71" i="6"/>
  <c r="E75" i="6"/>
  <c r="G16" i="7"/>
  <c r="I36" i="3"/>
  <c r="G24" i="7"/>
  <c r="C72" i="11"/>
  <c r="F19" i="11"/>
  <c r="M24" i="15"/>
  <c r="G21" i="11"/>
  <c r="E21" i="11"/>
  <c r="O17" i="9"/>
  <c r="D21" i="11"/>
  <c r="C21" i="11"/>
  <c r="L89" i="6"/>
  <c r="G21" i="9"/>
  <c r="K31" i="3"/>
  <c r="I7" i="7"/>
  <c r="I20" i="9"/>
  <c r="H21" i="9"/>
  <c r="L31" i="3"/>
  <c r="J7" i="7"/>
  <c r="D75" i="6"/>
  <c r="D74" i="6"/>
  <c r="F21" i="11"/>
  <c r="N24" i="15"/>
  <c r="G23" i="11"/>
  <c r="E23" i="11"/>
  <c r="P17" i="9"/>
  <c r="D23" i="11"/>
  <c r="C23" i="11"/>
  <c r="L90" i="6"/>
  <c r="J20" i="9"/>
  <c r="I21" i="9"/>
  <c r="M31" i="3"/>
  <c r="K7" i="7"/>
  <c r="C11" i="3"/>
  <c r="F64" i="6"/>
  <c r="F94" i="6"/>
  <c r="E94" i="6"/>
  <c r="D94" i="6"/>
  <c r="C94" i="6"/>
  <c r="F76" i="14"/>
  <c r="F72" i="14"/>
  <c r="F23" i="11"/>
  <c r="G76" i="14"/>
  <c r="H23" i="7"/>
  <c r="O24" i="15"/>
  <c r="C15" i="3"/>
  <c r="G24" i="11"/>
  <c r="G25" i="11"/>
  <c r="G26" i="11"/>
  <c r="G27" i="11"/>
  <c r="I13" i="4"/>
  <c r="E24" i="11"/>
  <c r="E25" i="11"/>
  <c r="E26" i="11"/>
  <c r="E27" i="11"/>
  <c r="Q17" i="9"/>
  <c r="D24" i="11"/>
  <c r="D25" i="11"/>
  <c r="C24" i="11"/>
  <c r="K20" i="9"/>
  <c r="J21" i="9"/>
  <c r="N31" i="3"/>
  <c r="L7" i="7"/>
  <c r="F74" i="6"/>
  <c r="C78" i="6"/>
  <c r="E64" i="6"/>
  <c r="C6" i="3"/>
  <c r="G26" i="3"/>
  <c r="G63" i="3"/>
  <c r="H25" i="3"/>
  <c r="H26" i="3"/>
  <c r="H63" i="3"/>
  <c r="H19" i="7"/>
  <c r="G72" i="14"/>
  <c r="H76" i="14"/>
  <c r="I23" i="7"/>
  <c r="C25" i="11"/>
  <c r="C26" i="11"/>
  <c r="F24" i="11"/>
  <c r="F25" i="11"/>
  <c r="G52" i="11"/>
  <c r="G53" i="11"/>
  <c r="I16" i="4"/>
  <c r="P24" i="15"/>
  <c r="G48" i="11"/>
  <c r="G49" i="11"/>
  <c r="I15" i="4"/>
  <c r="F101" i="6"/>
  <c r="F102" i="6"/>
  <c r="F118" i="6"/>
  <c r="F132" i="6"/>
  <c r="F51" i="14"/>
  <c r="F103" i="6"/>
  <c r="F104" i="6"/>
  <c r="F105" i="6"/>
  <c r="F106" i="6"/>
  <c r="F107" i="6"/>
  <c r="F114" i="6"/>
  <c r="F126" i="6"/>
  <c r="F108" i="6"/>
  <c r="F121" i="6"/>
  <c r="F109" i="6"/>
  <c r="F110" i="6"/>
  <c r="F122" i="6"/>
  <c r="F111" i="6"/>
  <c r="F100" i="6"/>
  <c r="E52" i="11"/>
  <c r="E53" i="11"/>
  <c r="E48" i="11"/>
  <c r="E49" i="11"/>
  <c r="R17" i="9"/>
  <c r="D26" i="11"/>
  <c r="D27" i="11"/>
  <c r="D48" i="11"/>
  <c r="D49" i="11"/>
  <c r="L20" i="9"/>
  <c r="K21" i="9"/>
  <c r="O31" i="3"/>
  <c r="M7" i="7"/>
  <c r="C79" i="6"/>
  <c r="E74" i="6"/>
  <c r="C77" i="6"/>
  <c r="I25" i="3"/>
  <c r="I26" i="3"/>
  <c r="I63" i="3"/>
  <c r="H72" i="14"/>
  <c r="I19" i="7"/>
  <c r="I76" i="14"/>
  <c r="J23" i="7"/>
  <c r="I19" i="4"/>
  <c r="F26" i="11"/>
  <c r="F27" i="11"/>
  <c r="C27" i="11"/>
  <c r="C52" i="11"/>
  <c r="D65" i="14"/>
  <c r="H37" i="3"/>
  <c r="C65" i="14"/>
  <c r="G37" i="3"/>
  <c r="E65" i="14"/>
  <c r="I37" i="3"/>
  <c r="F116" i="6"/>
  <c r="F129" i="6"/>
  <c r="F46" i="14"/>
  <c r="F41" i="14"/>
  <c r="F26" i="9"/>
  <c r="G26" i="9"/>
  <c r="F119" i="6"/>
  <c r="F134" i="6"/>
  <c r="F54" i="14"/>
  <c r="F120" i="6"/>
  <c r="F139" i="6"/>
  <c r="F60" i="14"/>
  <c r="F117" i="6"/>
  <c r="F130" i="6"/>
  <c r="F115" i="6"/>
  <c r="F127" i="6"/>
  <c r="F32" i="9"/>
  <c r="G32" i="9"/>
  <c r="H32" i="9"/>
  <c r="I32" i="9"/>
  <c r="J32" i="9"/>
  <c r="K32" i="9"/>
  <c r="L32" i="9"/>
  <c r="M32" i="9"/>
  <c r="N32" i="9"/>
  <c r="O32" i="9"/>
  <c r="P32" i="9"/>
  <c r="Q32" i="9"/>
  <c r="R32" i="9"/>
  <c r="S32" i="9"/>
  <c r="T32" i="9"/>
  <c r="Q24" i="15"/>
  <c r="D52" i="11"/>
  <c r="S17" i="9"/>
  <c r="M20" i="9"/>
  <c r="L21" i="9"/>
  <c r="P31" i="3"/>
  <c r="N7" i="7"/>
  <c r="J25" i="3"/>
  <c r="J26" i="3"/>
  <c r="I72" i="14"/>
  <c r="J19" i="7"/>
  <c r="F43" i="14"/>
  <c r="F27" i="9"/>
  <c r="G27" i="9"/>
  <c r="H27" i="9"/>
  <c r="I27" i="9"/>
  <c r="J27" i="9"/>
  <c r="K27" i="9"/>
  <c r="L27" i="9"/>
  <c r="M27" i="9"/>
  <c r="J76" i="14"/>
  <c r="K23" i="7"/>
  <c r="D53" i="11"/>
  <c r="D74" i="11"/>
  <c r="H49" i="3"/>
  <c r="E42" i="7"/>
  <c r="F52" i="11"/>
  <c r="F53" i="11"/>
  <c r="C48" i="11"/>
  <c r="F48" i="11"/>
  <c r="F49" i="11"/>
  <c r="C53" i="11"/>
  <c r="F34" i="9"/>
  <c r="G34" i="9"/>
  <c r="H34" i="9"/>
  <c r="I34" i="9"/>
  <c r="J34" i="9"/>
  <c r="K34" i="9"/>
  <c r="L34" i="9"/>
  <c r="M34" i="9"/>
  <c r="N34" i="9"/>
  <c r="O34" i="9"/>
  <c r="P34" i="9"/>
  <c r="Q34" i="9"/>
  <c r="R34" i="9"/>
  <c r="S34" i="9"/>
  <c r="T34" i="9"/>
  <c r="F29" i="9"/>
  <c r="G29" i="9"/>
  <c r="H29" i="9"/>
  <c r="I29" i="9"/>
  <c r="J29" i="9"/>
  <c r="K29" i="9"/>
  <c r="L29" i="9"/>
  <c r="M29" i="9"/>
  <c r="N29" i="9"/>
  <c r="O29" i="9"/>
  <c r="P29" i="9"/>
  <c r="Q29" i="9"/>
  <c r="R29" i="9"/>
  <c r="S29" i="9"/>
  <c r="T29" i="9"/>
  <c r="F30" i="9"/>
  <c r="G30" i="9"/>
  <c r="H30" i="9"/>
  <c r="I30" i="9"/>
  <c r="J30" i="9"/>
  <c r="K30" i="9"/>
  <c r="L30" i="9"/>
  <c r="M30" i="9"/>
  <c r="N30" i="9"/>
  <c r="O30" i="9"/>
  <c r="P30" i="9"/>
  <c r="Q30" i="9"/>
  <c r="R30" i="9"/>
  <c r="S30" i="9"/>
  <c r="T30" i="9"/>
  <c r="F48" i="14"/>
  <c r="F136" i="6"/>
  <c r="F57" i="14"/>
  <c r="F38" i="9"/>
  <c r="G38" i="9"/>
  <c r="H38" i="9"/>
  <c r="I38" i="9"/>
  <c r="J38" i="9"/>
  <c r="K38" i="9"/>
  <c r="L38" i="9"/>
  <c r="M38" i="9"/>
  <c r="N38" i="9"/>
  <c r="O38" i="9"/>
  <c r="P38" i="9"/>
  <c r="Q38" i="9"/>
  <c r="R38" i="9"/>
  <c r="S38" i="9"/>
  <c r="T38" i="9"/>
  <c r="R24" i="15"/>
  <c r="H26" i="9"/>
  <c r="M21" i="9"/>
  <c r="Q31" i="3"/>
  <c r="O7" i="7"/>
  <c r="N20" i="9"/>
  <c r="T17" i="9"/>
  <c r="J63" i="3"/>
  <c r="K25" i="3"/>
  <c r="J72" i="14"/>
  <c r="K19" i="7"/>
  <c r="C49" i="11"/>
  <c r="F74" i="11"/>
  <c r="K76" i="14"/>
  <c r="L23" i="7"/>
  <c r="F36" i="9"/>
  <c r="G36" i="9"/>
  <c r="G39" i="9"/>
  <c r="F61" i="14"/>
  <c r="D19" i="15"/>
  <c r="S24" i="15"/>
  <c r="I26" i="9"/>
  <c r="O20" i="9"/>
  <c r="N21" i="9"/>
  <c r="R31" i="3"/>
  <c r="P7" i="7"/>
  <c r="N27" i="9"/>
  <c r="K26" i="3"/>
  <c r="K63" i="3"/>
  <c r="L25" i="3"/>
  <c r="K72" i="14"/>
  <c r="L19" i="7"/>
  <c r="J36" i="3"/>
  <c r="H24" i="7"/>
  <c r="K32" i="3"/>
  <c r="I8" i="7"/>
  <c r="I13" i="7"/>
  <c r="G71" i="14"/>
  <c r="I18" i="7"/>
  <c r="L76" i="14"/>
  <c r="M23" i="7"/>
  <c r="F39" i="9"/>
  <c r="H36" i="9"/>
  <c r="H39" i="9"/>
  <c r="F51" i="7"/>
  <c r="G65" i="14"/>
  <c r="K37" i="3"/>
  <c r="T24" i="15"/>
  <c r="J26" i="9"/>
  <c r="O27" i="9"/>
  <c r="P20" i="9"/>
  <c r="O21" i="9"/>
  <c r="S31" i="3"/>
  <c r="Q7" i="7"/>
  <c r="M25" i="3"/>
  <c r="L26" i="3"/>
  <c r="L63" i="3"/>
  <c r="L72" i="14"/>
  <c r="M19" i="7"/>
  <c r="L32" i="3"/>
  <c r="J8" i="7"/>
  <c r="J13" i="7"/>
  <c r="H71" i="14"/>
  <c r="J18" i="7"/>
  <c r="M76" i="14"/>
  <c r="N23" i="7"/>
  <c r="J32" i="3"/>
  <c r="H8" i="7"/>
  <c r="H13" i="7"/>
  <c r="F71" i="14"/>
  <c r="H18" i="7"/>
  <c r="H65" i="14"/>
  <c r="L37" i="3"/>
  <c r="I36" i="9"/>
  <c r="I39" i="9"/>
  <c r="F65" i="14"/>
  <c r="J37" i="3"/>
  <c r="K26" i="9"/>
  <c r="Q20" i="9"/>
  <c r="P21" i="9"/>
  <c r="T31" i="3"/>
  <c r="R7" i="7"/>
  <c r="P27" i="9"/>
  <c r="M26" i="3"/>
  <c r="M63" i="3"/>
  <c r="N25" i="3"/>
  <c r="N19" i="7"/>
  <c r="M72" i="14"/>
  <c r="M32" i="3"/>
  <c r="K8" i="7"/>
  <c r="K13" i="7"/>
  <c r="I71" i="14"/>
  <c r="K18" i="7"/>
  <c r="N76" i="14"/>
  <c r="O23" i="7"/>
  <c r="J36" i="9"/>
  <c r="J39" i="9"/>
  <c r="I65" i="14"/>
  <c r="M37" i="3"/>
  <c r="J65" i="14"/>
  <c r="N37" i="3"/>
  <c r="L26" i="9"/>
  <c r="Q27" i="9"/>
  <c r="R20" i="9"/>
  <c r="Q21" i="9"/>
  <c r="U31" i="3"/>
  <c r="S7" i="7"/>
  <c r="N26" i="3"/>
  <c r="N63" i="3"/>
  <c r="O25" i="3"/>
  <c r="N72" i="14"/>
  <c r="O19" i="7"/>
  <c r="N32" i="3"/>
  <c r="L8" i="7"/>
  <c r="L13" i="7"/>
  <c r="J71" i="14"/>
  <c r="L18" i="7"/>
  <c r="O76" i="14"/>
  <c r="P23" i="7"/>
  <c r="K36" i="9"/>
  <c r="K39" i="9"/>
  <c r="K65" i="14"/>
  <c r="O37" i="3"/>
  <c r="L36" i="9"/>
  <c r="L39" i="9"/>
  <c r="M26" i="9"/>
  <c r="S20" i="9"/>
  <c r="R21" i="9"/>
  <c r="V31" i="3"/>
  <c r="T7" i="7"/>
  <c r="R27" i="9"/>
  <c r="O26" i="3"/>
  <c r="O63" i="3"/>
  <c r="P25" i="3"/>
  <c r="O72" i="14"/>
  <c r="P19" i="7"/>
  <c r="P32" i="3"/>
  <c r="N8" i="7"/>
  <c r="N13" i="7"/>
  <c r="L71" i="14"/>
  <c r="N18" i="7"/>
  <c r="O32" i="3"/>
  <c r="M8" i="7"/>
  <c r="M13" i="7"/>
  <c r="K71" i="14"/>
  <c r="M18" i="7"/>
  <c r="P76" i="14"/>
  <c r="Q23" i="7"/>
  <c r="L65" i="14"/>
  <c r="P37" i="3"/>
  <c r="M36" i="9"/>
  <c r="M39" i="9"/>
  <c r="N26" i="9"/>
  <c r="S27" i="9"/>
  <c r="T20" i="9"/>
  <c r="T21" i="9"/>
  <c r="X31" i="3"/>
  <c r="V7" i="7"/>
  <c r="S21" i="9"/>
  <c r="W31" i="3"/>
  <c r="U7" i="7"/>
  <c r="Q25" i="3"/>
  <c r="P26" i="3"/>
  <c r="P63" i="3"/>
  <c r="P72" i="14"/>
  <c r="Q19" i="7"/>
  <c r="Q76" i="14"/>
  <c r="R23" i="7"/>
  <c r="Q32" i="3"/>
  <c r="M71" i="14"/>
  <c r="O18" i="7"/>
  <c r="O8" i="7"/>
  <c r="O13" i="7"/>
  <c r="M65" i="14"/>
  <c r="Q37" i="3"/>
  <c r="N36" i="9"/>
  <c r="N39" i="9"/>
  <c r="O26" i="9"/>
  <c r="Q26" i="3"/>
  <c r="Q63" i="3"/>
  <c r="R25" i="3"/>
  <c r="T27" i="9"/>
  <c r="Q72" i="14"/>
  <c r="R19" i="7"/>
  <c r="R32" i="3"/>
  <c r="N71" i="14"/>
  <c r="P18" i="7"/>
  <c r="R76" i="14"/>
  <c r="S23" i="7"/>
  <c r="P8" i="7"/>
  <c r="P13" i="7"/>
  <c r="N65" i="14"/>
  <c r="R37" i="3"/>
  <c r="O36" i="9"/>
  <c r="O39" i="9"/>
  <c r="P26" i="9"/>
  <c r="S25" i="3"/>
  <c r="R26" i="3"/>
  <c r="R63" i="3"/>
  <c r="S19" i="7"/>
  <c r="R72" i="14"/>
  <c r="S32" i="3"/>
  <c r="Q8" i="7"/>
  <c r="Q13" i="7"/>
  <c r="O71" i="14"/>
  <c r="Q18" i="7"/>
  <c r="S76" i="14"/>
  <c r="T23" i="7"/>
  <c r="O65" i="14"/>
  <c r="S37" i="3"/>
  <c r="P36" i="9"/>
  <c r="P39" i="9"/>
  <c r="Q26" i="9"/>
  <c r="S26" i="3"/>
  <c r="S63" i="3"/>
  <c r="T25" i="3"/>
  <c r="T19" i="7"/>
  <c r="S72" i="14"/>
  <c r="T32" i="3"/>
  <c r="P71" i="14"/>
  <c r="R18" i="7"/>
  <c r="T76" i="14"/>
  <c r="V23" i="7"/>
  <c r="U23" i="7"/>
  <c r="R8" i="7"/>
  <c r="R13" i="7"/>
  <c r="P65" i="14"/>
  <c r="T37" i="3"/>
  <c r="Q36" i="9"/>
  <c r="Q39" i="9"/>
  <c r="R26" i="9"/>
  <c r="T26" i="3"/>
  <c r="T63" i="3"/>
  <c r="U25" i="3"/>
  <c r="T72" i="14"/>
  <c r="V19" i="7"/>
  <c r="U19" i="7"/>
  <c r="U32" i="3"/>
  <c r="S8" i="7"/>
  <c r="S13" i="7"/>
  <c r="Q71" i="14"/>
  <c r="S18" i="7"/>
  <c r="Q65" i="14"/>
  <c r="U37" i="3"/>
  <c r="R36" i="9"/>
  <c r="R39" i="9"/>
  <c r="S26" i="9"/>
  <c r="U26" i="3"/>
  <c r="U63" i="3"/>
  <c r="V25" i="3"/>
  <c r="V32" i="3"/>
  <c r="R71" i="14"/>
  <c r="T18" i="7"/>
  <c r="T8" i="7"/>
  <c r="T13" i="7"/>
  <c r="R65" i="14"/>
  <c r="V37" i="3"/>
  <c r="S36" i="9"/>
  <c r="S39" i="9"/>
  <c r="T26" i="9"/>
  <c r="V26" i="3"/>
  <c r="V63" i="3"/>
  <c r="W25" i="3"/>
  <c r="W32" i="3"/>
  <c r="U8" i="7"/>
  <c r="U13" i="7"/>
  <c r="S71" i="14"/>
  <c r="U18" i="7"/>
  <c r="S65" i="14"/>
  <c r="W37" i="3"/>
  <c r="T36" i="9"/>
  <c r="T39" i="9"/>
  <c r="W26" i="3"/>
  <c r="W63" i="3"/>
  <c r="X25" i="3"/>
  <c r="X26" i="3"/>
  <c r="X63" i="3"/>
  <c r="X32" i="3"/>
  <c r="T71" i="14"/>
  <c r="V18" i="7"/>
  <c r="V8" i="7"/>
  <c r="T65" i="14"/>
  <c r="X37" i="3"/>
  <c r="C74" i="11"/>
  <c r="G49" i="3"/>
  <c r="G50" i="3"/>
  <c r="E25" i="7"/>
  <c r="E74" i="11"/>
  <c r="I49" i="3"/>
  <c r="F42" i="7"/>
  <c r="I50" i="3"/>
  <c r="G25" i="7"/>
  <c r="C21" i="6"/>
  <c r="C22" i="6"/>
  <c r="E19" i="15"/>
  <c r="C13" i="6"/>
  <c r="G74" i="11"/>
  <c r="C7" i="15"/>
  <c r="G51" i="7"/>
  <c r="X33" i="3"/>
  <c r="W33" i="3"/>
  <c r="V33" i="3"/>
  <c r="U33" i="3"/>
  <c r="T33" i="3"/>
  <c r="S33" i="3"/>
  <c r="R33" i="3"/>
  <c r="Q33" i="3"/>
  <c r="P33" i="3"/>
  <c r="O33" i="3"/>
  <c r="N33" i="3"/>
  <c r="M33" i="3"/>
  <c r="L33" i="3"/>
  <c r="K33" i="3"/>
  <c r="G69" i="14"/>
  <c r="I16" i="7"/>
  <c r="J33" i="3"/>
  <c r="F69" i="14"/>
  <c r="H16" i="7"/>
  <c r="Q69" i="14"/>
  <c r="S16" i="7"/>
  <c r="J69" i="14"/>
  <c r="L16" i="7"/>
  <c r="K69" i="14"/>
  <c r="M16" i="7"/>
  <c r="T69" i="14"/>
  <c r="V16" i="7"/>
  <c r="M69" i="14"/>
  <c r="O16" i="7"/>
  <c r="O69" i="14"/>
  <c r="Q16" i="7"/>
  <c r="H69" i="14"/>
  <c r="J16" i="7"/>
  <c r="P69" i="14"/>
  <c r="R16" i="7"/>
  <c r="I69" i="14"/>
  <c r="K16" i="7"/>
  <c r="R69" i="14"/>
  <c r="T16" i="7"/>
  <c r="S69" i="14"/>
  <c r="U16" i="7"/>
  <c r="L69" i="14"/>
  <c r="N16" i="7"/>
  <c r="N69" i="14"/>
  <c r="P16" i="7"/>
  <c r="H33" i="3"/>
  <c r="D69" i="14"/>
  <c r="G33" i="3"/>
  <c r="F16" i="7"/>
  <c r="C69" i="14"/>
  <c r="C77" i="14"/>
  <c r="E16" i="7"/>
  <c r="E27" i="7"/>
  <c r="E29" i="7"/>
  <c r="G38" i="3"/>
  <c r="C81" i="14"/>
  <c r="C83" i="14"/>
  <c r="G39" i="3"/>
  <c r="G40" i="3"/>
  <c r="G41" i="3"/>
  <c r="G42" i="3"/>
  <c r="G44" i="3"/>
  <c r="E41" i="7"/>
  <c r="E45" i="7"/>
  <c r="E50" i="7"/>
  <c r="D73" i="14"/>
  <c r="F20" i="7"/>
  <c r="E73" i="14"/>
  <c r="D77" i="14"/>
  <c r="D81" i="14"/>
  <c r="D83" i="14"/>
  <c r="H39" i="3"/>
  <c r="H40" i="3"/>
  <c r="H38" i="3"/>
  <c r="G20" i="7"/>
  <c r="G27" i="7"/>
  <c r="G29" i="7"/>
  <c r="G32" i="7"/>
  <c r="G35" i="7"/>
  <c r="E77" i="14"/>
  <c r="F73" i="14"/>
  <c r="H41" i="3"/>
  <c r="H42" i="3"/>
  <c r="H44" i="3"/>
  <c r="F41" i="7"/>
  <c r="F45" i="7"/>
  <c r="F50" i="7"/>
  <c r="F54" i="7"/>
  <c r="G73" i="14"/>
  <c r="H20" i="7"/>
  <c r="I38" i="3"/>
  <c r="E81" i="14"/>
  <c r="E83" i="14"/>
  <c r="I39" i="3"/>
  <c r="I40" i="3"/>
  <c r="I41" i="3"/>
  <c r="I42" i="3"/>
  <c r="I44" i="3"/>
  <c r="I20" i="7"/>
  <c r="H73" i="14"/>
  <c r="J20" i="7"/>
  <c r="I73" i="14"/>
  <c r="G41" i="7"/>
  <c r="G45" i="7"/>
  <c r="G50" i="7"/>
  <c r="G54" i="7"/>
  <c r="I60" i="3"/>
  <c r="E87" i="14"/>
  <c r="E94" i="14"/>
  <c r="K20" i="7"/>
  <c r="J73" i="14"/>
  <c r="L20" i="7"/>
  <c r="K73" i="14"/>
  <c r="M20" i="7"/>
  <c r="L73" i="14"/>
  <c r="M73" i="14"/>
  <c r="N20" i="7"/>
  <c r="O20" i="7"/>
  <c r="N73" i="14"/>
  <c r="P20" i="7"/>
  <c r="O73" i="14"/>
  <c r="Q20" i="7"/>
  <c r="P73" i="14"/>
  <c r="R20" i="7"/>
  <c r="Q73" i="14"/>
  <c r="S20" i="7"/>
  <c r="R73" i="14"/>
  <c r="S73" i="14"/>
  <c r="T20" i="7"/>
  <c r="T73" i="14"/>
  <c r="U20" i="7"/>
  <c r="T77" i="14"/>
  <c r="V20" i="7"/>
  <c r="V27" i="7"/>
  <c r="X38" i="3"/>
  <c r="T81" i="14"/>
  <c r="T83" i="14"/>
  <c r="X39" i="3"/>
  <c r="X40" i="3"/>
  <c r="X41" i="3"/>
  <c r="X42" i="3"/>
  <c r="X44" i="3"/>
  <c r="V41" i="7"/>
  <c r="C9" i="15"/>
  <c r="C10" i="15"/>
  <c r="C19" i="15"/>
  <c r="E51" i="7"/>
  <c r="C20" i="15"/>
  <c r="C22" i="15"/>
  <c r="D18" i="15"/>
  <c r="D22" i="15"/>
  <c r="E53" i="7"/>
  <c r="E31" i="7"/>
  <c r="E32" i="7"/>
  <c r="E35" i="7"/>
  <c r="C40" i="15"/>
  <c r="G54" i="3"/>
  <c r="G56" i="3"/>
  <c r="G60" i="3"/>
  <c r="H61" i="3"/>
  <c r="D23" i="15"/>
  <c r="E18" i="15"/>
  <c r="E22" i="15"/>
  <c r="E54" i="7"/>
  <c r="G61" i="3"/>
  <c r="C87" i="14"/>
  <c r="E23" i="15"/>
  <c r="F18" i="15"/>
  <c r="F20" i="15"/>
  <c r="F40" i="15"/>
  <c r="G27" i="15"/>
  <c r="H53" i="7"/>
  <c r="H31" i="7"/>
  <c r="J54" i="3"/>
  <c r="J56" i="3"/>
  <c r="G30" i="15"/>
  <c r="G41" i="15"/>
  <c r="G29" i="15"/>
  <c r="G40" i="15"/>
  <c r="I51" i="7"/>
  <c r="I22" i="4"/>
  <c r="I24" i="4"/>
  <c r="F21" i="15"/>
  <c r="I52" i="7"/>
  <c r="K53" i="3"/>
  <c r="K54" i="3"/>
  <c r="I53" i="7"/>
  <c r="I31" i="7"/>
  <c r="G31" i="15"/>
  <c r="H26" i="15"/>
  <c r="H52" i="7"/>
  <c r="F22" i="15"/>
  <c r="F23" i="15"/>
  <c r="K56" i="3"/>
  <c r="G32" i="15"/>
  <c r="H29" i="15"/>
  <c r="H40" i="15"/>
  <c r="H30" i="15"/>
  <c r="H41" i="15"/>
  <c r="L53" i="3"/>
  <c r="J52" i="7"/>
  <c r="H31" i="15"/>
  <c r="L54" i="3"/>
  <c r="J53" i="7"/>
  <c r="J31" i="7"/>
  <c r="L56" i="3"/>
  <c r="H32" i="15"/>
  <c r="I26" i="15"/>
  <c r="I29" i="15"/>
  <c r="I40" i="15"/>
  <c r="I30" i="15"/>
  <c r="I41" i="15"/>
  <c r="I31" i="15"/>
  <c r="I32" i="15"/>
  <c r="K52" i="7"/>
  <c r="M53" i="3"/>
  <c r="K53" i="7"/>
  <c r="K31" i="7"/>
  <c r="M54" i="3"/>
  <c r="J26" i="15"/>
  <c r="J29" i="15"/>
  <c r="M56" i="3"/>
  <c r="J30" i="15"/>
  <c r="J41" i="15"/>
  <c r="J40" i="15"/>
  <c r="N54" i="3"/>
  <c r="L53" i="7"/>
  <c r="L31" i="7"/>
  <c r="N53" i="3"/>
  <c r="N56" i="3"/>
  <c r="L52" i="7"/>
  <c r="J31" i="15"/>
  <c r="K26" i="15"/>
  <c r="K30" i="15"/>
  <c r="K41" i="15"/>
  <c r="K29" i="15"/>
  <c r="K40" i="15"/>
  <c r="J32" i="15"/>
  <c r="M52" i="7"/>
  <c r="O53" i="3"/>
  <c r="O54" i="3"/>
  <c r="O56" i="3"/>
  <c r="M53" i="7"/>
  <c r="M31" i="7"/>
  <c r="K31" i="15"/>
  <c r="K32" i="15"/>
  <c r="L26" i="15"/>
  <c r="L30" i="15"/>
  <c r="L41" i="15"/>
  <c r="L29" i="15"/>
  <c r="L40" i="15"/>
  <c r="N52" i="7"/>
  <c r="P53" i="3"/>
  <c r="L31" i="15"/>
  <c r="L32" i="15"/>
  <c r="N53" i="7"/>
  <c r="N31" i="7"/>
  <c r="P54" i="3"/>
  <c r="P56" i="3"/>
  <c r="M26" i="15"/>
  <c r="M29" i="15"/>
  <c r="M40" i="15"/>
  <c r="M30" i="15"/>
  <c r="M41" i="15"/>
  <c r="M31" i="15"/>
  <c r="M32" i="15"/>
  <c r="Q54" i="3"/>
  <c r="O53" i="7"/>
  <c r="O31" i="7"/>
  <c r="Q53" i="3"/>
  <c r="O52" i="7"/>
  <c r="Q56" i="3"/>
  <c r="N26" i="15"/>
  <c r="N29" i="15"/>
  <c r="N30" i="15"/>
  <c r="N41" i="15"/>
  <c r="N40" i="15"/>
  <c r="P53" i="7"/>
  <c r="P31" i="7"/>
  <c r="R54" i="3"/>
  <c r="R53" i="3"/>
  <c r="P52" i="7"/>
  <c r="N31" i="15"/>
  <c r="N32" i="15"/>
  <c r="R56" i="3"/>
  <c r="O26" i="15"/>
  <c r="O29" i="15"/>
  <c r="O40" i="15"/>
  <c r="Q53" i="7"/>
  <c r="Q31" i="7"/>
  <c r="S54" i="3"/>
  <c r="O30" i="15"/>
  <c r="O31" i="15"/>
  <c r="O32" i="15"/>
  <c r="P26" i="15"/>
  <c r="P30" i="15"/>
  <c r="P41" i="15"/>
  <c r="O41" i="15"/>
  <c r="S53" i="3"/>
  <c r="S56" i="3"/>
  <c r="Q52" i="7"/>
  <c r="P29" i="15"/>
  <c r="P40" i="15"/>
  <c r="T53" i="3"/>
  <c r="R52" i="7"/>
  <c r="P31" i="15"/>
  <c r="P32" i="15"/>
  <c r="T54" i="3"/>
  <c r="T56" i="3"/>
  <c r="R53" i="7"/>
  <c r="R31" i="7"/>
  <c r="Q26" i="15"/>
  <c r="Q30" i="15"/>
  <c r="S52" i="7"/>
  <c r="Q29" i="15"/>
  <c r="Q40" i="15"/>
  <c r="Q41" i="15"/>
  <c r="U53" i="3"/>
  <c r="S53" i="7"/>
  <c r="S31" i="7"/>
  <c r="Q31" i="15"/>
  <c r="U54" i="3"/>
  <c r="U56" i="3"/>
  <c r="Q32" i="15"/>
  <c r="R26" i="15"/>
  <c r="R29" i="15"/>
  <c r="R30" i="15"/>
  <c r="R31" i="15"/>
  <c r="R32" i="15"/>
  <c r="R41" i="15"/>
  <c r="V53" i="3"/>
  <c r="T52" i="7"/>
  <c r="R40" i="15"/>
  <c r="V54" i="3"/>
  <c r="T53" i="7"/>
  <c r="T31" i="7"/>
  <c r="S26" i="15"/>
  <c r="S30" i="15"/>
  <c r="V56" i="3"/>
  <c r="S29" i="15"/>
  <c r="S31" i="15"/>
  <c r="S32" i="15"/>
  <c r="S41" i="15"/>
  <c r="W53" i="3"/>
  <c r="U52" i="7"/>
  <c r="S40" i="15"/>
  <c r="U53" i="7"/>
  <c r="U31" i="7"/>
  <c r="W54" i="3"/>
  <c r="T26" i="15"/>
  <c r="W56" i="3"/>
  <c r="T30" i="15"/>
  <c r="T29" i="15"/>
  <c r="T40" i="15"/>
  <c r="T31" i="15"/>
  <c r="V53" i="7"/>
  <c r="V31" i="7"/>
  <c r="X54" i="3"/>
  <c r="T41" i="15"/>
  <c r="V52" i="7"/>
  <c r="X53" i="3"/>
  <c r="X55" i="3"/>
  <c r="V51" i="7"/>
  <c r="E56" i="7"/>
  <c r="T32" i="15"/>
  <c r="X56" i="3"/>
  <c r="C10" i="9" l="1"/>
  <c r="C12" i="3"/>
  <c r="C11" i="14"/>
  <c r="C13" i="3"/>
  <c r="X58" i="3" s="1"/>
  <c r="I64" i="3" l="1"/>
  <c r="G64" i="3"/>
  <c r="V43" i="7"/>
  <c r="X65" i="3"/>
  <c r="V11" i="7"/>
  <c r="V13" i="7" s="1"/>
  <c r="V29" i="7" s="1"/>
  <c r="V32" i="7" s="1"/>
  <c r="C7" i="4" l="1"/>
  <c r="I7" i="4" s="1"/>
  <c r="C11" i="6"/>
  <c r="I8" i="4" l="1"/>
  <c r="I35" i="4"/>
  <c r="X59" i="3" l="1"/>
  <c r="X60" i="3" s="1"/>
  <c r="I9" i="4"/>
  <c r="X64" i="3" l="1"/>
  <c r="T87" i="14"/>
  <c r="T88" i="14" s="1"/>
  <c r="I10" i="4"/>
  <c r="I11" i="4" s="1"/>
  <c r="I26" i="4" s="1"/>
  <c r="I31" i="4" l="1"/>
  <c r="I28" i="4"/>
  <c r="I29" i="4" s="1"/>
  <c r="I32" i="4" s="1"/>
  <c r="C34" i="4" s="1"/>
  <c r="C37" i="4" s="1"/>
  <c r="I36" i="4"/>
  <c r="I37" i="4" s="1"/>
  <c r="H47" i="3" l="1"/>
  <c r="F70" i="14"/>
  <c r="H48" i="3" l="1"/>
  <c r="H50" i="3" s="1"/>
  <c r="G70" i="14"/>
  <c r="H17" i="7"/>
  <c r="H27" i="7" s="1"/>
  <c r="H29" i="7" s="1"/>
  <c r="H32" i="7" s="1"/>
  <c r="F77" i="14"/>
  <c r="F81" i="14" l="1"/>
  <c r="F83" i="14" s="1"/>
  <c r="J39" i="3" s="1"/>
  <c r="J40" i="3" s="1"/>
  <c r="J38" i="3"/>
  <c r="H70" i="14"/>
  <c r="I17" i="7"/>
  <c r="I27" i="7" s="1"/>
  <c r="I29" i="7" s="1"/>
  <c r="I32" i="7" s="1"/>
  <c r="G77" i="14"/>
  <c r="H60" i="3"/>
  <c r="N6" i="8"/>
  <c r="F25" i="7"/>
  <c r="F27" i="7" s="1"/>
  <c r="F29" i="7" s="1"/>
  <c r="J41" i="3" l="1"/>
  <c r="J42" i="3" s="1"/>
  <c r="J44" i="3" s="1"/>
  <c r="C10" i="6" s="1"/>
  <c r="I61" i="3"/>
  <c r="H64" i="3"/>
  <c r="D87" i="14"/>
  <c r="D94" i="14" s="1"/>
  <c r="D96" i="14" s="1"/>
  <c r="E93" i="14" s="1"/>
  <c r="E96" i="14" s="1"/>
  <c r="F93" i="14" s="1"/>
  <c r="K38" i="3"/>
  <c r="G81" i="14"/>
  <c r="G83" i="14" s="1"/>
  <c r="K39" i="3" s="1"/>
  <c r="K40" i="3" s="1"/>
  <c r="H41" i="7"/>
  <c r="F32" i="7"/>
  <c r="F35" i="7" s="1"/>
  <c r="J17" i="7"/>
  <c r="J27" i="7" s="1"/>
  <c r="J29" i="7" s="1"/>
  <c r="J32" i="7" s="1"/>
  <c r="I70" i="14"/>
  <c r="H77" i="14"/>
  <c r="J60" i="3" l="1"/>
  <c r="J61" i="3" s="1"/>
  <c r="L38" i="3"/>
  <c r="H81" i="14"/>
  <c r="H83" i="14" s="1"/>
  <c r="L39" i="3" s="1"/>
  <c r="L40" i="3" s="1"/>
  <c r="K41" i="3"/>
  <c r="K42" i="3" s="1"/>
  <c r="K44" i="3" s="1"/>
  <c r="I77" i="14"/>
  <c r="K17" i="7"/>
  <c r="K27" i="7" s="1"/>
  <c r="K29" i="7" s="1"/>
  <c r="K32" i="7" s="1"/>
  <c r="J70" i="14"/>
  <c r="F87" i="14" l="1"/>
  <c r="F88" i="14" s="1"/>
  <c r="J64" i="3"/>
  <c r="F89" i="14"/>
  <c r="F95" i="14" s="1"/>
  <c r="F96" i="14" s="1"/>
  <c r="G93" i="14" s="1"/>
  <c r="L41" i="3"/>
  <c r="L42" i="3" s="1"/>
  <c r="L44" i="3" s="1"/>
  <c r="L17" i="7"/>
  <c r="L27" i="7" s="1"/>
  <c r="L29" i="7" s="1"/>
  <c r="L32" i="7" s="1"/>
  <c r="K70" i="14"/>
  <c r="J77" i="14"/>
  <c r="I81" i="14"/>
  <c r="I83" i="14" s="1"/>
  <c r="M39" i="3" s="1"/>
  <c r="M40" i="3" s="1"/>
  <c r="M38" i="3"/>
  <c r="I41" i="7"/>
  <c r="K60" i="3"/>
  <c r="M41" i="3" l="1"/>
  <c r="M42" i="3" s="1"/>
  <c r="M44" i="3" s="1"/>
  <c r="M60" i="3" s="1"/>
  <c r="M17" i="7"/>
  <c r="M27" i="7" s="1"/>
  <c r="M29" i="7" s="1"/>
  <c r="M32" i="7" s="1"/>
  <c r="K77" i="14"/>
  <c r="L70" i="14"/>
  <c r="K61" i="3"/>
  <c r="G87" i="14"/>
  <c r="G88" i="14" s="1"/>
  <c r="K64" i="3"/>
  <c r="J41" i="7"/>
  <c r="L60" i="3"/>
  <c r="F90" i="14"/>
  <c r="N38" i="3"/>
  <c r="J81" i="14"/>
  <c r="J83" i="14" s="1"/>
  <c r="N39" i="3" s="1"/>
  <c r="N40" i="3" s="1"/>
  <c r="K41" i="7" l="1"/>
  <c r="G89" i="14"/>
  <c r="G95" i="14" s="1"/>
  <c r="G96" i="14" s="1"/>
  <c r="H93" i="14" s="1"/>
  <c r="L64" i="3"/>
  <c r="H87" i="14"/>
  <c r="H88" i="14" s="1"/>
  <c r="L61" i="3"/>
  <c r="M61" i="3"/>
  <c r="I87" i="14"/>
  <c r="I88" i="14" s="1"/>
  <c r="M64" i="3"/>
  <c r="N17" i="7"/>
  <c r="N27" i="7" s="1"/>
  <c r="N29" i="7" s="1"/>
  <c r="M70" i="14"/>
  <c r="L77" i="14"/>
  <c r="H33" i="7"/>
  <c r="H35" i="7" s="1"/>
  <c r="H44" i="7"/>
  <c r="H45" i="7" s="1"/>
  <c r="O38" i="3"/>
  <c r="K81" i="14"/>
  <c r="K83" i="14" s="1"/>
  <c r="O39" i="3" s="1"/>
  <c r="O40" i="3" s="1"/>
  <c r="N41" i="3"/>
  <c r="N42" i="3" s="1"/>
  <c r="N44" i="3" s="1"/>
  <c r="G90" i="14" l="1"/>
  <c r="I33" i="7" s="1"/>
  <c r="I35" i="7" s="1"/>
  <c r="L41" i="7"/>
  <c r="N60" i="3"/>
  <c r="N70" i="14"/>
  <c r="M77" i="14"/>
  <c r="O17" i="7"/>
  <c r="O27" i="7" s="1"/>
  <c r="O29" i="7" s="1"/>
  <c r="O32" i="7" s="1"/>
  <c r="N32" i="7"/>
  <c r="O41" i="3"/>
  <c r="O42" i="3" s="1"/>
  <c r="O44" i="3" s="1"/>
  <c r="I89" i="14"/>
  <c r="I95" i="14" s="1"/>
  <c r="H89" i="14"/>
  <c r="H95" i="14" s="1"/>
  <c r="H96" i="14" s="1"/>
  <c r="I93" i="14" s="1"/>
  <c r="H50" i="7"/>
  <c r="H54" i="7" s="1"/>
  <c r="P38" i="3"/>
  <c r="L81" i="14"/>
  <c r="L83" i="14" s="1"/>
  <c r="P39" i="3" s="1"/>
  <c r="P40" i="3" s="1"/>
  <c r="I44" i="7" l="1"/>
  <c r="I45" i="7" s="1"/>
  <c r="I50" i="7" s="1"/>
  <c r="I54" i="7" s="1"/>
  <c r="I96" i="14"/>
  <c r="J93" i="14" s="1"/>
  <c r="P41" i="3"/>
  <c r="P42" i="3" s="1"/>
  <c r="P44" i="3" s="1"/>
  <c r="Q38" i="3"/>
  <c r="M81" i="14"/>
  <c r="M83" i="14" s="1"/>
  <c r="Q39" i="3" s="1"/>
  <c r="Q40" i="3" s="1"/>
  <c r="P17" i="7"/>
  <c r="P27" i="7" s="1"/>
  <c r="P29" i="7" s="1"/>
  <c r="P32" i="7" s="1"/>
  <c r="O70" i="14"/>
  <c r="N77" i="14"/>
  <c r="H90" i="14"/>
  <c r="I90" i="14"/>
  <c r="N64" i="3"/>
  <c r="N61" i="3"/>
  <c r="J87" i="14"/>
  <c r="J88" i="14" s="1"/>
  <c r="O60" i="3"/>
  <c r="M41" i="7"/>
  <c r="O77" i="14" l="1"/>
  <c r="Q17" i="7"/>
  <c r="Q27" i="7" s="1"/>
  <c r="Q29" i="7" s="1"/>
  <c r="Q32" i="7" s="1"/>
  <c r="P70" i="14"/>
  <c r="K44" i="7"/>
  <c r="K45" i="7" s="1"/>
  <c r="K50" i="7" s="1"/>
  <c r="K54" i="7" s="1"/>
  <c r="K33" i="7"/>
  <c r="K35" i="7" s="1"/>
  <c r="P60" i="3"/>
  <c r="N41" i="7"/>
  <c r="Q41" i="3"/>
  <c r="Q42" i="3" s="1"/>
  <c r="Q44" i="3" s="1"/>
  <c r="J33" i="7"/>
  <c r="J35" i="7" s="1"/>
  <c r="J44" i="7"/>
  <c r="J45" i="7" s="1"/>
  <c r="O61" i="3"/>
  <c r="K87" i="14"/>
  <c r="K88" i="14" s="1"/>
  <c r="O64" i="3"/>
  <c r="J89" i="14"/>
  <c r="J95" i="14" s="1"/>
  <c r="J96" i="14" s="1"/>
  <c r="K93" i="14" s="1"/>
  <c r="N81" i="14"/>
  <c r="N83" i="14" s="1"/>
  <c r="R39" i="3" s="1"/>
  <c r="R40" i="3" s="1"/>
  <c r="R38" i="3"/>
  <c r="J90" i="14" l="1"/>
  <c r="L44" i="7" s="1"/>
  <c r="L45" i="7" s="1"/>
  <c r="L50" i="7" s="1"/>
  <c r="L54" i="7" s="1"/>
  <c r="R41" i="3"/>
  <c r="R42" i="3" s="1"/>
  <c r="R44" i="3" s="1"/>
  <c r="R60" i="3" s="1"/>
  <c r="K89" i="14"/>
  <c r="K95" i="14" s="1"/>
  <c r="K96" i="14" s="1"/>
  <c r="L93" i="14" s="1"/>
  <c r="J50" i="7"/>
  <c r="J54" i="7" s="1"/>
  <c r="P64" i="3"/>
  <c r="P61" i="3"/>
  <c r="L87" i="14"/>
  <c r="L88" i="14" s="1"/>
  <c r="R17" i="7"/>
  <c r="R27" i="7" s="1"/>
  <c r="R29" i="7" s="1"/>
  <c r="R32" i="7" s="1"/>
  <c r="P77" i="14"/>
  <c r="Q70" i="14"/>
  <c r="Q60" i="3"/>
  <c r="O41" i="7"/>
  <c r="S38" i="3"/>
  <c r="O81" i="14"/>
  <c r="O83" i="14" s="1"/>
  <c r="S39" i="3" s="1"/>
  <c r="S40" i="3" s="1"/>
  <c r="L33" i="7" l="1"/>
  <c r="L35" i="7" s="1"/>
  <c r="P41" i="7"/>
  <c r="R61" i="3"/>
  <c r="N87" i="14"/>
  <c r="N88" i="14" s="1"/>
  <c r="R64" i="3"/>
  <c r="P81" i="14"/>
  <c r="P83" i="14" s="1"/>
  <c r="T39" i="3" s="1"/>
  <c r="T40" i="3" s="1"/>
  <c r="T38" i="3"/>
  <c r="S41" i="3"/>
  <c r="S42" i="3" s="1"/>
  <c r="S44" i="3" s="1"/>
  <c r="R70" i="14"/>
  <c r="Q77" i="14"/>
  <c r="S17" i="7"/>
  <c r="S27" i="7" s="1"/>
  <c r="S29" i="7" s="1"/>
  <c r="S32" i="7" s="1"/>
  <c r="L89" i="14"/>
  <c r="L95" i="14" s="1"/>
  <c r="L96" i="14" s="1"/>
  <c r="M93" i="14" s="1"/>
  <c r="Q61" i="3"/>
  <c r="Q64" i="3"/>
  <c r="M87" i="14"/>
  <c r="M88" i="14" s="1"/>
  <c r="K90" i="14"/>
  <c r="T41" i="3" l="1"/>
  <c r="T42" i="3" s="1"/>
  <c r="T44" i="3" s="1"/>
  <c r="T60" i="3" s="1"/>
  <c r="S60" i="3"/>
  <c r="Q41" i="7"/>
  <c r="L90" i="14"/>
  <c r="M44" i="7"/>
  <c r="M45" i="7" s="1"/>
  <c r="M33" i="7"/>
  <c r="M35" i="7" s="1"/>
  <c r="R41" i="7"/>
  <c r="M89" i="14"/>
  <c r="M95" i="14" s="1"/>
  <c r="M96" i="14" s="1"/>
  <c r="N93" i="14" s="1"/>
  <c r="U38" i="3"/>
  <c r="Q81" i="14"/>
  <c r="Q83" i="14" s="1"/>
  <c r="U39" i="3" s="1"/>
  <c r="U40" i="3" s="1"/>
  <c r="N89" i="14"/>
  <c r="N95" i="14" s="1"/>
  <c r="N90" i="14"/>
  <c r="S70" i="14"/>
  <c r="T17" i="7"/>
  <c r="T27" i="7" s="1"/>
  <c r="T29" i="7" s="1"/>
  <c r="T32" i="7" s="1"/>
  <c r="R77" i="14"/>
  <c r="M90" i="14" l="1"/>
  <c r="M50" i="7"/>
  <c r="M54" i="7" s="1"/>
  <c r="U41" i="3"/>
  <c r="U42" i="3" s="1"/>
  <c r="U44" i="3" s="1"/>
  <c r="N33" i="7"/>
  <c r="N35" i="7" s="1"/>
  <c r="N44" i="7"/>
  <c r="N45" i="7" s="1"/>
  <c r="N50" i="7" s="1"/>
  <c r="N54" i="7" s="1"/>
  <c r="P87" i="14"/>
  <c r="P88" i="14" s="1"/>
  <c r="T64" i="3"/>
  <c r="T61" i="3"/>
  <c r="V38" i="3"/>
  <c r="R81" i="14"/>
  <c r="R83" i="14" s="1"/>
  <c r="V39" i="3" s="1"/>
  <c r="V40" i="3" s="1"/>
  <c r="O33" i="7"/>
  <c r="O35" i="7" s="1"/>
  <c r="O44" i="7"/>
  <c r="O45" i="7" s="1"/>
  <c r="O50" i="7" s="1"/>
  <c r="O54" i="7" s="1"/>
  <c r="U17" i="7"/>
  <c r="U27" i="7" s="1"/>
  <c r="U29" i="7" s="1"/>
  <c r="S77" i="14"/>
  <c r="P33" i="7"/>
  <c r="P35" i="7" s="1"/>
  <c r="P44" i="7"/>
  <c r="P45" i="7" s="1"/>
  <c r="P50" i="7" s="1"/>
  <c r="P54" i="7" s="1"/>
  <c r="N96" i="14"/>
  <c r="O87" i="14"/>
  <c r="O88" i="14" s="1"/>
  <c r="S61" i="3"/>
  <c r="S64" i="3"/>
  <c r="S41" i="7" l="1"/>
  <c r="U60" i="3"/>
  <c r="W38" i="3"/>
  <c r="S81" i="14"/>
  <c r="S83" i="14" s="1"/>
  <c r="W39" i="3" s="1"/>
  <c r="W40" i="3" s="1"/>
  <c r="U32" i="7"/>
  <c r="W29" i="7"/>
  <c r="V41" i="3"/>
  <c r="V42" i="3" s="1"/>
  <c r="V44" i="3" s="1"/>
  <c r="O93" i="14"/>
  <c r="O89" i="14"/>
  <c r="O95" i="14" s="1"/>
  <c r="T41" i="7" l="1"/>
  <c r="V60" i="3"/>
  <c r="W41" i="3"/>
  <c r="W42" i="3" s="1"/>
  <c r="W44" i="3" s="1"/>
  <c r="O96" i="14"/>
  <c r="U64" i="3"/>
  <c r="Q87" i="14"/>
  <c r="Q88" i="14" s="1"/>
  <c r="U61" i="3"/>
  <c r="O90" i="14"/>
  <c r="P89" i="14" l="1"/>
  <c r="P93" i="14"/>
  <c r="W60" i="3"/>
  <c r="U41" i="7"/>
  <c r="Y44" i="3"/>
  <c r="V61" i="3"/>
  <c r="R87" i="14"/>
  <c r="R88" i="14" s="1"/>
  <c r="V64" i="3"/>
  <c r="Q33" i="7"/>
  <c r="Q35" i="7" s="1"/>
  <c r="Q44" i="7"/>
  <c r="Q45" i="7" s="1"/>
  <c r="Q50" i="7" s="1"/>
  <c r="Q54" i="7" s="1"/>
  <c r="P95" i="14" l="1"/>
  <c r="P90" i="14"/>
  <c r="S87" i="14"/>
  <c r="S88" i="14" s="1"/>
  <c r="W61" i="3"/>
  <c r="W64" i="3"/>
  <c r="X61" i="3"/>
  <c r="C69" i="3"/>
  <c r="D20" i="8" s="1"/>
  <c r="C70" i="3"/>
  <c r="P96" i="14"/>
  <c r="Q93" i="14" l="1"/>
  <c r="Q89" i="14"/>
  <c r="C68" i="3"/>
  <c r="D10" i="8" s="1"/>
  <c r="C72" i="3"/>
  <c r="N7" i="8"/>
  <c r="N8" i="8" s="1"/>
  <c r="N9" i="8" s="1"/>
  <c r="C71" i="3"/>
  <c r="D30" i="8" s="1"/>
  <c r="R44" i="7"/>
  <c r="R45" i="7" s="1"/>
  <c r="R33" i="7"/>
  <c r="R35" i="7" s="1"/>
  <c r="R50" i="7" l="1"/>
  <c r="R54" i="7" s="1"/>
  <c r="Q95" i="14"/>
  <c r="Q96" i="14" s="1"/>
  <c r="Q90" i="14"/>
  <c r="R89" i="14" l="1"/>
  <c r="R93" i="14"/>
  <c r="S33" i="7"/>
  <c r="S35" i="7" s="1"/>
  <c r="S44" i="7"/>
  <c r="S45" i="7" s="1"/>
  <c r="S50" i="7" l="1"/>
  <c r="S54" i="7" s="1"/>
  <c r="R95" i="14"/>
  <c r="R96" i="14" s="1"/>
  <c r="R90" i="14"/>
  <c r="S89" i="14" l="1"/>
  <c r="S93" i="14"/>
  <c r="T44" i="7"/>
  <c r="T45" i="7" s="1"/>
  <c r="T33" i="7"/>
  <c r="T35" i="7" s="1"/>
  <c r="T50" i="7" l="1"/>
  <c r="T54" i="7" s="1"/>
  <c r="S95" i="14"/>
  <c r="S96" i="14" s="1"/>
  <c r="S90" i="14"/>
  <c r="T89" i="14" l="1"/>
  <c r="T93" i="14"/>
  <c r="U33" i="7"/>
  <c r="U35" i="7" s="1"/>
  <c r="U44" i="7"/>
  <c r="U45" i="7" s="1"/>
  <c r="U50" i="7" l="1"/>
  <c r="U54" i="7" s="1"/>
  <c r="T95" i="14"/>
  <c r="T96" i="14" s="1"/>
  <c r="T90" i="14"/>
  <c r="V44" i="7" l="1"/>
  <c r="V45" i="7" s="1"/>
  <c r="V33" i="7"/>
  <c r="V35" i="7" s="1"/>
  <c r="W35" i="7" s="1"/>
  <c r="V50" i="7" l="1"/>
  <c r="V54" i="7" s="1"/>
  <c r="E55" i="7" s="1"/>
  <c r="E46" i="7"/>
  <c r="E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MyOECD</author>
  </authors>
  <commentList>
    <comment ref="AA26" authorId="0" shapeId="0" xr:uid="{3127FD0C-DF8C-3C40-AB47-96855171C575}">
      <text>
        <r>
          <rPr>
            <sz val="10"/>
            <color rgb="FF000000"/>
            <rFont val="Tahoma"/>
            <family val="2"/>
          </rPr>
          <t xml:space="preserve">E: Estimated value </t>
        </r>
      </text>
    </comment>
    <comment ref="AC26" authorId="0" shapeId="0" xr:uid="{ADACFB18-93EA-FB45-9377-5DE288D783A2}">
      <text>
        <r>
          <rPr>
            <sz val="10"/>
            <color rgb="FF000000"/>
            <rFont val="Tahoma"/>
            <family val="2"/>
          </rPr>
          <t xml:space="preserve">E: Estimated value </t>
        </r>
      </text>
    </comment>
  </commentList>
</comments>
</file>

<file path=xl/sharedStrings.xml><?xml version="1.0" encoding="utf-8"?>
<sst xmlns="http://schemas.openxmlformats.org/spreadsheetml/2006/main" count="1330" uniqueCount="589">
  <si>
    <t>ANNERLY HEALTH HUB: COVER</t>
  </si>
  <si>
    <t>PERSHICA ASSOCIATES</t>
  </si>
  <si>
    <t>To return to this page, please select the 'Back to Home Page' toggle on any sheet.</t>
  </si>
  <si>
    <t>Due Date</t>
  </si>
  <si>
    <t>Student</t>
  </si>
  <si>
    <t>Student Number</t>
  </si>
  <si>
    <t>Lane Barry</t>
  </si>
  <si>
    <t>S4748035</t>
  </si>
  <si>
    <t>Daniel Ciccotosto-Camp</t>
  </si>
  <si>
    <t>S4585727</t>
  </si>
  <si>
    <t>Daniel</t>
  </si>
  <si>
    <t>Connor</t>
  </si>
  <si>
    <t>Rakto Yoshioka</t>
  </si>
  <si>
    <t>S47493942</t>
  </si>
  <si>
    <t>Legend</t>
  </si>
  <si>
    <t>All figures were recorded in $AUD Millions (Two Decimal Places) - unless otherwise stated</t>
  </si>
  <si>
    <t>Hard-Coded</t>
  </si>
  <si>
    <t>Derived From Other Sheet</t>
  </si>
  <si>
    <t>Formula Output</t>
  </si>
  <si>
    <t>ANNERLY HEALTH HUB: ASSUMPTIONS</t>
  </si>
  <si>
    <t>Assumptions</t>
  </si>
  <si>
    <t>Exit Assumptions</t>
  </si>
  <si>
    <t>Valuation Assumptions</t>
  </si>
  <si>
    <t>Value</t>
  </si>
  <si>
    <t>Timeline and Lease-Up Assumptions</t>
  </si>
  <si>
    <t>Capitalisation Rate</t>
  </si>
  <si>
    <t>Lease up Period</t>
  </si>
  <si>
    <t>15 Years</t>
  </si>
  <si>
    <t>Year 1 NOI</t>
  </si>
  <si>
    <t>Construction Initiation</t>
  </si>
  <si>
    <t>Estimated Property Value</t>
  </si>
  <si>
    <t>Construction Duration (Days)</t>
  </si>
  <si>
    <t>Land Value</t>
  </si>
  <si>
    <t>Completion Date</t>
  </si>
  <si>
    <t>Development Costs</t>
  </si>
  <si>
    <t xml:space="preserve"> </t>
  </si>
  <si>
    <t>Rent Escalation - Queensland Market</t>
  </si>
  <si>
    <t>Rental Escalation (p.a.)</t>
  </si>
  <si>
    <t>Taxation Assumptions</t>
  </si>
  <si>
    <t>Rate</t>
  </si>
  <si>
    <t>Annual Frequency</t>
  </si>
  <si>
    <t>Corporate Tax Rate</t>
  </si>
  <si>
    <t>Source: https://sqmresearch.com.au/weekly-rents.php?region=qld-Brisbane&amp;type=c&amp;t=1</t>
  </si>
  <si>
    <t>Note: Calculated via 10-Year Historical Average</t>
  </si>
  <si>
    <t>GST Refund</t>
  </si>
  <si>
    <t>Total</t>
  </si>
  <si>
    <t>Inflation (CPI) Assumptions</t>
  </si>
  <si>
    <t>Total Development Costs</t>
  </si>
  <si>
    <t>GST Rebate (10%)</t>
  </si>
  <si>
    <t>Source: RBA. Straightlined 2028 onward</t>
  </si>
  <si>
    <t>Discount Rate</t>
  </si>
  <si>
    <t>Australian Unity Limited Healthcare Assets</t>
  </si>
  <si>
    <t>NLA (m2)</t>
  </si>
  <si>
    <t>Book Value</t>
  </si>
  <si>
    <t>Book Value PSM</t>
  </si>
  <si>
    <t>Return on Equity - CAPM Inputs</t>
  </si>
  <si>
    <t>Beta Estimate</t>
  </si>
  <si>
    <t>5Y Beta</t>
  </si>
  <si>
    <t>Source: https://link.springer.com/article/10.1007/s11146-022-09890-4#:~:text=Based%20on%20%CE%B2m%20and,and%20the%20minimum%20is%200.66.</t>
  </si>
  <si>
    <t>Robina Private Hospital</t>
  </si>
  <si>
    <t>Research Company</t>
  </si>
  <si>
    <t>MRP Estimate</t>
  </si>
  <si>
    <t>CareTrust REIT</t>
  </si>
  <si>
    <t>Peninsula Private Hospital</t>
  </si>
  <si>
    <t>Damdoran</t>
  </si>
  <si>
    <t>Community Healthcare Trust Incorporated</t>
  </si>
  <si>
    <t>Infinite Care Mount Lofty</t>
  </si>
  <si>
    <t>AER</t>
  </si>
  <si>
    <t>Vital Healthcare Property Trust (NZSE)</t>
  </si>
  <si>
    <t>Mulgrave Private Hospital</t>
  </si>
  <si>
    <t>Leadenhall</t>
  </si>
  <si>
    <t>Healthcare Realty Trust Incorporated</t>
  </si>
  <si>
    <t>RPAH Medical Centre</t>
  </si>
  <si>
    <t>CA ANZ</t>
  </si>
  <si>
    <t>Impact Healthcare REIT</t>
  </si>
  <si>
    <t>8 Herbert Street</t>
  </si>
  <si>
    <t>Average</t>
  </si>
  <si>
    <t>15 Butterfield Street</t>
  </si>
  <si>
    <t>310 Selby Road North</t>
  </si>
  <si>
    <t xml:space="preserve">Risk Free Rate </t>
  </si>
  <si>
    <t>Blended Discount Rate</t>
  </si>
  <si>
    <t>Metric</t>
  </si>
  <si>
    <t>Surgical Treatment and Rehabilitation Service (STARS)</t>
  </si>
  <si>
    <t>Spot Yield AU 10 Year Gov Bond Yield</t>
  </si>
  <si>
    <t>Cost of Debt</t>
  </si>
  <si>
    <t>LTV</t>
  </si>
  <si>
    <t>Return on Equity</t>
  </si>
  <si>
    <t>Weighted Average Lease Expiry (WALE) &amp; Occupancy</t>
  </si>
  <si>
    <t>Refinance Facility</t>
  </si>
  <si>
    <t>WACC</t>
  </si>
  <si>
    <t>Construction Loan</t>
  </si>
  <si>
    <t>Healthcare REIT &amp; Funds</t>
  </si>
  <si>
    <t>AUM ($B)</t>
  </si>
  <si>
    <t>Years</t>
  </si>
  <si>
    <t>Occupancy</t>
  </si>
  <si>
    <t>Centuria Healthcare</t>
  </si>
  <si>
    <t>Development Assumptions</t>
  </si>
  <si>
    <t>Healthco Healthcare &amp; Wellness REIT (HMC)</t>
  </si>
  <si>
    <t>Australian Unity Limited</t>
  </si>
  <si>
    <t>Proposed Development Timeline</t>
  </si>
  <si>
    <t>FY24E</t>
  </si>
  <si>
    <t>FY25E</t>
  </si>
  <si>
    <t>FY26E</t>
  </si>
  <si>
    <t>Arena REIT</t>
  </si>
  <si>
    <t>Development Cost Dispersion</t>
  </si>
  <si>
    <t>Dexus Healthcare Property Fund</t>
  </si>
  <si>
    <t>Elanor Healthcare Real Estate Fund</t>
  </si>
  <si>
    <t>Construction Cost Assumptions</t>
  </si>
  <si>
    <t>Weighted Average</t>
  </si>
  <si>
    <t>-</t>
  </si>
  <si>
    <t>Range ($/m^2)</t>
  </si>
  <si>
    <t>Low</t>
  </si>
  <si>
    <t>High</t>
  </si>
  <si>
    <t>Mutli-Purpose Healthcare*</t>
  </si>
  <si>
    <t>Retail REIT &amp; Funds</t>
  </si>
  <si>
    <t>Underground parking**</t>
  </si>
  <si>
    <t>Charter Hall Retail REIT</t>
  </si>
  <si>
    <t>Retail Shopping centre</t>
  </si>
  <si>
    <t>Dexus Convenience Retail REIT</t>
  </si>
  <si>
    <t>Level 5 Verandah</t>
  </si>
  <si>
    <t>Construction Cost By Zone</t>
  </si>
  <si>
    <t>Proportion</t>
  </si>
  <si>
    <t>Gross Building Area (m2)</t>
  </si>
  <si>
    <t>Construction Cost ($/m2)</t>
  </si>
  <si>
    <t>Basement 04</t>
  </si>
  <si>
    <t>Facility Weighted Average</t>
  </si>
  <si>
    <t xml:space="preserve">Facility Proportion </t>
  </si>
  <si>
    <t>WALE</t>
  </si>
  <si>
    <t>Basement 03</t>
  </si>
  <si>
    <t>Healthcare</t>
  </si>
  <si>
    <t>Basement 02</t>
  </si>
  <si>
    <t>Retail</t>
  </si>
  <si>
    <t>Basement 01</t>
  </si>
  <si>
    <t>Ground Level</t>
  </si>
  <si>
    <t>Facility WALE</t>
  </si>
  <si>
    <t>Retail (Small Ancillary Shop / Café)</t>
  </si>
  <si>
    <t>Facility Occupancy</t>
  </si>
  <si>
    <t>Pharmacy</t>
  </si>
  <si>
    <t>Implied Vacancy Rate</t>
  </si>
  <si>
    <t>Level 01</t>
  </si>
  <si>
    <t>General Practice</t>
  </si>
  <si>
    <t>Property Assumptions</t>
  </si>
  <si>
    <t>Pathology</t>
  </si>
  <si>
    <t>Level 02</t>
  </si>
  <si>
    <t>Zone</t>
  </si>
  <si>
    <t>GFA (m2)</t>
  </si>
  <si>
    <t>Car Parking</t>
  </si>
  <si>
    <t>Diagnostic Imaging &amp; Radiology</t>
  </si>
  <si>
    <t>Level 03</t>
  </si>
  <si>
    <t>Day Surgery</t>
  </si>
  <si>
    <t>Level 04</t>
  </si>
  <si>
    <t>Specialist Health Services</t>
  </si>
  <si>
    <t>Level 05</t>
  </si>
  <si>
    <t>Verandah</t>
  </si>
  <si>
    <t>Source: Rawlinsons Australian Handbook 2024</t>
  </si>
  <si>
    <t>*Built into the price of the mutli purpose healthcare faciility is:</t>
  </si>
  <si>
    <t>standard finishes, with accident and emergency treatment facilities, labour suite, consulting rooms, occupational therapy facilities, limited aged persons rooms, partial air conditoning</t>
  </si>
  <si>
    <t>**Fire sprinklers included in parking price, but there is a 4th basement that will neeed sprinklers</t>
  </si>
  <si>
    <t>Source: Attachment C - Architectural Drawings</t>
  </si>
  <si>
    <t>Demolition and Disposal Cost Assumptions</t>
  </si>
  <si>
    <t>Demolition Cost ($/m2)</t>
  </si>
  <si>
    <t>Dwelling 97 Cornwell Street (72-RP37992)</t>
  </si>
  <si>
    <t>Local Gross Market Rent</t>
  </si>
  <si>
    <t xml:space="preserve">  Single/two storey, brick and tile</t>
  </si>
  <si>
    <t>Address</t>
  </si>
  <si>
    <t>Service</t>
  </si>
  <si>
    <t>Date</t>
  </si>
  <si>
    <t>Gross market rent</t>
  </si>
  <si>
    <t>Inflation Adjusted Rents</t>
  </si>
  <si>
    <t xml:space="preserve">  Aesbestos, including battens and safety mesh</t>
  </si>
  <si>
    <t>364 Ipswich Road, Annerley</t>
  </si>
  <si>
    <t>Medical center</t>
  </si>
  <si>
    <t>Dwelling 99 Cornwell Street (72-RP37992)</t>
  </si>
  <si>
    <t>87 Ipswich Road, Woolloongabba</t>
  </si>
  <si>
    <t>34 Sherwood Road, Toowong</t>
  </si>
  <si>
    <t>Radiologist</t>
  </si>
  <si>
    <t>1000 Logan Road, Holland Park West</t>
  </si>
  <si>
    <t>Medical Practice</t>
  </si>
  <si>
    <t>Dwelling 279 Ipswitch Road (4-RP37992)</t>
  </si>
  <si>
    <t>332 Old Cleveland Road, Cooparoo</t>
  </si>
  <si>
    <t>663 Logan Road, Greenslopes</t>
  </si>
  <si>
    <t>137 Logan Road, Woolloongabba</t>
  </si>
  <si>
    <t>Building 275 Ipswitch Road (1-RP37992, 2-RP37992, 3-RP37992)</t>
  </si>
  <si>
    <t>478 ipswich Road, Annerley</t>
  </si>
  <si>
    <t>Retail - Cafe</t>
  </si>
  <si>
    <t>104 Beadesert Road, Moorooka</t>
  </si>
  <si>
    <t>Dentist</t>
  </si>
  <si>
    <t>Carpark (1-RP37992, 2-RP37992, 3-RP37992)</t>
  </si>
  <si>
    <t>429 Fairfield road, Yeronga</t>
  </si>
  <si>
    <t xml:space="preserve">  150mm unreinforced</t>
  </si>
  <si>
    <t>183 Old Cleveland Road Cooparoo</t>
  </si>
  <si>
    <t>Physiotherapy</t>
  </si>
  <si>
    <t>496 Logan Road Greenslopes</t>
  </si>
  <si>
    <t>Allied Health Price Triangulation</t>
  </si>
  <si>
    <t>Weighted Average Market Rent</t>
  </si>
  <si>
    <t>Project Management Fees</t>
  </si>
  <si>
    <t>Percentage</t>
  </si>
  <si>
    <t>As % of Construction Costs</t>
  </si>
  <si>
    <t>Development Assessment and Compliance Fees Assumptions</t>
  </si>
  <si>
    <t>Fee</t>
  </si>
  <si>
    <t>Pre-Lodgement Costs</t>
  </si>
  <si>
    <t>Radiologist, specialist medical</t>
  </si>
  <si>
    <t>Preliminary Discussion</t>
  </si>
  <si>
    <t>Pre-purchase meeting inclusive of traffic and transport advice</t>
  </si>
  <si>
    <t>Specialist</t>
  </si>
  <si>
    <t>Pre-assessment of technical reports</t>
  </si>
  <si>
    <t>Request for written Urban Design Advice provided by IDAP</t>
  </si>
  <si>
    <t>Discussion and calculation of infrastructure charges</t>
  </si>
  <si>
    <t>Permit Fees (Per m2)</t>
  </si>
  <si>
    <t>Tenancy/Allied Health Mix Master Toggle</t>
  </si>
  <si>
    <t>Prices ($/m2)</t>
  </si>
  <si>
    <t>Zone A</t>
  </si>
  <si>
    <t>Plan Sealing Fees</t>
  </si>
  <si>
    <t>Other Application Types</t>
  </si>
  <si>
    <t>Request for negotiated infrastructure charges notice</t>
  </si>
  <si>
    <t>Request to extend currency period:</t>
  </si>
  <si>
    <t>Multiple dwellings, reconfirguration development type, etc.</t>
  </si>
  <si>
    <t>Minor and domestic development types.</t>
  </si>
  <si>
    <t>QUU Development Assessment</t>
  </si>
  <si>
    <t>Connection request:</t>
  </si>
  <si>
    <t>Standard</t>
  </si>
  <si>
    <t>Non-standard</t>
  </si>
  <si>
    <t>1-10 lots</t>
  </si>
  <si>
    <t>Build over asset request</t>
  </si>
  <si>
    <t>Water connection:</t>
  </si>
  <si>
    <t>Base</t>
  </si>
  <si>
    <t>Road crossing</t>
  </si>
  <si>
    <t>Approximating Carpark Comparables (Monthly)</t>
  </si>
  <si>
    <t xml:space="preserve">Surrounding Prices </t>
  </si>
  <si>
    <t>Half road crossing</t>
  </si>
  <si>
    <t>Brisbane Street</t>
  </si>
  <si>
    <t>Water disconnection</t>
  </si>
  <si>
    <t>Wastewater connection</t>
  </si>
  <si>
    <t>Emporer Street</t>
  </si>
  <si>
    <t>Wastewater connection - Extra over for footway/verge connection</t>
  </si>
  <si>
    <t>Young Street</t>
  </si>
  <si>
    <t>Wastewater disconnection</t>
  </si>
  <si>
    <t>Tottenham Street</t>
  </si>
  <si>
    <t>Annual Revenue Generation Per Carpark</t>
  </si>
  <si>
    <t>Council Headworks Assumptions</t>
  </si>
  <si>
    <t>Lease Incentives</t>
  </si>
  <si>
    <t>Trunk infrastructure networks other than storm water (Per m2)</t>
  </si>
  <si>
    <t>Fitout contribution (%)</t>
  </si>
  <si>
    <t>Stormwater trunk infrastructure network (Per m2)</t>
  </si>
  <si>
    <t>Healthcare Warm Shell Fitout ($/m2)</t>
  </si>
  <si>
    <t>Plumbing and Drainage Fees</t>
  </si>
  <si>
    <t>Healthcare Cold Shell Fitout ($/m2)</t>
  </si>
  <si>
    <t>Backflow Prevention Devices</t>
  </si>
  <si>
    <t>Retail Cold shell Fitout ($/m2)</t>
  </si>
  <si>
    <t>On-site Sewage and Greywater Facilities</t>
  </si>
  <si>
    <t>Free rental period (years)</t>
  </si>
  <si>
    <t>Standard permit application - online lodgement</t>
  </si>
  <si>
    <t>Source:  https://www.cyclogroup.com.au/blog/</t>
  </si>
  <si>
    <t>Plan assessment</t>
  </si>
  <si>
    <t>https://impeccabuild.com.au/restaurant-fit-out-costs/</t>
  </si>
  <si>
    <t>Water Meter and Fixtures</t>
  </si>
  <si>
    <t>Backflow prevention devices</t>
  </si>
  <si>
    <t>On-site sewage</t>
  </si>
  <si>
    <t>New dwelling and additions / alterations</t>
  </si>
  <si>
    <t>Application fee - online lodgement</t>
  </si>
  <si>
    <t>Assessment fee</t>
  </si>
  <si>
    <t>Inspection fee (each application, up to 3 inspections)</t>
  </si>
  <si>
    <t>Operating Costs ($/m2)</t>
  </si>
  <si>
    <t>$/m2 Net Lettable Area, p.a.</t>
  </si>
  <si>
    <t>Pre-development Costs ($/m2)</t>
  </si>
  <si>
    <t>Insurance</t>
  </si>
  <si>
    <t>Conveyancing Fees</t>
  </si>
  <si>
    <t>Rates</t>
  </si>
  <si>
    <t>Engineering</t>
  </si>
  <si>
    <t>Air-conditioning</t>
  </si>
  <si>
    <t>Architecture</t>
  </si>
  <si>
    <t>Lifts</t>
  </si>
  <si>
    <t>Other Consultancy</t>
  </si>
  <si>
    <t>Fire Protection</t>
  </si>
  <si>
    <t>Combined Average</t>
  </si>
  <si>
    <t>Energy</t>
  </si>
  <si>
    <t>Cleaning</t>
  </si>
  <si>
    <t>Building Staff</t>
  </si>
  <si>
    <t>Security</t>
  </si>
  <si>
    <t>Repairs and Maintenance</t>
  </si>
  <si>
    <t>Management</t>
  </si>
  <si>
    <t>Sundries</t>
  </si>
  <si>
    <t>Void Allowance</t>
  </si>
  <si>
    <t>Subtotal</t>
  </si>
  <si>
    <t>GST (10%)</t>
  </si>
  <si>
    <t>Source: Rawlinsons Australian Handbook 2024 page 920</t>
  </si>
  <si>
    <t>Gearing ratio</t>
  </si>
  <si>
    <t>ASX Ticker code</t>
  </si>
  <si>
    <t>Market Cap ($M)</t>
  </si>
  <si>
    <t>Gearing</t>
  </si>
  <si>
    <t>Target Range</t>
  </si>
  <si>
    <t xml:space="preserve">HealthCo Healthcare &amp; Wellness </t>
  </si>
  <si>
    <t>HCW</t>
  </si>
  <si>
    <t>30%-40%</t>
  </si>
  <si>
    <t>unlisted</t>
  </si>
  <si>
    <t>Centuria Healthcare Property Fund</t>
  </si>
  <si>
    <t>* Financial covenant: LTV &lt; 55%</t>
  </si>
  <si>
    <t>RAM Essential Services Property Fund</t>
  </si>
  <si>
    <t>REP</t>
  </si>
  <si>
    <t>Unity Healthcare Property Trust</t>
  </si>
  <si>
    <t>Source: https://www.australianunity.com.au/wealth/-/media/RebrandWealth/Documents/Funds/AustralianUnity/HPT-WHOLE/annual-report.pdf</t>
  </si>
  <si>
    <t>https://ramgroup.com/wp-content/uploads/2024/02/REP-HY24-Results-Presentation_29Feb2024-1.pdf</t>
  </si>
  <si>
    <t>https://www.dexus.com/investor-centre/results-and-reporting/asx-announcements/2023/august/2023-annual-report</t>
  </si>
  <si>
    <t>ANNERLY HEALTH HUB: DEVELOPMENT SCHEDULE</t>
  </si>
  <si>
    <t>Construction Costs</t>
  </si>
  <si>
    <t>Total FV</t>
  </si>
  <si>
    <t>Total PV</t>
  </si>
  <si>
    <t>Retail (Small Ancillary Shop)</t>
  </si>
  <si>
    <t>Sub-total</t>
  </si>
  <si>
    <t>Demolition and Disposal Costs</t>
  </si>
  <si>
    <t>Sub-Total</t>
  </si>
  <si>
    <t>Pre-development Costs</t>
  </si>
  <si>
    <t>Combined Total</t>
  </si>
  <si>
    <t>Project Management Fees (Construction Phase)</t>
  </si>
  <si>
    <t>As % of Construction Costs (3%)</t>
  </si>
  <si>
    <t>Development Assessment and Compliance Fees</t>
  </si>
  <si>
    <t>Council Headworks Charges</t>
  </si>
  <si>
    <t>GST (combined)</t>
  </si>
  <si>
    <t>ANNERLY HEALTH HUB: RENT SCHEDULE</t>
  </si>
  <si>
    <t>Inputs</t>
  </si>
  <si>
    <t>FY27E</t>
  </si>
  <si>
    <t>FY28E</t>
  </si>
  <si>
    <t>FY29E</t>
  </si>
  <si>
    <t>FY30E</t>
  </si>
  <si>
    <t>FY31E</t>
  </si>
  <si>
    <t>FY32E</t>
  </si>
  <si>
    <t>FY33E</t>
  </si>
  <si>
    <t>FY34E</t>
  </si>
  <si>
    <t>FY35E</t>
  </si>
  <si>
    <t>FY36E</t>
  </si>
  <si>
    <t>FY37E</t>
  </si>
  <si>
    <t>FY38E</t>
  </si>
  <si>
    <t>FY39E</t>
  </si>
  <si>
    <t>FY40E</t>
  </si>
  <si>
    <t>FY41E</t>
  </si>
  <si>
    <t>CPI Inflation</t>
  </si>
  <si>
    <t>Rent Escalation</t>
  </si>
  <si>
    <t>Discount Rate (WACC)</t>
  </si>
  <si>
    <t>Rent Escaltion Development Adjustment</t>
  </si>
  <si>
    <t>CPI Development Phase Adjustment</t>
  </si>
  <si>
    <t>Carpark Income Schedule</t>
  </si>
  <si>
    <t>A$</t>
  </si>
  <si>
    <t>Healthcare Rent Schedule</t>
  </si>
  <si>
    <t>General Practice - Anchor</t>
  </si>
  <si>
    <t>ANNERLY HEALTH HUB: EXPENSE SCHEDULE</t>
  </si>
  <si>
    <t>Terminal Value Capitalisation Rate</t>
  </si>
  <si>
    <t>Outgoings Assumptions</t>
  </si>
  <si>
    <t>Variable Proportion</t>
  </si>
  <si>
    <t>Pre-leasing Assumptions</t>
  </si>
  <si>
    <t>Stamp Duty</t>
  </si>
  <si>
    <t>Debt Establishment Fee</t>
  </si>
  <si>
    <t>Property Management Fees (Operational Phase)</t>
  </si>
  <si>
    <t>Land Tax</t>
  </si>
  <si>
    <t>Recovery Rate</t>
  </si>
  <si>
    <t>Base Management Fee</t>
  </si>
  <si>
    <t>Letting Fees</t>
  </si>
  <si>
    <t>Maintenance Capex Reserve (Building Repairs)  ($/m^2)</t>
  </si>
  <si>
    <t>Source: https://stampduty.calculatorsaustralia.com.au/</t>
  </si>
  <si>
    <t>Prereleasing Incentives - Fitout Contribution and Rental Discounts</t>
  </si>
  <si>
    <t>Cold Shell - Retail (Small Ancillary Shop / Café)</t>
  </si>
  <si>
    <t>Rental Discounts - Retail (Small Ancillary Shop / Café)</t>
  </si>
  <si>
    <t>Cold Shell - Pharmacy</t>
  </si>
  <si>
    <t>Rental Discounts - Pharmacy</t>
  </si>
  <si>
    <t>Warm Shell - General Practice</t>
  </si>
  <si>
    <t>Rental Discounts - General Practise</t>
  </si>
  <si>
    <t>Cold Shell - Pathology</t>
  </si>
  <si>
    <t>Rental Discounts - Pathology</t>
  </si>
  <si>
    <t>Warm Shell - Diagnostic Imaging &amp; Radiology</t>
  </si>
  <si>
    <t>Rental Discounts - Diagnostic Imaging &amp; Radiology</t>
  </si>
  <si>
    <t>Warm Shell - Day Surgery</t>
  </si>
  <si>
    <t>Rental Discounts - Day Surgery</t>
  </si>
  <si>
    <t>Cold Shell - Specialist Health Services</t>
  </si>
  <si>
    <t>Rental Discounts - Specialist Health Services</t>
  </si>
  <si>
    <t>Vacancy Schedule</t>
  </si>
  <si>
    <t>Vacancies</t>
  </si>
  <si>
    <t>Outgoings Schedule</t>
  </si>
  <si>
    <t>Maintenance Capex</t>
  </si>
  <si>
    <t>Operating Costs</t>
  </si>
  <si>
    <t>Recovered Outgoings Repair Schedule</t>
  </si>
  <si>
    <t>Outgoings</t>
  </si>
  <si>
    <t>Tax Schedule</t>
  </si>
  <si>
    <t>Taxable Income</t>
  </si>
  <si>
    <t xml:space="preserve">Tax Obligation </t>
  </si>
  <si>
    <t>Tax Credit Applied</t>
  </si>
  <si>
    <t>Tax Cashflow (Paid)</t>
  </si>
  <si>
    <t>Accumulated Losses</t>
  </si>
  <si>
    <t>Beginning of Period</t>
  </si>
  <si>
    <t>Tax Losses</t>
  </si>
  <si>
    <t>End of Period (Balance of Credits)</t>
  </si>
  <si>
    <t>ANNERLY HEALTH HUB: DEBT SCHEDULE</t>
  </si>
  <si>
    <t>Institutional Rate</t>
  </si>
  <si>
    <t>NAB</t>
  </si>
  <si>
    <t>Westpac</t>
  </si>
  <si>
    <t>Debt Proportion</t>
  </si>
  <si>
    <t>CBA</t>
  </si>
  <si>
    <t>Equity Proportion</t>
  </si>
  <si>
    <t>ANZ</t>
  </si>
  <si>
    <t>Refinance Facility Loan Duration (Years)</t>
  </si>
  <si>
    <t>Construction Loan Duration (Years)</t>
  </si>
  <si>
    <t>Debt Schedule</t>
  </si>
  <si>
    <t>Construction Debt Schedule</t>
  </si>
  <si>
    <t>(+) Drawdown</t>
  </si>
  <si>
    <t>(+) Interest obligation</t>
  </si>
  <si>
    <t>(-) Payment</t>
  </si>
  <si>
    <t>End of Period</t>
  </si>
  <si>
    <t>Margin LTV to construction costs to date</t>
  </si>
  <si>
    <t>Refinance Facility Schedule</t>
  </si>
  <si>
    <t>Interest obligation</t>
  </si>
  <si>
    <t>Principal obligation</t>
  </si>
  <si>
    <t>ANNERLY HEALTH HUB: DCF</t>
  </si>
  <si>
    <t>NPV Summary</t>
  </si>
  <si>
    <t>Mean</t>
  </si>
  <si>
    <t xml:space="preserve">Discount Rate Sensitivity </t>
  </si>
  <si>
    <t>Cap Rate Sensitivity</t>
  </si>
  <si>
    <t>Disocunt Factor Calculation</t>
  </si>
  <si>
    <t>Discount Days</t>
  </si>
  <si>
    <t xml:space="preserve">Disocunt Factor </t>
  </si>
  <si>
    <t>Discounted Free Cash Flow Calculation</t>
  </si>
  <si>
    <t>Development and Construction Phase</t>
  </si>
  <si>
    <t>Operational Phase</t>
  </si>
  <si>
    <t>Operational Income</t>
  </si>
  <si>
    <t>Ancillary Income (Carpark)</t>
  </si>
  <si>
    <t>Lease Income</t>
  </si>
  <si>
    <t>Total Income</t>
  </si>
  <si>
    <t>Operational Expenditures</t>
  </si>
  <si>
    <t>Pre-leasing Incentives</t>
  </si>
  <si>
    <t xml:space="preserve">Outgoings </t>
  </si>
  <si>
    <t>Recovered Outgoings</t>
  </si>
  <si>
    <t>Adjustment for Vacancy</t>
  </si>
  <si>
    <t>Total Non Recovered Outgoings</t>
  </si>
  <si>
    <t>Total Expenditures</t>
  </si>
  <si>
    <t>Net Operating Income (NOI)</t>
  </si>
  <si>
    <t>Capital Expenditure</t>
  </si>
  <si>
    <t>Land Purchase Price</t>
  </si>
  <si>
    <t>Cost of Acquisition</t>
  </si>
  <si>
    <t>Total Capex</t>
  </si>
  <si>
    <t>Debt Repayment</t>
  </si>
  <si>
    <t>Principal Payments</t>
  </si>
  <si>
    <t>Interest Payments</t>
  </si>
  <si>
    <t>Loan Ending Balance</t>
  </si>
  <si>
    <t>Total Financing Costs</t>
  </si>
  <si>
    <t>Terminal Value</t>
  </si>
  <si>
    <t>(-) Selling Costs</t>
  </si>
  <si>
    <t>Annual Net Cashflow</t>
  </si>
  <si>
    <t xml:space="preserve">Growth </t>
  </si>
  <si>
    <t xml:space="preserve">Discount Factor </t>
  </si>
  <si>
    <t xml:space="preserve">Discounted Free Cash Flow </t>
  </si>
  <si>
    <t>Terminal Value (Present Value)</t>
  </si>
  <si>
    <t>Financial Metrics</t>
  </si>
  <si>
    <t>NPV</t>
  </si>
  <si>
    <t>IRR</t>
  </si>
  <si>
    <t>Cash-on-Cash</t>
  </si>
  <si>
    <t>Return on Equity (Annualised)</t>
  </si>
  <si>
    <t>Return on Total Development Cost</t>
  </si>
  <si>
    <t>ANNERLY HEALTH HUB: HYPOTHETICAL DEVELOPMENT</t>
  </si>
  <si>
    <t>Hypothetical Valuation</t>
  </si>
  <si>
    <t>Present Value</t>
  </si>
  <si>
    <t>Terminal Value (Exit Price) Present Value</t>
  </si>
  <si>
    <t>Gross Realisation from Operations</t>
  </si>
  <si>
    <t>Cost of Sale Rate</t>
  </si>
  <si>
    <t>Less Cost of Sale</t>
  </si>
  <si>
    <t>Profit and Risk Rate</t>
  </si>
  <si>
    <t>Net Realisation</t>
  </si>
  <si>
    <t>Demolition Costs</t>
  </si>
  <si>
    <t>Less Profit and Risk</t>
  </si>
  <si>
    <t>Land Tax to be Paid</t>
  </si>
  <si>
    <t>Development Period (Months)</t>
  </si>
  <si>
    <t>Sale Period (Months)</t>
  </si>
  <si>
    <t>Approval Period (Months)</t>
  </si>
  <si>
    <t>Acquisition Cost</t>
  </si>
  <si>
    <t>Local Historical Transactions (2023-2024)</t>
  </si>
  <si>
    <t>Sale Price</t>
  </si>
  <si>
    <t>Square Metre (Size)</t>
  </si>
  <si>
    <t>$/m2</t>
  </si>
  <si>
    <t>69 Kingfisher Lane, East Brisbane, Qld 4169</t>
  </si>
  <si>
    <t>45 Junction Terrace, Annerley, Qld 4103</t>
  </si>
  <si>
    <t>53 Rawnsley Street, Dutton Park, Qld 4102</t>
  </si>
  <si>
    <t>Interest on Development Costs</t>
  </si>
  <si>
    <t>10 Beatrice Street, Greenslopes, Qld 4120</t>
  </si>
  <si>
    <t>Land Tax to be paid by the developer </t>
  </si>
  <si>
    <t>16 Heaslop Street, Woolloongabba, Qld 4102</t>
  </si>
  <si>
    <t>Total Expenses</t>
  </si>
  <si>
    <t>Annerly Health Hub Lot Area</t>
  </si>
  <si>
    <t>Source: realestate.com</t>
  </si>
  <si>
    <t>Interest on land</t>
  </si>
  <si>
    <t>Extrapolated Market Value</t>
  </si>
  <si>
    <t>Land Value Less Interest</t>
  </si>
  <si>
    <t>Acquisition Cost (Stamp Duty)</t>
  </si>
  <si>
    <t>Price</t>
  </si>
  <si>
    <t>Weighting</t>
  </si>
  <si>
    <t>Net Land Value</t>
  </si>
  <si>
    <t>Hypothetical Development Net Land Value</t>
  </si>
  <si>
    <t>Residual Land Value - Check</t>
  </si>
  <si>
    <t xml:space="preserve">Total Cash Inflows </t>
  </si>
  <si>
    <t>Less Total Cash Outflows</t>
  </si>
  <si>
    <t>Blended Land Value</t>
  </si>
  <si>
    <t xml:space="preserve">Residual Land Value </t>
  </si>
  <si>
    <t>ANNERLY HEALTH HUB: FINANCIAL STATEMENTS</t>
  </si>
  <si>
    <t>Profit &amp; Loss Statement</t>
  </si>
  <si>
    <t>Operating Revenue</t>
  </si>
  <si>
    <t>Carpark</t>
  </si>
  <si>
    <t>Leases</t>
  </si>
  <si>
    <t>Non-Operating Revenue</t>
  </si>
  <si>
    <t>Proceeds of Asset Sale</t>
  </si>
  <si>
    <t>Operating Expenditures</t>
  </si>
  <si>
    <t>Preleasing Incentives</t>
  </si>
  <si>
    <t>Capex</t>
  </si>
  <si>
    <t>Net Income Before Tax and Interest</t>
  </si>
  <si>
    <t>Interest Expense</t>
  </si>
  <si>
    <t>Profit Before Tax</t>
  </si>
  <si>
    <t>Tax Expense</t>
  </si>
  <si>
    <t>Net Income</t>
  </si>
  <si>
    <t>Cashflow Schedule</t>
  </si>
  <si>
    <t>Unlevered Cashflow</t>
  </si>
  <si>
    <t>NOI</t>
  </si>
  <si>
    <t>Asset Sale Value (incl. GST Rebate)</t>
  </si>
  <si>
    <t>Tax Paid</t>
  </si>
  <si>
    <t>Net Cashflow</t>
  </si>
  <si>
    <t>Unlevered IRR</t>
  </si>
  <si>
    <t>MoM</t>
  </si>
  <si>
    <t>Levered Cashflow</t>
  </si>
  <si>
    <t>Unlevered Cashflows</t>
  </si>
  <si>
    <t>Debt Drawdown</t>
  </si>
  <si>
    <t>Principal Paydown</t>
  </si>
  <si>
    <t>Interest Paydown</t>
  </si>
  <si>
    <t>ANNERLY HEALTH HUB: SENSITIVITY ANALYSIS</t>
  </si>
  <si>
    <t>Input Toggle</t>
  </si>
  <si>
    <t>Activate = 1</t>
  </si>
  <si>
    <t>Cell Link</t>
  </si>
  <si>
    <t>Fire Sale Analysis (FY41) (PV)</t>
  </si>
  <si>
    <t>Total Project Cost</t>
  </si>
  <si>
    <t>Capital Returned (Net Income)</t>
  </si>
  <si>
    <t>Sale Price Floor</t>
  </si>
  <si>
    <t>Sensitivity Analysis - NPV</t>
  </si>
  <si>
    <t> </t>
  </si>
  <si>
    <t>Fire Sale Discount (Lower Bound)</t>
  </si>
  <si>
    <t>Row Input - Discount Rate</t>
  </si>
  <si>
    <t>Column Input - Capitalisation Rate</t>
  </si>
  <si>
    <t>Sensitivity Analysis - IRR</t>
  </si>
  <si>
    <t>Sensitivity Analysis - ROE</t>
  </si>
  <si>
    <t>Column Input - Discount Rate</t>
  </si>
  <si>
    <t>Row Input - Capitalisation Rate</t>
  </si>
  <si>
    <t>Summary</t>
  </si>
  <si>
    <t>Components of population change (persons), Queensland, June quarter 1981 to September quarter 2023 (a)</t>
  </si>
  <si>
    <t>Quarter</t>
  </si>
  <si>
    <t>Natural increase</t>
  </si>
  <si>
    <t>Net overseas migration</t>
  </si>
  <si>
    <t>Interstate arrivals</t>
  </si>
  <si>
    <t>Interstate departures</t>
  </si>
  <si>
    <t>Net interstate migration</t>
  </si>
  <si>
    <t>Population change (b)</t>
  </si>
  <si>
    <t>Estimated resident population</t>
  </si>
  <si>
    <t>– persons –</t>
  </si>
  <si>
    <t>n.a.</t>
  </si>
  <si>
    <t>State</t>
  </si>
  <si>
    <t>Dwelling</t>
  </si>
  <si>
    <t>Mar</t>
  </si>
  <si>
    <t>Jun</t>
  </si>
  <si>
    <t>Sep</t>
  </si>
  <si>
    <t>Dec</t>
  </si>
  <si>
    <t>Queensland</t>
  </si>
  <si>
    <t>Flat 1</t>
  </si>
  <si>
    <t>Flat 2</t>
  </si>
  <si>
    <t>Flat 3</t>
  </si>
  <si>
    <t>House 2</t>
  </si>
  <si>
    <t>House 3</t>
  </si>
  <si>
    <t>House 4</t>
  </si>
  <si>
    <t>Townhouse 2</t>
  </si>
  <si>
    <t>Townhouse 3</t>
  </si>
  <si>
    <t>Rooming Accommodation</t>
  </si>
  <si>
    <t>General Tenancies</t>
  </si>
  <si>
    <t>Queensland All dwellings</t>
  </si>
  <si>
    <t>2015</t>
  </si>
  <si>
    <t>2016</t>
  </si>
  <si>
    <t>2017</t>
  </si>
  <si>
    <t>2018</t>
  </si>
  <si>
    <t>2019</t>
  </si>
  <si>
    <t>2020</t>
  </si>
  <si>
    <t>2021</t>
  </si>
  <si>
    <t>2022</t>
  </si>
  <si>
    <t>Australian Dollar, Millions</t>
  </si>
  <si>
    <t>i</t>
  </si>
  <si>
    <t/>
  </si>
  <si>
    <t>(E)</t>
  </si>
  <si>
    <t>(a) The status of quarterly ERP data changes over time from preliminary to revised to final as new component data becomes available. Refer to the Status of quarterly ERP data in the explanatory notes in ABS National, state and territory population for further details. </t>
  </si>
  <si>
    <t>(b) Totals prior to June 2021 do not match the sum of the components due to intercensal adjustments made by the ABS. For further information see explanatory notes in ABS National, state and territory population.</t>
  </si>
  <si>
    <t>Note: Population statistics are impacted by the COVID-19 pandemic and the resulting Australian Government closure of the international border from March 2020.</t>
  </si>
  <si>
    <t>The latest ERP is based on adjusted 2021 Census counts, updated with quarterly estimates of births, deaths, overseas and interstate migration.</t>
  </si>
  <si>
    <t>Source: ABS National, state and territory population, Sep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</si>
</sst>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_);[Red]\(&quot;$&quot;#,##0.00\)"/>
    <numFmt numFmtId="165" formatCode="&quot;$&quot;#,##0.00;[Red]\-&quot;$&quot;#,##0.00"/>
    <numFmt numFmtId="166" formatCode="&quot;$&quot;#,##0.00"/>
    <numFmt numFmtId="167" formatCode="#,##0.00;\(#,##0.00\)"/>
    <numFmt numFmtId="168" formatCode="0.0"/>
    <numFmt numFmtId="169" formatCode="&quot;$&quot;#,##0"/>
    <numFmt numFmtId="170" formatCode="#,##0.0_ ;\-#,##0.0\ "/>
  </numFmts>
  <fonts count="50">
    <font>
      <sz val="12"/>
      <color theme="1"/>
      <name val="Aptos Narrow"/>
      <family val="2"/>
      <scheme val="minor"/>
    </font>
    <font>
      <u/>
      <sz val="12"/>
      <color theme="10"/>
      <name val="Aptos Narrow"/>
      <family val="2"/>
      <scheme val="minor"/>
    </font>
    <font>
      <sz val="8"/>
      <name val="Aptos Narrow"/>
      <family val="2"/>
      <scheme val="minor"/>
    </font>
    <font>
      <sz val="12"/>
      <color theme="1"/>
      <name val="Aptos Narrow"/>
      <family val="2"/>
      <scheme val="minor"/>
    </font>
    <font>
      <b/>
      <sz val="20"/>
      <color theme="0"/>
      <name val="Arial"/>
      <family val="2"/>
    </font>
    <font>
      <sz val="12"/>
      <color theme="1"/>
      <name val="Arial"/>
      <family val="2"/>
    </font>
    <font>
      <sz val="12"/>
      <color theme="0"/>
      <name val="Arial"/>
      <family val="2"/>
    </font>
    <font>
      <i/>
      <sz val="12"/>
      <color theme="1"/>
      <name val="Arial"/>
      <family val="2"/>
    </font>
    <font>
      <b/>
      <sz val="12"/>
      <color theme="1"/>
      <name val="Arial"/>
      <family val="2"/>
    </font>
    <font>
      <sz val="12"/>
      <color rgb="FF0432FF"/>
      <name val="Arial"/>
      <family val="2"/>
    </font>
    <font>
      <sz val="12"/>
      <color rgb="FFFF0000"/>
      <name val="Arial"/>
      <family val="2"/>
    </font>
    <font>
      <b/>
      <sz val="12"/>
      <color theme="0"/>
      <name val="Arial"/>
      <family val="2"/>
    </font>
    <font>
      <u/>
      <sz val="12"/>
      <color theme="10"/>
      <name val="Arial"/>
      <family val="2"/>
    </font>
    <font>
      <sz val="12"/>
      <color theme="9" tint="-0.249977111117893"/>
      <name val="Arial"/>
      <family val="2"/>
    </font>
    <font>
      <b/>
      <sz val="20"/>
      <color theme="0"/>
      <name val="Aptos Narrow"/>
    </font>
    <font>
      <sz val="12"/>
      <color theme="1"/>
      <name val="Aptos Narrow"/>
    </font>
    <font>
      <b/>
      <sz val="12"/>
      <color theme="0"/>
      <name val="Aptos Narrow"/>
    </font>
    <font>
      <b/>
      <sz val="12"/>
      <color rgb="FFFFFFFF"/>
      <name val="Aptos Narrow"/>
    </font>
    <font>
      <sz val="12"/>
      <color rgb="FFFFFFFF"/>
      <name val="Aptos Narrow"/>
    </font>
    <font>
      <b/>
      <sz val="12"/>
      <color theme="1"/>
      <name val="Aptos Narrow"/>
    </font>
    <font>
      <sz val="12"/>
      <color rgb="FFFF0000"/>
      <name val="Aptos Narrow"/>
    </font>
    <font>
      <b/>
      <sz val="12"/>
      <color rgb="FFFF0000"/>
      <name val="Aptos Narrow"/>
    </font>
    <font>
      <sz val="12"/>
      <color rgb="FF000000"/>
      <name val="Aptos Narrow"/>
    </font>
    <font>
      <sz val="12"/>
      <color rgb="FF00B050"/>
      <name val="Aptos Narrow"/>
    </font>
    <font>
      <sz val="12"/>
      <color rgb="FF0432FF"/>
      <name val="Aptos Narrow"/>
    </font>
    <font>
      <sz val="12"/>
      <color theme="9" tint="-0.249977111117893"/>
      <name val="Aptos Narrow"/>
    </font>
    <font>
      <sz val="12"/>
      <color theme="0"/>
      <name val="Aptos Narrow"/>
    </font>
    <font>
      <u/>
      <sz val="12"/>
      <color theme="1"/>
      <name val="Aptos Narrow"/>
    </font>
    <font>
      <i/>
      <sz val="12"/>
      <color theme="1"/>
      <name val="Aptos Narrow"/>
    </font>
    <font>
      <b/>
      <sz val="11"/>
      <color rgb="FFFFFFFF"/>
      <name val="Helvetica"/>
      <family val="2"/>
    </font>
    <font>
      <sz val="11"/>
      <color rgb="FFFFFFFF"/>
      <name val="Helvetica"/>
      <family val="2"/>
    </font>
    <font>
      <sz val="11"/>
      <color rgb="FF000000"/>
      <name val="Helvetica"/>
      <family val="2"/>
    </font>
    <font>
      <sz val="10"/>
      <color rgb="FF000000"/>
      <name val="Tahoma"/>
      <family val="2"/>
    </font>
    <font>
      <u/>
      <sz val="12"/>
      <color theme="10"/>
      <name val="Aptos Narrow"/>
    </font>
    <font>
      <b/>
      <sz val="12"/>
      <color rgb="FF0432FF"/>
      <name val="Aptos Narrow"/>
    </font>
    <font>
      <b/>
      <sz val="12"/>
      <color theme="0" tint="-4.9989318521683403E-2"/>
      <name val="Aptos Narrow"/>
    </font>
    <font>
      <sz val="11"/>
      <color rgb="FFFF0000"/>
      <name val="Aptos Narrow"/>
    </font>
    <font>
      <b/>
      <sz val="12"/>
      <color rgb="FF00B050"/>
      <name val="Aptos Narrow"/>
    </font>
    <font>
      <sz val="10"/>
      <color rgb="FF000000"/>
      <name val="Helvetica Neue"/>
      <family val="2"/>
    </font>
    <font>
      <b/>
      <sz val="10"/>
      <color rgb="FF000000"/>
      <name val="Helvetica Neue"/>
      <family val="2"/>
    </font>
    <font>
      <sz val="12"/>
      <color theme="1"/>
      <name val="Helvetica"/>
      <family val="2"/>
    </font>
    <font>
      <b/>
      <sz val="10"/>
      <color rgb="FF000000"/>
      <name val="Arial"/>
      <family val="2"/>
    </font>
    <font>
      <b/>
      <sz val="10"/>
      <color rgb="FFFFFFFF"/>
      <name val="Arial"/>
      <family val="2"/>
    </font>
    <font>
      <b/>
      <sz val="10"/>
      <name val="Arial"/>
      <family val="2"/>
    </font>
    <font>
      <sz val="8"/>
      <name val="Verdana"/>
      <family val="2"/>
    </font>
    <font>
      <b/>
      <sz val="9"/>
      <color indexed="10"/>
      <name val="Courier New"/>
      <family val="3"/>
    </font>
    <font>
      <vertAlign val="superscript"/>
      <sz val="10"/>
      <name val="Verdana"/>
      <family val="2"/>
    </font>
    <font>
      <sz val="8"/>
      <name val="Arial"/>
      <family val="2"/>
    </font>
    <font>
      <sz val="8"/>
      <color indexed="9"/>
      <name val="Verdana"/>
      <family val="2"/>
    </font>
    <font>
      <sz val="8"/>
      <color theme="1"/>
      <name val="Arial"/>
      <family val="2"/>
    </font>
  </fonts>
  <fills count="33">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9.9978637043366805E-2"/>
        <bgColor rgb="FF000000"/>
      </patternFill>
    </fill>
    <fill>
      <patternFill patternType="solid">
        <fgColor theme="0"/>
        <bgColor rgb="FF000000"/>
      </patternFill>
    </fill>
    <fill>
      <patternFill patternType="solid">
        <fgColor theme="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tint="-0.14999847407452621"/>
        <bgColor indexed="64"/>
      </patternFill>
    </fill>
    <fill>
      <patternFill patternType="solid">
        <fgColor rgb="FF002060"/>
        <bgColor rgb="FF000000"/>
      </patternFill>
    </fill>
    <fill>
      <patternFill patternType="solid">
        <fgColor rgb="FFFFEB84"/>
        <bgColor rgb="FF000000"/>
      </patternFill>
    </fill>
    <fill>
      <patternFill patternType="solid">
        <fgColor rgb="FFFAEA84"/>
        <bgColor rgb="FF000000"/>
      </patternFill>
    </fill>
    <fill>
      <patternFill patternType="solid">
        <fgColor rgb="FFF3E884"/>
        <bgColor rgb="FF000000"/>
      </patternFill>
    </fill>
    <fill>
      <patternFill patternType="solid">
        <fgColor rgb="FFE7E483"/>
        <bgColor rgb="FF000000"/>
      </patternFill>
    </fill>
    <fill>
      <patternFill patternType="solid">
        <fgColor rgb="FFCBDC81"/>
        <bgColor rgb="FF000000"/>
      </patternFill>
    </fill>
    <fill>
      <patternFill patternType="solid">
        <fgColor rgb="FF63BE7B"/>
        <bgColor rgb="FF000000"/>
      </patternFill>
    </fill>
    <fill>
      <patternFill patternType="solid">
        <fgColor rgb="FFF8696B"/>
        <bgColor rgb="FF000000"/>
      </patternFill>
    </fill>
    <fill>
      <patternFill patternType="solid">
        <fgColor rgb="FFFEEA83"/>
        <bgColor rgb="FF000000"/>
      </patternFill>
    </fill>
    <fill>
      <patternFill patternType="solid">
        <fgColor rgb="FFFBEA84"/>
        <bgColor rgb="FF000000"/>
      </patternFill>
    </fill>
    <fill>
      <patternFill patternType="solid">
        <fgColor rgb="FFCCDD82"/>
        <bgColor rgb="FF000000"/>
      </patternFill>
    </fill>
    <fill>
      <patternFill patternType="solid">
        <fgColor rgb="FF64BF7C"/>
        <bgColor rgb="FF000000"/>
      </patternFill>
    </fill>
    <fill>
      <patternFill patternType="solid">
        <fgColor rgb="FFFEE983"/>
        <bgColor rgb="FF000000"/>
      </patternFill>
    </fill>
    <fill>
      <patternFill patternType="solid">
        <fgColor rgb="FFFEE883"/>
        <bgColor rgb="FF000000"/>
      </patternFill>
    </fill>
    <fill>
      <patternFill patternType="solid">
        <fgColor rgb="FFF4E884"/>
        <bgColor rgb="FF000000"/>
      </patternFill>
    </fill>
    <fill>
      <patternFill patternType="solid">
        <fgColor rgb="FFFEE783"/>
        <bgColor rgb="FF000000"/>
      </patternFill>
    </fill>
    <fill>
      <patternFill patternType="solid">
        <fgColor theme="8" tint="0.39997558519241921"/>
        <bgColor rgb="FF000000"/>
      </patternFill>
    </fill>
    <fill>
      <patternFill patternType="solid">
        <fgColor theme="8" tint="0.59999389629810485"/>
        <bgColor rgb="FF000000"/>
      </patternFill>
    </fill>
    <fill>
      <patternFill patternType="solid">
        <fgColor theme="8" tint="0.79998168889431442"/>
        <bgColor rgb="FF000000"/>
      </patternFill>
    </fill>
    <fill>
      <patternFill patternType="solid">
        <fgColor rgb="FFC4D8ED"/>
        <bgColor indexed="64"/>
      </patternFill>
    </fill>
    <fill>
      <patternFill patternType="mediumGray">
        <fgColor rgb="FFC0C0C0"/>
        <bgColor rgb="FFFFFFFF"/>
      </patternFill>
    </fill>
    <fill>
      <patternFill patternType="solid">
        <fgColor rgb="FF00A1E3"/>
        <bgColor indexed="64"/>
      </patternFill>
    </fill>
  </fills>
  <borders count="1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rgb="FFC0C0C0"/>
      </left>
      <right style="thin">
        <color rgb="FFC0C0C0"/>
      </right>
      <top style="thin">
        <color rgb="FFC0C0C0"/>
      </top>
      <bottom style="thin">
        <color rgb="FFC0C0C0"/>
      </bottom>
      <diagonal/>
    </border>
    <border>
      <left style="thin">
        <color rgb="FFC0C0C0"/>
      </left>
      <right style="hair">
        <color rgb="FFFFFFCC"/>
      </right>
      <top style="thin">
        <color rgb="FFC0C0C0"/>
      </top>
      <bottom style="thin">
        <color rgb="FFC0C0C0"/>
      </bottom>
      <diagonal/>
    </border>
    <border>
      <left style="hair">
        <color rgb="FFFFFFCC"/>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s>
  <cellStyleXfs count="3">
    <xf numFmtId="0" fontId="0" fillId="0" borderId="0"/>
    <xf numFmtId="0" fontId="1" fillId="0" borderId="0" applyNumberFormat="0" applyFill="0" applyBorder="0" applyAlignment="0" applyProtection="0"/>
    <xf numFmtId="9" fontId="3" fillId="0" borderId="0" applyFont="0" applyFill="0" applyBorder="0" applyAlignment="0" applyProtection="0"/>
  </cellStyleXfs>
  <cellXfs count="338">
    <xf numFmtId="0" fontId="0" fillId="0" borderId="0" xfId="0"/>
    <xf numFmtId="0" fontId="4" fillId="2" borderId="0" xfId="0" applyFont="1" applyFill="1"/>
    <xf numFmtId="0" fontId="5" fillId="2" borderId="0" xfId="0" applyFont="1" applyFill="1"/>
    <xf numFmtId="0" fontId="5" fillId="3" borderId="0" xfId="0" applyFont="1" applyFill="1"/>
    <xf numFmtId="0" fontId="5" fillId="3" borderId="1" xfId="0" applyFont="1" applyFill="1" applyBorder="1"/>
    <xf numFmtId="0" fontId="8" fillId="3" borderId="0" xfId="0" applyFont="1" applyFill="1"/>
    <xf numFmtId="0" fontId="7" fillId="3" borderId="0" xfId="0" applyFont="1" applyFill="1"/>
    <xf numFmtId="0" fontId="7" fillId="0" borderId="0" xfId="0" applyFont="1"/>
    <xf numFmtId="0" fontId="12" fillId="3" borderId="2" xfId="1" applyFont="1" applyFill="1" applyBorder="1" applyAlignment="1">
      <alignment horizontal="right"/>
    </xf>
    <xf numFmtId="0" fontId="11" fillId="3" borderId="0" xfId="0" applyFont="1" applyFill="1"/>
    <xf numFmtId="0" fontId="11" fillId="2" borderId="0" xfId="0" applyFont="1" applyFill="1"/>
    <xf numFmtId="14" fontId="11" fillId="2" borderId="0" xfId="0" applyNumberFormat="1" applyFont="1" applyFill="1"/>
    <xf numFmtId="0" fontId="11" fillId="2" borderId="0" xfId="0" applyFont="1" applyFill="1" applyAlignment="1">
      <alignment horizontal="right"/>
    </xf>
    <xf numFmtId="0" fontId="6" fillId="2" borderId="0" xfId="0" applyFont="1" applyFill="1"/>
    <xf numFmtId="0" fontId="14" fillId="2" borderId="0" xfId="0" applyFont="1" applyFill="1"/>
    <xf numFmtId="0" fontId="15" fillId="2" borderId="0" xfId="0" applyFont="1" applyFill="1"/>
    <xf numFmtId="0" fontId="16" fillId="2" borderId="0" xfId="0" applyFont="1" applyFill="1"/>
    <xf numFmtId="0" fontId="15" fillId="3" borderId="0" xfId="0" applyFont="1" applyFill="1"/>
    <xf numFmtId="0" fontId="19" fillId="5" borderId="0" xfId="0" applyFont="1" applyFill="1"/>
    <xf numFmtId="4" fontId="20" fillId="3" borderId="0" xfId="0" applyNumberFormat="1" applyFont="1" applyFill="1" applyAlignment="1">
      <alignment horizontal="right"/>
    </xf>
    <xf numFmtId="0" fontId="15" fillId="3" borderId="0" xfId="0" applyFont="1" applyFill="1" applyAlignment="1">
      <alignment horizontal="right"/>
    </xf>
    <xf numFmtId="0" fontId="19" fillId="4" borderId="0" xfId="0" applyFont="1" applyFill="1"/>
    <xf numFmtId="4" fontId="20" fillId="3" borderId="0" xfId="0" applyNumberFormat="1" applyFont="1" applyFill="1"/>
    <xf numFmtId="4" fontId="15" fillId="3" borderId="0" xfId="0" applyNumberFormat="1" applyFont="1" applyFill="1"/>
    <xf numFmtId="0" fontId="18" fillId="3" borderId="0" xfId="0" applyFont="1" applyFill="1"/>
    <xf numFmtId="0" fontId="18" fillId="6" borderId="0" xfId="0" applyFont="1" applyFill="1"/>
    <xf numFmtId="4" fontId="19" fillId="4" borderId="0" xfId="0" applyNumberFormat="1" applyFont="1" applyFill="1" applyAlignment="1">
      <alignment horizontal="right"/>
    </xf>
    <xf numFmtId="167" fontId="19" fillId="4" borderId="0" xfId="0" applyNumberFormat="1" applyFont="1" applyFill="1" applyAlignment="1">
      <alignment horizontal="right"/>
    </xf>
    <xf numFmtId="4" fontId="19" fillId="3" borderId="0" xfId="0" applyNumberFormat="1" applyFont="1" applyFill="1" applyAlignment="1">
      <alignment horizontal="center"/>
    </xf>
    <xf numFmtId="0" fontId="19" fillId="3" borderId="0" xfId="0" applyFont="1" applyFill="1" applyAlignment="1">
      <alignment horizontal="center"/>
    </xf>
    <xf numFmtId="0" fontId="15" fillId="8" borderId="0" xfId="0" applyFont="1" applyFill="1"/>
    <xf numFmtId="4" fontId="20" fillId="8" borderId="0" xfId="0" applyNumberFormat="1" applyFont="1" applyFill="1" applyAlignment="1">
      <alignment horizontal="right"/>
    </xf>
    <xf numFmtId="0" fontId="15" fillId="8" borderId="0" xfId="0" applyFont="1" applyFill="1" applyAlignment="1">
      <alignment horizontal="left" indent="1"/>
    </xf>
    <xf numFmtId="0" fontId="15" fillId="3" borderId="0" xfId="0" applyFont="1" applyFill="1" applyAlignment="1">
      <alignment horizontal="left" indent="1"/>
    </xf>
    <xf numFmtId="0" fontId="19" fillId="8" borderId="0" xfId="0" applyFont="1" applyFill="1"/>
    <xf numFmtId="4" fontId="21" fillId="8" borderId="0" xfId="0" applyNumberFormat="1" applyFont="1" applyFill="1" applyAlignment="1">
      <alignment horizontal="right"/>
    </xf>
    <xf numFmtId="4" fontId="15" fillId="3" borderId="0" xfId="0" applyNumberFormat="1" applyFont="1" applyFill="1" applyAlignment="1">
      <alignment horizontal="right"/>
    </xf>
    <xf numFmtId="0" fontId="19" fillId="3" borderId="0" xfId="0" applyFont="1" applyFill="1"/>
    <xf numFmtId="4" fontId="21" fillId="3" borderId="0" xfId="0" applyNumberFormat="1" applyFont="1" applyFill="1" applyAlignment="1">
      <alignment horizontal="right"/>
    </xf>
    <xf numFmtId="4" fontId="21" fillId="7" borderId="0" xfId="0" applyNumberFormat="1" applyFont="1" applyFill="1" applyAlignment="1">
      <alignment horizontal="right"/>
    </xf>
    <xf numFmtId="4" fontId="20" fillId="8" borderId="0" xfId="0" applyNumberFormat="1" applyFont="1" applyFill="1"/>
    <xf numFmtId="0" fontId="22" fillId="0" borderId="0" xfId="0" applyFont="1"/>
    <xf numFmtId="0" fontId="22" fillId="8" borderId="0" xfId="0" applyFont="1" applyFill="1"/>
    <xf numFmtId="167" fontId="16" fillId="2" borderId="0" xfId="0" applyNumberFormat="1" applyFont="1" applyFill="1" applyAlignment="1">
      <alignment horizontal="center"/>
    </xf>
    <xf numFmtId="0" fontId="16" fillId="2" borderId="0" xfId="0" applyFont="1" applyFill="1" applyAlignment="1">
      <alignment horizontal="center"/>
    </xf>
    <xf numFmtId="10" fontId="23" fillId="3" borderId="0" xfId="0" applyNumberFormat="1" applyFont="1" applyFill="1" applyAlignment="1">
      <alignment horizontal="center"/>
    </xf>
    <xf numFmtId="0" fontId="15" fillId="3" borderId="0" xfId="0" applyFont="1" applyFill="1" applyAlignment="1">
      <alignment horizontal="center"/>
    </xf>
    <xf numFmtId="10" fontId="24" fillId="3" borderId="0" xfId="0" applyNumberFormat="1" applyFont="1" applyFill="1" applyAlignment="1">
      <alignment horizontal="center"/>
    </xf>
    <xf numFmtId="10" fontId="25" fillId="3" borderId="0" xfId="0" applyNumberFormat="1" applyFont="1" applyFill="1"/>
    <xf numFmtId="2" fontId="15" fillId="3" borderId="0" xfId="0" applyNumberFormat="1" applyFont="1" applyFill="1" applyAlignment="1">
      <alignment horizontal="center"/>
    </xf>
    <xf numFmtId="2" fontId="23" fillId="8" borderId="0" xfId="0" applyNumberFormat="1" applyFont="1" applyFill="1" applyAlignment="1">
      <alignment horizontal="center"/>
    </xf>
    <xf numFmtId="168" fontId="23" fillId="3" borderId="0" xfId="0" applyNumberFormat="1" applyFont="1" applyFill="1" applyAlignment="1">
      <alignment horizontal="center"/>
    </xf>
    <xf numFmtId="168" fontId="23" fillId="8" borderId="0" xfId="0" applyNumberFormat="1" applyFont="1" applyFill="1" applyAlignment="1">
      <alignment horizontal="center"/>
    </xf>
    <xf numFmtId="0" fontId="26" fillId="2" borderId="0" xfId="0" applyFont="1" applyFill="1"/>
    <xf numFmtId="167" fontId="19" fillId="4" borderId="0" xfId="0" applyNumberFormat="1" applyFont="1" applyFill="1" applyAlignment="1">
      <alignment horizontal="center"/>
    </xf>
    <xf numFmtId="0" fontId="19" fillId="4" borderId="0" xfId="0" applyFont="1" applyFill="1" applyAlignment="1">
      <alignment horizontal="center"/>
    </xf>
    <xf numFmtId="0" fontId="15" fillId="3" borderId="0" xfId="0" applyFont="1" applyFill="1" applyAlignment="1">
      <alignment horizontal="left"/>
    </xf>
    <xf numFmtId="4" fontId="20" fillId="3" borderId="0" xfId="0" applyNumberFormat="1" applyFont="1" applyFill="1" applyAlignment="1">
      <alignment horizontal="center"/>
    </xf>
    <xf numFmtId="4" fontId="21" fillId="3" borderId="0" xfId="0" applyNumberFormat="1" applyFont="1" applyFill="1" applyAlignment="1">
      <alignment horizontal="center"/>
    </xf>
    <xf numFmtId="0" fontId="17" fillId="2" borderId="0" xfId="0" applyFont="1" applyFill="1"/>
    <xf numFmtId="0" fontId="18" fillId="2" borderId="0" xfId="0" applyFont="1" applyFill="1"/>
    <xf numFmtId="0" fontId="27" fillId="3" borderId="0" xfId="0" applyFont="1" applyFill="1"/>
    <xf numFmtId="4" fontId="15" fillId="3" borderId="0" xfId="0" applyNumberFormat="1" applyFont="1" applyFill="1" applyAlignment="1">
      <alignment horizontal="center"/>
    </xf>
    <xf numFmtId="10" fontId="15" fillId="3" borderId="0" xfId="0" applyNumberFormat="1" applyFont="1" applyFill="1"/>
    <xf numFmtId="14" fontId="23" fillId="3" borderId="0" xfId="0" applyNumberFormat="1" applyFont="1" applyFill="1"/>
    <xf numFmtId="0" fontId="16" fillId="2" borderId="0" xfId="0" applyFont="1" applyFill="1" applyAlignment="1">
      <alignment horizontal="right"/>
    </xf>
    <xf numFmtId="10" fontId="23" fillId="3" borderId="0" xfId="0" applyNumberFormat="1" applyFont="1" applyFill="1"/>
    <xf numFmtId="2" fontId="21" fillId="3" borderId="0" xfId="0" applyNumberFormat="1" applyFont="1" applyFill="1" applyAlignment="1">
      <alignment horizontal="center"/>
    </xf>
    <xf numFmtId="0" fontId="15" fillId="7" borderId="0" xfId="0" applyFont="1" applyFill="1"/>
    <xf numFmtId="166" fontId="20" fillId="3" borderId="0" xfId="0" applyNumberFormat="1" applyFont="1" applyFill="1" applyAlignment="1">
      <alignment horizontal="center"/>
    </xf>
    <xf numFmtId="10" fontId="20" fillId="3" borderId="0" xfId="2" applyNumberFormat="1" applyFont="1" applyFill="1" applyBorder="1"/>
    <xf numFmtId="0" fontId="28" fillId="3" borderId="0" xfId="0" applyFont="1" applyFill="1"/>
    <xf numFmtId="0" fontId="16" fillId="2" borderId="0" xfId="0" applyFont="1" applyFill="1" applyAlignment="1">
      <alignment vertical="center"/>
    </xf>
    <xf numFmtId="0" fontId="26" fillId="2" borderId="0" xfId="0" applyFont="1" applyFill="1" applyAlignment="1">
      <alignment horizontal="center"/>
    </xf>
    <xf numFmtId="2" fontId="26" fillId="2" borderId="0" xfId="0" applyNumberFormat="1" applyFont="1" applyFill="1"/>
    <xf numFmtId="167" fontId="16" fillId="2" borderId="0" xfId="0" applyNumberFormat="1" applyFont="1" applyFill="1" applyAlignment="1">
      <alignment horizontal="right"/>
    </xf>
    <xf numFmtId="0" fontId="19" fillId="4" borderId="0" xfId="0" applyFont="1" applyFill="1" applyAlignment="1">
      <alignment vertical="center"/>
    </xf>
    <xf numFmtId="0" fontId="15" fillId="4" borderId="0" xfId="0" applyFont="1" applyFill="1" applyAlignment="1">
      <alignment horizontal="center"/>
    </xf>
    <xf numFmtId="0" fontId="15" fillId="4" borderId="0" xfId="0" applyFont="1" applyFill="1"/>
    <xf numFmtId="2" fontId="15" fillId="4" borderId="0" xfId="0" applyNumberFormat="1" applyFont="1" applyFill="1"/>
    <xf numFmtId="14" fontId="19" fillId="4" borderId="0" xfId="0" applyNumberFormat="1" applyFont="1" applyFill="1" applyAlignment="1">
      <alignment horizontal="right"/>
    </xf>
    <xf numFmtId="14" fontId="19" fillId="4" borderId="0" xfId="0" applyNumberFormat="1" applyFont="1" applyFill="1"/>
    <xf numFmtId="2" fontId="26" fillId="3" borderId="0" xfId="0" applyNumberFormat="1" applyFont="1" applyFill="1"/>
    <xf numFmtId="0" fontId="24" fillId="3" borderId="0" xfId="0" applyFont="1" applyFill="1" applyAlignment="1">
      <alignment horizontal="right"/>
    </xf>
    <xf numFmtId="2" fontId="20" fillId="3" borderId="0" xfId="0" applyNumberFormat="1" applyFont="1" applyFill="1" applyAlignment="1">
      <alignment horizontal="right"/>
    </xf>
    <xf numFmtId="0" fontId="19" fillId="3" borderId="0" xfId="0" applyFont="1" applyFill="1" applyAlignment="1">
      <alignment horizontal="left"/>
    </xf>
    <xf numFmtId="40" fontId="20" fillId="3" borderId="0" xfId="0" applyNumberFormat="1" applyFont="1" applyFill="1" applyAlignment="1">
      <alignment horizontal="right"/>
    </xf>
    <xf numFmtId="0" fontId="19" fillId="3" borderId="3" xfId="0" applyFont="1" applyFill="1" applyBorder="1" applyAlignment="1">
      <alignment horizontal="left" indent="1"/>
    </xf>
    <xf numFmtId="0" fontId="15" fillId="3" borderId="3" xfId="0" applyFont="1" applyFill="1" applyBorder="1"/>
    <xf numFmtId="40" fontId="21" fillId="3" borderId="3" xfId="0" applyNumberFormat="1" applyFont="1" applyFill="1" applyBorder="1" applyAlignment="1">
      <alignment horizontal="right"/>
    </xf>
    <xf numFmtId="40" fontId="21" fillId="3" borderId="0" xfId="0" applyNumberFormat="1" applyFont="1" applyFill="1" applyAlignment="1">
      <alignment horizontal="right"/>
    </xf>
    <xf numFmtId="0" fontId="15" fillId="3" borderId="0" xfId="0" applyFont="1" applyFill="1" applyAlignment="1">
      <alignment horizontal="left" indent="2"/>
    </xf>
    <xf numFmtId="0" fontId="19" fillId="3" borderId="3" xfId="0" applyFont="1" applyFill="1" applyBorder="1" applyAlignment="1">
      <alignment horizontal="left"/>
    </xf>
    <xf numFmtId="40" fontId="15" fillId="3" borderId="0" xfId="0" applyNumberFormat="1" applyFont="1" applyFill="1" applyAlignment="1">
      <alignment horizontal="right"/>
    </xf>
    <xf numFmtId="40" fontId="25" fillId="3" borderId="0" xfId="0" applyNumberFormat="1" applyFont="1" applyFill="1" applyAlignment="1">
      <alignment horizontal="right"/>
    </xf>
    <xf numFmtId="0" fontId="19" fillId="3" borderId="3" xfId="0" applyFont="1" applyFill="1" applyBorder="1" applyAlignment="1">
      <alignment indent="1"/>
    </xf>
    <xf numFmtId="40" fontId="20" fillId="3" borderId="3" xfId="0" applyNumberFormat="1" applyFont="1" applyFill="1" applyBorder="1"/>
    <xf numFmtId="0" fontId="19" fillId="3" borderId="3" xfId="0" applyFont="1" applyFill="1" applyBorder="1"/>
    <xf numFmtId="40" fontId="20" fillId="3" borderId="3" xfId="0" applyNumberFormat="1" applyFont="1" applyFill="1" applyBorder="1" applyAlignment="1">
      <alignment horizontal="right"/>
    </xf>
    <xf numFmtId="2" fontId="20" fillId="3" borderId="0" xfId="0" applyNumberFormat="1" applyFont="1" applyFill="1"/>
    <xf numFmtId="0" fontId="16" fillId="3" borderId="0" xfId="0" applyFont="1" applyFill="1"/>
    <xf numFmtId="40" fontId="15" fillId="3" borderId="0" xfId="0" applyNumberFormat="1" applyFont="1" applyFill="1"/>
    <xf numFmtId="2" fontId="23" fillId="3" borderId="0" xfId="0" applyNumberFormat="1" applyFont="1" applyFill="1" applyAlignment="1">
      <alignment horizontal="center"/>
    </xf>
    <xf numFmtId="0" fontId="26" fillId="4" borderId="0" xfId="0" applyFont="1" applyFill="1"/>
    <xf numFmtId="2" fontId="26" fillId="4" borderId="0" xfId="0" applyNumberFormat="1" applyFont="1" applyFill="1"/>
    <xf numFmtId="4" fontId="24" fillId="3" borderId="0" xfId="0" applyNumberFormat="1" applyFont="1" applyFill="1" applyAlignment="1">
      <alignment horizontal="right"/>
    </xf>
    <xf numFmtId="10" fontId="24" fillId="3" borderId="0" xfId="0" applyNumberFormat="1" applyFont="1" applyFill="1" applyAlignment="1">
      <alignment horizontal="right"/>
    </xf>
    <xf numFmtId="167" fontId="19" fillId="2" borderId="0" xfId="0" applyNumberFormat="1" applyFont="1" applyFill="1" applyAlignment="1">
      <alignment horizontal="center"/>
    </xf>
    <xf numFmtId="0" fontId="22" fillId="3" borderId="0" xfId="0" applyFont="1" applyFill="1"/>
    <xf numFmtId="4" fontId="21" fillId="3" borderId="3" xfId="0" applyNumberFormat="1" applyFont="1" applyFill="1" applyBorder="1"/>
    <xf numFmtId="167" fontId="16" fillId="2" borderId="0" xfId="0" applyNumberFormat="1" applyFont="1" applyFill="1" applyAlignment="1">
      <alignment horizontal="left"/>
    </xf>
    <xf numFmtId="167" fontId="16" fillId="3" borderId="0" xfId="0" applyNumberFormat="1" applyFont="1" applyFill="1" applyAlignment="1">
      <alignment horizontal="center"/>
    </xf>
    <xf numFmtId="4" fontId="23" fillId="3" borderId="0" xfId="0" applyNumberFormat="1" applyFont="1" applyFill="1" applyAlignment="1">
      <alignment horizontal="center"/>
    </xf>
    <xf numFmtId="10" fontId="15" fillId="3" borderId="0" xfId="0" applyNumberFormat="1" applyFont="1" applyFill="1" applyAlignment="1">
      <alignment horizontal="right"/>
    </xf>
    <xf numFmtId="10" fontId="19" fillId="3" borderId="0" xfId="0" applyNumberFormat="1" applyFont="1" applyFill="1" applyAlignment="1">
      <alignment horizontal="right"/>
    </xf>
    <xf numFmtId="0" fontId="26" fillId="3" borderId="0" xfId="0" applyFont="1" applyFill="1"/>
    <xf numFmtId="0" fontId="26" fillId="8" borderId="0" xfId="0" applyFont="1" applyFill="1"/>
    <xf numFmtId="4" fontId="21" fillId="3" borderId="3" xfId="0" applyNumberFormat="1" applyFont="1" applyFill="1" applyBorder="1" applyAlignment="1">
      <alignment horizontal="right"/>
    </xf>
    <xf numFmtId="4" fontId="20" fillId="7" borderId="0" xfId="0" applyNumberFormat="1" applyFont="1" applyFill="1" applyAlignment="1">
      <alignment horizontal="right"/>
    </xf>
    <xf numFmtId="4" fontId="21" fillId="3" borderId="0" xfId="0" applyNumberFormat="1" applyFont="1" applyFill="1"/>
    <xf numFmtId="10" fontId="20" fillId="7" borderId="0" xfId="0" applyNumberFormat="1" applyFont="1" applyFill="1" applyAlignment="1">
      <alignment horizontal="right"/>
    </xf>
    <xf numFmtId="0" fontId="20" fillId="3" borderId="0" xfId="0" applyFont="1" applyFill="1"/>
    <xf numFmtId="0" fontId="15" fillId="8" borderId="0" xfId="0" applyFont="1" applyFill="1" applyAlignment="1">
      <alignment horizontal="left"/>
    </xf>
    <xf numFmtId="10" fontId="24" fillId="8" borderId="0" xfId="0" applyNumberFormat="1" applyFont="1" applyFill="1" applyAlignment="1">
      <alignment horizontal="center"/>
    </xf>
    <xf numFmtId="0" fontId="28" fillId="3" borderId="0" xfId="0" applyFont="1" applyFill="1" applyAlignment="1">
      <alignment horizontal="left" indent="1"/>
    </xf>
    <xf numFmtId="4" fontId="23" fillId="8" borderId="0" xfId="0" applyNumberFormat="1" applyFont="1" applyFill="1" applyAlignment="1">
      <alignment horizontal="center"/>
    </xf>
    <xf numFmtId="4" fontId="24" fillId="8" borderId="0" xfId="0" applyNumberFormat="1" applyFont="1" applyFill="1" applyAlignment="1">
      <alignment horizontal="center"/>
    </xf>
    <xf numFmtId="0" fontId="24" fillId="3" borderId="0" xfId="0" applyFont="1" applyFill="1" applyAlignment="1">
      <alignment horizontal="center"/>
    </xf>
    <xf numFmtId="0" fontId="24" fillId="8" borderId="0" xfId="0" applyFont="1" applyFill="1" applyAlignment="1">
      <alignment horizontal="center"/>
    </xf>
    <xf numFmtId="10" fontId="23" fillId="8" borderId="0" xfId="0" applyNumberFormat="1" applyFont="1" applyFill="1" applyAlignment="1">
      <alignment horizontal="center"/>
    </xf>
    <xf numFmtId="10" fontId="24" fillId="3" borderId="0" xfId="0" applyNumberFormat="1" applyFont="1" applyFill="1"/>
    <xf numFmtId="0" fontId="16" fillId="2" borderId="3" xfId="0" applyFont="1" applyFill="1" applyBorder="1"/>
    <xf numFmtId="0" fontId="15" fillId="3" borderId="0" xfId="0" applyFont="1" applyFill="1" applyAlignment="1">
      <alignment wrapText="1"/>
    </xf>
    <xf numFmtId="14" fontId="15" fillId="3" borderId="0" xfId="0" applyNumberFormat="1" applyFont="1" applyFill="1"/>
    <xf numFmtId="14" fontId="15" fillId="8" borderId="0" xfId="0" applyNumberFormat="1" applyFont="1" applyFill="1"/>
    <xf numFmtId="4" fontId="15" fillId="8" borderId="0" xfId="0" applyNumberFormat="1" applyFont="1" applyFill="1"/>
    <xf numFmtId="0" fontId="15" fillId="8" borderId="0" xfId="0" applyFont="1" applyFill="1" applyAlignment="1">
      <alignment wrapText="1"/>
    </xf>
    <xf numFmtId="0" fontId="19" fillId="8" borderId="3" xfId="0" applyFont="1" applyFill="1" applyBorder="1"/>
    <xf numFmtId="0" fontId="15" fillId="8" borderId="3" xfId="0" applyFont="1" applyFill="1" applyBorder="1"/>
    <xf numFmtId="4" fontId="21" fillId="8" borderId="3" xfId="0" applyNumberFormat="1" applyFont="1" applyFill="1" applyBorder="1"/>
    <xf numFmtId="0" fontId="15" fillId="4" borderId="3" xfId="0" applyFont="1" applyFill="1" applyBorder="1"/>
    <xf numFmtId="4" fontId="21" fillId="3" borderId="3" xfId="0" applyNumberFormat="1" applyFont="1" applyFill="1" applyBorder="1" applyAlignment="1">
      <alignment horizontal="center"/>
    </xf>
    <xf numFmtId="0" fontId="19" fillId="4" borderId="0" xfId="0" applyFont="1" applyFill="1" applyAlignment="1">
      <alignment horizontal="right"/>
    </xf>
    <xf numFmtId="0" fontId="15" fillId="10" borderId="0" xfId="0" applyFont="1" applyFill="1"/>
    <xf numFmtId="10" fontId="20" fillId="3" borderId="0" xfId="0" applyNumberFormat="1" applyFont="1" applyFill="1"/>
    <xf numFmtId="0" fontId="29" fillId="11" borderId="0" xfId="0" applyFont="1" applyFill="1"/>
    <xf numFmtId="0" fontId="30" fillId="11" borderId="0" xfId="0" applyFont="1" applyFill="1"/>
    <xf numFmtId="0" fontId="31" fillId="9" borderId="0" xfId="0" applyFont="1" applyFill="1"/>
    <xf numFmtId="165" fontId="30" fillId="9" borderId="0" xfId="0" applyNumberFormat="1" applyFont="1" applyFill="1"/>
    <xf numFmtId="10" fontId="31" fillId="9" borderId="0" xfId="0" applyNumberFormat="1" applyFont="1" applyFill="1"/>
    <xf numFmtId="9" fontId="30" fillId="9" borderId="0" xfId="0" applyNumberFormat="1" applyFont="1" applyFill="1"/>
    <xf numFmtId="10" fontId="15" fillId="3" borderId="3" xfId="0" applyNumberFormat="1" applyFont="1" applyFill="1" applyBorder="1"/>
    <xf numFmtId="40" fontId="23" fillId="3" borderId="0" xfId="0" applyNumberFormat="1" applyFont="1" applyFill="1" applyAlignment="1">
      <alignment horizontal="right" vertical="center"/>
    </xf>
    <xf numFmtId="40" fontId="23" fillId="3" borderId="0" xfId="0" applyNumberFormat="1" applyFont="1" applyFill="1" applyAlignment="1">
      <alignment horizontal="center" vertical="center"/>
    </xf>
    <xf numFmtId="0" fontId="19" fillId="3" borderId="4" xfId="0" applyFont="1" applyFill="1" applyBorder="1"/>
    <xf numFmtId="0" fontId="15" fillId="3" borderId="4" xfId="0" applyFont="1" applyFill="1" applyBorder="1"/>
    <xf numFmtId="9" fontId="20" fillId="3" borderId="4" xfId="0" applyNumberFormat="1" applyFont="1" applyFill="1" applyBorder="1"/>
    <xf numFmtId="9" fontId="20" fillId="3" borderId="4" xfId="2" applyFont="1" applyFill="1" applyBorder="1" applyAlignment="1">
      <alignment horizontal="right"/>
    </xf>
    <xf numFmtId="4" fontId="23" fillId="3" borderId="0" xfId="0" applyNumberFormat="1" applyFont="1" applyFill="1" applyAlignment="1">
      <alignment horizontal="right"/>
    </xf>
    <xf numFmtId="4" fontId="24" fillId="9" borderId="0" xfId="0" applyNumberFormat="1" applyFont="1" applyFill="1" applyAlignment="1">
      <alignment horizontal="right"/>
    </xf>
    <xf numFmtId="40" fontId="20" fillId="3" borderId="0" xfId="0" applyNumberFormat="1" applyFont="1" applyFill="1"/>
    <xf numFmtId="40" fontId="21" fillId="3" borderId="3" xfId="0" applyNumberFormat="1" applyFont="1" applyFill="1" applyBorder="1"/>
    <xf numFmtId="40" fontId="24" fillId="3" borderId="0" xfId="0" applyNumberFormat="1" applyFont="1" applyFill="1" applyAlignment="1">
      <alignment horizontal="right"/>
    </xf>
    <xf numFmtId="40" fontId="21" fillId="3" borderId="0" xfId="0" applyNumberFormat="1" applyFont="1" applyFill="1"/>
    <xf numFmtId="40" fontId="21" fillId="3" borderId="4" xfId="0" applyNumberFormat="1" applyFont="1" applyFill="1" applyBorder="1" applyAlignment="1">
      <alignment horizontal="right"/>
    </xf>
    <xf numFmtId="40" fontId="21" fillId="3" borderId="4" xfId="0" applyNumberFormat="1" applyFont="1" applyFill="1" applyBorder="1"/>
    <xf numFmtId="10" fontId="21" fillId="3" borderId="0" xfId="0" applyNumberFormat="1" applyFont="1" applyFill="1" applyAlignment="1">
      <alignment horizontal="right"/>
    </xf>
    <xf numFmtId="0" fontId="16" fillId="3" borderId="0" xfId="0" applyFont="1" applyFill="1" applyAlignment="1">
      <alignment horizontal="right"/>
    </xf>
    <xf numFmtId="40" fontId="23" fillId="3" borderId="0" xfId="0" applyNumberFormat="1" applyFont="1" applyFill="1"/>
    <xf numFmtId="40" fontId="20" fillId="3" borderId="0" xfId="2" applyNumberFormat="1" applyFont="1" applyFill="1" applyBorder="1"/>
    <xf numFmtId="40" fontId="23" fillId="3" borderId="4" xfId="0" applyNumberFormat="1" applyFont="1" applyFill="1" applyBorder="1"/>
    <xf numFmtId="40" fontId="20" fillId="3" borderId="4" xfId="0" applyNumberFormat="1" applyFont="1" applyFill="1" applyBorder="1"/>
    <xf numFmtId="40" fontId="23" fillId="3" borderId="0" xfId="0" applyNumberFormat="1" applyFont="1" applyFill="1" applyAlignment="1">
      <alignment horizontal="right" vertical="top"/>
    </xf>
    <xf numFmtId="40" fontId="31" fillId="12" borderId="0" xfId="0" applyNumberFormat="1" applyFont="1" applyFill="1"/>
    <xf numFmtId="40" fontId="31" fillId="13" borderId="0" xfId="0" applyNumberFormat="1" applyFont="1" applyFill="1"/>
    <xf numFmtId="40" fontId="31" fillId="14" borderId="0" xfId="0" applyNumberFormat="1" applyFont="1" applyFill="1"/>
    <xf numFmtId="40" fontId="31" fillId="15" borderId="0" xfId="0" applyNumberFormat="1" applyFont="1" applyFill="1"/>
    <xf numFmtId="40" fontId="31" fillId="16" borderId="0" xfId="0" applyNumberFormat="1" applyFont="1" applyFill="1"/>
    <xf numFmtId="40" fontId="31" fillId="17" borderId="0" xfId="0" applyNumberFormat="1" applyFont="1" applyFill="1"/>
    <xf numFmtId="40" fontId="31" fillId="18" borderId="0" xfId="0" applyNumberFormat="1" applyFont="1" applyFill="1"/>
    <xf numFmtId="40" fontId="31" fillId="19" borderId="0" xfId="0" applyNumberFormat="1" applyFont="1" applyFill="1"/>
    <xf numFmtId="40" fontId="31" fillId="20" borderId="0" xfId="0" applyNumberFormat="1" applyFont="1" applyFill="1"/>
    <xf numFmtId="40" fontId="31" fillId="21" borderId="0" xfId="0" applyNumberFormat="1" applyFont="1" applyFill="1"/>
    <xf numFmtId="40" fontId="31" fillId="22" borderId="0" xfId="0" applyNumberFormat="1" applyFont="1" applyFill="1"/>
    <xf numFmtId="40" fontId="31" fillId="23" borderId="0" xfId="0" applyNumberFormat="1" applyFont="1" applyFill="1"/>
    <xf numFmtId="40" fontId="31" fillId="24" borderId="0" xfId="0" applyNumberFormat="1" applyFont="1" applyFill="1"/>
    <xf numFmtId="40" fontId="31" fillId="25" borderId="0" xfId="0" applyNumberFormat="1" applyFont="1" applyFill="1"/>
    <xf numFmtId="40" fontId="31" fillId="26" borderId="0" xfId="0" applyNumberFormat="1" applyFont="1" applyFill="1"/>
    <xf numFmtId="10" fontId="31" fillId="12" borderId="0" xfId="0" applyNumberFormat="1" applyFont="1" applyFill="1"/>
    <xf numFmtId="10" fontId="31" fillId="13" borderId="0" xfId="0" applyNumberFormat="1" applyFont="1" applyFill="1"/>
    <xf numFmtId="10" fontId="31" fillId="14" borderId="0" xfId="0" applyNumberFormat="1" applyFont="1" applyFill="1"/>
    <xf numFmtId="10" fontId="31" fillId="15" borderId="0" xfId="0" applyNumberFormat="1" applyFont="1" applyFill="1"/>
    <xf numFmtId="10" fontId="31" fillId="16" borderId="0" xfId="0" applyNumberFormat="1" applyFont="1" applyFill="1"/>
    <xf numFmtId="10" fontId="31" fillId="17" borderId="0" xfId="0" applyNumberFormat="1" applyFont="1" applyFill="1"/>
    <xf numFmtId="10" fontId="31" fillId="18" borderId="0" xfId="0" applyNumberFormat="1" applyFont="1" applyFill="1"/>
    <xf numFmtId="10" fontId="31" fillId="19" borderId="0" xfId="0" applyNumberFormat="1" applyFont="1" applyFill="1"/>
    <xf numFmtId="10" fontId="31" fillId="20" borderId="0" xfId="0" applyNumberFormat="1" applyFont="1" applyFill="1"/>
    <xf numFmtId="10" fontId="31" fillId="21" borderId="0" xfId="0" applyNumberFormat="1" applyFont="1" applyFill="1"/>
    <xf numFmtId="10" fontId="31" fillId="22" borderId="0" xfId="0" applyNumberFormat="1" applyFont="1" applyFill="1"/>
    <xf numFmtId="10" fontId="31" fillId="23" borderId="0" xfId="0" applyNumberFormat="1" applyFont="1" applyFill="1"/>
    <xf numFmtId="10" fontId="31" fillId="24" borderId="0" xfId="0" applyNumberFormat="1" applyFont="1" applyFill="1"/>
    <xf numFmtId="10" fontId="31" fillId="25" borderId="0" xfId="0" applyNumberFormat="1" applyFont="1" applyFill="1"/>
    <xf numFmtId="10" fontId="31" fillId="26" borderId="0" xfId="0" applyNumberFormat="1" applyFont="1" applyFill="1"/>
    <xf numFmtId="4" fontId="24" fillId="3" borderId="0" xfId="0" applyNumberFormat="1" applyFont="1" applyFill="1"/>
    <xf numFmtId="0" fontId="16" fillId="3" borderId="0" xfId="0" applyFont="1" applyFill="1" applyAlignment="1">
      <alignment horizontal="center"/>
    </xf>
    <xf numFmtId="40" fontId="19" fillId="3" borderId="3" xfId="0" applyNumberFormat="1" applyFont="1" applyFill="1" applyBorder="1"/>
    <xf numFmtId="40" fontId="16" fillId="2" borderId="0" xfId="0" applyNumberFormat="1" applyFont="1" applyFill="1"/>
    <xf numFmtId="4" fontId="24" fillId="8" borderId="0" xfId="0" applyNumberFormat="1" applyFont="1" applyFill="1" applyAlignment="1">
      <alignment horizontal="right"/>
    </xf>
    <xf numFmtId="0" fontId="5" fillId="0" borderId="0" xfId="0" applyFont="1"/>
    <xf numFmtId="0" fontId="9" fillId="0" borderId="0" xfId="0" applyFont="1"/>
    <xf numFmtId="0" fontId="13" fillId="0" borderId="0" xfId="0" applyFont="1"/>
    <xf numFmtId="0" fontId="10" fillId="0" borderId="0" xfId="0" applyFont="1"/>
    <xf numFmtId="0" fontId="12" fillId="3" borderId="0" xfId="1" applyFont="1" applyFill="1" applyBorder="1"/>
    <xf numFmtId="0" fontId="19" fillId="3" borderId="4" xfId="0" applyFont="1" applyFill="1" applyBorder="1" applyAlignment="1">
      <alignment horizontal="left"/>
    </xf>
    <xf numFmtId="166" fontId="23" fillId="8" borderId="0" xfId="0" applyNumberFormat="1" applyFont="1" applyFill="1"/>
    <xf numFmtId="166" fontId="23" fillId="3" borderId="0" xfId="0" applyNumberFormat="1" applyFont="1" applyFill="1"/>
    <xf numFmtId="4" fontId="23" fillId="8" borderId="0" xfId="0" applyNumberFormat="1" applyFont="1" applyFill="1"/>
    <xf numFmtId="4" fontId="23" fillId="3" borderId="0" xfId="0" applyNumberFormat="1" applyFont="1" applyFill="1"/>
    <xf numFmtId="0" fontId="33" fillId="3" borderId="0" xfId="1" applyFont="1" applyFill="1" applyBorder="1"/>
    <xf numFmtId="167" fontId="15" fillId="3" borderId="0" xfId="0" applyNumberFormat="1" applyFont="1" applyFill="1" applyAlignment="1">
      <alignment horizontal="left"/>
    </xf>
    <xf numFmtId="167" fontId="19" fillId="3" borderId="0" xfId="0" applyNumberFormat="1" applyFont="1" applyFill="1" applyAlignment="1">
      <alignment horizontal="center"/>
    </xf>
    <xf numFmtId="0" fontId="20" fillId="8" borderId="0" xfId="0" applyFont="1" applyFill="1"/>
    <xf numFmtId="0" fontId="15" fillId="4" borderId="0" xfId="0" applyFont="1" applyFill="1" applyAlignment="1">
      <alignment horizontal="left"/>
    </xf>
    <xf numFmtId="0" fontId="19" fillId="8" borderId="0" xfId="0" applyFont="1" applyFill="1" applyAlignment="1">
      <alignment horizontal="center"/>
    </xf>
    <xf numFmtId="10" fontId="24" fillId="3" borderId="0" xfId="0" quotePrefix="1" applyNumberFormat="1" applyFont="1" applyFill="1" applyAlignment="1">
      <alignment horizontal="center"/>
    </xf>
    <xf numFmtId="10" fontId="20" fillId="3" borderId="0" xfId="0" applyNumberFormat="1" applyFont="1" applyFill="1" applyAlignment="1">
      <alignment horizontal="center"/>
    </xf>
    <xf numFmtId="2" fontId="20" fillId="3" borderId="0" xfId="0" applyNumberFormat="1" applyFont="1" applyFill="1" applyAlignment="1">
      <alignment horizontal="center"/>
    </xf>
    <xf numFmtId="10" fontId="21" fillId="3" borderId="0" xfId="0" applyNumberFormat="1" applyFont="1" applyFill="1" applyAlignment="1">
      <alignment horizontal="center"/>
    </xf>
    <xf numFmtId="2" fontId="21" fillId="3" borderId="0" xfId="0" applyNumberFormat="1" applyFont="1" applyFill="1" applyAlignment="1">
      <alignment horizontal="right"/>
    </xf>
    <xf numFmtId="4" fontId="24" fillId="3" borderId="0" xfId="0" applyNumberFormat="1" applyFont="1" applyFill="1" applyAlignment="1">
      <alignment horizontal="center"/>
    </xf>
    <xf numFmtId="0" fontId="15" fillId="0" borderId="0" xfId="0" applyFont="1"/>
    <xf numFmtId="0" fontId="15" fillId="0" borderId="0" xfId="0" applyFont="1" applyAlignment="1">
      <alignment horizontal="right"/>
    </xf>
    <xf numFmtId="10" fontId="24" fillId="8" borderId="0" xfId="0" applyNumberFormat="1" applyFont="1" applyFill="1"/>
    <xf numFmtId="10" fontId="21" fillId="8" borderId="0" xfId="0" applyNumberFormat="1" applyFont="1" applyFill="1"/>
    <xf numFmtId="10" fontId="34" fillId="8" borderId="0" xfId="0" applyNumberFormat="1" applyFont="1" applyFill="1"/>
    <xf numFmtId="0" fontId="34" fillId="3" borderId="0" xfId="0" applyFont="1" applyFill="1" applyAlignment="1">
      <alignment horizontal="center"/>
    </xf>
    <xf numFmtId="4" fontId="21" fillId="8" borderId="0" xfId="0" applyNumberFormat="1" applyFont="1" applyFill="1" applyAlignment="1">
      <alignment horizontal="center"/>
    </xf>
    <xf numFmtId="3" fontId="15" fillId="8" borderId="0" xfId="0" applyNumberFormat="1" applyFont="1" applyFill="1" applyAlignment="1">
      <alignment horizontal="center"/>
    </xf>
    <xf numFmtId="0" fontId="19" fillId="3" borderId="0" xfId="0" applyFont="1" applyFill="1" applyAlignment="1">
      <alignment horizontal="right"/>
    </xf>
    <xf numFmtId="4" fontId="24" fillId="8" borderId="0" xfId="0" applyNumberFormat="1" applyFont="1" applyFill="1"/>
    <xf numFmtId="0" fontId="24" fillId="8" borderId="0" xfId="0" applyFont="1" applyFill="1"/>
    <xf numFmtId="2" fontId="24" fillId="3" borderId="0" xfId="0" applyNumberFormat="1" applyFont="1" applyFill="1" applyAlignment="1">
      <alignment horizontal="center"/>
    </xf>
    <xf numFmtId="0" fontId="15" fillId="8" borderId="0" xfId="0" applyFont="1" applyFill="1" applyAlignment="1">
      <alignment horizontal="right"/>
    </xf>
    <xf numFmtId="0" fontId="22" fillId="8" borderId="0" xfId="0" applyFont="1" applyFill="1" applyAlignment="1">
      <alignment horizontal="left" indent="1"/>
    </xf>
    <xf numFmtId="0" fontId="22" fillId="0" borderId="0" xfId="0" applyFont="1" applyAlignment="1">
      <alignment horizontal="left" indent="1"/>
    </xf>
    <xf numFmtId="9" fontId="15" fillId="3" borderId="0" xfId="0" applyNumberFormat="1" applyFont="1" applyFill="1"/>
    <xf numFmtId="0" fontId="22" fillId="8" borderId="0" xfId="0" applyFont="1" applyFill="1" applyAlignment="1">
      <alignment horizontal="left" wrapText="1" indent="1"/>
    </xf>
    <xf numFmtId="0" fontId="22" fillId="0" borderId="0" xfId="0" applyFont="1" applyAlignment="1">
      <alignment horizontal="left" wrapText="1" indent="1"/>
    </xf>
    <xf numFmtId="10" fontId="21" fillId="3" borderId="0" xfId="0" applyNumberFormat="1" applyFont="1" applyFill="1"/>
    <xf numFmtId="40" fontId="20" fillId="8" borderId="0" xfId="0" applyNumberFormat="1" applyFont="1" applyFill="1"/>
    <xf numFmtId="4" fontId="16" fillId="2" borderId="0" xfId="0" applyNumberFormat="1" applyFont="1" applyFill="1" applyAlignment="1">
      <alignment horizontal="right"/>
    </xf>
    <xf numFmtId="167" fontId="19" fillId="2" borderId="0" xfId="0" applyNumberFormat="1" applyFont="1" applyFill="1" applyAlignment="1">
      <alignment horizontal="right"/>
    </xf>
    <xf numFmtId="0" fontId="16" fillId="11" borderId="0" xfId="0" applyFont="1" applyFill="1"/>
    <xf numFmtId="0" fontId="35" fillId="2" borderId="0" xfId="0" applyFont="1" applyFill="1"/>
    <xf numFmtId="4" fontId="35" fillId="2" borderId="0" xfId="0" applyNumberFormat="1" applyFont="1" applyFill="1" applyAlignment="1">
      <alignment horizontal="right"/>
    </xf>
    <xf numFmtId="167" fontId="35" fillId="2" borderId="0" xfId="0" applyNumberFormat="1" applyFont="1" applyFill="1" applyAlignment="1">
      <alignment horizontal="right"/>
    </xf>
    <xf numFmtId="0" fontId="20" fillId="3" borderId="0" xfId="0" applyFont="1" applyFill="1" applyAlignment="1">
      <alignment horizontal="right"/>
    </xf>
    <xf numFmtId="0" fontId="24" fillId="8" borderId="0" xfId="0" applyFont="1" applyFill="1" applyAlignment="1">
      <alignment horizontal="right"/>
    </xf>
    <xf numFmtId="0" fontId="20" fillId="8" borderId="0" xfId="0" applyFont="1" applyFill="1" applyAlignment="1">
      <alignment horizontal="right"/>
    </xf>
    <xf numFmtId="10" fontId="24" fillId="8" borderId="0" xfId="0" applyNumberFormat="1" applyFont="1" applyFill="1" applyAlignment="1">
      <alignment horizontal="right"/>
    </xf>
    <xf numFmtId="2" fontId="19" fillId="3" borderId="0" xfId="0" applyNumberFormat="1" applyFont="1" applyFill="1" applyAlignment="1">
      <alignment horizontal="right"/>
    </xf>
    <xf numFmtId="0" fontId="15" fillId="8" borderId="0" xfId="0" applyFont="1" applyFill="1" applyAlignment="1">
      <alignment horizontal="left" indent="2"/>
    </xf>
    <xf numFmtId="4" fontId="21" fillId="8" borderId="0" xfId="0" applyNumberFormat="1" applyFont="1" applyFill="1"/>
    <xf numFmtId="10" fontId="20" fillId="3" borderId="0" xfId="0" applyNumberFormat="1" applyFont="1" applyFill="1" applyAlignment="1">
      <alignment horizontal="right"/>
    </xf>
    <xf numFmtId="10" fontId="21" fillId="8" borderId="0" xfId="0" applyNumberFormat="1" applyFont="1" applyFill="1" applyAlignment="1">
      <alignment horizontal="right"/>
    </xf>
    <xf numFmtId="0" fontId="24" fillId="3" borderId="0" xfId="0" applyFont="1" applyFill="1"/>
    <xf numFmtId="0" fontId="21" fillId="8" borderId="0" xfId="0" applyFont="1" applyFill="1"/>
    <xf numFmtId="14" fontId="24" fillId="8" borderId="0" xfId="0" applyNumberFormat="1" applyFont="1" applyFill="1" applyAlignment="1">
      <alignment horizontal="center"/>
    </xf>
    <xf numFmtId="10" fontId="24" fillId="3" borderId="0" xfId="0" quotePrefix="1" applyNumberFormat="1" applyFont="1" applyFill="1" applyAlignment="1">
      <alignment horizontal="right"/>
    </xf>
    <xf numFmtId="2" fontId="21" fillId="8" borderId="0" xfId="0" applyNumberFormat="1" applyFont="1" applyFill="1" applyAlignment="1">
      <alignment horizontal="right"/>
    </xf>
    <xf numFmtId="10" fontId="20" fillId="8" borderId="0" xfId="0" applyNumberFormat="1" applyFont="1" applyFill="1" applyAlignment="1">
      <alignment horizontal="right"/>
    </xf>
    <xf numFmtId="2" fontId="20" fillId="8" borderId="0" xfId="0" applyNumberFormat="1" applyFont="1" applyFill="1" applyAlignment="1">
      <alignment horizontal="right"/>
    </xf>
    <xf numFmtId="17" fontId="24" fillId="3" borderId="0" xfId="0" applyNumberFormat="1" applyFont="1" applyFill="1"/>
    <xf numFmtId="17" fontId="24" fillId="8" borderId="0" xfId="0" applyNumberFormat="1" applyFont="1" applyFill="1"/>
    <xf numFmtId="2" fontId="24" fillId="8" borderId="0" xfId="0" applyNumberFormat="1" applyFont="1" applyFill="1" applyAlignment="1">
      <alignment horizontal="right"/>
    </xf>
    <xf numFmtId="2" fontId="24" fillId="3" borderId="0" xfId="0" applyNumberFormat="1" applyFont="1" applyFill="1" applyAlignment="1">
      <alignment horizontal="right"/>
    </xf>
    <xf numFmtId="0" fontId="21" fillId="8" borderId="0" xfId="0" applyFont="1" applyFill="1" applyAlignment="1">
      <alignment horizontal="right"/>
    </xf>
    <xf numFmtId="0" fontId="21" fillId="3" borderId="0" xfId="0" applyFont="1" applyFill="1" applyAlignment="1">
      <alignment horizontal="right"/>
    </xf>
    <xf numFmtId="4" fontId="21" fillId="3" borderId="4" xfId="0" applyNumberFormat="1" applyFont="1" applyFill="1" applyBorder="1" applyAlignment="1">
      <alignment horizontal="right"/>
    </xf>
    <xf numFmtId="4" fontId="36" fillId="3" borderId="0" xfId="0" applyNumberFormat="1" applyFont="1" applyFill="1" applyAlignment="1">
      <alignment horizontal="center"/>
    </xf>
    <xf numFmtId="0" fontId="18" fillId="2" borderId="0" xfId="0" applyFont="1" applyFill="1" applyAlignment="1">
      <alignment horizontal="right"/>
    </xf>
    <xf numFmtId="0" fontId="15" fillId="2" borderId="0" xfId="0" applyFont="1" applyFill="1" applyAlignment="1">
      <alignment horizontal="right"/>
    </xf>
    <xf numFmtId="0" fontId="26" fillId="2" borderId="0" xfId="0" applyFont="1" applyFill="1" applyAlignment="1">
      <alignment horizontal="right"/>
    </xf>
    <xf numFmtId="10" fontId="26" fillId="3" borderId="0" xfId="0" applyNumberFormat="1" applyFont="1" applyFill="1"/>
    <xf numFmtId="40" fontId="23" fillId="3" borderId="0" xfId="0" applyNumberFormat="1" applyFont="1" applyFill="1" applyAlignment="1">
      <alignment horizontal="right"/>
    </xf>
    <xf numFmtId="40" fontId="37" fillId="3" borderId="4" xfId="0" applyNumberFormat="1" applyFont="1" applyFill="1" applyBorder="1" applyAlignment="1">
      <alignment horizontal="right" vertical="top"/>
    </xf>
    <xf numFmtId="40" fontId="21" fillId="3" borderId="4" xfId="0" applyNumberFormat="1" applyFont="1" applyFill="1" applyBorder="1" applyAlignment="1">
      <alignment horizontal="right" vertical="center"/>
    </xf>
    <xf numFmtId="40" fontId="24" fillId="8" borderId="0" xfId="0" applyNumberFormat="1" applyFont="1" applyFill="1" applyAlignment="1">
      <alignment horizontal="right"/>
    </xf>
    <xf numFmtId="40" fontId="15" fillId="8" borderId="0" xfId="0" applyNumberFormat="1" applyFont="1" applyFill="1" applyAlignment="1">
      <alignment horizontal="right"/>
    </xf>
    <xf numFmtId="40" fontId="20" fillId="8" borderId="0" xfId="0" applyNumberFormat="1" applyFont="1" applyFill="1" applyAlignment="1">
      <alignment horizontal="right"/>
    </xf>
    <xf numFmtId="4" fontId="24" fillId="3" borderId="8" xfId="0" applyNumberFormat="1" applyFont="1" applyFill="1" applyBorder="1"/>
    <xf numFmtId="0" fontId="39" fillId="0" borderId="0" xfId="0" applyFont="1"/>
    <xf numFmtId="0" fontId="40" fillId="0" borderId="0" xfId="0" applyFont="1"/>
    <xf numFmtId="0" fontId="38" fillId="0" borderId="0" xfId="0" applyFont="1"/>
    <xf numFmtId="17" fontId="39" fillId="0" borderId="0" xfId="0" applyNumberFormat="1" applyFont="1"/>
    <xf numFmtId="3" fontId="0" fillId="0" borderId="0" xfId="0" applyNumberFormat="1"/>
    <xf numFmtId="3" fontId="38" fillId="0" borderId="0" xfId="0" applyNumberFormat="1" applyFont="1"/>
    <xf numFmtId="0" fontId="41" fillId="27" borderId="0" xfId="0" applyFont="1" applyFill="1" applyAlignment="1">
      <alignment vertical="center"/>
    </xf>
    <xf numFmtId="0" fontId="41" fillId="27" borderId="0" xfId="0" applyFont="1" applyFill="1" applyAlignment="1">
      <alignment horizontal="left" vertical="center" indent="1"/>
    </xf>
    <xf numFmtId="0" fontId="42" fillId="28" borderId="0" xfId="0" applyFont="1" applyFill="1" applyAlignment="1">
      <alignment vertical="center"/>
    </xf>
    <xf numFmtId="0" fontId="41" fillId="28" borderId="0" xfId="0" applyFont="1" applyFill="1" applyAlignment="1">
      <alignment horizontal="right" vertical="center"/>
    </xf>
    <xf numFmtId="14" fontId="0" fillId="0" borderId="0" xfId="0" applyNumberFormat="1"/>
    <xf numFmtId="0" fontId="43" fillId="0" borderId="0" xfId="0" applyFont="1" applyAlignment="1">
      <alignment horizontal="left" vertical="center"/>
    </xf>
    <xf numFmtId="169" fontId="43" fillId="0" borderId="0" xfId="0" applyNumberFormat="1" applyFont="1" applyAlignment="1">
      <alignment horizontal="right" vertical="center"/>
    </xf>
    <xf numFmtId="0" fontId="43" fillId="29" borderId="0" xfId="0" applyFont="1" applyFill="1" applyAlignment="1">
      <alignment horizontal="left" vertical="center"/>
    </xf>
    <xf numFmtId="169" fontId="43" fillId="29" borderId="0" xfId="0" applyNumberFormat="1" applyFont="1" applyFill="1" applyAlignment="1">
      <alignment horizontal="right" vertical="center"/>
    </xf>
    <xf numFmtId="0" fontId="44" fillId="30" borderId="9" xfId="0" applyFont="1" applyFill="1" applyBorder="1" applyAlignment="1">
      <alignment vertical="top" wrapText="1"/>
    </xf>
    <xf numFmtId="0" fontId="45" fillId="31" borderId="9" xfId="0" applyFont="1" applyFill="1" applyBorder="1" applyAlignment="1">
      <alignment horizontal="center"/>
    </xf>
    <xf numFmtId="0" fontId="46" fillId="0" borderId="10" xfId="0" applyFont="1" applyBorder="1" applyAlignment="1">
      <alignment horizontal="left" wrapText="1"/>
    </xf>
    <xf numFmtId="170" fontId="47" fillId="0" borderId="11" xfId="0" applyNumberFormat="1" applyFont="1" applyBorder="1" applyAlignment="1">
      <alignment horizontal="right"/>
    </xf>
    <xf numFmtId="170" fontId="0" fillId="0" borderId="0" xfId="0" applyNumberFormat="1"/>
    <xf numFmtId="3" fontId="49" fillId="0" borderId="0" xfId="0" applyNumberFormat="1" applyFont="1" applyAlignment="1">
      <alignment horizontal="right"/>
    </xf>
    <xf numFmtId="9" fontId="15" fillId="3" borderId="0" xfId="2" applyFont="1" applyFill="1"/>
    <xf numFmtId="0" fontId="30" fillId="3" borderId="0" xfId="0" applyFont="1" applyFill="1"/>
    <xf numFmtId="40" fontId="20" fillId="3" borderId="0" xfId="0" applyNumberFormat="1" applyFont="1" applyFill="1" applyAlignment="1">
      <alignment horizontal="center"/>
    </xf>
    <xf numFmtId="164" fontId="29" fillId="11" borderId="0" xfId="0" applyNumberFormat="1" applyFont="1" applyFill="1"/>
    <xf numFmtId="164" fontId="19" fillId="3" borderId="0" xfId="0" applyNumberFormat="1" applyFont="1" applyFill="1"/>
    <xf numFmtId="164" fontId="15" fillId="3" borderId="0" xfId="0" applyNumberFormat="1" applyFont="1" applyFill="1" applyAlignment="1">
      <alignment horizontal="left" indent="1"/>
    </xf>
    <xf numFmtId="164" fontId="16" fillId="2" borderId="0" xfId="0" applyNumberFormat="1" applyFont="1" applyFill="1" applyAlignment="1">
      <alignment horizontal="center"/>
    </xf>
    <xf numFmtId="164" fontId="20" fillId="3" borderId="0" xfId="0" applyNumberFormat="1" applyFont="1" applyFill="1" applyAlignment="1">
      <alignment horizontal="center"/>
    </xf>
    <xf numFmtId="0" fontId="22" fillId="8" borderId="0" xfId="0" applyFont="1" applyFill="1" applyAlignment="1">
      <alignment horizontal="right"/>
    </xf>
    <xf numFmtId="0" fontId="24" fillId="0" borderId="0" xfId="0" applyFont="1" applyAlignment="1">
      <alignment horizontal="right"/>
    </xf>
    <xf numFmtId="10" fontId="24" fillId="0" borderId="0" xfId="0" applyNumberFormat="1" applyFont="1" applyAlignment="1">
      <alignment horizontal="right"/>
    </xf>
    <xf numFmtId="0" fontId="22" fillId="0" borderId="0" xfId="0" applyFont="1" applyAlignment="1">
      <alignment horizontal="right"/>
    </xf>
    <xf numFmtId="10" fontId="24" fillId="7" borderId="0" xfId="0" applyNumberFormat="1" applyFont="1" applyFill="1" applyAlignment="1">
      <alignment horizontal="right"/>
    </xf>
    <xf numFmtId="40" fontId="21" fillId="8" borderId="0" xfId="0" applyNumberFormat="1" applyFont="1" applyFill="1" applyAlignment="1">
      <alignment horizontal="right"/>
    </xf>
    <xf numFmtId="0" fontId="22" fillId="9" borderId="0" xfId="0" applyFont="1" applyFill="1"/>
    <xf numFmtId="4" fontId="22" fillId="9" borderId="0" xfId="0" applyNumberFormat="1" applyFont="1" applyFill="1"/>
    <xf numFmtId="0" fontId="22" fillId="6" borderId="0" xfId="0" applyFont="1" applyFill="1"/>
    <xf numFmtId="0" fontId="19" fillId="4" borderId="0" xfId="0" applyFont="1" applyFill="1" applyAlignment="1">
      <alignment horizontal="left"/>
    </xf>
    <xf numFmtId="0" fontId="16" fillId="2" borderId="0" xfId="0" applyFont="1" applyFill="1" applyAlignment="1">
      <alignment horizontal="left"/>
    </xf>
    <xf numFmtId="0" fontId="19" fillId="4" borderId="0" xfId="0" applyFont="1" applyFill="1" applyAlignment="1">
      <alignment horizontal="left"/>
    </xf>
    <xf numFmtId="0" fontId="19" fillId="4" borderId="5" xfId="0" applyFont="1" applyFill="1" applyBorder="1" applyAlignment="1">
      <alignment horizontal="center"/>
    </xf>
    <xf numFmtId="0" fontId="19" fillId="4" borderId="6" xfId="0" applyFont="1" applyFill="1" applyBorder="1" applyAlignment="1">
      <alignment horizontal="center"/>
    </xf>
    <xf numFmtId="0" fontId="19" fillId="4" borderId="7" xfId="0" applyFont="1" applyFill="1" applyBorder="1" applyAlignment="1">
      <alignment horizontal="center"/>
    </xf>
    <xf numFmtId="0" fontId="16" fillId="2" borderId="0" xfId="0" applyFont="1" applyFill="1" applyAlignment="1">
      <alignment horizontal="left"/>
    </xf>
    <xf numFmtId="0" fontId="48" fillId="32" borderId="12" xfId="0" applyFont="1" applyFill="1" applyBorder="1" applyAlignment="1">
      <alignment horizontal="center" vertical="top" wrapText="1"/>
    </xf>
    <xf numFmtId="0" fontId="48" fillId="32" borderId="13" xfId="0" applyFont="1" applyFill="1" applyBorder="1" applyAlignment="1">
      <alignment horizontal="center" vertical="top" wrapText="1"/>
    </xf>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cap="all" spc="150" baseline="0">
                <a:solidFill>
                  <a:srgbClr val="002060"/>
                </a:solidFill>
                <a:latin typeface="Aptos Narrow" panose="020B0004020202020204" pitchFamily="34" charset="0"/>
                <a:ea typeface="+mn-ea"/>
                <a:cs typeface="+mn-cs"/>
              </a:defRPr>
            </a:pPr>
            <a:r>
              <a:rPr lang="en-GB" sz="1200">
                <a:solidFill>
                  <a:srgbClr val="002060"/>
                </a:solidFill>
                <a:latin typeface="Aptos Narrow" panose="020B0004020202020204" pitchFamily="34" charset="0"/>
              </a:rPr>
              <a:t>Comparable</a:t>
            </a:r>
            <a:r>
              <a:rPr lang="en-GB" sz="1200" baseline="0">
                <a:solidFill>
                  <a:srgbClr val="002060"/>
                </a:solidFill>
                <a:latin typeface="Aptos Narrow" panose="020B0004020202020204" pitchFamily="34" charset="0"/>
              </a:rPr>
              <a:t> </a:t>
            </a:r>
            <a:r>
              <a:rPr lang="en-GB" sz="1200">
                <a:solidFill>
                  <a:srgbClr val="002060"/>
                </a:solidFill>
                <a:latin typeface="Aptos Narrow" panose="020B0004020202020204" pitchFamily="34" charset="0"/>
              </a:rPr>
              <a:t>HEalthcare REIT</a:t>
            </a:r>
            <a:r>
              <a:rPr lang="en-GB" sz="1200" baseline="0">
                <a:solidFill>
                  <a:srgbClr val="002060"/>
                </a:solidFill>
                <a:latin typeface="Aptos Narrow" panose="020B0004020202020204" pitchFamily="34" charset="0"/>
              </a:rPr>
              <a:t> WALE</a:t>
            </a:r>
            <a:endParaRPr lang="en-GB" sz="1200">
              <a:solidFill>
                <a:srgbClr val="002060"/>
              </a:solidFill>
              <a:latin typeface="Aptos Narrow" panose="020B0004020202020204" pitchFamily="34" charset="0"/>
            </a:endParaRPr>
          </a:p>
        </c:rich>
      </c:tx>
      <c:overlay val="0"/>
      <c:spPr>
        <a:noFill/>
        <a:ln>
          <a:noFill/>
        </a:ln>
        <a:effectLst/>
      </c:spPr>
      <c:txPr>
        <a:bodyPr rot="0" spcFirstLastPara="1" vertOverflow="ellipsis" vert="horz" wrap="square" anchor="ctr" anchorCtr="1"/>
        <a:lstStyle/>
        <a:p>
          <a:pPr>
            <a:defRPr sz="1200" b="1" i="0" u="none" strike="noStrike" kern="1200" cap="all" spc="150" baseline="0">
              <a:solidFill>
                <a:srgbClr val="002060"/>
              </a:solidFill>
              <a:latin typeface="Aptos Narrow" panose="020B0004020202020204" pitchFamily="34" charset="0"/>
              <a:ea typeface="+mn-ea"/>
              <a:cs typeface="+mn-cs"/>
            </a:defRPr>
          </a:pPr>
          <a:endParaRPr lang="en-GB"/>
        </a:p>
      </c:txPr>
    </c:title>
    <c:autoTitleDeleted val="0"/>
    <c:plotArea>
      <c:layout/>
      <c:barChart>
        <c:barDir val="bar"/>
        <c:grouping val="clustered"/>
        <c:varyColors val="0"/>
        <c:ser>
          <c:idx val="0"/>
          <c:order val="0"/>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Pt>
            <c:idx val="6"/>
            <c:invertIfNegative val="0"/>
            <c:bubble3D val="0"/>
            <c:spPr>
              <a:pattFill prst="narVert">
                <a:fgClr>
                  <a:schemeClr val="accent2"/>
                </a:fgClr>
                <a:bgClr>
                  <a:schemeClr val="bg1"/>
                </a:bgClr>
              </a:pattFill>
              <a:ln>
                <a:solidFill>
                  <a:schemeClr val="accent2"/>
                </a:solidFill>
              </a:ln>
              <a:effectLst>
                <a:innerShdw blurRad="114300">
                  <a:schemeClr val="accent1"/>
                </a:innerShdw>
              </a:effectLst>
            </c:spPr>
            <c:extLst>
              <c:ext xmlns:c16="http://schemas.microsoft.com/office/drawing/2014/chart" uri="{C3380CC4-5D6E-409C-BE32-E72D297353CC}">
                <c16:uniqueId val="{00000003-D03B-3746-9532-F7848ACE4893}"/>
              </c:ext>
            </c:extLst>
          </c:dPt>
          <c:cat>
            <c:strRef>
              <c:f>Assumptions!$B$58:$B$64</c:f>
              <c:strCache>
                <c:ptCount val="7"/>
                <c:pt idx="0">
                  <c:v>Centuria Healthcare</c:v>
                </c:pt>
                <c:pt idx="1">
                  <c:v>Healthco Healthcare &amp; Wellness REIT (HMC)</c:v>
                </c:pt>
                <c:pt idx="2">
                  <c:v>Australian Unity Limited</c:v>
                </c:pt>
                <c:pt idx="3">
                  <c:v>Arena REIT</c:v>
                </c:pt>
                <c:pt idx="4">
                  <c:v>Dexus Healthcare Property Fund</c:v>
                </c:pt>
                <c:pt idx="5">
                  <c:v>Elanor Healthcare Real Estate Fund</c:v>
                </c:pt>
                <c:pt idx="6">
                  <c:v>Weighted Average</c:v>
                </c:pt>
              </c:strCache>
            </c:strRef>
          </c:cat>
          <c:val>
            <c:numRef>
              <c:f>Assumptions!$E$58:$E$64</c:f>
              <c:numCache>
                <c:formatCode>General</c:formatCode>
                <c:ptCount val="7"/>
                <c:pt idx="0">
                  <c:v>10</c:v>
                </c:pt>
                <c:pt idx="1">
                  <c:v>12.3</c:v>
                </c:pt>
                <c:pt idx="2">
                  <c:v>15.8</c:v>
                </c:pt>
                <c:pt idx="3">
                  <c:v>19.3</c:v>
                </c:pt>
                <c:pt idx="4">
                  <c:v>18.8</c:v>
                </c:pt>
                <c:pt idx="5">
                  <c:v>4.9000000000000004</c:v>
                </c:pt>
                <c:pt idx="6" formatCode="0.00">
                  <c:v>15.616509583818699</c:v>
                </c:pt>
              </c:numCache>
            </c:numRef>
          </c:val>
          <c:extLst>
            <c:ext xmlns:c16="http://schemas.microsoft.com/office/drawing/2014/chart" uri="{C3380CC4-5D6E-409C-BE32-E72D297353CC}">
              <c16:uniqueId val="{00000000-D03B-3746-9532-F7848ACE4893}"/>
            </c:ext>
          </c:extLst>
        </c:ser>
        <c:dLbls>
          <c:showLegendKey val="0"/>
          <c:showVal val="0"/>
          <c:showCatName val="0"/>
          <c:showSerName val="0"/>
          <c:showPercent val="0"/>
          <c:showBubbleSize val="0"/>
        </c:dLbls>
        <c:gapWidth val="227"/>
        <c:overlap val="-48"/>
        <c:axId val="871725664"/>
        <c:axId val="138261295"/>
      </c:barChart>
      <c:catAx>
        <c:axId val="871725664"/>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rgbClr val="002060"/>
                </a:solidFill>
                <a:latin typeface="Aptos Narrow" panose="020B0004020202020204" pitchFamily="34" charset="0"/>
                <a:ea typeface="+mn-ea"/>
                <a:cs typeface="+mn-cs"/>
              </a:defRPr>
            </a:pPr>
            <a:endParaRPr lang="en-US"/>
          </a:p>
        </c:txPr>
        <c:crossAx val="138261295"/>
        <c:crosses val="autoZero"/>
        <c:auto val="1"/>
        <c:lblAlgn val="ctr"/>
        <c:lblOffset val="100"/>
        <c:noMultiLvlLbl val="0"/>
      </c:catAx>
      <c:valAx>
        <c:axId val="138261295"/>
        <c:scaling>
          <c:orientation val="minMax"/>
          <c:max val="20"/>
        </c:scaling>
        <c:delete val="0"/>
        <c:axPos val="b"/>
        <c:title>
          <c:tx>
            <c:rich>
              <a:bodyPr rot="0" spcFirstLastPara="1" vertOverflow="ellipsis" vert="horz" wrap="square" anchor="ctr" anchorCtr="1"/>
              <a:lstStyle/>
              <a:p>
                <a:pPr>
                  <a:defRPr sz="1000" b="1" i="0" u="none" strike="noStrike" kern="1200" baseline="0">
                    <a:solidFill>
                      <a:srgbClr val="002060"/>
                    </a:solidFill>
                    <a:latin typeface="Aptos Narrow" panose="020B0004020202020204" pitchFamily="34" charset="0"/>
                    <a:ea typeface="+mn-ea"/>
                    <a:cs typeface="+mn-cs"/>
                  </a:defRPr>
                </a:pPr>
                <a:r>
                  <a:rPr lang="en-GB" sz="1000">
                    <a:solidFill>
                      <a:srgbClr val="002060"/>
                    </a:solidFill>
                    <a:latin typeface="Aptos Narrow" panose="020B0004020202020204" pitchFamily="34" charset="0"/>
                  </a:rPr>
                  <a:t>Years</a:t>
                </a:r>
              </a:p>
            </c:rich>
          </c:tx>
          <c:overlay val="0"/>
          <c:spPr>
            <a:noFill/>
            <a:ln>
              <a:noFill/>
            </a:ln>
            <a:effectLst/>
          </c:spPr>
          <c:txPr>
            <a:bodyPr rot="0" spcFirstLastPara="1" vertOverflow="ellipsis" vert="horz" wrap="square" anchor="ctr" anchorCtr="1"/>
            <a:lstStyle/>
            <a:p>
              <a:pPr>
                <a:defRPr sz="1000" b="1" i="0" u="none" strike="noStrike" kern="1200" baseline="0">
                  <a:solidFill>
                    <a:srgbClr val="002060"/>
                  </a:solidFill>
                  <a:latin typeface="Aptos Narrow" panose="020B0004020202020204"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002060"/>
                </a:solidFill>
                <a:latin typeface="+mn-lt"/>
                <a:ea typeface="+mn-ea"/>
                <a:cs typeface="+mn-cs"/>
              </a:defRPr>
            </a:pPr>
            <a:endParaRPr lang="en-US"/>
          </a:p>
        </c:txPr>
        <c:crossAx val="871725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cap="all" spc="150" baseline="0">
                <a:solidFill>
                  <a:srgbClr val="002060"/>
                </a:solidFill>
                <a:latin typeface="Aptos Narrow" panose="020B0004020202020204" pitchFamily="34" charset="0"/>
                <a:ea typeface="+mn-ea"/>
                <a:cs typeface="+mn-cs"/>
              </a:defRPr>
            </a:pPr>
            <a:r>
              <a:rPr lang="en-GB" sz="1200">
                <a:solidFill>
                  <a:srgbClr val="002060"/>
                </a:solidFill>
                <a:latin typeface="Aptos Narrow" panose="020B0004020202020204" pitchFamily="34" charset="0"/>
              </a:rPr>
              <a:t>Comparable</a:t>
            </a:r>
            <a:r>
              <a:rPr lang="en-GB" sz="1200" baseline="0">
                <a:solidFill>
                  <a:srgbClr val="002060"/>
                </a:solidFill>
                <a:latin typeface="Aptos Narrow" panose="020B0004020202020204" pitchFamily="34" charset="0"/>
              </a:rPr>
              <a:t> </a:t>
            </a:r>
            <a:r>
              <a:rPr lang="en-GB" sz="1200">
                <a:solidFill>
                  <a:srgbClr val="002060"/>
                </a:solidFill>
                <a:latin typeface="Aptos Narrow" panose="020B0004020202020204" pitchFamily="34" charset="0"/>
              </a:rPr>
              <a:t>HEalthcare REIT</a:t>
            </a:r>
            <a:r>
              <a:rPr lang="en-GB" sz="1200" baseline="0">
                <a:solidFill>
                  <a:srgbClr val="002060"/>
                </a:solidFill>
                <a:latin typeface="Aptos Narrow" panose="020B0004020202020204" pitchFamily="34" charset="0"/>
              </a:rPr>
              <a:t> Occupancy rates</a:t>
            </a:r>
            <a:endParaRPr lang="en-GB" sz="1200">
              <a:solidFill>
                <a:srgbClr val="002060"/>
              </a:solidFill>
              <a:latin typeface="Aptos Narrow" panose="020B0004020202020204" pitchFamily="34" charset="0"/>
            </a:endParaRPr>
          </a:p>
        </c:rich>
      </c:tx>
      <c:overlay val="0"/>
      <c:spPr>
        <a:noFill/>
        <a:ln>
          <a:noFill/>
        </a:ln>
        <a:effectLst/>
      </c:spPr>
      <c:txPr>
        <a:bodyPr rot="0" spcFirstLastPara="1" vertOverflow="ellipsis" vert="horz" wrap="square" anchor="ctr" anchorCtr="1"/>
        <a:lstStyle/>
        <a:p>
          <a:pPr>
            <a:defRPr sz="1200" b="1" i="0" u="none" strike="noStrike" kern="1200" cap="all" spc="150" baseline="0">
              <a:solidFill>
                <a:srgbClr val="002060"/>
              </a:solidFill>
              <a:latin typeface="Aptos Narrow" panose="020B0004020202020204" pitchFamily="34" charset="0"/>
              <a:ea typeface="+mn-ea"/>
              <a:cs typeface="+mn-cs"/>
            </a:defRPr>
          </a:pPr>
          <a:endParaRPr lang="en-GB"/>
        </a:p>
      </c:txPr>
    </c:title>
    <c:autoTitleDeleted val="0"/>
    <c:plotArea>
      <c:layout/>
      <c:barChart>
        <c:barDir val="bar"/>
        <c:grouping val="clustered"/>
        <c:varyColors val="0"/>
        <c:ser>
          <c:idx val="0"/>
          <c:order val="0"/>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Pt>
            <c:idx val="6"/>
            <c:invertIfNegative val="0"/>
            <c:bubble3D val="0"/>
            <c:spPr>
              <a:pattFill prst="narVert">
                <a:fgClr>
                  <a:schemeClr val="accent2"/>
                </a:fgClr>
                <a:bgClr>
                  <a:schemeClr val="bg1"/>
                </a:bgClr>
              </a:pattFill>
              <a:ln>
                <a:noFill/>
              </a:ln>
              <a:effectLst>
                <a:innerShdw blurRad="114300">
                  <a:schemeClr val="accent1"/>
                </a:innerShdw>
              </a:effectLst>
            </c:spPr>
            <c:extLst>
              <c:ext xmlns:c16="http://schemas.microsoft.com/office/drawing/2014/chart" uri="{C3380CC4-5D6E-409C-BE32-E72D297353CC}">
                <c16:uniqueId val="{00000001-DA02-6045-B47E-4E8411A9D46F}"/>
              </c:ext>
            </c:extLst>
          </c:dPt>
          <c:cat>
            <c:strRef>
              <c:f>Assumptions!$B$58:$B$64</c:f>
              <c:strCache>
                <c:ptCount val="7"/>
                <c:pt idx="0">
                  <c:v>Centuria Healthcare</c:v>
                </c:pt>
                <c:pt idx="1">
                  <c:v>Healthco Healthcare &amp; Wellness REIT (HMC)</c:v>
                </c:pt>
                <c:pt idx="2">
                  <c:v>Australian Unity Limited</c:v>
                </c:pt>
                <c:pt idx="3">
                  <c:v>Arena REIT</c:v>
                </c:pt>
                <c:pt idx="4">
                  <c:v>Dexus Healthcare Property Fund</c:v>
                </c:pt>
                <c:pt idx="5">
                  <c:v>Elanor Healthcare Real Estate Fund</c:v>
                </c:pt>
                <c:pt idx="6">
                  <c:v>Weighted Average</c:v>
                </c:pt>
              </c:strCache>
            </c:strRef>
          </c:cat>
          <c:val>
            <c:numRef>
              <c:f>Assumptions!$F$58:$F$64</c:f>
              <c:numCache>
                <c:formatCode>0.00%</c:formatCode>
                <c:ptCount val="7"/>
                <c:pt idx="0">
                  <c:v>0.94499999999999995</c:v>
                </c:pt>
                <c:pt idx="1">
                  <c:v>0.99</c:v>
                </c:pt>
                <c:pt idx="2">
                  <c:v>0.97650000000000003</c:v>
                </c:pt>
                <c:pt idx="3">
                  <c:v>0.997</c:v>
                </c:pt>
                <c:pt idx="4">
                  <c:v>0.95399999999999996</c:v>
                </c:pt>
                <c:pt idx="5">
                  <c:v>0.92</c:v>
                </c:pt>
                <c:pt idx="6">
                  <c:v>0.97394048501535524</c:v>
                </c:pt>
              </c:numCache>
            </c:numRef>
          </c:val>
          <c:extLst>
            <c:ext xmlns:c16="http://schemas.microsoft.com/office/drawing/2014/chart" uri="{C3380CC4-5D6E-409C-BE32-E72D297353CC}">
              <c16:uniqueId val="{00000002-84F9-3C4B-8F3A-A75091545F14}"/>
            </c:ext>
          </c:extLst>
        </c:ser>
        <c:dLbls>
          <c:showLegendKey val="0"/>
          <c:showVal val="0"/>
          <c:showCatName val="0"/>
          <c:showSerName val="0"/>
          <c:showPercent val="0"/>
          <c:showBubbleSize val="0"/>
        </c:dLbls>
        <c:gapWidth val="227"/>
        <c:overlap val="-48"/>
        <c:axId val="871725664"/>
        <c:axId val="138261295"/>
      </c:barChart>
      <c:catAx>
        <c:axId val="871725664"/>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rgbClr val="002060"/>
                </a:solidFill>
                <a:latin typeface="Aptos Narrow" panose="020B0004020202020204" pitchFamily="34" charset="0"/>
                <a:ea typeface="+mn-ea"/>
                <a:cs typeface="+mn-cs"/>
              </a:defRPr>
            </a:pPr>
            <a:endParaRPr lang="en-US"/>
          </a:p>
        </c:txPr>
        <c:crossAx val="138261295"/>
        <c:crosses val="autoZero"/>
        <c:auto val="1"/>
        <c:lblAlgn val="ctr"/>
        <c:lblOffset val="100"/>
        <c:noMultiLvlLbl val="0"/>
      </c:catAx>
      <c:valAx>
        <c:axId val="138261295"/>
        <c:scaling>
          <c:orientation val="minMax"/>
          <c:max val="1"/>
          <c:min val="0.9"/>
        </c:scaling>
        <c:delete val="0"/>
        <c:axPos val="b"/>
        <c:title>
          <c:tx>
            <c:rich>
              <a:bodyPr rot="0" spcFirstLastPara="1" vertOverflow="ellipsis" vert="horz" wrap="square" anchor="ctr" anchorCtr="1"/>
              <a:lstStyle/>
              <a:p>
                <a:pPr>
                  <a:defRPr sz="1000" b="1" i="0" u="none" strike="noStrike" kern="1200" baseline="0">
                    <a:solidFill>
                      <a:srgbClr val="002060"/>
                    </a:solidFill>
                    <a:latin typeface="Aptos Narrow" panose="020B0004020202020204" pitchFamily="34" charset="0"/>
                    <a:ea typeface="+mn-ea"/>
                    <a:cs typeface="+mn-cs"/>
                  </a:defRPr>
                </a:pPr>
                <a:r>
                  <a:rPr lang="en-GB" sz="1000">
                    <a:solidFill>
                      <a:srgbClr val="002060"/>
                    </a:solidFill>
                    <a:latin typeface="Aptos Narrow" panose="020B0004020202020204" pitchFamily="34" charset="0"/>
                  </a:rPr>
                  <a:t>Years</a:t>
                </a:r>
              </a:p>
            </c:rich>
          </c:tx>
          <c:overlay val="0"/>
          <c:spPr>
            <a:noFill/>
            <a:ln>
              <a:noFill/>
            </a:ln>
            <a:effectLst/>
          </c:spPr>
          <c:txPr>
            <a:bodyPr rot="0" spcFirstLastPara="1" vertOverflow="ellipsis" vert="horz" wrap="square" anchor="ctr" anchorCtr="1"/>
            <a:lstStyle/>
            <a:p>
              <a:pPr>
                <a:defRPr sz="1000" b="1" i="0" u="none" strike="noStrike" kern="1200" baseline="0">
                  <a:solidFill>
                    <a:srgbClr val="002060"/>
                  </a:solidFill>
                  <a:latin typeface="Aptos Narrow" panose="020B0004020202020204" pitchFamily="34" charset="0"/>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002060"/>
                </a:solidFill>
                <a:latin typeface="+mn-lt"/>
                <a:ea typeface="+mn-ea"/>
                <a:cs typeface="+mn-cs"/>
              </a:defRPr>
            </a:pPr>
            <a:endParaRPr lang="en-US"/>
          </a:p>
        </c:txPr>
        <c:crossAx val="871725664"/>
        <c:crosses val="autoZero"/>
        <c:crossBetween val="between"/>
        <c:majorUnit val="0.02"/>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cap="all" spc="150" baseline="0">
                <a:solidFill>
                  <a:srgbClr val="002060"/>
                </a:solidFill>
                <a:latin typeface="+mn-lt"/>
                <a:ea typeface="+mn-ea"/>
                <a:cs typeface="+mn-cs"/>
              </a:defRPr>
            </a:pPr>
            <a:r>
              <a:rPr lang="en-US" sz="1200"/>
              <a:t>Comparator gearing</a:t>
            </a:r>
            <a:endParaRPr lang="en-US" sz="1200" baseline="0"/>
          </a:p>
        </c:rich>
      </c:tx>
      <c:overlay val="0"/>
      <c:spPr>
        <a:noFill/>
        <a:ln>
          <a:noFill/>
        </a:ln>
        <a:effectLst/>
      </c:spPr>
      <c:txPr>
        <a:bodyPr rot="0" spcFirstLastPara="1" vertOverflow="ellipsis" vert="horz" wrap="square" anchor="ctr" anchorCtr="1"/>
        <a:lstStyle/>
        <a:p>
          <a:pPr>
            <a:defRPr sz="1200" b="1" i="0" u="none" strike="noStrike" kern="1200" cap="all" spc="150" baseline="0">
              <a:solidFill>
                <a:srgbClr val="002060"/>
              </a:solidFill>
              <a:latin typeface="+mn-lt"/>
              <a:ea typeface="+mn-ea"/>
              <a:cs typeface="+mn-cs"/>
            </a:defRPr>
          </a:pPr>
          <a:endParaRPr lang="en-US"/>
        </a:p>
      </c:txPr>
    </c:title>
    <c:autoTitleDeleted val="0"/>
    <c:plotArea>
      <c:layout/>
      <c:barChart>
        <c:barDir val="bar"/>
        <c:grouping val="clustered"/>
        <c:varyColors val="0"/>
        <c:ser>
          <c:idx val="0"/>
          <c:order val="0"/>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Pt>
            <c:idx val="5"/>
            <c:invertIfNegative val="0"/>
            <c:bubble3D val="0"/>
            <c:spPr>
              <a:pattFill prst="narVert">
                <a:fgClr>
                  <a:schemeClr val="accent2"/>
                </a:fgClr>
                <a:bgClr>
                  <a:schemeClr val="bg1"/>
                </a:bgClr>
              </a:pattFill>
              <a:ln>
                <a:solidFill>
                  <a:schemeClr val="accent2"/>
                </a:solidFill>
              </a:ln>
              <a:effectLst>
                <a:innerShdw blurRad="114300">
                  <a:schemeClr val="accent1"/>
                </a:innerShdw>
              </a:effectLst>
            </c:spPr>
            <c:extLst>
              <c:ext xmlns:c16="http://schemas.microsoft.com/office/drawing/2014/chart" uri="{C3380CC4-5D6E-409C-BE32-E72D297353CC}">
                <c16:uniqueId val="{00000001-0276-F048-B873-0D4147686CAD}"/>
              </c:ext>
            </c:extLst>
          </c:dPt>
          <c:cat>
            <c:strRef>
              <c:f>Assumptions!$H$188:$H$193</c:f>
              <c:strCache>
                <c:ptCount val="6"/>
                <c:pt idx="0">
                  <c:v>HealthCo Healthcare &amp; Wellness </c:v>
                </c:pt>
                <c:pt idx="1">
                  <c:v>Dexus Healthcare Property Fund</c:v>
                </c:pt>
                <c:pt idx="2">
                  <c:v>Centuria Healthcare Property Fund</c:v>
                </c:pt>
                <c:pt idx="3">
                  <c:v>RAM Essential Services Property Fund</c:v>
                </c:pt>
                <c:pt idx="4">
                  <c:v>Unity Healthcare Property Trust</c:v>
                </c:pt>
                <c:pt idx="5">
                  <c:v>Weighted Average</c:v>
                </c:pt>
              </c:strCache>
            </c:strRef>
          </c:cat>
          <c:val>
            <c:numRef>
              <c:f>Assumptions!$K$188:$K$193</c:f>
              <c:numCache>
                <c:formatCode>0.00%</c:formatCode>
                <c:ptCount val="6"/>
                <c:pt idx="0">
                  <c:v>0.34</c:v>
                </c:pt>
                <c:pt idx="1">
                  <c:v>0.27900000000000003</c:v>
                </c:pt>
                <c:pt idx="2">
                  <c:v>0.441</c:v>
                </c:pt>
                <c:pt idx="3">
                  <c:v>0.35699999999999998</c:v>
                </c:pt>
                <c:pt idx="4">
                  <c:v>0.33300000000000002</c:v>
                </c:pt>
                <c:pt idx="5">
                  <c:v>0.32915442818485152</c:v>
                </c:pt>
              </c:numCache>
            </c:numRef>
          </c:val>
          <c:extLst>
            <c:ext xmlns:c16="http://schemas.microsoft.com/office/drawing/2014/chart" uri="{C3380CC4-5D6E-409C-BE32-E72D297353CC}">
              <c16:uniqueId val="{00000000-0276-F048-B873-0D4147686CAD}"/>
            </c:ext>
          </c:extLst>
        </c:ser>
        <c:dLbls>
          <c:showLegendKey val="0"/>
          <c:showVal val="0"/>
          <c:showCatName val="0"/>
          <c:showSerName val="0"/>
          <c:showPercent val="0"/>
          <c:showBubbleSize val="0"/>
        </c:dLbls>
        <c:gapWidth val="227"/>
        <c:overlap val="-48"/>
        <c:axId val="1547717247"/>
        <c:axId val="765634943"/>
      </c:barChart>
      <c:catAx>
        <c:axId val="1547717247"/>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765634943"/>
        <c:crosses val="autoZero"/>
        <c:auto val="1"/>
        <c:lblAlgn val="ctr"/>
        <c:lblOffset val="100"/>
        <c:noMultiLvlLbl val="0"/>
      </c:catAx>
      <c:valAx>
        <c:axId val="765634943"/>
        <c:scaling>
          <c:orientation val="minMax"/>
          <c:min val="0.2"/>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477172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Aptos Narrow" panose="020B0004020202020204" pitchFamily="34" charset="0"/>
                <a:ea typeface="+mn-ea"/>
                <a:cs typeface="+mn-cs"/>
              </a:defRPr>
            </a:pPr>
            <a:r>
              <a:rPr lang="en-GB" b="1"/>
              <a:t>Demolition Cost Site Composition</a:t>
            </a:r>
          </a:p>
        </c:rich>
      </c:tx>
      <c:overlay val="0"/>
      <c:spPr>
        <a:noFill/>
        <a:ln>
          <a:noFill/>
        </a:ln>
        <a:effectLst/>
      </c:spPr>
    </c:title>
    <c:autoTitleDeleted val="0"/>
    <c:plotArea>
      <c:layout>
        <c:manualLayout>
          <c:layoutTarget val="inner"/>
          <c:xMode val="edge"/>
          <c:yMode val="edge"/>
          <c:x val="5.1386591652682022E-2"/>
          <c:y val="0.12837056195446869"/>
          <c:w val="0.46893040316358248"/>
          <c:h val="0.81654973177695378"/>
        </c:manualLayout>
      </c:layout>
      <c:doughnutChart>
        <c:varyColors val="1"/>
        <c:ser>
          <c:idx val="0"/>
          <c:order val="0"/>
          <c:explosion val="5"/>
          <c:dPt>
            <c:idx val="0"/>
            <c:bubble3D val="0"/>
            <c:spPr>
              <a:solidFill>
                <a:srgbClr val="153D64"/>
              </a:solidFill>
              <a:ln w="19050">
                <a:solidFill>
                  <a:schemeClr val="lt1"/>
                </a:solidFill>
              </a:ln>
              <a:effectLst/>
            </c:spPr>
            <c:extLst>
              <c:ext xmlns:c16="http://schemas.microsoft.com/office/drawing/2014/chart" uri="{C3380CC4-5D6E-409C-BE32-E72D297353CC}">
                <c16:uniqueId val="{00000001-1E4D-47E2-B513-CC1057C92672}"/>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1E4D-47E2-B513-CC1057C92672}"/>
              </c:ext>
            </c:extLst>
          </c:dPt>
          <c:dPt>
            <c:idx val="2"/>
            <c:bubble3D val="0"/>
            <c:spPr>
              <a:solidFill>
                <a:srgbClr val="4D93D9"/>
              </a:solidFill>
              <a:ln w="19050">
                <a:solidFill>
                  <a:schemeClr val="lt1"/>
                </a:solidFill>
              </a:ln>
              <a:effectLst/>
            </c:spPr>
            <c:extLst>
              <c:ext xmlns:c16="http://schemas.microsoft.com/office/drawing/2014/chart" uri="{C3380CC4-5D6E-409C-BE32-E72D297353CC}">
                <c16:uniqueId val="{00000005-1E4D-47E2-B513-CC1057C92672}"/>
              </c:ext>
            </c:extLst>
          </c:dPt>
          <c:dPt>
            <c:idx val="3"/>
            <c:bubble3D val="0"/>
            <c:spPr>
              <a:solidFill>
                <a:srgbClr val="DAE9F8"/>
              </a:solidFill>
              <a:ln w="19050">
                <a:solidFill>
                  <a:schemeClr val="lt1"/>
                </a:solidFill>
              </a:ln>
              <a:effectLst/>
            </c:spPr>
            <c:extLst>
              <c:ext xmlns:c16="http://schemas.microsoft.com/office/drawing/2014/chart" uri="{C3380CC4-5D6E-409C-BE32-E72D297353CC}">
                <c16:uniqueId val="{00000007-1E4D-47E2-B513-CC1057C92672}"/>
              </c:ext>
            </c:extLst>
          </c:dPt>
          <c:dPt>
            <c:idx val="4"/>
            <c:bubble3D val="0"/>
            <c:spPr>
              <a:solidFill>
                <a:srgbClr val="E97132"/>
              </a:solidFill>
              <a:ln w="19050">
                <a:solidFill>
                  <a:schemeClr val="lt1"/>
                </a:solidFill>
              </a:ln>
              <a:effectLst/>
            </c:spPr>
            <c:extLst>
              <c:ext xmlns:c16="http://schemas.microsoft.com/office/drawing/2014/chart" uri="{C3380CC4-5D6E-409C-BE32-E72D297353CC}">
                <c16:uniqueId val="{00000009-1E4D-47E2-B513-CC1057C92672}"/>
              </c:ext>
            </c:extLst>
          </c:dPt>
          <c:dPt>
            <c:idx val="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B-1E4D-47E2-B513-CC1057C92672}"/>
              </c:ext>
            </c:extLst>
          </c:dPt>
          <c:dLbls>
            <c:dLbl>
              <c:idx val="0"/>
              <c:layout>
                <c:manualLayout>
                  <c:x val="-4.4604491839156081E-2"/>
                  <c:y val="9.7087397195817826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1E4D-47E2-B513-CC1057C92672}"/>
                </c:ext>
              </c:extLst>
            </c:dLbl>
            <c:dLbl>
              <c:idx val="1"/>
              <c:layout>
                <c:manualLayout>
                  <c:x val="-4.1972722357382031E-2"/>
                  <c:y val="-8.4951472546340598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1E4D-47E2-B513-CC1057C92672}"/>
                </c:ext>
              </c:extLst>
            </c:dLbl>
            <c:dLbl>
              <c:idx val="2"/>
              <c:layout>
                <c:manualLayout>
                  <c:x val="2.938090565016736E-2"/>
                  <c:y val="-8.2524287616445244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1E4D-47E2-B513-CC1057C92672}"/>
                </c:ext>
              </c:extLst>
            </c:dLbl>
            <c:dLbl>
              <c:idx val="3"/>
              <c:layout>
                <c:manualLayout>
                  <c:x val="6.9954537262303301E-2"/>
                  <c:y val="-2.1844664369059012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1E4D-47E2-B513-CC1057C92672}"/>
                </c:ext>
              </c:extLst>
            </c:dLbl>
            <c:dLbl>
              <c:idx val="4"/>
              <c:layout>
                <c:manualLayout>
                  <c:x val="6.5757265026565093E-2"/>
                  <c:y val="4.6116513668013469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1E4D-47E2-B513-CC1057C92672}"/>
                </c:ext>
              </c:extLst>
            </c:dLbl>
            <c:dLbl>
              <c:idx val="5"/>
              <c:layout>
                <c:manualLayout>
                  <c:x val="3.3578177885905607E-2"/>
                  <c:y val="0.10436895198550417"/>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1E4D-47E2-B513-CC1057C92672}"/>
                </c:ext>
              </c:extLst>
            </c:dLbl>
            <c:numFmt formatCode="&quot;$&quot;#,##0.00" sourceLinked="0"/>
            <c:spPr>
              <a:noFill/>
              <a:ln>
                <a:noFill/>
              </a:ln>
              <a:effectLst/>
            </c:spPr>
            <c:txPr>
              <a:bodyPr rot="0" spcFirstLastPara="1" vertOverflow="ellipsis" vert="horz" wrap="square" lIns="73152" tIns="19050" rIns="38100" bIns="19050" anchor="ctr" anchorCtr="1">
                <a:spAutoFit/>
              </a:bodyPr>
              <a:lstStyle/>
              <a:p>
                <a:pPr>
                  <a:defRPr sz="900" b="0" i="0" u="none" strike="noStrike" kern="1200" baseline="0">
                    <a:solidFill>
                      <a:srgbClr val="002060"/>
                    </a:solidFill>
                    <a:latin typeface="Aptos Narrow" panose="020B0004020202020204" pitchFamily="34" charset="0"/>
                    <a:ea typeface="+mn-ea"/>
                    <a:cs typeface="+mn-cs"/>
                  </a:defRPr>
                </a:pPr>
                <a:endParaRPr lang="en-US"/>
              </a:p>
            </c:txPr>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'Development Schedule'!$B$78:$B$83</c:f>
              <c:strCache>
                <c:ptCount val="6"/>
                <c:pt idx="0">
                  <c:v>Dwelling 97 Cornwell Street (72-RP37992)</c:v>
                </c:pt>
                <c:pt idx="1">
                  <c:v>Dwelling 99 Cornwell Street (72-RP37992)</c:v>
                </c:pt>
                <c:pt idx="2">
                  <c:v>Dwelling 279 Ipswitch Road (4-RP37992)</c:v>
                </c:pt>
                <c:pt idx="3">
                  <c:v>Building 275 Ipswitch Road (1-RP37992, 2-RP37992, 3-RP37992)</c:v>
                </c:pt>
                <c:pt idx="4">
                  <c:v>Carpark (1-RP37992, 2-RP37992, 3-RP37992)</c:v>
                </c:pt>
                <c:pt idx="5">
                  <c:v>GST (combined)</c:v>
                </c:pt>
              </c:strCache>
            </c:strRef>
          </c:cat>
          <c:val>
            <c:numRef>
              <c:f>'Development Schedule'!$C$78:$C$83</c:f>
              <c:numCache>
                <c:formatCode>#,##0.00</c:formatCode>
                <c:ptCount val="6"/>
                <c:pt idx="0">
                  <c:v>44772.46</c:v>
                </c:pt>
                <c:pt idx="1">
                  <c:v>46760.55</c:v>
                </c:pt>
                <c:pt idx="2">
                  <c:v>32582.92</c:v>
                </c:pt>
                <c:pt idx="3">
                  <c:v>21078.18</c:v>
                </c:pt>
                <c:pt idx="4">
                  <c:v>24992.65</c:v>
                </c:pt>
                <c:pt idx="5">
                  <c:v>17018.68</c:v>
                </c:pt>
              </c:numCache>
            </c:numRef>
          </c:val>
          <c:extLst>
            <c:ext xmlns:c16="http://schemas.microsoft.com/office/drawing/2014/chart" uri="{C3380CC4-5D6E-409C-BE32-E72D297353CC}">
              <c16:uniqueId val="{00000000-7FC0-C346-A28F-106C67A8D88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1118218366645849"/>
          <c:y val="0.22895635443703738"/>
          <c:w val="0.38045447411369976"/>
          <c:h val="0.5859950665077339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rgbClr val="002060"/>
          </a:solidFill>
          <a:latin typeface="Aptos Narrow" panose="020B00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Aptos Narrow" panose="020B0004020202020204" pitchFamily="34" charset="0"/>
                <a:ea typeface="+mn-ea"/>
                <a:cs typeface="+mn-cs"/>
              </a:defRPr>
            </a:pPr>
            <a:r>
              <a:rPr lang="en-GB" b="1"/>
              <a:t>Construction Cost Composition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Aptos Narrow" panose="020B0004020202020204" pitchFamily="34" charset="0"/>
              <a:ea typeface="+mn-ea"/>
              <a:cs typeface="+mn-cs"/>
            </a:defRPr>
          </a:pPr>
          <a:endParaRPr lang="en-US"/>
        </a:p>
      </c:txPr>
    </c:title>
    <c:autoTitleDeleted val="0"/>
    <c:plotArea>
      <c:layout>
        <c:manualLayout>
          <c:layoutTarget val="inner"/>
          <c:xMode val="edge"/>
          <c:yMode val="edge"/>
          <c:x val="0.17932769277014793"/>
          <c:y val="0.1310683684482013"/>
          <c:w val="0.71091219386416427"/>
          <c:h val="0.71649390652356582"/>
        </c:manualLayout>
      </c:layout>
      <c:barChart>
        <c:barDir val="bar"/>
        <c:grouping val="clustered"/>
        <c:varyColors val="0"/>
        <c:ser>
          <c:idx val="0"/>
          <c:order val="0"/>
          <c:spPr>
            <a:solidFill>
              <a:schemeClr val="accent1"/>
            </a:solidFill>
            <a:ln w="19050">
              <a:solidFill>
                <a:schemeClr val="lt1"/>
              </a:solidFill>
            </a:ln>
            <a:effectLst/>
          </c:spPr>
          <c:invertIfNegative val="0"/>
          <c:cat>
            <c:strRef>
              <c:f>'Development Schedule'!$K$30:$K$39</c:f>
              <c:strCache>
                <c:ptCount val="10"/>
                <c:pt idx="0">
                  <c:v>Basement 04</c:v>
                </c:pt>
                <c:pt idx="1">
                  <c:v>Basement 03</c:v>
                </c:pt>
                <c:pt idx="2">
                  <c:v>Basement 02</c:v>
                </c:pt>
                <c:pt idx="3">
                  <c:v>Basement 01</c:v>
                </c:pt>
                <c:pt idx="4">
                  <c:v>Ground Level</c:v>
                </c:pt>
                <c:pt idx="5">
                  <c:v>Level 01</c:v>
                </c:pt>
                <c:pt idx="6">
                  <c:v>Level 02</c:v>
                </c:pt>
                <c:pt idx="7">
                  <c:v>Level 03</c:v>
                </c:pt>
                <c:pt idx="8">
                  <c:v>Level 04</c:v>
                </c:pt>
                <c:pt idx="9">
                  <c:v>Level 05</c:v>
                </c:pt>
              </c:strCache>
            </c:strRef>
          </c:cat>
          <c:val>
            <c:numRef>
              <c:f>'Development Schedule'!$L$30:$L$39</c:f>
              <c:numCache>
                <c:formatCode>#,##0.00_);[Red]\(#,##0.00\)</c:formatCode>
                <c:ptCount val="10"/>
                <c:pt idx="0">
                  <c:v>1917086.0442129374</c:v>
                </c:pt>
                <c:pt idx="1">
                  <c:v>4509007.4152819496</c:v>
                </c:pt>
                <c:pt idx="2">
                  <c:v>4509007.4152819496</c:v>
                </c:pt>
                <c:pt idx="3">
                  <c:v>4509007.4152819496</c:v>
                </c:pt>
                <c:pt idx="4">
                  <c:v>6974745.0991975572</c:v>
                </c:pt>
                <c:pt idx="5">
                  <c:v>7566612.301098899</c:v>
                </c:pt>
                <c:pt idx="6">
                  <c:v>7119616.0723442994</c:v>
                </c:pt>
                <c:pt idx="7">
                  <c:v>7119616.0723442994</c:v>
                </c:pt>
                <c:pt idx="8">
                  <c:v>7119616.0723442994</c:v>
                </c:pt>
                <c:pt idx="9">
                  <c:v>6178999.6694216682</c:v>
                </c:pt>
              </c:numCache>
            </c:numRef>
          </c:val>
          <c:extLst>
            <c:ext xmlns:c16="http://schemas.microsoft.com/office/drawing/2014/chart" uri="{C3380CC4-5D6E-409C-BE32-E72D297353CC}">
              <c16:uniqueId val="{0000000C-CEF3-0E47-9E72-45CD925492B3}"/>
            </c:ext>
          </c:extLst>
        </c:ser>
        <c:dLbls>
          <c:showLegendKey val="0"/>
          <c:showVal val="0"/>
          <c:showCatName val="0"/>
          <c:showSerName val="0"/>
          <c:showPercent val="0"/>
          <c:showBubbleSize val="0"/>
        </c:dLbls>
        <c:gapWidth val="100"/>
        <c:axId val="1084977488"/>
        <c:axId val="1084769808"/>
      </c:barChart>
      <c:valAx>
        <c:axId val="10847698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0"/>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rgbClr val="002060"/>
                </a:solidFill>
                <a:latin typeface="Aptos Narrow" panose="020B0004020202020204" pitchFamily="34" charset="0"/>
                <a:ea typeface="+mn-ea"/>
                <a:cs typeface="+mn-cs"/>
              </a:defRPr>
            </a:pPr>
            <a:endParaRPr lang="en-US"/>
          </a:p>
        </c:txPr>
        <c:crossAx val="1084977488"/>
        <c:crosses val="autoZero"/>
        <c:crossBetween val="between"/>
        <c:majorUnit val="2000000"/>
      </c:valAx>
      <c:catAx>
        <c:axId val="10849774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002060"/>
                </a:solidFill>
                <a:latin typeface="Aptos Narrow" panose="020B0004020202020204" pitchFamily="34" charset="0"/>
                <a:ea typeface="+mn-ea"/>
                <a:cs typeface="+mn-cs"/>
              </a:defRPr>
            </a:pPr>
            <a:endParaRPr lang="en-US"/>
          </a:p>
        </c:txPr>
        <c:crossAx val="10847698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rgbClr val="002060"/>
          </a:solidFill>
          <a:latin typeface="Aptos Narrow" panose="020B00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stacked"/>
        <c:varyColors val="0"/>
        <c:ser>
          <c:idx val="0"/>
          <c:order val="0"/>
          <c:tx>
            <c:strRef>
              <c:f>'Debt &amp; Equity Schedule'!$B$40</c:f>
              <c:strCache>
                <c:ptCount val="1"/>
                <c:pt idx="0">
                  <c:v>Interest obligation</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val>
            <c:numRef>
              <c:f>'Debt &amp; Equity Schedule'!$C$40:$T$40</c:f>
              <c:numCache>
                <c:formatCode>#,##0.00_);[Red]\(#,##0.00\)</c:formatCode>
                <c:ptCount val="18"/>
                <c:pt idx="0">
                  <c:v>0</c:v>
                </c:pt>
                <c:pt idx="1">
                  <c:v>0</c:v>
                </c:pt>
                <c:pt idx="2">
                  <c:v>0</c:v>
                </c:pt>
                <c:pt idx="3">
                  <c:v>932973.00858448714</c:v>
                </c:pt>
                <c:pt idx="4">
                  <c:v>1400377.1569030099</c:v>
                </c:pt>
                <c:pt idx="5">
                  <c:v>1198170.647102115</c:v>
                </c:pt>
                <c:pt idx="6">
                  <c:v>1020282.8051824612</c:v>
                </c:pt>
                <c:pt idx="7">
                  <c:v>863963.87516430381</c:v>
                </c:pt>
                <c:pt idx="8">
                  <c:v>726767.48752095166</c:v>
                </c:pt>
                <c:pt idx="9">
                  <c:v>606517.53090979217</c:v>
                </c:pt>
                <c:pt idx="10">
                  <c:v>501278.62515055737</c:v>
                </c:pt>
                <c:pt idx="11">
                  <c:v>409329.80474092811</c:v>
                </c:pt>
                <c:pt idx="12">
                  <c:v>329141.06455225765</c:v>
                </c:pt>
                <c:pt idx="13">
                  <c:v>259352.45711162512</c:v>
                </c:pt>
                <c:pt idx="14">
                  <c:v>198755.46454780881</c:v>
                </c:pt>
                <c:pt idx="15">
                  <c:v>146276.39830141948</c:v>
                </c:pt>
                <c:pt idx="16">
                  <c:v>100961.60646867949</c:v>
                </c:pt>
                <c:pt idx="17">
                  <c:v>61964.292516652764</c:v>
                </c:pt>
              </c:numCache>
            </c:numRef>
          </c:val>
          <c:extLst>
            <c:ext xmlns:c16="http://schemas.microsoft.com/office/drawing/2014/chart" uri="{C3380CC4-5D6E-409C-BE32-E72D297353CC}">
              <c16:uniqueId val="{00000000-0D8F-6D48-9C97-506CCA7C1225}"/>
            </c:ext>
          </c:extLst>
        </c:ser>
        <c:ser>
          <c:idx val="1"/>
          <c:order val="1"/>
          <c:tx>
            <c:strRef>
              <c:f>'Debt &amp; Equity Schedule'!$B$41</c:f>
              <c:strCache>
                <c:ptCount val="1"/>
                <c:pt idx="0">
                  <c:v>Principal obligation</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val>
            <c:numRef>
              <c:f>'Debt &amp; Equity Schedule'!$C$41:$T$41</c:f>
              <c:numCache>
                <c:formatCode>#,##0.00_);[Red]\(#,##0.00\)</c:formatCode>
                <c:ptCount val="18"/>
                <c:pt idx="0">
                  <c:v>0</c:v>
                </c:pt>
                <c:pt idx="1">
                  <c:v>0</c:v>
                </c:pt>
                <c:pt idx="2">
                  <c:v>0</c:v>
                </c:pt>
                <c:pt idx="4">
                  <c:v>834564.47757268744</c:v>
                </c:pt>
                <c:pt idx="5">
                  <c:v>794669.64541583892</c:v>
                </c:pt>
                <c:pt idx="6">
                  <c:v>756681.91292066325</c:v>
                </c:pt>
                <c:pt idx="7">
                  <c:v>720510.1146674077</c:v>
                </c:pt>
                <c:pt idx="8">
                  <c:v>686067.44323287555</c:v>
                </c:pt>
                <c:pt idx="9">
                  <c:v>653271.24086435337</c:v>
                </c:pt>
                <c:pt idx="10">
                  <c:v>622042.80111218384</c:v>
                </c:pt>
                <c:pt idx="11">
                  <c:v>592307.17994493223</c:v>
                </c:pt>
                <c:pt idx="12">
                  <c:v>563993.01589384931</c:v>
                </c:pt>
                <c:pt idx="13">
                  <c:v>537032.3587949971</c:v>
                </c:pt>
                <c:pt idx="14">
                  <c:v>511360.50671804725</c:v>
                </c:pt>
                <c:pt idx="15">
                  <c:v>486915.85069039988</c:v>
                </c:pt>
                <c:pt idx="16">
                  <c:v>463639.72684398218</c:v>
                </c:pt>
                <c:pt idx="17">
                  <c:v>441476.27562990051</c:v>
                </c:pt>
              </c:numCache>
            </c:numRef>
          </c:val>
          <c:extLst>
            <c:ext xmlns:c16="http://schemas.microsoft.com/office/drawing/2014/chart" uri="{C3380CC4-5D6E-409C-BE32-E72D297353CC}">
              <c16:uniqueId val="{00000001-0D8F-6D48-9C97-506CCA7C1225}"/>
            </c:ext>
          </c:extLst>
        </c:ser>
        <c:dLbls>
          <c:showLegendKey val="0"/>
          <c:showVal val="0"/>
          <c:showCatName val="0"/>
          <c:showSerName val="0"/>
          <c:showPercent val="0"/>
          <c:showBubbleSize val="0"/>
        </c:dLbls>
        <c:gapWidth val="150"/>
        <c:overlap val="100"/>
        <c:axId val="1275369216"/>
        <c:axId val="1885140688"/>
      </c:barChart>
      <c:catAx>
        <c:axId val="1275369216"/>
        <c:scaling>
          <c:orientation val="minMax"/>
        </c:scaling>
        <c:delete val="0"/>
        <c:axPos val="b"/>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140688"/>
        <c:crosses val="autoZero"/>
        <c:auto val="1"/>
        <c:lblAlgn val="ctr"/>
        <c:lblOffset val="100"/>
        <c:noMultiLvlLbl val="0"/>
      </c:catAx>
      <c:valAx>
        <c:axId val="1885140688"/>
        <c:scaling>
          <c:orientation val="minMax"/>
        </c:scaling>
        <c:delete val="0"/>
        <c:axPos val="l"/>
        <c:majorGridlines>
          <c:spPr>
            <a:ln>
              <a:solidFill>
                <a:schemeClr val="tx1">
                  <a:lumMod val="15000"/>
                  <a:lumOff val="85000"/>
                </a:schemeClr>
              </a:solidFill>
            </a:ln>
            <a:effectLst/>
          </c:spPr>
        </c:majorGridlines>
        <c:numFmt formatCode="#,##0.00_);[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3692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Graphs!$M$20</c:f>
              <c:strCache>
                <c:ptCount val="1"/>
                <c:pt idx="0">
                  <c:v>Queensland All dwellings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Graphs!$B$129:$B$175</c:f>
              <c:numCache>
                <c:formatCode>mmm\-yy</c:formatCode>
                <c:ptCount val="47"/>
                <c:pt idx="0">
                  <c:v>40969</c:v>
                </c:pt>
                <c:pt idx="1">
                  <c:v>41061</c:v>
                </c:pt>
                <c:pt idx="2">
                  <c:v>41153</c:v>
                </c:pt>
                <c:pt idx="3">
                  <c:v>41244</c:v>
                </c:pt>
                <c:pt idx="4">
                  <c:v>41334</c:v>
                </c:pt>
                <c:pt idx="5">
                  <c:v>41426</c:v>
                </c:pt>
                <c:pt idx="6">
                  <c:v>41518</c:v>
                </c:pt>
                <c:pt idx="7">
                  <c:v>41609</c:v>
                </c:pt>
                <c:pt idx="8">
                  <c:v>41699</c:v>
                </c:pt>
                <c:pt idx="9">
                  <c:v>41791</c:v>
                </c:pt>
                <c:pt idx="10">
                  <c:v>41883</c:v>
                </c:pt>
                <c:pt idx="11">
                  <c:v>41974</c:v>
                </c:pt>
                <c:pt idx="12">
                  <c:v>42064</c:v>
                </c:pt>
                <c:pt idx="13">
                  <c:v>42156</c:v>
                </c:pt>
                <c:pt idx="14">
                  <c:v>42248</c:v>
                </c:pt>
                <c:pt idx="15">
                  <c:v>42339</c:v>
                </c:pt>
                <c:pt idx="16">
                  <c:v>42430</c:v>
                </c:pt>
                <c:pt idx="17">
                  <c:v>42522</c:v>
                </c:pt>
                <c:pt idx="18">
                  <c:v>42614</c:v>
                </c:pt>
                <c:pt idx="19">
                  <c:v>42705</c:v>
                </c:pt>
                <c:pt idx="20">
                  <c:v>42795</c:v>
                </c:pt>
                <c:pt idx="21">
                  <c:v>42887</c:v>
                </c:pt>
                <c:pt idx="22">
                  <c:v>42979</c:v>
                </c:pt>
                <c:pt idx="23">
                  <c:v>43070</c:v>
                </c:pt>
                <c:pt idx="24">
                  <c:v>43160</c:v>
                </c:pt>
                <c:pt idx="25">
                  <c:v>43252</c:v>
                </c:pt>
                <c:pt idx="26">
                  <c:v>43344</c:v>
                </c:pt>
                <c:pt idx="27">
                  <c:v>43435</c:v>
                </c:pt>
                <c:pt idx="28">
                  <c:v>43525</c:v>
                </c:pt>
                <c:pt idx="29">
                  <c:v>43617</c:v>
                </c:pt>
                <c:pt idx="30">
                  <c:v>43709</c:v>
                </c:pt>
                <c:pt idx="31">
                  <c:v>43800</c:v>
                </c:pt>
                <c:pt idx="32">
                  <c:v>43891</c:v>
                </c:pt>
                <c:pt idx="33">
                  <c:v>43983</c:v>
                </c:pt>
                <c:pt idx="34">
                  <c:v>44075</c:v>
                </c:pt>
                <c:pt idx="35">
                  <c:v>44166</c:v>
                </c:pt>
                <c:pt idx="36">
                  <c:v>44256</c:v>
                </c:pt>
                <c:pt idx="37">
                  <c:v>44348</c:v>
                </c:pt>
                <c:pt idx="38">
                  <c:v>44440</c:v>
                </c:pt>
                <c:pt idx="39">
                  <c:v>44531</c:v>
                </c:pt>
                <c:pt idx="40">
                  <c:v>44621</c:v>
                </c:pt>
                <c:pt idx="41">
                  <c:v>44713</c:v>
                </c:pt>
                <c:pt idx="42">
                  <c:v>44805</c:v>
                </c:pt>
                <c:pt idx="43">
                  <c:v>44896</c:v>
                </c:pt>
                <c:pt idx="44">
                  <c:v>44986</c:v>
                </c:pt>
                <c:pt idx="45">
                  <c:v>45078</c:v>
                </c:pt>
                <c:pt idx="46">
                  <c:v>45170</c:v>
                </c:pt>
              </c:numCache>
            </c:numRef>
          </c:cat>
          <c:val>
            <c:numRef>
              <c:f>Graphs!$J$129:$J$175</c:f>
              <c:numCache>
                <c:formatCode>General</c:formatCode>
                <c:ptCount val="47"/>
                <c:pt idx="1">
                  <c:v>1.0152206094095728E-2</c:v>
                </c:pt>
                <c:pt idx="2">
                  <c:v>1.0249334217905304E-2</c:v>
                </c:pt>
                <c:pt idx="3">
                  <c:v>8.3639293569390816E-3</c:v>
                </c:pt>
                <c:pt idx="4">
                  <c:v>1.0030134643042476E-2</c:v>
                </c:pt>
                <c:pt idx="5">
                  <c:v>7.937977270128016E-3</c:v>
                </c:pt>
                <c:pt idx="6">
                  <c:v>7.7200427095460711E-3</c:v>
                </c:pt>
                <c:pt idx="7">
                  <c:v>6.2751777859992863E-3</c:v>
                </c:pt>
                <c:pt idx="8">
                  <c:v>8.429519624521653E-3</c:v>
                </c:pt>
                <c:pt idx="9">
                  <c:v>6.1489585854928031E-3</c:v>
                </c:pt>
                <c:pt idx="10">
                  <c:v>6.3394491078052617E-3</c:v>
                </c:pt>
                <c:pt idx="11">
                  <c:v>5.3436257620211869E-3</c:v>
                </c:pt>
                <c:pt idx="12">
                  <c:v>7.2361695570690721E-3</c:v>
                </c:pt>
                <c:pt idx="13">
                  <c:v>5.5632992677625559E-3</c:v>
                </c:pt>
                <c:pt idx="14">
                  <c:v>5.7885690412859958E-3</c:v>
                </c:pt>
                <c:pt idx="15">
                  <c:v>5.5986409323138808E-3</c:v>
                </c:pt>
                <c:pt idx="16">
                  <c:v>8.9928413153730347E-3</c:v>
                </c:pt>
                <c:pt idx="17">
                  <c:v>7.7131890394315228E-3</c:v>
                </c:pt>
                <c:pt idx="18">
                  <c:v>8.3180052968412355E-3</c:v>
                </c:pt>
                <c:pt idx="19">
                  <c:v>7.2497026392808195E-3</c:v>
                </c:pt>
                <c:pt idx="20">
                  <c:v>9.5970889662968517E-3</c:v>
                </c:pt>
                <c:pt idx="21">
                  <c:v>8.1567431726510264E-3</c:v>
                </c:pt>
                <c:pt idx="22">
                  <c:v>7.6116742922796021E-3</c:v>
                </c:pt>
                <c:pt idx="23">
                  <c:v>6.4046863084867844E-3</c:v>
                </c:pt>
                <c:pt idx="24">
                  <c:v>1.00746528145228E-2</c:v>
                </c:pt>
                <c:pt idx="25">
                  <c:v>8.2904879807377263E-3</c:v>
                </c:pt>
                <c:pt idx="26">
                  <c:v>8.3569304099788688E-3</c:v>
                </c:pt>
                <c:pt idx="27">
                  <c:v>7.5150028552712911E-3</c:v>
                </c:pt>
                <c:pt idx="28">
                  <c:v>9.4609381595005537E-3</c:v>
                </c:pt>
                <c:pt idx="29">
                  <c:v>7.3135625344900035E-3</c:v>
                </c:pt>
                <c:pt idx="30">
                  <c:v>8.5257033665975257E-3</c:v>
                </c:pt>
                <c:pt idx="31">
                  <c:v>7.5142744210983103E-3</c:v>
                </c:pt>
                <c:pt idx="32">
                  <c:v>9.5770917089188501E-3</c:v>
                </c:pt>
                <c:pt idx="33">
                  <c:v>4.3877884603258366E-3</c:v>
                </c:pt>
                <c:pt idx="34">
                  <c:v>2.8875566171913114E-3</c:v>
                </c:pt>
                <c:pt idx="35">
                  <c:v>4.3525402995627793E-3</c:v>
                </c:pt>
                <c:pt idx="36">
                  <c:v>5.8711551678145568E-3</c:v>
                </c:pt>
                <c:pt idx="37">
                  <c:v>6.2566976975690913E-3</c:v>
                </c:pt>
                <c:pt idx="38">
                  <c:v>7.4550204435972489E-3</c:v>
                </c:pt>
                <c:pt idx="39">
                  <c:v>9.8394424265020319E-3</c:v>
                </c:pt>
                <c:pt idx="40">
                  <c:v>1.2637872713462617E-2</c:v>
                </c:pt>
                <c:pt idx="41">
                  <c:v>1.0080736556751457E-2</c:v>
                </c:pt>
                <c:pt idx="42">
                  <c:v>1.1649819082752533E-2</c:v>
                </c:pt>
                <c:pt idx="43">
                  <c:v>1.277033446781406E-2</c:v>
                </c:pt>
                <c:pt idx="44">
                  <c:v>1.4261875179628625E-2</c:v>
                </c:pt>
                <c:pt idx="45">
                  <c:v>1.3237678716405465E-2</c:v>
                </c:pt>
                <c:pt idx="46">
                  <c:v>1.2857619010991694E-2</c:v>
                </c:pt>
              </c:numCache>
            </c:numRef>
          </c:val>
          <c:smooth val="0"/>
          <c:extLst>
            <c:ext xmlns:c16="http://schemas.microsoft.com/office/drawing/2014/chart" uri="{C3380CC4-5D6E-409C-BE32-E72D297353CC}">
              <c16:uniqueId val="{00000000-AC86-9F43-B5DA-C303C144BCBB}"/>
            </c:ext>
          </c:extLst>
        </c:ser>
        <c:ser>
          <c:idx val="1"/>
          <c:order val="1"/>
          <c:tx>
            <c:strRef>
              <c:f>Graphs!$I$4</c:f>
              <c:strCache>
                <c:ptCount val="1"/>
                <c:pt idx="0">
                  <c:v>Estimated resident population</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Graphs!$B$129:$B$175</c:f>
              <c:numCache>
                <c:formatCode>mmm\-yy</c:formatCode>
                <c:ptCount val="47"/>
                <c:pt idx="0">
                  <c:v>40969</c:v>
                </c:pt>
                <c:pt idx="1">
                  <c:v>41061</c:v>
                </c:pt>
                <c:pt idx="2">
                  <c:v>41153</c:v>
                </c:pt>
                <c:pt idx="3">
                  <c:v>41244</c:v>
                </c:pt>
                <c:pt idx="4">
                  <c:v>41334</c:v>
                </c:pt>
                <c:pt idx="5">
                  <c:v>41426</c:v>
                </c:pt>
                <c:pt idx="6">
                  <c:v>41518</c:v>
                </c:pt>
                <c:pt idx="7">
                  <c:v>41609</c:v>
                </c:pt>
                <c:pt idx="8">
                  <c:v>41699</c:v>
                </c:pt>
                <c:pt idx="9">
                  <c:v>41791</c:v>
                </c:pt>
                <c:pt idx="10">
                  <c:v>41883</c:v>
                </c:pt>
                <c:pt idx="11">
                  <c:v>41974</c:v>
                </c:pt>
                <c:pt idx="12">
                  <c:v>42064</c:v>
                </c:pt>
                <c:pt idx="13">
                  <c:v>42156</c:v>
                </c:pt>
                <c:pt idx="14">
                  <c:v>42248</c:v>
                </c:pt>
                <c:pt idx="15">
                  <c:v>42339</c:v>
                </c:pt>
                <c:pt idx="16">
                  <c:v>42430</c:v>
                </c:pt>
                <c:pt idx="17">
                  <c:v>42522</c:v>
                </c:pt>
                <c:pt idx="18">
                  <c:v>42614</c:v>
                </c:pt>
                <c:pt idx="19">
                  <c:v>42705</c:v>
                </c:pt>
                <c:pt idx="20">
                  <c:v>42795</c:v>
                </c:pt>
                <c:pt idx="21">
                  <c:v>42887</c:v>
                </c:pt>
                <c:pt idx="22">
                  <c:v>42979</c:v>
                </c:pt>
                <c:pt idx="23">
                  <c:v>43070</c:v>
                </c:pt>
                <c:pt idx="24">
                  <c:v>43160</c:v>
                </c:pt>
                <c:pt idx="25">
                  <c:v>43252</c:v>
                </c:pt>
                <c:pt idx="26">
                  <c:v>43344</c:v>
                </c:pt>
                <c:pt idx="27">
                  <c:v>43435</c:v>
                </c:pt>
                <c:pt idx="28">
                  <c:v>43525</c:v>
                </c:pt>
                <c:pt idx="29">
                  <c:v>43617</c:v>
                </c:pt>
                <c:pt idx="30">
                  <c:v>43709</c:v>
                </c:pt>
                <c:pt idx="31">
                  <c:v>43800</c:v>
                </c:pt>
                <c:pt idx="32">
                  <c:v>43891</c:v>
                </c:pt>
                <c:pt idx="33">
                  <c:v>43983</c:v>
                </c:pt>
                <c:pt idx="34">
                  <c:v>44075</c:v>
                </c:pt>
                <c:pt idx="35">
                  <c:v>44166</c:v>
                </c:pt>
                <c:pt idx="36">
                  <c:v>44256</c:v>
                </c:pt>
                <c:pt idx="37">
                  <c:v>44348</c:v>
                </c:pt>
                <c:pt idx="38">
                  <c:v>44440</c:v>
                </c:pt>
                <c:pt idx="39">
                  <c:v>44531</c:v>
                </c:pt>
                <c:pt idx="40">
                  <c:v>44621</c:v>
                </c:pt>
                <c:pt idx="41">
                  <c:v>44713</c:v>
                </c:pt>
                <c:pt idx="42">
                  <c:v>44805</c:v>
                </c:pt>
                <c:pt idx="43">
                  <c:v>44896</c:v>
                </c:pt>
                <c:pt idx="44">
                  <c:v>44986</c:v>
                </c:pt>
                <c:pt idx="45">
                  <c:v>45078</c:v>
                </c:pt>
                <c:pt idx="46">
                  <c:v>45170</c:v>
                </c:pt>
              </c:numCache>
            </c:numRef>
          </c:cat>
          <c:val>
            <c:numRef>
              <c:f>Graphs!$M$129:$M$175</c:f>
              <c:numCache>
                <c:formatCode>General</c:formatCode>
                <c:ptCount val="47"/>
                <c:pt idx="1">
                  <c:v>8.5594541910331383E-3</c:v>
                </c:pt>
                <c:pt idx="2">
                  <c:v>7.0000000000000001E-3</c:v>
                </c:pt>
                <c:pt idx="3">
                  <c:v>7.0000000000000001E-3</c:v>
                </c:pt>
                <c:pt idx="4">
                  <c:v>7.0000000000000001E-3</c:v>
                </c:pt>
                <c:pt idx="5">
                  <c:v>7.0000000000000001E-3</c:v>
                </c:pt>
                <c:pt idx="6">
                  <c:v>7.0000000000000001E-3</c:v>
                </c:pt>
                <c:pt idx="7">
                  <c:v>7.0000000000000001E-3</c:v>
                </c:pt>
                <c:pt idx="8">
                  <c:v>7.0000000000000001E-3</c:v>
                </c:pt>
                <c:pt idx="9">
                  <c:v>7.0000000000000001E-3</c:v>
                </c:pt>
                <c:pt idx="10">
                  <c:v>7.0000000000000001E-3</c:v>
                </c:pt>
                <c:pt idx="11">
                  <c:v>7.0000000000000001E-3</c:v>
                </c:pt>
                <c:pt idx="12">
                  <c:v>7.0000000000000001E-3</c:v>
                </c:pt>
                <c:pt idx="13">
                  <c:v>7.0000000000000001E-3</c:v>
                </c:pt>
                <c:pt idx="14">
                  <c:v>7.0000000000000001E-3</c:v>
                </c:pt>
                <c:pt idx="15">
                  <c:v>8.904761904761898E-3</c:v>
                </c:pt>
                <c:pt idx="16">
                  <c:v>5.1481481481481474E-3</c:v>
                </c:pt>
                <c:pt idx="17">
                  <c:v>7.0000000000000001E-3</c:v>
                </c:pt>
                <c:pt idx="18">
                  <c:v>7.0000000000000001E-3</c:v>
                </c:pt>
                <c:pt idx="19">
                  <c:v>8.904761904761898E-3</c:v>
                </c:pt>
                <c:pt idx="20">
                  <c:v>7.0000000000000001E-3</c:v>
                </c:pt>
                <c:pt idx="21">
                  <c:v>7.0000000000000001E-3</c:v>
                </c:pt>
                <c:pt idx="22">
                  <c:v>7.0000000000000001E-3</c:v>
                </c:pt>
                <c:pt idx="23">
                  <c:v>7.0000000000000001E-3</c:v>
                </c:pt>
                <c:pt idx="24">
                  <c:v>7.0000000000000001E-3</c:v>
                </c:pt>
                <c:pt idx="25">
                  <c:v>7.0000000000000001E-3</c:v>
                </c:pt>
                <c:pt idx="26">
                  <c:v>7.0000000000000001E-3</c:v>
                </c:pt>
                <c:pt idx="27">
                  <c:v>8.8518518518518451E-3</c:v>
                </c:pt>
                <c:pt idx="28">
                  <c:v>7.0000000000000001E-3</c:v>
                </c:pt>
                <c:pt idx="29">
                  <c:v>6.0990990990991006E-3</c:v>
                </c:pt>
                <c:pt idx="30">
                  <c:v>7.0000000000000001E-3</c:v>
                </c:pt>
                <c:pt idx="31">
                  <c:v>9.739726027397257E-3</c:v>
                </c:pt>
                <c:pt idx="32">
                  <c:v>7.0000000000000001E-3</c:v>
                </c:pt>
                <c:pt idx="33">
                  <c:v>5.2456140350877218E-3</c:v>
                </c:pt>
                <c:pt idx="34">
                  <c:v>9.7027027027027056E-3</c:v>
                </c:pt>
                <c:pt idx="35">
                  <c:v>8.7316017316017326E-3</c:v>
                </c:pt>
                <c:pt idx="36">
                  <c:v>7.8438818565400893E-3</c:v>
                </c:pt>
                <c:pt idx="37">
                  <c:v>4.5000000000000023E-3</c:v>
                </c:pt>
                <c:pt idx="38">
                  <c:v>1.2194805194805196E-2</c:v>
                </c:pt>
                <c:pt idx="39">
                  <c:v>9.4096385542168683E-3</c:v>
                </c:pt>
                <c:pt idx="40">
                  <c:v>7.0000000000000001E-3</c:v>
                </c:pt>
                <c:pt idx="41">
                  <c:v>1.0100775193798456E-2</c:v>
                </c:pt>
                <c:pt idx="42">
                  <c:v>7.0000000000000001E-3</c:v>
                </c:pt>
                <c:pt idx="43">
                  <c:v>1.2185185185185181E-2</c:v>
                </c:pt>
                <c:pt idx="44">
                  <c:v>7.6872852233676953E-3</c:v>
                </c:pt>
                <c:pt idx="45">
                  <c:v>9.7210884353741527E-3</c:v>
                </c:pt>
                <c:pt idx="46">
                  <c:v>9.6143790849673259E-3</c:v>
                </c:pt>
              </c:numCache>
            </c:numRef>
          </c:val>
          <c:smooth val="0"/>
          <c:extLst>
            <c:ext xmlns:c16="http://schemas.microsoft.com/office/drawing/2014/chart" uri="{C3380CC4-5D6E-409C-BE32-E72D297353CC}">
              <c16:uniqueId val="{00000001-AC86-9F43-B5DA-C303C144BCBB}"/>
            </c:ext>
          </c:extLst>
        </c:ser>
        <c:dLbls>
          <c:showLegendKey val="0"/>
          <c:showVal val="0"/>
          <c:showCatName val="0"/>
          <c:showSerName val="0"/>
          <c:showPercent val="0"/>
          <c:showBubbleSize val="0"/>
        </c:dLbls>
        <c:smooth val="0"/>
        <c:axId val="318558527"/>
        <c:axId val="317784623"/>
      </c:lineChart>
      <c:dateAx>
        <c:axId val="318558527"/>
        <c:scaling>
          <c:orientation val="minMax"/>
        </c:scaling>
        <c:delete val="0"/>
        <c:axPos val="b"/>
        <c:title>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784623"/>
        <c:crosses val="autoZero"/>
        <c:auto val="1"/>
        <c:lblOffset val="100"/>
        <c:baseTimeUnit val="months"/>
      </c:dateAx>
      <c:valAx>
        <c:axId val="3177846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558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0" normalizeH="0" baseline="0">
                <a:solidFill>
                  <a:srgbClr val="002060"/>
                </a:solidFill>
                <a:latin typeface="Aptos Narrow" panose="020B0004020202020204" pitchFamily="34" charset="0"/>
                <a:ea typeface="+mj-ea"/>
                <a:cs typeface="+mj-cs"/>
              </a:defRPr>
            </a:pPr>
            <a:r>
              <a:rPr lang="en-GB" sz="1200"/>
              <a:t>Domestic Healthcare</a:t>
            </a:r>
            <a:r>
              <a:rPr lang="en-GB" sz="1200" baseline="0"/>
              <a:t> Expenditure </a:t>
            </a:r>
            <a:endParaRPr lang="en-GB" sz="1200"/>
          </a:p>
        </c:rich>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rgbClr val="002060"/>
              </a:solidFill>
              <a:latin typeface="Aptos Narrow" panose="020B0004020202020204" pitchFamily="34" charset="0"/>
              <a:ea typeface="+mj-ea"/>
              <a:cs typeface="+mj-cs"/>
            </a:defRPr>
          </a:pPr>
          <a:endParaRPr lang="en-GB"/>
        </a:p>
      </c:txPr>
    </c:title>
    <c:autoTitleDeleted val="0"/>
    <c:plotArea>
      <c:layout/>
      <c:lineChart>
        <c:grouping val="standard"/>
        <c:varyColors val="0"/>
        <c:ser>
          <c:idx val="0"/>
          <c:order val="0"/>
          <c:spPr>
            <a:ln w="38100" cap="rnd">
              <a:solidFill>
                <a:schemeClr val="accent1"/>
              </a:solidFill>
              <a:round/>
            </a:ln>
            <a:effectLst/>
          </c:spPr>
          <c:marker>
            <c:symbol val="none"/>
          </c:marker>
          <c:cat>
            <c:strRef>
              <c:f>Graphs!$O$27:$V$27</c:f>
              <c:strCache>
                <c:ptCount val="8"/>
                <c:pt idx="0">
                  <c:v>2015</c:v>
                </c:pt>
                <c:pt idx="1">
                  <c:v>2016</c:v>
                </c:pt>
                <c:pt idx="2">
                  <c:v>2017</c:v>
                </c:pt>
                <c:pt idx="3">
                  <c:v>2018</c:v>
                </c:pt>
                <c:pt idx="4">
                  <c:v>2019</c:v>
                </c:pt>
                <c:pt idx="5">
                  <c:v>2020</c:v>
                </c:pt>
                <c:pt idx="6">
                  <c:v>2021</c:v>
                </c:pt>
                <c:pt idx="7">
                  <c:v>2022</c:v>
                </c:pt>
              </c:strCache>
            </c:strRef>
          </c:cat>
          <c:val>
            <c:numRef>
              <c:f>Graphs!$O$28:$V$28</c:f>
              <c:numCache>
                <c:formatCode>#,##0.0_ ;\-#,##0.0\ </c:formatCode>
                <c:ptCount val="8"/>
                <c:pt idx="0">
                  <c:v>168774.78899999999</c:v>
                </c:pt>
                <c:pt idx="1">
                  <c:v>177516.473</c:v>
                </c:pt>
                <c:pt idx="2">
                  <c:v>186526.481</c:v>
                </c:pt>
                <c:pt idx="3">
                  <c:v>195823.845</c:v>
                </c:pt>
                <c:pt idx="4">
                  <c:v>202295.193</c:v>
                </c:pt>
                <c:pt idx="5">
                  <c:v>222266.50700000001</c:v>
                </c:pt>
                <c:pt idx="6">
                  <c:v>244521.69500000001</c:v>
                </c:pt>
                <c:pt idx="7">
                  <c:v>249168.52600000001</c:v>
                </c:pt>
              </c:numCache>
            </c:numRef>
          </c:val>
          <c:smooth val="0"/>
          <c:extLst>
            <c:ext xmlns:c16="http://schemas.microsoft.com/office/drawing/2014/chart" uri="{C3380CC4-5D6E-409C-BE32-E72D297353CC}">
              <c16:uniqueId val="{00000000-4A38-8048-B1E6-45A979078D87}"/>
            </c:ext>
          </c:extLst>
        </c:ser>
        <c:dLbls>
          <c:showLegendKey val="0"/>
          <c:showVal val="0"/>
          <c:showCatName val="0"/>
          <c:showSerName val="0"/>
          <c:showPercent val="0"/>
          <c:showBubbleSize val="0"/>
        </c:dLbls>
        <c:smooth val="0"/>
        <c:axId val="227519455"/>
        <c:axId val="319940559"/>
      </c:lineChart>
      <c:catAx>
        <c:axId val="22751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rgbClr val="002060"/>
                </a:solidFill>
                <a:latin typeface="Aptos Narrow" panose="020B0004020202020204" pitchFamily="34" charset="0"/>
                <a:ea typeface="+mn-ea"/>
                <a:cs typeface="+mn-cs"/>
              </a:defRPr>
            </a:pPr>
            <a:endParaRPr lang="en-US"/>
          </a:p>
        </c:txPr>
        <c:crossAx val="319940559"/>
        <c:crosses val="autoZero"/>
        <c:auto val="1"/>
        <c:lblAlgn val="ctr"/>
        <c:lblOffset val="100"/>
        <c:noMultiLvlLbl val="0"/>
      </c:catAx>
      <c:valAx>
        <c:axId val="31994055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_ ;\-#,##0.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Aptos Narrow" panose="020B0004020202020204" pitchFamily="34" charset="0"/>
                <a:ea typeface="+mn-ea"/>
                <a:cs typeface="+mn-cs"/>
              </a:defRPr>
            </a:pPr>
            <a:endParaRPr lang="en-US"/>
          </a:p>
        </c:txPr>
        <c:crossAx val="2275194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rgbClr val="002060"/>
          </a:solidFill>
          <a:latin typeface="Aptos Narrow" panose="020B00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hyperlink" Target="#Cover!A1"/><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hyperlink" Target="#Cover!A1"/></Relationships>
</file>

<file path=xl/drawings/_rels/drawing5.xml.rels><?xml version="1.0" encoding="UTF-8" standalone="yes"?>
<Relationships xmlns="http://schemas.openxmlformats.org/package/2006/relationships"><Relationship Id="rId1" Type="http://schemas.openxmlformats.org/officeDocument/2006/relationships/hyperlink" Target="#Cover!A1"/></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800101</xdr:colOff>
      <xdr:row>2</xdr:row>
      <xdr:rowOff>47626</xdr:rowOff>
    </xdr:from>
    <xdr:to>
      <xdr:col>1</xdr:col>
      <xdr:colOff>3311054</xdr:colOff>
      <xdr:row>3</xdr:row>
      <xdr:rowOff>110341</xdr:rowOff>
    </xdr:to>
    <xdr:sp macro="" textlink="">
      <xdr:nvSpPr>
        <xdr:cNvPr id="3" name="Rectangle 1">
          <a:hlinkClick xmlns:r="http://schemas.openxmlformats.org/officeDocument/2006/relationships" r:id="rId1"/>
          <a:extLst>
            <a:ext uri="{FF2B5EF4-FFF2-40B4-BE49-F238E27FC236}">
              <a16:creationId xmlns:a16="http://schemas.microsoft.com/office/drawing/2014/main" id="{6D7B1AB7-DC0E-3C4E-A4BF-E5AF808A4F00}"/>
            </a:ext>
          </a:extLst>
        </xdr:cNvPr>
        <xdr:cNvSpPr/>
      </xdr:nvSpPr>
      <xdr:spPr>
        <a:xfrm>
          <a:off x="800101" y="561976"/>
          <a:ext cx="3339628" cy="262740"/>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latin typeface="Arial" panose="020B0604020202020204" pitchFamily="34" charset="0"/>
              <a:cs typeface="Arial" panose="020B0604020202020204" pitchFamily="34" charset="0"/>
            </a:rPr>
            <a:t>Back to Home Page</a:t>
          </a:r>
        </a:p>
      </xdr:txBody>
    </xdr:sp>
    <xdr:clientData/>
  </xdr:twoCellAnchor>
  <xdr:twoCellAnchor>
    <xdr:from>
      <xdr:col>12</xdr:col>
      <xdr:colOff>973282</xdr:colOff>
      <xdr:row>41</xdr:row>
      <xdr:rowOff>101600</xdr:rowOff>
    </xdr:from>
    <xdr:to>
      <xdr:col>25</xdr:col>
      <xdr:colOff>787400</xdr:colOff>
      <xdr:row>75</xdr:row>
      <xdr:rowOff>168949</xdr:rowOff>
    </xdr:to>
    <xdr:graphicFrame macro="">
      <xdr:nvGraphicFramePr>
        <xdr:cNvPr id="7" name="Chart 6">
          <a:extLst>
            <a:ext uri="{FF2B5EF4-FFF2-40B4-BE49-F238E27FC236}">
              <a16:creationId xmlns:a16="http://schemas.microsoft.com/office/drawing/2014/main" id="{A9EA583B-20CA-9EFF-A893-5BFF768289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81</xdr:row>
      <xdr:rowOff>0</xdr:rowOff>
    </xdr:from>
    <xdr:to>
      <xdr:col>36</xdr:col>
      <xdr:colOff>220518</xdr:colOff>
      <xdr:row>115</xdr:row>
      <xdr:rowOff>67349</xdr:rowOff>
    </xdr:to>
    <xdr:graphicFrame macro="">
      <xdr:nvGraphicFramePr>
        <xdr:cNvPr id="8" name="Chart 7">
          <a:extLst>
            <a:ext uri="{FF2B5EF4-FFF2-40B4-BE49-F238E27FC236}">
              <a16:creationId xmlns:a16="http://schemas.microsoft.com/office/drawing/2014/main" id="{EA490398-8448-2F4B-82B7-3FC0E18BDE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1595156</xdr:colOff>
      <xdr:row>198</xdr:row>
      <xdr:rowOff>133660</xdr:rowOff>
    </xdr:from>
    <xdr:to>
      <xdr:col>10</xdr:col>
      <xdr:colOff>1411440</xdr:colOff>
      <xdr:row>211</xdr:row>
      <xdr:rowOff>209299</xdr:rowOff>
    </xdr:to>
    <xdr:graphicFrame macro="">
      <xdr:nvGraphicFramePr>
        <xdr:cNvPr id="2" name="Chart 20">
          <a:extLst>
            <a:ext uri="{FF2B5EF4-FFF2-40B4-BE49-F238E27FC236}">
              <a16:creationId xmlns:a16="http://schemas.microsoft.com/office/drawing/2014/main" id="{FB904838-3E4B-DD80-71B6-E7F9ABE830F2}"/>
            </a:ext>
            <a:ext uri="{147F2762-F138-4A5C-976F-8EAC2B608ADB}">
              <a16:predDERef xmlns:a16="http://schemas.microsoft.com/office/drawing/2014/main" pred="{EA490398-8448-2F4B-82B7-3FC0E18BDE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981076</xdr:colOff>
      <xdr:row>79</xdr:row>
      <xdr:rowOff>50800</xdr:rowOff>
    </xdr:from>
    <xdr:to>
      <xdr:col>12</xdr:col>
      <xdr:colOff>711200</xdr:colOff>
      <xdr:row>105</xdr:row>
      <xdr:rowOff>-1</xdr:rowOff>
    </xdr:to>
    <xdr:graphicFrame macro="">
      <xdr:nvGraphicFramePr>
        <xdr:cNvPr id="129" name="Chart 1">
          <a:extLst>
            <a:ext uri="{FF2B5EF4-FFF2-40B4-BE49-F238E27FC236}">
              <a16:creationId xmlns:a16="http://schemas.microsoft.com/office/drawing/2014/main" id="{4B669B3D-29BE-AF29-85CD-7CA59D28AA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690464</xdr:colOff>
      <xdr:row>26</xdr:row>
      <xdr:rowOff>31398</xdr:rowOff>
    </xdr:from>
    <xdr:to>
      <xdr:col>20</xdr:col>
      <xdr:colOff>663809</xdr:colOff>
      <xdr:row>51</xdr:row>
      <xdr:rowOff>184424</xdr:rowOff>
    </xdr:to>
    <xdr:graphicFrame macro="">
      <xdr:nvGraphicFramePr>
        <xdr:cNvPr id="172" name="Chart 1">
          <a:extLst>
            <a:ext uri="{FF2B5EF4-FFF2-40B4-BE49-F238E27FC236}">
              <a16:creationId xmlns:a16="http://schemas.microsoft.com/office/drawing/2014/main" id="{1985DF80-AEBE-E142-8A2A-81BA11ABD689}"/>
            </a:ext>
            <a:ext uri="{147F2762-F138-4A5C-976F-8EAC2B608ADB}">
              <a16:predDERef xmlns:a16="http://schemas.microsoft.com/office/drawing/2014/main" pred="{4B669B3D-29BE-AF29-85CD-7CA59D28AA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420215</xdr:colOff>
      <xdr:row>43</xdr:row>
      <xdr:rowOff>65690</xdr:rowOff>
    </xdr:from>
    <xdr:to>
      <xdr:col>9</xdr:col>
      <xdr:colOff>875861</xdr:colOff>
      <xdr:row>63</xdr:row>
      <xdr:rowOff>143735</xdr:rowOff>
    </xdr:to>
    <xdr:graphicFrame macro="">
      <xdr:nvGraphicFramePr>
        <xdr:cNvPr id="2" name="Chart 1">
          <a:extLst>
            <a:ext uri="{FF2B5EF4-FFF2-40B4-BE49-F238E27FC236}">
              <a16:creationId xmlns:a16="http://schemas.microsoft.com/office/drawing/2014/main" id="{59588283-BEFA-3E81-B0B6-34AA7524B4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3</xdr:row>
      <xdr:rowOff>0</xdr:rowOff>
    </xdr:from>
    <xdr:to>
      <xdr:col>2</xdr:col>
      <xdr:colOff>152400</xdr:colOff>
      <xdr:row>4</xdr:row>
      <xdr:rowOff>63500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73D140FA-9384-F249-8861-FA9438763990}"/>
            </a:ext>
          </a:extLst>
        </xdr:cNvPr>
        <xdr:cNvSpPr/>
      </xdr:nvSpPr>
      <xdr:spPr>
        <a:xfrm>
          <a:off x="825500" y="736600"/>
          <a:ext cx="2032000" cy="266700"/>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latin typeface="Arial" panose="020B0604020202020204" pitchFamily="34" charset="0"/>
              <a:cs typeface="Arial" panose="020B0604020202020204" pitchFamily="34" charset="0"/>
            </a:rPr>
            <a:t>Back to Home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0</xdr:rowOff>
    </xdr:from>
    <xdr:to>
      <xdr:col>1</xdr:col>
      <xdr:colOff>2222500</xdr:colOff>
      <xdr:row>4</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9D50C5C9-505F-7347-987F-D99487D2438F}"/>
            </a:ext>
          </a:extLst>
        </xdr:cNvPr>
        <xdr:cNvSpPr/>
      </xdr:nvSpPr>
      <xdr:spPr>
        <a:xfrm>
          <a:off x="825500" y="736600"/>
          <a:ext cx="2222500" cy="228600"/>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latin typeface="Arial" panose="020B0604020202020204" pitchFamily="34" charset="0"/>
              <a:cs typeface="Arial" panose="020B0604020202020204" pitchFamily="34" charset="0"/>
            </a:rPr>
            <a:t>Back to Home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17</xdr:col>
      <xdr:colOff>256510</xdr:colOff>
      <xdr:row>140</xdr:row>
      <xdr:rowOff>89647</xdr:rowOff>
    </xdr:from>
    <xdr:to>
      <xdr:col>26</xdr:col>
      <xdr:colOff>14941</xdr:colOff>
      <xdr:row>163</xdr:row>
      <xdr:rowOff>164805</xdr:rowOff>
    </xdr:to>
    <xdr:graphicFrame macro="">
      <xdr:nvGraphicFramePr>
        <xdr:cNvPr id="2" name="Chart 1">
          <a:extLst>
            <a:ext uri="{FF2B5EF4-FFF2-40B4-BE49-F238E27FC236}">
              <a16:creationId xmlns:a16="http://schemas.microsoft.com/office/drawing/2014/main" id="{22C687AE-1EB2-C0FD-41AD-073A6B0312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508000</xdr:colOff>
      <xdr:row>28</xdr:row>
      <xdr:rowOff>160867</xdr:rowOff>
    </xdr:from>
    <xdr:to>
      <xdr:col>23</xdr:col>
      <xdr:colOff>101600</xdr:colOff>
      <xdr:row>42</xdr:row>
      <xdr:rowOff>59267</xdr:rowOff>
    </xdr:to>
    <xdr:graphicFrame macro="">
      <xdr:nvGraphicFramePr>
        <xdr:cNvPr id="5" name="Chart 4">
          <a:extLst>
            <a:ext uri="{FF2B5EF4-FFF2-40B4-BE49-F238E27FC236}">
              <a16:creationId xmlns:a16="http://schemas.microsoft.com/office/drawing/2014/main" id="{185B2161-8634-C9D5-17A0-3D48702A96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impeccabuild.com.au/restaurant-fit-out-costs/" TargetMode="External"/><Relationship Id="rId2" Type="http://schemas.openxmlformats.org/officeDocument/2006/relationships/hyperlink" Target="https://www.dexus.com/investor-centre/results-and-reporting/asx-announcements/2023/august/2023-annual-report" TargetMode="External"/><Relationship Id="rId1" Type="http://schemas.openxmlformats.org/officeDocument/2006/relationships/hyperlink" Target="https://ramgroup.com/wp-content/uploads/2024/02/REP-HY24-Results-Presentation_29Feb2024-1.pdf"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hyperlink" Target="http://stats.oecd.org/OECDStat_Metadata/ShowMetadata.ashx?Dataset=SHA&amp;Coords=%5bHF%5d.%5bHFTOT%5d,%5bHC%5d.%5bHCTOT%5d,%5bHP%5d.%5bHPTOT%5d,%5bMEASURE%5d.%5bMLLNCU%5d,%5bLOCATION%5d.%5bAUS%5d&amp;ShowOnWeb=true&amp;Lang=en"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307DF-5CB1-DF46-9E01-935CED3AB7D9}">
  <sheetPr>
    <tabColor theme="1"/>
  </sheetPr>
  <dimension ref="A1:E35"/>
  <sheetViews>
    <sheetView zoomScale="150" workbookViewId="0">
      <selection activeCell="H32" sqref="H32"/>
    </sheetView>
  </sheetViews>
  <sheetFormatPr defaultColWidth="10.875" defaultRowHeight="15.95"/>
  <cols>
    <col min="1" max="1" width="15.625" style="3" customWidth="1"/>
    <col min="2" max="2" width="24.875" style="3" customWidth="1"/>
    <col min="3" max="3" width="22.375" style="3" customWidth="1"/>
    <col min="4" max="16384" width="10.875" style="3"/>
  </cols>
  <sheetData>
    <row r="1" spans="1:5" s="2" customFormat="1" ht="24.95">
      <c r="B1" s="1" t="s">
        <v>0</v>
      </c>
    </row>
    <row r="2" spans="1:5" s="2" customFormat="1">
      <c r="B2" s="10" t="s">
        <v>1</v>
      </c>
    </row>
    <row r="3" spans="1:5">
      <c r="A3" s="6"/>
      <c r="B3" s="3" t="s">
        <v>2</v>
      </c>
    </row>
    <row r="4" spans="1:5">
      <c r="A4" s="7"/>
    </row>
    <row r="5" spans="1:5">
      <c r="B5" s="10" t="s">
        <v>3</v>
      </c>
      <c r="C5" s="11">
        <v>45428</v>
      </c>
    </row>
    <row r="7" spans="1:5">
      <c r="B7" s="10" t="s">
        <v>4</v>
      </c>
      <c r="C7" s="12" t="s">
        <v>5</v>
      </c>
    </row>
    <row r="8" spans="1:5">
      <c r="B8" s="4" t="s">
        <v>6</v>
      </c>
      <c r="C8" s="8" t="s">
        <v>7</v>
      </c>
    </row>
    <row r="9" spans="1:5">
      <c r="B9" s="4" t="s">
        <v>8</v>
      </c>
      <c r="C9" s="8" t="s">
        <v>9</v>
      </c>
    </row>
    <row r="10" spans="1:5">
      <c r="B10" s="4" t="s">
        <v>10</v>
      </c>
      <c r="C10" s="8"/>
    </row>
    <row r="11" spans="1:5">
      <c r="B11" s="4" t="s">
        <v>11</v>
      </c>
      <c r="C11" s="8"/>
    </row>
    <row r="12" spans="1:5">
      <c r="B12" s="4" t="s">
        <v>12</v>
      </c>
      <c r="C12" s="8" t="s">
        <v>13</v>
      </c>
    </row>
    <row r="14" spans="1:5">
      <c r="B14" s="10" t="s">
        <v>14</v>
      </c>
      <c r="C14" s="13"/>
      <c r="E14" s="9"/>
    </row>
    <row r="15" spans="1:5">
      <c r="B15" s="208" t="s">
        <v>15</v>
      </c>
    </row>
    <row r="17" spans="2:2">
      <c r="B17" s="209" t="s">
        <v>16</v>
      </c>
    </row>
    <row r="18" spans="2:2">
      <c r="B18" s="210" t="s">
        <v>17</v>
      </c>
    </row>
    <row r="19" spans="2:2">
      <c r="B19" s="211" t="s">
        <v>18</v>
      </c>
    </row>
    <row r="20" spans="2:2">
      <c r="B20" s="212"/>
    </row>
    <row r="21" spans="2:2">
      <c r="B21" s="212"/>
    </row>
    <row r="22" spans="2:2">
      <c r="B22" s="212"/>
    </row>
    <row r="23" spans="2:2">
      <c r="B23" s="212"/>
    </row>
    <row r="24" spans="2:2">
      <c r="B24" s="212"/>
    </row>
    <row r="25" spans="2:2">
      <c r="B25" s="212"/>
    </row>
    <row r="35" spans="2:2">
      <c r="B35" s="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4646-2CE7-1C4C-ABC3-D880E4F30A0A}">
  <sheetPr>
    <tabColor rgb="FF00B050"/>
  </sheetPr>
  <dimension ref="B1:R279"/>
  <sheetViews>
    <sheetView topLeftCell="A97" zoomScale="75" zoomScaleNormal="75" workbookViewId="0">
      <selection activeCell="B135" sqref="B135"/>
    </sheetView>
  </sheetViews>
  <sheetFormatPr defaultColWidth="10.875" defaultRowHeight="15.95"/>
  <cols>
    <col min="1" max="1" width="10.875" style="17"/>
    <col min="2" max="2" width="30.875" style="17" customWidth="1"/>
    <col min="3" max="3" width="15.875" style="17" customWidth="1"/>
    <col min="4" max="4" width="21.375" style="17" customWidth="1"/>
    <col min="5" max="5" width="14.875" style="17" customWidth="1"/>
    <col min="6" max="6" width="16.5" style="17" customWidth="1"/>
    <col min="7" max="7" width="23" style="17" customWidth="1"/>
    <col min="8" max="8" width="31.5" style="17" customWidth="1"/>
    <col min="9" max="9" width="15.125" style="17" customWidth="1"/>
    <col min="10" max="10" width="15.625" style="17" customWidth="1"/>
    <col min="11" max="11" width="25.625" style="17" customWidth="1"/>
    <col min="12" max="12" width="26" style="17" customWidth="1"/>
    <col min="13" max="13" width="34.625" style="17" customWidth="1"/>
    <col min="14" max="14" width="18.625" style="17" customWidth="1"/>
    <col min="15" max="15" width="18" style="17" customWidth="1"/>
    <col min="16" max="16" width="18.375" style="17" customWidth="1"/>
    <col min="17" max="17" width="22.5" style="17" customWidth="1"/>
    <col min="18" max="18" width="14" style="17" customWidth="1"/>
    <col min="19" max="16384" width="10.875" style="17"/>
  </cols>
  <sheetData>
    <row r="1" spans="2:18" s="15" customFormat="1" ht="27">
      <c r="B1" s="14" t="s">
        <v>19</v>
      </c>
    </row>
    <row r="2" spans="2:18" s="15" customFormat="1">
      <c r="B2" s="16" t="s">
        <v>1</v>
      </c>
    </row>
    <row r="6" spans="2:18">
      <c r="B6" s="16" t="s">
        <v>20</v>
      </c>
      <c r="C6" s="53"/>
      <c r="D6" s="15"/>
      <c r="E6" s="15"/>
      <c r="F6" s="15"/>
      <c r="H6" s="16" t="s">
        <v>21</v>
      </c>
      <c r="I6" s="15"/>
      <c r="J6" s="15"/>
      <c r="K6" s="15"/>
      <c r="L6" s="15"/>
    </row>
    <row r="8" spans="2:18">
      <c r="B8" s="21" t="s">
        <v>22</v>
      </c>
      <c r="C8" s="142" t="s">
        <v>23</v>
      </c>
      <c r="E8" s="331" t="s">
        <v>24</v>
      </c>
      <c r="F8" s="331"/>
      <c r="R8" s="20"/>
    </row>
    <row r="9" spans="2:18">
      <c r="B9" s="17" t="s">
        <v>25</v>
      </c>
      <c r="C9" s="144">
        <f>F53</f>
        <v>5.1533333333333334E-2</v>
      </c>
      <c r="E9" s="17" t="s">
        <v>26</v>
      </c>
      <c r="F9" s="127" t="s">
        <v>27</v>
      </c>
      <c r="J9" s="29"/>
      <c r="K9" s="29"/>
      <c r="L9" s="29"/>
      <c r="M9" s="29"/>
      <c r="N9" s="29"/>
      <c r="O9" s="29"/>
      <c r="P9" s="29"/>
      <c r="Q9" s="29"/>
      <c r="R9" s="29"/>
    </row>
    <row r="10" spans="2:18">
      <c r="B10" s="30" t="s">
        <v>28</v>
      </c>
      <c r="C10" s="214">
        <f>DCF!J44</f>
        <v>5999304.2121209837</v>
      </c>
      <c r="E10" s="30" t="s">
        <v>29</v>
      </c>
      <c r="F10" s="267">
        <v>45474</v>
      </c>
      <c r="J10" s="47"/>
      <c r="K10" s="47"/>
      <c r="L10" s="47"/>
      <c r="M10" s="47"/>
      <c r="N10" s="47"/>
      <c r="O10" s="47"/>
      <c r="P10" s="47"/>
      <c r="Q10" s="47"/>
      <c r="R10" s="47"/>
    </row>
    <row r="11" spans="2:18">
      <c r="B11" s="17" t="s">
        <v>30</v>
      </c>
      <c r="C11" s="215">
        <f>DCF!X65</f>
        <v>86381557.996296674</v>
      </c>
      <c r="E11" s="17" t="s">
        <v>31</v>
      </c>
      <c r="F11" s="127">
        <f>365*2</f>
        <v>730</v>
      </c>
    </row>
    <row r="12" spans="2:18">
      <c r="B12" s="30" t="s">
        <v>32</v>
      </c>
      <c r="C12" s="216">
        <f>'Hypothetical Development'!C29</f>
        <v>5881029.9648263594</v>
      </c>
      <c r="E12" s="30" t="s">
        <v>33</v>
      </c>
      <c r="F12" s="267">
        <f>F10+F11</f>
        <v>46204</v>
      </c>
    </row>
    <row r="13" spans="2:18">
      <c r="B13" s="17" t="s">
        <v>34</v>
      </c>
      <c r="C13" s="217">
        <f>SUM('Development Schedule'!C74:E74)</f>
        <v>68446970.041513711</v>
      </c>
    </row>
    <row r="14" spans="2:18">
      <c r="B14" s="218"/>
      <c r="C14" s="17" t="s">
        <v>35</v>
      </c>
      <c r="E14" s="21" t="s">
        <v>36</v>
      </c>
      <c r="F14" s="78"/>
    </row>
    <row r="15" spans="2:18">
      <c r="E15" s="219" t="s">
        <v>37</v>
      </c>
      <c r="F15" s="47">
        <v>4.8000000000000001E-2</v>
      </c>
    </row>
    <row r="16" spans="2:18" ht="15.95" customHeight="1">
      <c r="B16" s="329" t="s">
        <v>38</v>
      </c>
      <c r="C16" s="142" t="s">
        <v>39</v>
      </c>
      <c r="E16" s="30" t="s">
        <v>40</v>
      </c>
      <c r="F16" s="128">
        <v>1</v>
      </c>
      <c r="G16" s="220"/>
    </row>
    <row r="17" spans="2:18" ht="15.95" customHeight="1">
      <c r="B17" s="17" t="s">
        <v>41</v>
      </c>
      <c r="C17" s="130">
        <v>0.3</v>
      </c>
      <c r="E17" s="56" t="s">
        <v>42</v>
      </c>
      <c r="F17" s="63" t="s">
        <v>35</v>
      </c>
    </row>
    <row r="18" spans="2:18" ht="15.95" customHeight="1">
      <c r="B18" s="30"/>
      <c r="C18" s="221"/>
      <c r="E18" s="56" t="s">
        <v>43</v>
      </c>
      <c r="F18" s="63"/>
    </row>
    <row r="19" spans="2:18" ht="15.95" customHeight="1">
      <c r="E19" s="46"/>
      <c r="F19" s="63"/>
    </row>
    <row r="20" spans="2:18" ht="15.95" customHeight="1">
      <c r="B20" s="329" t="s">
        <v>44</v>
      </c>
      <c r="C20" s="142" t="s">
        <v>45</v>
      </c>
      <c r="E20" s="21" t="s">
        <v>46</v>
      </c>
      <c r="F20" s="222"/>
    </row>
    <row r="21" spans="2:18" ht="15.95" customHeight="1">
      <c r="B21" s="17" t="s">
        <v>47</v>
      </c>
      <c r="C21" s="22">
        <f>SUM('Development Schedule'!C74:E74)</f>
        <v>68446970.041513711</v>
      </c>
      <c r="E21" s="29">
        <v>2024</v>
      </c>
      <c r="F21" s="47">
        <v>3.5000000000000003E-2</v>
      </c>
      <c r="H21" s="56"/>
    </row>
    <row r="22" spans="2:18">
      <c r="B22" s="30" t="s">
        <v>48</v>
      </c>
      <c r="C22" s="40">
        <f>C21*0.1</f>
        <v>6844697.0041513713</v>
      </c>
      <c r="E22" s="223">
        <f>E21+1</f>
        <v>2025</v>
      </c>
      <c r="F22" s="123">
        <v>2.9000000000000001E-2</v>
      </c>
      <c r="H22" s="56"/>
    </row>
    <row r="23" spans="2:18">
      <c r="E23" s="29">
        <f t="shared" ref="E23:E38" si="0">E22+1</f>
        <v>2026</v>
      </c>
      <c r="F23" s="47">
        <v>2.7E-2</v>
      </c>
    </row>
    <row r="24" spans="2:18">
      <c r="E24" s="223">
        <f t="shared" si="0"/>
        <v>2027</v>
      </c>
      <c r="F24" s="123">
        <v>2.5999999999999999E-2</v>
      </c>
    </row>
    <row r="25" spans="2:18">
      <c r="E25" s="29">
        <f t="shared" si="0"/>
        <v>2028</v>
      </c>
      <c r="F25" s="47">
        <v>2.5000000000000001E-2</v>
      </c>
      <c r="J25" s="29"/>
      <c r="O25" s="37"/>
    </row>
    <row r="26" spans="2:18">
      <c r="E26" s="223">
        <f t="shared" si="0"/>
        <v>2029</v>
      </c>
      <c r="F26" s="123">
        <v>2.5000000000000001E-2</v>
      </c>
      <c r="J26" s="224"/>
    </row>
    <row r="27" spans="2:18">
      <c r="E27" s="29">
        <f t="shared" si="0"/>
        <v>2030</v>
      </c>
      <c r="F27" s="47">
        <v>2.5000000000000001E-2</v>
      </c>
      <c r="J27" s="47"/>
      <c r="P27" s="29"/>
      <c r="Q27" s="29"/>
      <c r="R27" s="29"/>
    </row>
    <row r="28" spans="2:18">
      <c r="E28" s="223">
        <f t="shared" si="0"/>
        <v>2031</v>
      </c>
      <c r="F28" s="123">
        <v>2.5000000000000001E-2</v>
      </c>
      <c r="J28" s="225"/>
      <c r="P28" s="225"/>
      <c r="Q28" s="226"/>
      <c r="R28" s="144"/>
    </row>
    <row r="29" spans="2:18">
      <c r="E29" s="29">
        <f t="shared" si="0"/>
        <v>2032</v>
      </c>
      <c r="F29" s="47">
        <v>2.5000000000000001E-2</v>
      </c>
      <c r="J29" s="227"/>
      <c r="P29" s="225"/>
      <c r="Q29" s="226"/>
      <c r="R29" s="144"/>
    </row>
    <row r="30" spans="2:18">
      <c r="E30" s="223">
        <f t="shared" si="0"/>
        <v>2033</v>
      </c>
      <c r="F30" s="123">
        <v>2.5000000000000001E-2</v>
      </c>
      <c r="J30" s="47"/>
    </row>
    <row r="31" spans="2:18">
      <c r="E31" s="29">
        <f t="shared" si="0"/>
        <v>2034</v>
      </c>
      <c r="F31" s="47">
        <v>2.5000000000000001E-2</v>
      </c>
      <c r="J31" s="47"/>
      <c r="Q31" s="37"/>
      <c r="R31" s="228"/>
    </row>
    <row r="32" spans="2:18">
      <c r="E32" s="223">
        <f t="shared" si="0"/>
        <v>2035</v>
      </c>
      <c r="F32" s="123">
        <v>2.5000000000000001E-2</v>
      </c>
      <c r="Q32" s="37"/>
      <c r="R32" s="166"/>
    </row>
    <row r="33" spans="2:18">
      <c r="E33" s="29">
        <f t="shared" si="0"/>
        <v>2036</v>
      </c>
      <c r="F33" s="47">
        <v>2.5000000000000001E-2</v>
      </c>
      <c r="Q33" s="37"/>
      <c r="R33" s="166"/>
    </row>
    <row r="34" spans="2:18">
      <c r="E34" s="223">
        <f t="shared" si="0"/>
        <v>2037</v>
      </c>
      <c r="F34" s="123">
        <v>2.5000000000000001E-2</v>
      </c>
      <c r="Q34" s="37"/>
      <c r="R34" s="166"/>
    </row>
    <row r="35" spans="2:18">
      <c r="E35" s="29">
        <f t="shared" si="0"/>
        <v>2038</v>
      </c>
      <c r="F35" s="47">
        <v>2.5000000000000001E-2</v>
      </c>
    </row>
    <row r="36" spans="2:18">
      <c r="E36" s="223">
        <f t="shared" si="0"/>
        <v>2039</v>
      </c>
      <c r="F36" s="123">
        <v>2.5000000000000001E-2</v>
      </c>
      <c r="N36" s="85"/>
    </row>
    <row r="37" spans="2:18">
      <c r="E37" s="29">
        <f t="shared" si="0"/>
        <v>2040</v>
      </c>
      <c r="F37" s="47">
        <v>2.5000000000000001E-2</v>
      </c>
    </row>
    <row r="38" spans="2:18">
      <c r="E38" s="223">
        <f t="shared" si="0"/>
        <v>2041</v>
      </c>
      <c r="F38" s="123">
        <v>2.5000000000000001E-2</v>
      </c>
    </row>
    <row r="39" spans="2:18">
      <c r="E39" s="56" t="s">
        <v>49</v>
      </c>
    </row>
    <row r="40" spans="2:18">
      <c r="N40" s="85"/>
      <c r="O40" s="56"/>
    </row>
    <row r="41" spans="2:18">
      <c r="B41" s="16" t="s">
        <v>25</v>
      </c>
      <c r="C41" s="53"/>
      <c r="D41" s="15"/>
      <c r="E41" s="15"/>
      <c r="F41" s="15"/>
      <c r="H41" s="16" t="s">
        <v>50</v>
      </c>
      <c r="I41" s="53"/>
      <c r="J41" s="15"/>
      <c r="K41" s="15"/>
      <c r="L41" s="15"/>
    </row>
    <row r="42" spans="2:18">
      <c r="H42" s="100"/>
      <c r="I42" s="115"/>
    </row>
    <row r="43" spans="2:18">
      <c r="B43" s="21" t="s">
        <v>51</v>
      </c>
      <c r="C43" s="142" t="s">
        <v>52</v>
      </c>
      <c r="D43" s="142" t="s">
        <v>53</v>
      </c>
      <c r="E43" s="142" t="s">
        <v>54</v>
      </c>
      <c r="F43" s="142" t="s">
        <v>25</v>
      </c>
      <c r="H43" s="21" t="s">
        <v>55</v>
      </c>
      <c r="I43" s="55"/>
      <c r="K43" s="21" t="s">
        <v>56</v>
      </c>
      <c r="L43" s="142" t="s">
        <v>57</v>
      </c>
      <c r="N43" s="17" t="s">
        <v>58</v>
      </c>
    </row>
    <row r="44" spans="2:18">
      <c r="B44" s="17" t="s">
        <v>59</v>
      </c>
      <c r="C44" s="105">
        <v>5854</v>
      </c>
      <c r="D44" s="105">
        <v>35850000</v>
      </c>
      <c r="E44" s="19">
        <f>D44/C44</f>
        <v>6124.0177656303385</v>
      </c>
      <c r="F44" s="106">
        <v>6.25E-2</v>
      </c>
      <c r="G44" s="29"/>
      <c r="H44" s="37" t="s">
        <v>60</v>
      </c>
      <c r="I44" s="238" t="s">
        <v>61</v>
      </c>
      <c r="K44" s="17" t="s">
        <v>62</v>
      </c>
      <c r="L44" s="265">
        <v>0.65</v>
      </c>
    </row>
    <row r="45" spans="2:18">
      <c r="B45" s="30" t="s">
        <v>63</v>
      </c>
      <c r="C45" s="207">
        <v>32339</v>
      </c>
      <c r="D45" s="207">
        <v>309560000</v>
      </c>
      <c r="E45" s="31">
        <f t="shared" ref="E45:E51" si="1">D45/C45</f>
        <v>9572.3429914344906</v>
      </c>
      <c r="F45" s="259">
        <v>4.4999999999999998E-2</v>
      </c>
      <c r="H45" s="30" t="s">
        <v>64</v>
      </c>
      <c r="I45" s="232">
        <v>5.9400000000000001E-2</v>
      </c>
      <c r="K45" s="30" t="s">
        <v>65</v>
      </c>
      <c r="L45" s="240">
        <v>0.64</v>
      </c>
    </row>
    <row r="46" spans="2:18">
      <c r="B46" s="17" t="s">
        <v>66</v>
      </c>
      <c r="C46" s="105">
        <v>8211</v>
      </c>
      <c r="D46" s="105">
        <v>27300000</v>
      </c>
      <c r="E46" s="19">
        <f t="shared" si="1"/>
        <v>3324.8081841432227</v>
      </c>
      <c r="F46" s="106">
        <v>5.7500000000000002E-2</v>
      </c>
      <c r="H46" s="17" t="s">
        <v>67</v>
      </c>
      <c r="I46" s="130">
        <v>6.2E-2</v>
      </c>
      <c r="K46" s="17" t="s">
        <v>68</v>
      </c>
      <c r="L46" s="265">
        <v>0.51</v>
      </c>
    </row>
    <row r="47" spans="2:18">
      <c r="B47" s="30" t="s">
        <v>69</v>
      </c>
      <c r="C47" s="207">
        <v>16605</v>
      </c>
      <c r="D47" s="207">
        <v>186710000</v>
      </c>
      <c r="E47" s="31">
        <f t="shared" si="1"/>
        <v>11244.203553146643</v>
      </c>
      <c r="F47" s="259">
        <v>4.4999999999999998E-2</v>
      </c>
      <c r="G47" s="37"/>
      <c r="H47" s="30" t="s">
        <v>70</v>
      </c>
      <c r="I47" s="232">
        <v>5.7500000000000002E-2</v>
      </c>
      <c r="K47" s="42" t="s">
        <v>71</v>
      </c>
      <c r="L47" s="240">
        <v>0.65</v>
      </c>
    </row>
    <row r="48" spans="2:18">
      <c r="B48" s="17" t="s">
        <v>72</v>
      </c>
      <c r="C48" s="105">
        <v>7232</v>
      </c>
      <c r="D48" s="105">
        <v>117160000</v>
      </c>
      <c r="E48" s="19">
        <f t="shared" si="1"/>
        <v>16200.221238938053</v>
      </c>
      <c r="F48" s="106">
        <v>5.7500000000000002E-2</v>
      </c>
      <c r="G48" s="37"/>
      <c r="H48" s="17" t="s">
        <v>73</v>
      </c>
      <c r="I48" s="130">
        <v>6.4500000000000002E-2</v>
      </c>
      <c r="K48" s="17" t="s">
        <v>74</v>
      </c>
      <c r="L48" s="265">
        <v>0.34</v>
      </c>
    </row>
    <row r="49" spans="2:12">
      <c r="B49" s="30" t="s">
        <v>75</v>
      </c>
      <c r="C49" s="207">
        <v>10595</v>
      </c>
      <c r="D49" s="207">
        <v>78510000</v>
      </c>
      <c r="E49" s="31">
        <f t="shared" si="1"/>
        <v>7410.0991033506371</v>
      </c>
      <c r="F49" s="259">
        <v>0.05</v>
      </c>
      <c r="H49" s="34" t="s">
        <v>76</v>
      </c>
      <c r="I49" s="233">
        <f>AVERAGE(I45:I48)</f>
        <v>6.0850000000000001E-2</v>
      </c>
      <c r="K49" s="34" t="s">
        <v>76</v>
      </c>
      <c r="L49" s="266">
        <f>AVERAGE(L44:L48)</f>
        <v>0.55800000000000005</v>
      </c>
    </row>
    <row r="50" spans="2:12">
      <c r="B50" s="17" t="s">
        <v>77</v>
      </c>
      <c r="C50" s="105">
        <v>11261</v>
      </c>
      <c r="D50" s="105">
        <v>119010000</v>
      </c>
      <c r="E50" s="19">
        <f t="shared" si="1"/>
        <v>10568.333185329901</v>
      </c>
      <c r="F50" s="106">
        <v>5.3800000000000001E-2</v>
      </c>
    </row>
    <row r="51" spans="2:12">
      <c r="B51" s="30" t="s">
        <v>78</v>
      </c>
      <c r="C51" s="207">
        <v>4997</v>
      </c>
      <c r="D51" s="207">
        <v>55010000</v>
      </c>
      <c r="E51" s="31">
        <f t="shared" si="1"/>
        <v>11008.605163097858</v>
      </c>
      <c r="F51" s="259">
        <v>4.7500000000000001E-2</v>
      </c>
      <c r="H51" s="21" t="s">
        <v>79</v>
      </c>
      <c r="I51" s="21"/>
      <c r="K51" s="329" t="s">
        <v>80</v>
      </c>
      <c r="L51" s="142" t="s">
        <v>81</v>
      </c>
    </row>
    <row r="52" spans="2:12">
      <c r="B52" s="17" t="s">
        <v>82</v>
      </c>
      <c r="C52" s="105">
        <v>32339</v>
      </c>
      <c r="D52" s="105">
        <v>555030000</v>
      </c>
      <c r="E52" s="19">
        <f>D52/C52</f>
        <v>17162.868363276539</v>
      </c>
      <c r="F52" s="106">
        <v>4.4999999999999998E-2</v>
      </c>
      <c r="H52" s="30" t="s">
        <v>83</v>
      </c>
      <c r="I52" s="234">
        <v>4.3700000000000003E-2</v>
      </c>
      <c r="K52" s="17" t="s">
        <v>84</v>
      </c>
      <c r="L52" s="263">
        <f>I55*(15/17)+I56*(2/17)</f>
        <v>7.050147058823529E-2</v>
      </c>
    </row>
    <row r="53" spans="2:12">
      <c r="B53" s="37" t="s">
        <v>76</v>
      </c>
      <c r="C53" s="38">
        <f>AVERAGE(C44:C52)</f>
        <v>14381.444444444445</v>
      </c>
      <c r="D53" s="38">
        <f t="shared" ref="D53:E53" si="2">AVERAGE(D44:D52)</f>
        <v>164904444.44444445</v>
      </c>
      <c r="E53" s="38">
        <f t="shared" si="2"/>
        <v>10290.611060927522</v>
      </c>
      <c r="F53" s="166">
        <f>IF('Sensitivity Analysis'!C7=1,'Sensitivity Analysis'!D7,AVERAGE(F44:F52))</f>
        <v>5.1533333333333334E-2</v>
      </c>
      <c r="K53" s="122" t="s">
        <v>85</v>
      </c>
      <c r="L53" s="259">
        <f>K193</f>
        <v>0.32915442818485152</v>
      </c>
    </row>
    <row r="54" spans="2:12">
      <c r="D54" s="62"/>
      <c r="E54" s="23"/>
      <c r="H54" s="329" t="s">
        <v>84</v>
      </c>
      <c r="I54" s="142"/>
      <c r="K54" s="17" t="s">
        <v>86</v>
      </c>
      <c r="L54" s="113">
        <f>I52+(L49*I49)</f>
        <v>7.7654300000000009E-2</v>
      </c>
    </row>
    <row r="55" spans="2:12">
      <c r="B55" s="16" t="s">
        <v>87</v>
      </c>
      <c r="C55" s="53"/>
      <c r="D55" s="15"/>
      <c r="E55" s="15"/>
      <c r="F55" s="15"/>
      <c r="H55" s="17" t="s">
        <v>88</v>
      </c>
      <c r="I55" s="263">
        <f>'Debt &amp; Equity Schedule'!F11</f>
        <v>6.7875000000000005E-2</v>
      </c>
      <c r="K55" s="34" t="s">
        <v>89</v>
      </c>
      <c r="L55" s="264">
        <f>IF('Sensitivity Analysis'!C6=1,'Sensitivity Analysis'!D6,(L53*L52)+((1-L53)*L54))</f>
        <v>7.5299914525066805E-2</v>
      </c>
    </row>
    <row r="56" spans="2:12">
      <c r="H56" s="30" t="s">
        <v>90</v>
      </c>
      <c r="I56" s="270">
        <f>'Debt &amp; Equity Schedule'!G10</f>
        <v>9.0200000000000002E-2</v>
      </c>
    </row>
    <row r="57" spans="2:12">
      <c r="B57" s="55" t="s">
        <v>91</v>
      </c>
      <c r="C57" s="78"/>
      <c r="D57" s="142" t="s">
        <v>92</v>
      </c>
      <c r="E57" s="142" t="s">
        <v>93</v>
      </c>
      <c r="F57" s="142" t="s">
        <v>94</v>
      </c>
    </row>
    <row r="58" spans="2:12">
      <c r="B58" s="17" t="s">
        <v>95</v>
      </c>
      <c r="D58" s="83">
        <v>0.6</v>
      </c>
      <c r="E58" s="83">
        <v>10</v>
      </c>
      <c r="F58" s="268">
        <v>0.94499999999999995</v>
      </c>
      <c r="H58" s="16" t="s">
        <v>96</v>
      </c>
      <c r="I58" s="107"/>
      <c r="J58" s="107"/>
      <c r="K58" s="107"/>
      <c r="L58" s="107"/>
    </row>
    <row r="59" spans="2:12">
      <c r="B59" s="30" t="s">
        <v>97</v>
      </c>
      <c r="C59" s="30"/>
      <c r="D59" s="257">
        <v>1.6</v>
      </c>
      <c r="E59" s="257">
        <v>12.3</v>
      </c>
      <c r="F59" s="259">
        <v>0.99</v>
      </c>
    </row>
    <row r="60" spans="2:12">
      <c r="B60" s="17" t="s">
        <v>98</v>
      </c>
      <c r="D60" s="83">
        <v>3.64</v>
      </c>
      <c r="E60" s="83">
        <v>15.8</v>
      </c>
      <c r="F60" s="106">
        <v>0.97650000000000003</v>
      </c>
      <c r="H60" s="16" t="s">
        <v>99</v>
      </c>
      <c r="I60" s="53"/>
      <c r="J60" s="75" t="s">
        <v>100</v>
      </c>
      <c r="K60" s="75" t="s">
        <v>101</v>
      </c>
      <c r="L60" s="75" t="s">
        <v>102</v>
      </c>
    </row>
    <row r="61" spans="2:12">
      <c r="B61" s="30" t="s">
        <v>103</v>
      </c>
      <c r="C61" s="30"/>
      <c r="D61" s="257">
        <v>1.5</v>
      </c>
      <c r="E61" s="257">
        <v>19.3</v>
      </c>
      <c r="F61" s="259">
        <v>0.997</v>
      </c>
      <c r="H61" s="17" t="s">
        <v>104</v>
      </c>
      <c r="J61" s="106">
        <v>0</v>
      </c>
      <c r="K61" s="106">
        <v>0.5</v>
      </c>
      <c r="L61" s="106">
        <v>0.5</v>
      </c>
    </row>
    <row r="62" spans="2:12">
      <c r="B62" s="17" t="s">
        <v>105</v>
      </c>
      <c r="D62" s="83">
        <v>1.8</v>
      </c>
      <c r="E62" s="83">
        <v>18.8</v>
      </c>
      <c r="F62" s="106">
        <v>0.95399999999999996</v>
      </c>
    </row>
    <row r="63" spans="2:12">
      <c r="B63" s="30" t="s">
        <v>106</v>
      </c>
      <c r="C63" s="30"/>
      <c r="D63" s="257">
        <v>0.30299999999999999</v>
      </c>
      <c r="E63" s="257">
        <v>4.9000000000000004</v>
      </c>
      <c r="F63" s="259">
        <v>0.92</v>
      </c>
      <c r="H63" s="16" t="s">
        <v>107</v>
      </c>
      <c r="I63" s="53"/>
      <c r="J63" s="53"/>
      <c r="K63" s="53"/>
      <c r="L63" s="53"/>
    </row>
    <row r="64" spans="2:12">
      <c r="B64" s="37" t="s">
        <v>108</v>
      </c>
      <c r="D64" s="256" t="s">
        <v>109</v>
      </c>
      <c r="E64" s="228">
        <f>E58*(D58/$D$65)+E59*(D59/$D$65)+E60*(D60/$D$65)+E61*(D61/$D$65)+E62*(D62/$D$65)+E63*(D63/$D$65)</f>
        <v>15.616509583818699</v>
      </c>
      <c r="F64" s="166">
        <f>F58*(D58/$D$65)+F59*(D59/$D$65)+F60*(D60/$D$65)+F61*(D61/$D$65)+F62*(D62/$D$65)+F63*(D63/$D$65)</f>
        <v>0.97394048501535524</v>
      </c>
      <c r="J64" s="238"/>
      <c r="K64" s="238" t="s">
        <v>110</v>
      </c>
      <c r="L64" s="238"/>
    </row>
    <row r="65" spans="2:12">
      <c r="B65" s="34" t="s">
        <v>45</v>
      </c>
      <c r="C65" s="30"/>
      <c r="D65" s="258">
        <f>SUM(D58:D63)</f>
        <v>9.4430000000000014</v>
      </c>
      <c r="E65" s="258" t="s">
        <v>109</v>
      </c>
      <c r="F65" s="270" t="s">
        <v>109</v>
      </c>
      <c r="J65" s="238" t="s">
        <v>111</v>
      </c>
      <c r="K65" s="238" t="s">
        <v>112</v>
      </c>
      <c r="L65" s="238" t="s">
        <v>76</v>
      </c>
    </row>
    <row r="66" spans="2:12">
      <c r="H66" s="17" t="s">
        <v>113</v>
      </c>
      <c r="J66" s="83">
        <v>3870</v>
      </c>
      <c r="K66" s="83">
        <v>4170</v>
      </c>
      <c r="L66" s="256">
        <f>AVERAGE(J66:K66)</f>
        <v>4020</v>
      </c>
    </row>
    <row r="67" spans="2:12">
      <c r="B67" s="55" t="s">
        <v>114</v>
      </c>
      <c r="C67" s="78"/>
      <c r="D67" s="142" t="s">
        <v>92</v>
      </c>
      <c r="E67" s="142" t="s">
        <v>93</v>
      </c>
      <c r="F67" s="142" t="s">
        <v>94</v>
      </c>
      <c r="H67" s="30" t="s">
        <v>115</v>
      </c>
      <c r="I67" s="30"/>
      <c r="J67" s="257">
        <v>2205</v>
      </c>
      <c r="K67" s="257">
        <v>2380</v>
      </c>
      <c r="L67" s="258">
        <f t="shared" ref="L67:L69" si="3">AVERAGE(J67:K67)</f>
        <v>2292.5</v>
      </c>
    </row>
    <row r="68" spans="2:12">
      <c r="B68" s="17" t="s">
        <v>116</v>
      </c>
      <c r="D68" s="83">
        <v>4.3</v>
      </c>
      <c r="E68" s="83">
        <v>7.1</v>
      </c>
      <c r="F68" s="268">
        <v>0.98699999999999999</v>
      </c>
      <c r="H68" s="17" t="s">
        <v>117</v>
      </c>
      <c r="J68" s="83">
        <v>2345</v>
      </c>
      <c r="K68" s="83">
        <v>2530</v>
      </c>
      <c r="L68" s="256">
        <f t="shared" si="3"/>
        <v>2437.5</v>
      </c>
    </row>
    <row r="69" spans="2:12">
      <c r="B69" s="30" t="s">
        <v>118</v>
      </c>
      <c r="C69" s="30"/>
      <c r="D69" s="257">
        <v>0.75</v>
      </c>
      <c r="E69" s="257">
        <v>9.3000000000000007</v>
      </c>
      <c r="F69" s="259">
        <v>0.996</v>
      </c>
      <c r="H69" s="30" t="s">
        <v>119</v>
      </c>
      <c r="I69" s="30"/>
      <c r="J69" s="257">
        <v>705</v>
      </c>
      <c r="K69" s="257">
        <v>760</v>
      </c>
      <c r="L69" s="258">
        <f t="shared" si="3"/>
        <v>732.5</v>
      </c>
    </row>
    <row r="70" spans="2:12">
      <c r="B70" s="37" t="s">
        <v>45</v>
      </c>
      <c r="D70" s="256">
        <f>SUM(D68:D69)</f>
        <v>5.05</v>
      </c>
      <c r="E70" s="256" t="s">
        <v>109</v>
      </c>
      <c r="F70" s="263" t="s">
        <v>109</v>
      </c>
      <c r="J70" s="20"/>
      <c r="K70" s="20"/>
      <c r="L70" s="20"/>
    </row>
    <row r="71" spans="2:12">
      <c r="B71" s="34" t="s">
        <v>108</v>
      </c>
      <c r="C71" s="30"/>
      <c r="D71" s="258" t="s">
        <v>109</v>
      </c>
      <c r="E71" s="269">
        <f>(E68*(D68/$D$70))+(E69*(D69/$D$70))</f>
        <v>7.4267326732673258</v>
      </c>
      <c r="F71" s="264">
        <f>F68*(D68/$D$70)+F69*(D69/$D$70)</f>
        <v>0.98833663366336633</v>
      </c>
      <c r="H71" s="16" t="s">
        <v>120</v>
      </c>
      <c r="I71" s="53"/>
      <c r="J71" s="65" t="s">
        <v>121</v>
      </c>
      <c r="K71" s="65" t="s">
        <v>122</v>
      </c>
      <c r="L71" s="65" t="s">
        <v>123</v>
      </c>
    </row>
    <row r="72" spans="2:12">
      <c r="D72" s="20"/>
      <c r="E72" s="20"/>
      <c r="F72" s="20"/>
      <c r="H72" s="17" t="s">
        <v>124</v>
      </c>
      <c r="J72" s="106">
        <v>1</v>
      </c>
      <c r="K72" s="83">
        <v>801.85</v>
      </c>
      <c r="L72" s="256">
        <f>L67</f>
        <v>2292.5</v>
      </c>
    </row>
    <row r="73" spans="2:12">
      <c r="B73" s="21" t="s">
        <v>125</v>
      </c>
      <c r="C73" s="78"/>
      <c r="D73" s="142" t="s">
        <v>126</v>
      </c>
      <c r="E73" s="142" t="s">
        <v>127</v>
      </c>
      <c r="F73" s="142" t="s">
        <v>94</v>
      </c>
      <c r="H73" s="30" t="s">
        <v>128</v>
      </c>
      <c r="I73" s="30"/>
      <c r="J73" s="259">
        <v>1</v>
      </c>
      <c r="K73" s="257">
        <v>1885.96</v>
      </c>
      <c r="L73" s="258">
        <f>L67</f>
        <v>2292.5</v>
      </c>
    </row>
    <row r="74" spans="2:12">
      <c r="B74" s="17" t="s">
        <v>129</v>
      </c>
      <c r="D74" s="263">
        <f>1-D75</f>
        <v>0.99261458741022413</v>
      </c>
      <c r="E74" s="84">
        <f>E64</f>
        <v>15.616509583818699</v>
      </c>
      <c r="F74" s="263">
        <f>F64</f>
        <v>0.97394048501535524</v>
      </c>
      <c r="H74" s="17" t="s">
        <v>130</v>
      </c>
      <c r="J74" s="106">
        <v>1</v>
      </c>
      <c r="K74" s="83">
        <v>1885.96</v>
      </c>
      <c r="L74" s="256">
        <f>L73</f>
        <v>2292.5</v>
      </c>
    </row>
    <row r="75" spans="2:12">
      <c r="B75" s="30" t="s">
        <v>131</v>
      </c>
      <c r="C75" s="30"/>
      <c r="D75" s="270">
        <f>E126/E140</f>
        <v>7.3854125897758454E-3</v>
      </c>
      <c r="E75" s="271">
        <f>E71</f>
        <v>7.4267326732673258</v>
      </c>
      <c r="F75" s="270">
        <f>F71</f>
        <v>0.98833663366336633</v>
      </c>
      <c r="H75" s="30" t="s">
        <v>132</v>
      </c>
      <c r="I75" s="30"/>
      <c r="J75" s="259">
        <v>1</v>
      </c>
      <c r="K75" s="257">
        <v>1885.96</v>
      </c>
      <c r="L75" s="258">
        <f>L74</f>
        <v>2292.5</v>
      </c>
    </row>
    <row r="76" spans="2:12">
      <c r="H76" s="17" t="s">
        <v>133</v>
      </c>
      <c r="J76" s="20"/>
      <c r="K76" s="20"/>
      <c r="L76" s="20"/>
    </row>
    <row r="77" spans="2:12">
      <c r="B77" s="21" t="s">
        <v>134</v>
      </c>
      <c r="C77" s="228">
        <f>E74*D74+E75*D75</f>
        <v>15.556024702316057</v>
      </c>
      <c r="H77" s="32" t="s">
        <v>135</v>
      </c>
      <c r="I77" s="30"/>
      <c r="J77" s="259">
        <f>D126</f>
        <v>0.2</v>
      </c>
      <c r="K77" s="257">
        <f>D126*$E$88</f>
        <v>361.166</v>
      </c>
      <c r="L77" s="258">
        <f>L68</f>
        <v>2437.5</v>
      </c>
    </row>
    <row r="78" spans="2:12">
      <c r="B78" s="21" t="s">
        <v>136</v>
      </c>
      <c r="C78" s="166">
        <f>F74*D74+F75*D75</f>
        <v>0.97404680651282449</v>
      </c>
      <c r="H78" s="33" t="s">
        <v>137</v>
      </c>
      <c r="J78" s="106">
        <f>D127</f>
        <v>0.8</v>
      </c>
      <c r="K78" s="83">
        <f>D127*$E$88</f>
        <v>1444.664</v>
      </c>
      <c r="L78" s="256">
        <f>L66</f>
        <v>4020</v>
      </c>
    </row>
    <row r="79" spans="2:12">
      <c r="B79" s="21" t="s">
        <v>138</v>
      </c>
      <c r="C79" s="166">
        <f>1-C78</f>
        <v>2.5953193487175508E-2</v>
      </c>
      <c r="H79" s="30" t="s">
        <v>139</v>
      </c>
      <c r="I79" s="30"/>
      <c r="J79" s="259"/>
      <c r="K79" s="257"/>
      <c r="L79" s="258"/>
    </row>
    <row r="80" spans="2:12">
      <c r="H80" s="33" t="s">
        <v>140</v>
      </c>
      <c r="J80" s="106">
        <f>D129</f>
        <v>0.8</v>
      </c>
      <c r="K80" s="83">
        <f>D129*$E$89</f>
        <v>1443.864</v>
      </c>
      <c r="L80" s="256">
        <f>L78</f>
        <v>4020</v>
      </c>
    </row>
    <row r="81" spans="2:12">
      <c r="B81" s="16" t="s">
        <v>141</v>
      </c>
      <c r="C81" s="107"/>
      <c r="D81" s="107"/>
      <c r="E81" s="107"/>
      <c r="F81" s="107"/>
      <c r="H81" s="32" t="s">
        <v>142</v>
      </c>
      <c r="I81" s="30"/>
      <c r="J81" s="259">
        <f>D130</f>
        <v>0.2</v>
      </c>
      <c r="K81" s="257">
        <f>D130*$E$89</f>
        <v>360.96600000000001</v>
      </c>
      <c r="L81" s="258">
        <f>L66</f>
        <v>4020</v>
      </c>
    </row>
    <row r="82" spans="2:12">
      <c r="H82" s="17" t="s">
        <v>143</v>
      </c>
      <c r="J82" s="106"/>
      <c r="K82" s="83"/>
      <c r="L82" s="256"/>
    </row>
    <row r="83" spans="2:12">
      <c r="B83" s="329" t="s">
        <v>144</v>
      </c>
      <c r="C83" s="55" t="s">
        <v>145</v>
      </c>
      <c r="D83" s="55" t="s">
        <v>52</v>
      </c>
      <c r="E83" s="55" t="s">
        <v>122</v>
      </c>
      <c r="F83" s="55" t="s">
        <v>146</v>
      </c>
      <c r="H83" s="32" t="s">
        <v>147</v>
      </c>
      <c r="I83" s="30"/>
      <c r="J83" s="259">
        <f>D132</f>
        <v>1</v>
      </c>
      <c r="K83" s="257">
        <f>D132*$E$90</f>
        <v>1698.21</v>
      </c>
      <c r="L83" s="258">
        <f t="shared" ref="L83:L89" si="4">L81</f>
        <v>4020</v>
      </c>
    </row>
    <row r="84" spans="2:12">
      <c r="B84" s="17" t="s">
        <v>124</v>
      </c>
      <c r="C84" s="127">
        <v>746.08</v>
      </c>
      <c r="D84" s="127">
        <v>636.29999999999995</v>
      </c>
      <c r="E84" s="127">
        <v>801.85</v>
      </c>
      <c r="F84" s="127" t="s">
        <v>109</v>
      </c>
      <c r="G84" s="220"/>
      <c r="H84" s="17" t="s">
        <v>148</v>
      </c>
      <c r="J84" s="106"/>
      <c r="K84" s="83"/>
      <c r="L84" s="256"/>
    </row>
    <row r="85" spans="2:12">
      <c r="B85" s="30" t="s">
        <v>128</v>
      </c>
      <c r="C85" s="128" t="s">
        <v>109</v>
      </c>
      <c r="D85" s="128" t="s">
        <v>109</v>
      </c>
      <c r="E85" s="128">
        <v>1885.96</v>
      </c>
      <c r="F85" s="128">
        <v>55</v>
      </c>
      <c r="H85" s="32" t="s">
        <v>149</v>
      </c>
      <c r="I85" s="30"/>
      <c r="J85" s="259">
        <f>D134</f>
        <v>1</v>
      </c>
      <c r="K85" s="257">
        <f>D134*$E$91</f>
        <v>1698.21</v>
      </c>
      <c r="L85" s="258">
        <f t="shared" si="4"/>
        <v>4020</v>
      </c>
    </row>
    <row r="86" spans="2:12">
      <c r="B86" s="17" t="s">
        <v>130</v>
      </c>
      <c r="C86" s="127" t="s">
        <v>109</v>
      </c>
      <c r="D86" s="127" t="s">
        <v>109</v>
      </c>
      <c r="E86" s="127">
        <v>1885.96</v>
      </c>
      <c r="F86" s="127">
        <v>52</v>
      </c>
      <c r="G86" s="46"/>
      <c r="H86" s="17" t="s">
        <v>150</v>
      </c>
      <c r="J86" s="106"/>
      <c r="K86" s="83"/>
      <c r="L86" s="256"/>
    </row>
    <row r="87" spans="2:12">
      <c r="B87" s="30" t="s">
        <v>132</v>
      </c>
      <c r="C87" s="128" t="s">
        <v>109</v>
      </c>
      <c r="D87" s="128" t="s">
        <v>109</v>
      </c>
      <c r="E87" s="128">
        <v>1885.96</v>
      </c>
      <c r="F87" s="128">
        <v>52</v>
      </c>
      <c r="H87" s="32" t="s">
        <v>151</v>
      </c>
      <c r="I87" s="30"/>
      <c r="J87" s="259">
        <f>D136</f>
        <v>1</v>
      </c>
      <c r="K87" s="257">
        <f>D136*$E$92</f>
        <v>1698.21</v>
      </c>
      <c r="L87" s="258">
        <f t="shared" si="4"/>
        <v>4020</v>
      </c>
    </row>
    <row r="88" spans="2:12">
      <c r="B88" s="17" t="s">
        <v>133</v>
      </c>
      <c r="C88" s="127">
        <v>269.29000000000002</v>
      </c>
      <c r="D88" s="127">
        <v>255.69</v>
      </c>
      <c r="E88" s="127">
        <v>1805.83</v>
      </c>
      <c r="F88" s="127">
        <v>38</v>
      </c>
      <c r="H88" s="17" t="s">
        <v>152</v>
      </c>
      <c r="J88" s="106"/>
      <c r="K88" s="83"/>
      <c r="L88" s="256"/>
    </row>
    <row r="89" spans="2:12">
      <c r="B89" s="30" t="s">
        <v>139</v>
      </c>
      <c r="C89" s="128">
        <v>988.4</v>
      </c>
      <c r="D89" s="128">
        <v>985.01</v>
      </c>
      <c r="E89" s="128">
        <v>1804.83</v>
      </c>
      <c r="F89" s="128" t="s">
        <v>109</v>
      </c>
      <c r="H89" s="32" t="s">
        <v>151</v>
      </c>
      <c r="I89" s="30"/>
      <c r="J89" s="259">
        <v>0.9</v>
      </c>
      <c r="K89" s="257">
        <f>J89*$E$93</f>
        <v>1473.8489999999999</v>
      </c>
      <c r="L89" s="258">
        <f t="shared" si="4"/>
        <v>4020</v>
      </c>
    </row>
    <row r="90" spans="2:12">
      <c r="B90" s="17" t="s">
        <v>143</v>
      </c>
      <c r="C90" s="127">
        <v>1586.34</v>
      </c>
      <c r="D90" s="127">
        <v>1565.86</v>
      </c>
      <c r="E90" s="127">
        <v>1698.21</v>
      </c>
      <c r="F90" s="127" t="s">
        <v>109</v>
      </c>
      <c r="H90" s="33" t="s">
        <v>153</v>
      </c>
      <c r="J90" s="106">
        <v>0.1</v>
      </c>
      <c r="K90" s="83">
        <f>J90*$E$93</f>
        <v>163.761</v>
      </c>
      <c r="L90" s="256">
        <f>L89</f>
        <v>4020</v>
      </c>
    </row>
    <row r="91" spans="2:12">
      <c r="B91" s="30" t="s">
        <v>148</v>
      </c>
      <c r="C91" s="128">
        <v>1586.34</v>
      </c>
      <c r="D91" s="128">
        <v>1566.42</v>
      </c>
      <c r="E91" s="128">
        <v>1698.21</v>
      </c>
      <c r="F91" s="128" t="s">
        <v>109</v>
      </c>
      <c r="H91" s="17" t="s">
        <v>154</v>
      </c>
    </row>
    <row r="92" spans="2:12">
      <c r="B92" s="17" t="s">
        <v>150</v>
      </c>
      <c r="C92" s="127">
        <v>1586.34</v>
      </c>
      <c r="D92" s="127">
        <v>1566.42</v>
      </c>
      <c r="E92" s="127">
        <v>1698.21</v>
      </c>
      <c r="F92" s="127" t="s">
        <v>109</v>
      </c>
      <c r="H92" s="17" t="s">
        <v>155</v>
      </c>
    </row>
    <row r="93" spans="2:12">
      <c r="B93" s="30" t="s">
        <v>152</v>
      </c>
      <c r="C93" s="128">
        <v>999.14</v>
      </c>
      <c r="D93" s="128">
        <v>984.79</v>
      </c>
      <c r="E93" s="128">
        <v>1637.61</v>
      </c>
      <c r="F93" s="128" t="s">
        <v>109</v>
      </c>
      <c r="H93" s="17" t="s">
        <v>156</v>
      </c>
    </row>
    <row r="94" spans="2:12">
      <c r="B94" s="37" t="s">
        <v>45</v>
      </c>
      <c r="C94" s="235">
        <f>SUM(C84:C93)</f>
        <v>7761.93</v>
      </c>
      <c r="D94" s="235">
        <f>SUM(D84:D93)</f>
        <v>7560.49</v>
      </c>
      <c r="E94" s="235">
        <f>SUM(E84:E93)</f>
        <v>16802.63</v>
      </c>
      <c r="F94" s="235">
        <f>SUM(F85:F93)</f>
        <v>197</v>
      </c>
      <c r="H94" s="17" t="s">
        <v>157</v>
      </c>
    </row>
    <row r="95" spans="2:12">
      <c r="B95" s="17" t="s">
        <v>158</v>
      </c>
    </row>
    <row r="96" spans="2:12">
      <c r="H96" s="16" t="s">
        <v>159</v>
      </c>
      <c r="I96" s="53"/>
      <c r="J96" s="44"/>
      <c r="K96" s="65" t="s">
        <v>122</v>
      </c>
      <c r="L96" s="65" t="s">
        <v>160</v>
      </c>
    </row>
    <row r="97" spans="2:12">
      <c r="H97" s="17" t="s">
        <v>161</v>
      </c>
      <c r="J97" s="127"/>
      <c r="K97" s="83"/>
      <c r="L97" s="83"/>
    </row>
    <row r="98" spans="2:12">
      <c r="B98" s="16" t="s">
        <v>162</v>
      </c>
      <c r="C98" s="16"/>
      <c r="D98" s="16"/>
      <c r="E98" s="16"/>
      <c r="F98" s="16"/>
      <c r="H98" s="30" t="s">
        <v>163</v>
      </c>
      <c r="I98" s="30"/>
      <c r="J98" s="126"/>
      <c r="K98" s="207">
        <f>2*172.65</f>
        <v>345.3</v>
      </c>
      <c r="L98" s="207">
        <v>79.3</v>
      </c>
    </row>
    <row r="99" spans="2:12">
      <c r="B99" s="21" t="s">
        <v>164</v>
      </c>
      <c r="C99" s="21" t="s">
        <v>165</v>
      </c>
      <c r="D99" s="21" t="s">
        <v>166</v>
      </c>
      <c r="E99" s="21" t="s">
        <v>167</v>
      </c>
      <c r="F99" s="21" t="s">
        <v>168</v>
      </c>
      <c r="H99" s="17" t="s">
        <v>169</v>
      </c>
      <c r="J99" s="229"/>
      <c r="K99" s="105">
        <f>2*172.65</f>
        <v>345.3</v>
      </c>
      <c r="L99" s="105">
        <v>47.2</v>
      </c>
    </row>
    <row r="100" spans="2:12">
      <c r="B100" s="17" t="s">
        <v>170</v>
      </c>
      <c r="C100" s="17" t="s">
        <v>171</v>
      </c>
      <c r="D100" s="272">
        <v>45017</v>
      </c>
      <c r="E100" s="265">
        <v>600</v>
      </c>
      <c r="F100" s="22">
        <f>E100*(1+DCF!$C$11)^((DCF!$C$6-Assumptions!D100)/365)</f>
        <v>632.52633583589318</v>
      </c>
      <c r="H100" s="30" t="s">
        <v>172</v>
      </c>
      <c r="I100" s="30"/>
      <c r="J100" s="126"/>
      <c r="K100" s="207"/>
      <c r="L100" s="207"/>
    </row>
    <row r="101" spans="2:12">
      <c r="B101" s="30" t="s">
        <v>173</v>
      </c>
      <c r="C101" s="30" t="s">
        <v>149</v>
      </c>
      <c r="D101" s="273">
        <v>45108</v>
      </c>
      <c r="E101" s="240">
        <v>595</v>
      </c>
      <c r="F101" s="40">
        <f>E101*(1+DCF!$C$11)^((DCF!$C$6-Assumptions!D101)/365)</f>
        <v>619.96611500010886</v>
      </c>
      <c r="H101" s="17" t="s">
        <v>163</v>
      </c>
      <c r="J101" s="229"/>
      <c r="K101" s="105">
        <f>2*15.32*11.77</f>
        <v>360.63279999999997</v>
      </c>
      <c r="L101" s="105">
        <v>79.3</v>
      </c>
    </row>
    <row r="102" spans="2:12">
      <c r="B102" s="17" t="s">
        <v>174</v>
      </c>
      <c r="C102" s="17" t="s">
        <v>175</v>
      </c>
      <c r="D102" s="272">
        <v>43831</v>
      </c>
      <c r="E102" s="265">
        <v>1162</v>
      </c>
      <c r="F102" s="22">
        <f>E102*(1+DCF!$C$11)^((DCF!$C$6-Assumptions!D102)/365)</f>
        <v>1426.5720558873134</v>
      </c>
      <c r="H102" s="30" t="s">
        <v>169</v>
      </c>
      <c r="I102" s="30"/>
      <c r="J102" s="126"/>
      <c r="K102" s="207">
        <f>2*15.32*11.77</f>
        <v>360.63279999999997</v>
      </c>
      <c r="L102" s="207">
        <v>47.2</v>
      </c>
    </row>
    <row r="103" spans="2:12">
      <c r="B103" s="30" t="s">
        <v>176</v>
      </c>
      <c r="C103" s="30" t="s">
        <v>177</v>
      </c>
      <c r="D103" s="273">
        <v>44287</v>
      </c>
      <c r="E103" s="240">
        <v>724</v>
      </c>
      <c r="F103" s="40">
        <f>E103*(1+DCF!$C$11)^((DCF!$C$6-Assumptions!D103)/365)</f>
        <v>838.27882040304507</v>
      </c>
      <c r="H103" s="17" t="s">
        <v>178</v>
      </c>
      <c r="J103" s="229"/>
      <c r="K103" s="105"/>
      <c r="L103" s="105"/>
    </row>
    <row r="104" spans="2:12">
      <c r="B104" s="17" t="s">
        <v>179</v>
      </c>
      <c r="C104" s="17" t="s">
        <v>137</v>
      </c>
      <c r="D104" s="272">
        <v>44531</v>
      </c>
      <c r="E104" s="265">
        <v>1315</v>
      </c>
      <c r="F104" s="22">
        <f>E104*(1+DCF!$C$11)^((DCF!$C$6-Assumptions!D104)/365)</f>
        <v>1475.585239408018</v>
      </c>
      <c r="H104" s="30" t="s">
        <v>163</v>
      </c>
      <c r="I104" s="30"/>
      <c r="J104" s="126"/>
      <c r="K104" s="207">
        <f>2*9.87*12.73</f>
        <v>251.2902</v>
      </c>
      <c r="L104" s="207">
        <v>79.3</v>
      </c>
    </row>
    <row r="105" spans="2:12">
      <c r="B105" s="30" t="s">
        <v>180</v>
      </c>
      <c r="C105" s="30" t="s">
        <v>142</v>
      </c>
      <c r="D105" s="273">
        <v>44013</v>
      </c>
      <c r="E105" s="240">
        <v>515</v>
      </c>
      <c r="F105" s="40">
        <f>E105*(1+DCF!$C$11)^((DCF!$C$6-Assumptions!D105)/365)</f>
        <v>617.64945779729692</v>
      </c>
      <c r="H105" s="30" t="s">
        <v>169</v>
      </c>
      <c r="J105" s="229"/>
      <c r="K105" s="105">
        <f>2*9.87*12.73</f>
        <v>251.2902</v>
      </c>
      <c r="L105" s="105">
        <v>47.2</v>
      </c>
    </row>
    <row r="106" spans="2:12">
      <c r="B106" s="17" t="s">
        <v>181</v>
      </c>
      <c r="C106" s="17" t="s">
        <v>137</v>
      </c>
      <c r="D106" s="272">
        <v>43525</v>
      </c>
      <c r="E106" s="265">
        <v>1260</v>
      </c>
      <c r="F106" s="22">
        <f>E106*(1+DCF!$C$11)^((DCF!$C$6-Assumptions!D106)/365)</f>
        <v>1608.896609834522</v>
      </c>
      <c r="H106" s="30" t="s">
        <v>182</v>
      </c>
      <c r="I106" s="30"/>
      <c r="J106" s="126"/>
      <c r="K106" s="207"/>
      <c r="L106" s="207"/>
    </row>
    <row r="107" spans="2:12">
      <c r="B107" s="30" t="s">
        <v>183</v>
      </c>
      <c r="C107" s="30" t="s">
        <v>184</v>
      </c>
      <c r="D107" s="273">
        <v>44136</v>
      </c>
      <c r="E107" s="240">
        <v>545</v>
      </c>
      <c r="F107" s="40">
        <f>E107*(1+DCF!$C$11)^((DCF!$C$6-Assumptions!D107)/365)</f>
        <v>643.38341923087114</v>
      </c>
      <c r="H107" s="17" t="s">
        <v>163</v>
      </c>
      <c r="J107" s="229"/>
      <c r="K107" s="105">
        <v>259.32</v>
      </c>
      <c r="L107" s="105">
        <v>79.3</v>
      </c>
    </row>
    <row r="108" spans="2:12">
      <c r="B108" s="17" t="s">
        <v>185</v>
      </c>
      <c r="C108" s="17" t="s">
        <v>186</v>
      </c>
      <c r="D108" s="272">
        <v>43678</v>
      </c>
      <c r="E108" s="265">
        <v>640</v>
      </c>
      <c r="F108" s="22">
        <f>E108*(1+DCF!$C$11)^((DCF!$C$6-Assumptions!D108)/365)</f>
        <v>801.31368914397729</v>
      </c>
      <c r="H108" s="30" t="s">
        <v>187</v>
      </c>
      <c r="I108" s="30"/>
      <c r="J108" s="126"/>
      <c r="K108" s="207"/>
      <c r="L108" s="207"/>
    </row>
    <row r="109" spans="2:12">
      <c r="B109" s="30" t="s">
        <v>188</v>
      </c>
      <c r="C109" s="30" t="s">
        <v>142</v>
      </c>
      <c r="D109" s="273">
        <v>44013</v>
      </c>
      <c r="E109" s="240">
        <v>600</v>
      </c>
      <c r="F109" s="40">
        <f>E109*(1+DCF!$C$11)^((DCF!$C$6-Assumptions!D109)/365)</f>
        <v>719.59160131723911</v>
      </c>
      <c r="H109" s="17" t="s">
        <v>189</v>
      </c>
      <c r="J109" s="229"/>
      <c r="K109" s="105">
        <f>22.49*18.13</f>
        <v>407.74369999999993</v>
      </c>
      <c r="L109" s="105">
        <v>59.8</v>
      </c>
    </row>
    <row r="110" spans="2:12">
      <c r="B110" s="17" t="s">
        <v>190</v>
      </c>
      <c r="C110" s="17" t="s">
        <v>191</v>
      </c>
      <c r="D110" s="272">
        <v>44470</v>
      </c>
      <c r="E110" s="265">
        <v>526</v>
      </c>
      <c r="F110" s="22">
        <f>E110*(1+DCF!$C$11)^((DCF!$C$6-Assumptions!D110)/365)</f>
        <v>594.87694539811673</v>
      </c>
      <c r="H110" s="34" t="s">
        <v>45</v>
      </c>
      <c r="I110" s="30"/>
      <c r="J110" s="236"/>
      <c r="K110" s="35">
        <f>SUM(K97:K109)</f>
        <v>2581.5097000000001</v>
      </c>
      <c r="L110" s="35">
        <f>SUM(L97:L109)</f>
        <v>518.6</v>
      </c>
    </row>
    <row r="111" spans="2:12">
      <c r="B111" s="30" t="s">
        <v>192</v>
      </c>
      <c r="C111" s="30" t="s">
        <v>149</v>
      </c>
      <c r="D111" s="273">
        <v>44075</v>
      </c>
      <c r="E111" s="240">
        <v>850</v>
      </c>
      <c r="F111" s="40">
        <f>E111*(1+DCF!$C$11)^((DCF!$C$6-Assumptions!D111)/365)</f>
        <v>1011.3352210101039</v>
      </c>
      <c r="H111" s="17" t="s">
        <v>154</v>
      </c>
      <c r="I111" s="237"/>
      <c r="K111" s="260"/>
      <c r="L111" s="20"/>
    </row>
    <row r="113" spans="2:12">
      <c r="B113" s="16" t="s">
        <v>193</v>
      </c>
      <c r="C113" s="16"/>
      <c r="D113" s="53"/>
      <c r="E113" s="53"/>
      <c r="F113" s="65" t="s">
        <v>194</v>
      </c>
      <c r="H113" s="16" t="s">
        <v>195</v>
      </c>
      <c r="I113" s="250"/>
      <c r="J113" s="250"/>
      <c r="K113" s="250"/>
      <c r="L113" s="43" t="s">
        <v>196</v>
      </c>
    </row>
    <row r="114" spans="2:12">
      <c r="B114" s="17" t="s">
        <v>184</v>
      </c>
      <c r="F114" s="22">
        <f>F107</f>
        <v>643.38341923087114</v>
      </c>
      <c r="H114" s="17" t="s">
        <v>197</v>
      </c>
      <c r="I114" s="20"/>
      <c r="J114" s="20"/>
      <c r="K114" s="20"/>
      <c r="L114" s="130">
        <v>0.03</v>
      </c>
    </row>
    <row r="115" spans="2:12">
      <c r="B115" s="30" t="s">
        <v>137</v>
      </c>
      <c r="C115" s="30"/>
      <c r="D115" s="30"/>
      <c r="E115" s="30"/>
      <c r="F115" s="40">
        <f>AVERAGE(F106,F104)</f>
        <v>1542.2409246212701</v>
      </c>
      <c r="I115" s="20"/>
      <c r="J115" s="20"/>
      <c r="K115" s="20"/>
    </row>
    <row r="116" spans="2:12">
      <c r="B116" s="17" t="s">
        <v>140</v>
      </c>
      <c r="F116" s="22">
        <f>AVERAGE(F100,F103,)</f>
        <v>490.2683854129794</v>
      </c>
      <c r="H116" s="330" t="s">
        <v>198</v>
      </c>
      <c r="I116" s="250"/>
      <c r="J116" s="250"/>
      <c r="K116" s="250"/>
      <c r="L116" s="75" t="s">
        <v>199</v>
      </c>
    </row>
    <row r="117" spans="2:12">
      <c r="B117" s="30" t="s">
        <v>142</v>
      </c>
      <c r="C117" s="30"/>
      <c r="D117" s="30"/>
      <c r="E117" s="30"/>
      <c r="F117" s="40">
        <f>AVERAGE(F109,F105)</f>
        <v>668.62052955726801</v>
      </c>
      <c r="H117" s="37" t="s">
        <v>200</v>
      </c>
      <c r="I117" s="238"/>
      <c r="J117" s="238"/>
      <c r="K117" s="238"/>
      <c r="L117" s="119">
        <f>SUM(L118:L122)+(L124*C88*52)</f>
        <v>146934.95400000003</v>
      </c>
    </row>
    <row r="118" spans="2:12">
      <c r="B118" s="17" t="s">
        <v>201</v>
      </c>
      <c r="F118" s="22">
        <f>F102</f>
        <v>1426.5720558873134</v>
      </c>
      <c r="H118" s="32" t="s">
        <v>202</v>
      </c>
      <c r="I118" s="30"/>
      <c r="J118" s="30"/>
      <c r="K118" s="30"/>
      <c r="L118" s="239">
        <v>528</v>
      </c>
    </row>
    <row r="119" spans="2:12">
      <c r="B119" s="30" t="s">
        <v>149</v>
      </c>
      <c r="C119" s="30"/>
      <c r="D119" s="30"/>
      <c r="E119" s="30"/>
      <c r="F119" s="40">
        <f>AVERAGE(F111,F101)</f>
        <v>815.65066800510635</v>
      </c>
      <c r="H119" s="33" t="s">
        <v>203</v>
      </c>
      <c r="L119" s="203">
        <v>1716</v>
      </c>
    </row>
    <row r="120" spans="2:12">
      <c r="B120" s="17" t="s">
        <v>204</v>
      </c>
      <c r="F120" s="22">
        <f>AVERAGE(F122,F121,F102)</f>
        <v>940.92089680980246</v>
      </c>
      <c r="H120" s="32" t="s">
        <v>205</v>
      </c>
      <c r="I120" s="30"/>
      <c r="J120" s="30"/>
      <c r="K120" s="30"/>
      <c r="L120" s="239">
        <v>1056</v>
      </c>
    </row>
    <row r="121" spans="2:12">
      <c r="B121" s="32" t="s">
        <v>186</v>
      </c>
      <c r="C121" s="30"/>
      <c r="D121" s="30"/>
      <c r="E121" s="30"/>
      <c r="F121" s="40">
        <f>F108</f>
        <v>801.31368914397729</v>
      </c>
      <c r="H121" s="33" t="s">
        <v>206</v>
      </c>
      <c r="L121" s="203">
        <v>2244</v>
      </c>
    </row>
    <row r="122" spans="2:12">
      <c r="B122" s="33" t="s">
        <v>191</v>
      </c>
      <c r="F122" s="22">
        <f>F110</f>
        <v>594.87694539811673</v>
      </c>
      <c r="H122" s="32" t="s">
        <v>207</v>
      </c>
      <c r="I122" s="30"/>
      <c r="J122" s="30"/>
      <c r="K122" s="30"/>
      <c r="L122" s="239">
        <v>660</v>
      </c>
    </row>
    <row r="123" spans="2:12">
      <c r="H123" s="33" t="s">
        <v>208</v>
      </c>
    </row>
    <row r="124" spans="2:12">
      <c r="B124" s="16" t="s">
        <v>209</v>
      </c>
      <c r="C124" s="53"/>
      <c r="D124" s="65" t="s">
        <v>121</v>
      </c>
      <c r="E124" s="65" t="s">
        <v>52</v>
      </c>
      <c r="F124" s="65" t="s">
        <v>210</v>
      </c>
      <c r="H124" s="261" t="s">
        <v>211</v>
      </c>
      <c r="I124" s="30"/>
      <c r="J124" s="30"/>
      <c r="K124" s="30"/>
      <c r="L124" s="240">
        <v>10.050000000000001</v>
      </c>
    </row>
    <row r="125" spans="2:12">
      <c r="B125" s="17" t="s">
        <v>133</v>
      </c>
      <c r="D125" s="20"/>
      <c r="E125" s="20"/>
      <c r="F125" s="20"/>
      <c r="H125" s="37" t="s">
        <v>212</v>
      </c>
      <c r="I125" s="20"/>
      <c r="J125" s="20"/>
      <c r="K125" s="20"/>
      <c r="L125" s="119">
        <f>512+384*3</f>
        <v>1664</v>
      </c>
    </row>
    <row r="126" spans="2:12">
      <c r="B126" s="32" t="s">
        <v>135</v>
      </c>
      <c r="C126" s="30"/>
      <c r="D126" s="259">
        <v>0.2</v>
      </c>
      <c r="E126" s="257">
        <f>D126*D88</f>
        <v>51.138000000000005</v>
      </c>
      <c r="F126" s="31">
        <f>F114</f>
        <v>643.38341923087114</v>
      </c>
      <c r="H126" s="34" t="s">
        <v>213</v>
      </c>
      <c r="I126" s="30"/>
      <c r="J126" s="30"/>
      <c r="K126" s="30"/>
      <c r="L126" s="262">
        <f>SUM(L127:L130)</f>
        <v>3432</v>
      </c>
    </row>
    <row r="127" spans="2:12">
      <c r="B127" s="33" t="s">
        <v>137</v>
      </c>
      <c r="D127" s="106">
        <v>0.8</v>
      </c>
      <c r="E127" s="83">
        <f>D127*D88</f>
        <v>204.55200000000002</v>
      </c>
      <c r="F127" s="19">
        <f>F115</f>
        <v>1542.2409246212701</v>
      </c>
      <c r="H127" s="33" t="s">
        <v>214</v>
      </c>
      <c r="L127" s="203">
        <v>792</v>
      </c>
    </row>
    <row r="128" spans="2:12">
      <c r="B128" s="30" t="s">
        <v>139</v>
      </c>
      <c r="C128" s="30"/>
      <c r="D128" s="259"/>
      <c r="E128" s="257"/>
      <c r="F128" s="258"/>
      <c r="H128" s="32" t="s">
        <v>215</v>
      </c>
      <c r="I128" s="30"/>
      <c r="J128" s="30"/>
      <c r="K128" s="30"/>
      <c r="L128" s="239"/>
    </row>
    <row r="129" spans="2:12">
      <c r="B129" s="33" t="s">
        <v>140</v>
      </c>
      <c r="D129" s="106">
        <v>0.8</v>
      </c>
      <c r="E129" s="83">
        <f>D129*D89</f>
        <v>788.00800000000004</v>
      </c>
      <c r="F129" s="19">
        <f>F116</f>
        <v>490.2683854129794</v>
      </c>
      <c r="H129" s="91" t="s">
        <v>216</v>
      </c>
      <c r="L129" s="203">
        <v>1980</v>
      </c>
    </row>
    <row r="130" spans="2:12">
      <c r="B130" s="32" t="s">
        <v>142</v>
      </c>
      <c r="C130" s="30"/>
      <c r="D130" s="259">
        <v>0.2</v>
      </c>
      <c r="E130" s="257">
        <f>D130*D89</f>
        <v>197.00200000000001</v>
      </c>
      <c r="F130" s="31">
        <f>F117</f>
        <v>668.62052955726801</v>
      </c>
      <c r="H130" s="261" t="s">
        <v>217</v>
      </c>
      <c r="I130" s="30"/>
      <c r="J130" s="30"/>
      <c r="K130" s="30"/>
      <c r="L130" s="239">
        <v>660</v>
      </c>
    </row>
    <row r="131" spans="2:12">
      <c r="B131" s="17" t="s">
        <v>143</v>
      </c>
      <c r="D131" s="106"/>
      <c r="E131" s="83"/>
      <c r="F131" s="256"/>
      <c r="H131" s="37" t="s">
        <v>218</v>
      </c>
      <c r="L131" s="119">
        <f>SUM(L132:L145)</f>
        <v>23368</v>
      </c>
    </row>
    <row r="132" spans="2:12">
      <c r="B132" s="32" t="s">
        <v>147</v>
      </c>
      <c r="C132" s="30"/>
      <c r="D132" s="259">
        <v>1</v>
      </c>
      <c r="E132" s="257">
        <f>D132*D90</f>
        <v>1565.86</v>
      </c>
      <c r="F132" s="31">
        <f>F118</f>
        <v>1426.5720558873134</v>
      </c>
      <c r="H132" s="32" t="s">
        <v>219</v>
      </c>
      <c r="I132" s="30"/>
      <c r="J132" s="30"/>
      <c r="K132" s="30"/>
      <c r="L132" s="239">
        <v>258</v>
      </c>
    </row>
    <row r="133" spans="2:12">
      <c r="B133" s="17" t="s">
        <v>148</v>
      </c>
      <c r="D133" s="106"/>
      <c r="E133" s="83"/>
      <c r="F133" s="256"/>
      <c r="H133" s="33" t="s">
        <v>220</v>
      </c>
      <c r="L133" s="203">
        <v>882</v>
      </c>
    </row>
    <row r="134" spans="2:12">
      <c r="B134" s="32" t="s">
        <v>149</v>
      </c>
      <c r="C134" s="30"/>
      <c r="D134" s="259">
        <v>1</v>
      </c>
      <c r="E134" s="257">
        <f>D91*D134</f>
        <v>1566.42</v>
      </c>
      <c r="F134" s="31">
        <f>F119</f>
        <v>815.65066800510635</v>
      </c>
      <c r="H134" s="32" t="s">
        <v>221</v>
      </c>
      <c r="I134" s="30"/>
      <c r="J134" s="30"/>
      <c r="K134" s="30"/>
      <c r="L134" s="239">
        <v>1597</v>
      </c>
    </row>
    <row r="135" spans="2:12">
      <c r="B135" s="17" t="s">
        <v>150</v>
      </c>
      <c r="D135" s="106"/>
      <c r="E135" s="83"/>
      <c r="F135" s="256"/>
      <c r="H135" s="33" t="s">
        <v>222</v>
      </c>
      <c r="L135" s="203">
        <v>2313</v>
      </c>
    </row>
    <row r="136" spans="2:12">
      <c r="B136" s="32" t="s">
        <v>151</v>
      </c>
      <c r="C136" s="30"/>
      <c r="D136" s="259">
        <v>1</v>
      </c>
      <c r="E136" s="257">
        <f>D92*D136</f>
        <v>1566.42</v>
      </c>
      <c r="F136" s="31">
        <f>F120</f>
        <v>940.92089680980246</v>
      </c>
      <c r="H136" s="32" t="s">
        <v>223</v>
      </c>
      <c r="I136" s="30"/>
      <c r="J136" s="30"/>
      <c r="K136" s="30"/>
      <c r="L136" s="239">
        <v>679</v>
      </c>
    </row>
    <row r="137" spans="2:12">
      <c r="B137" s="32"/>
      <c r="C137" s="30"/>
      <c r="D137" s="259"/>
      <c r="E137" s="257"/>
      <c r="F137" s="31"/>
      <c r="H137" s="32"/>
      <c r="I137" s="30"/>
      <c r="J137" s="30"/>
      <c r="K137" s="30"/>
      <c r="L137" s="239"/>
    </row>
    <row r="138" spans="2:12">
      <c r="B138" s="17" t="s">
        <v>152</v>
      </c>
      <c r="D138" s="106"/>
      <c r="E138" s="83"/>
      <c r="F138" s="256"/>
      <c r="H138" s="33" t="s">
        <v>224</v>
      </c>
      <c r="L138" s="203"/>
    </row>
    <row r="139" spans="2:12">
      <c r="B139" s="32" t="s">
        <v>151</v>
      </c>
      <c r="C139" s="30"/>
      <c r="D139" s="259">
        <v>1</v>
      </c>
      <c r="E139" s="257">
        <f>D93*D139</f>
        <v>984.79</v>
      </c>
      <c r="F139" s="31">
        <f>F120</f>
        <v>940.92089680980246</v>
      </c>
      <c r="H139" s="32" t="s">
        <v>225</v>
      </c>
      <c r="I139" s="30"/>
      <c r="J139" s="30"/>
      <c r="K139" s="30"/>
      <c r="L139" s="239">
        <v>3335</v>
      </c>
    </row>
    <row r="140" spans="2:12">
      <c r="B140" s="37"/>
      <c r="D140" s="46"/>
      <c r="E140" s="29">
        <f>SUM(E126:E139)</f>
        <v>6924.19</v>
      </c>
      <c r="F140" s="62"/>
      <c r="H140" s="33" t="s">
        <v>226</v>
      </c>
      <c r="L140" s="203">
        <v>3711</v>
      </c>
    </row>
    <row r="141" spans="2:12">
      <c r="B141" s="16" t="s">
        <v>227</v>
      </c>
      <c r="C141" s="65" t="s">
        <v>228</v>
      </c>
      <c r="H141" s="32" t="s">
        <v>229</v>
      </c>
      <c r="I141" s="30"/>
      <c r="J141" s="30"/>
      <c r="K141" s="30"/>
      <c r="L141" s="239">
        <v>1958</v>
      </c>
    </row>
    <row r="142" spans="2:12">
      <c r="B142" s="17" t="s">
        <v>230</v>
      </c>
      <c r="C142" s="83">
        <v>208</v>
      </c>
      <c r="H142" s="33" t="s">
        <v>231</v>
      </c>
      <c r="L142" s="203">
        <v>2057</v>
      </c>
    </row>
    <row r="143" spans="2:12">
      <c r="B143" s="30" t="s">
        <v>230</v>
      </c>
      <c r="C143" s="257">
        <v>208</v>
      </c>
      <c r="H143" s="32" t="s">
        <v>232</v>
      </c>
      <c r="I143" s="30"/>
      <c r="J143" s="30"/>
      <c r="K143" s="30"/>
      <c r="L143" s="239">
        <v>2820</v>
      </c>
    </row>
    <row r="144" spans="2:12">
      <c r="B144" s="17" t="s">
        <v>233</v>
      </c>
      <c r="C144" s="83">
        <v>244</v>
      </c>
      <c r="H144" s="33" t="s">
        <v>234</v>
      </c>
      <c r="L144" s="203">
        <v>1955</v>
      </c>
    </row>
    <row r="145" spans="2:12">
      <c r="B145" s="30" t="s">
        <v>235</v>
      </c>
      <c r="C145" s="257">
        <v>218</v>
      </c>
      <c r="H145" s="32" t="s">
        <v>236</v>
      </c>
      <c r="I145" s="30"/>
      <c r="J145" s="30"/>
      <c r="K145" s="30"/>
      <c r="L145" s="239">
        <v>1803</v>
      </c>
    </row>
    <row r="146" spans="2:12">
      <c r="B146" s="17" t="s">
        <v>237</v>
      </c>
      <c r="C146" s="83">
        <v>280</v>
      </c>
      <c r="H146" s="37" t="s">
        <v>45</v>
      </c>
      <c r="I146" s="37"/>
      <c r="J146" s="37"/>
      <c r="K146" s="37"/>
      <c r="L146" s="119">
        <f>L126+L117+L125+L131</f>
        <v>175398.95400000003</v>
      </c>
    </row>
    <row r="147" spans="2:12">
      <c r="B147" s="34" t="s">
        <v>76</v>
      </c>
      <c r="C147" s="276">
        <f>AVERAGE(C142:C146)</f>
        <v>231.6</v>
      </c>
    </row>
    <row r="148" spans="2:12">
      <c r="B148" s="37" t="s">
        <v>238</v>
      </c>
      <c r="C148" s="277">
        <f>C147*12</f>
        <v>2779.2</v>
      </c>
    </row>
    <row r="149" spans="2:12">
      <c r="H149" s="330" t="s">
        <v>239</v>
      </c>
      <c r="I149" s="250"/>
      <c r="J149" s="250"/>
      <c r="K149" s="250"/>
      <c r="L149" s="75" t="s">
        <v>199</v>
      </c>
    </row>
    <row r="150" spans="2:12">
      <c r="B150" s="16" t="s">
        <v>240</v>
      </c>
      <c r="C150" s="65"/>
      <c r="H150" s="41" t="s">
        <v>241</v>
      </c>
      <c r="L150" s="203">
        <v>119.44</v>
      </c>
    </row>
    <row r="151" spans="2:12">
      <c r="B151" s="17" t="s">
        <v>242</v>
      </c>
      <c r="C151" s="106">
        <v>0.5</v>
      </c>
      <c r="H151" s="42" t="s">
        <v>243</v>
      </c>
      <c r="I151" s="30"/>
      <c r="J151" s="30"/>
      <c r="K151" s="30"/>
      <c r="L151" s="239">
        <v>11.48</v>
      </c>
    </row>
    <row r="152" spans="2:12">
      <c r="B152" s="30" t="s">
        <v>244</v>
      </c>
      <c r="C152" s="274">
        <v>1470</v>
      </c>
      <c r="H152" s="37" t="s">
        <v>245</v>
      </c>
      <c r="I152" s="20"/>
      <c r="J152" s="20"/>
      <c r="K152" s="20"/>
      <c r="L152" s="119">
        <f>SUM(L153:L158)</f>
        <v>2023</v>
      </c>
    </row>
    <row r="153" spans="2:12">
      <c r="B153" s="17" t="s">
        <v>246</v>
      </c>
      <c r="C153" s="275">
        <v>1720</v>
      </c>
      <c r="H153" s="32" t="s">
        <v>247</v>
      </c>
      <c r="I153" s="242"/>
      <c r="J153" s="242"/>
      <c r="K153" s="242"/>
      <c r="L153" s="239">
        <v>73</v>
      </c>
    </row>
    <row r="154" spans="2:12">
      <c r="B154" s="30" t="s">
        <v>248</v>
      </c>
      <c r="C154" s="274">
        <v>1920</v>
      </c>
      <c r="H154" s="33" t="s">
        <v>249</v>
      </c>
      <c r="L154" s="203">
        <f>131+266+603+494</f>
        <v>1494</v>
      </c>
    </row>
    <row r="155" spans="2:12">
      <c r="B155" s="17" t="s">
        <v>250</v>
      </c>
      <c r="C155" s="275">
        <v>0.25</v>
      </c>
      <c r="H155" s="243" t="s">
        <v>251</v>
      </c>
      <c r="I155" s="30"/>
      <c r="J155" s="30"/>
      <c r="K155" s="30"/>
      <c r="L155" s="239">
        <v>131</v>
      </c>
    </row>
    <row r="156" spans="2:12">
      <c r="B156" s="17" t="s">
        <v>252</v>
      </c>
      <c r="C156" s="20"/>
      <c r="H156" s="244" t="s">
        <v>253</v>
      </c>
      <c r="L156" s="203">
        <v>226</v>
      </c>
    </row>
    <row r="157" spans="2:12" ht="17.100000000000001">
      <c r="B157" s="218" t="s">
        <v>254</v>
      </c>
      <c r="C157" s="241"/>
      <c r="H157" s="246" t="s">
        <v>255</v>
      </c>
      <c r="I157" s="30"/>
      <c r="J157" s="30"/>
      <c r="K157" s="30"/>
      <c r="L157" s="239">
        <v>26</v>
      </c>
    </row>
    <row r="158" spans="2:12" ht="17.100000000000001">
      <c r="H158" s="247" t="s">
        <v>256</v>
      </c>
      <c r="L158" s="203">
        <v>73</v>
      </c>
    </row>
    <row r="159" spans="2:12">
      <c r="C159" s="46"/>
      <c r="H159" s="34" t="s">
        <v>257</v>
      </c>
      <c r="I159" s="30"/>
      <c r="J159" s="30"/>
      <c r="K159" s="30"/>
      <c r="L159" s="262">
        <f>SUM(L161:L163)</f>
        <v>1000</v>
      </c>
    </row>
    <row r="160" spans="2:12">
      <c r="B160" s="100"/>
      <c r="C160" s="220"/>
      <c r="D160" s="220"/>
      <c r="E160" s="220"/>
      <c r="F160" s="220"/>
      <c r="H160" s="33" t="s">
        <v>258</v>
      </c>
      <c r="L160" s="203"/>
    </row>
    <row r="161" spans="2:12">
      <c r="H161" s="32" t="s">
        <v>259</v>
      </c>
      <c r="I161" s="30"/>
      <c r="J161" s="30"/>
      <c r="K161" s="30"/>
      <c r="L161" s="239">
        <v>131</v>
      </c>
    </row>
    <row r="162" spans="2:12">
      <c r="H162" s="33" t="s">
        <v>260</v>
      </c>
      <c r="L162" s="203">
        <v>266</v>
      </c>
    </row>
    <row r="163" spans="2:12">
      <c r="B163" s="100"/>
      <c r="C163" s="220"/>
      <c r="D163" s="220"/>
      <c r="E163" s="220"/>
      <c r="F163" s="220"/>
      <c r="H163" s="32" t="s">
        <v>261</v>
      </c>
      <c r="I163" s="30"/>
      <c r="J163" s="30"/>
      <c r="K163" s="30"/>
      <c r="L163" s="239">
        <v>603</v>
      </c>
    </row>
    <row r="164" spans="2:12">
      <c r="H164" s="37" t="s">
        <v>45</v>
      </c>
      <c r="I164" s="37"/>
      <c r="J164" s="37"/>
      <c r="K164" s="37"/>
      <c r="L164" s="119">
        <f>L159+L152+L150*SUM(C84:C87)+L151*SUM(C88:C93)</f>
        <v>172676.75320000004</v>
      </c>
    </row>
    <row r="165" spans="2:12">
      <c r="B165" s="37"/>
    </row>
    <row r="166" spans="2:12">
      <c r="C166" s="245"/>
    </row>
    <row r="167" spans="2:12">
      <c r="H167" s="16" t="s">
        <v>262</v>
      </c>
      <c r="I167" s="65" t="s">
        <v>263</v>
      </c>
      <c r="K167" s="16" t="s">
        <v>264</v>
      </c>
      <c r="L167" s="65" t="s">
        <v>197</v>
      </c>
    </row>
    <row r="168" spans="2:12">
      <c r="H168" s="17" t="s">
        <v>265</v>
      </c>
      <c r="I168" s="275">
        <v>8.5</v>
      </c>
      <c r="K168" s="17" t="s">
        <v>266</v>
      </c>
      <c r="L168" s="130">
        <v>0.03</v>
      </c>
    </row>
    <row r="169" spans="2:12">
      <c r="H169" s="30" t="s">
        <v>267</v>
      </c>
      <c r="I169" s="274">
        <v>43.5</v>
      </c>
      <c r="K169" s="30" t="s">
        <v>268</v>
      </c>
      <c r="L169" s="232">
        <v>0.03</v>
      </c>
    </row>
    <row r="170" spans="2:12" ht="14.25" customHeight="1">
      <c r="H170" s="17" t="s">
        <v>269</v>
      </c>
      <c r="I170" s="275">
        <v>7.7</v>
      </c>
      <c r="K170" s="17" t="s">
        <v>270</v>
      </c>
      <c r="L170" s="130">
        <v>0.03</v>
      </c>
    </row>
    <row r="171" spans="2:12">
      <c r="B171" s="100"/>
      <c r="C171" s="220"/>
      <c r="D171" s="220"/>
      <c r="E171" s="220"/>
      <c r="F171" s="220"/>
      <c r="H171" s="17" t="s">
        <v>271</v>
      </c>
      <c r="I171" s="275">
        <v>1.7</v>
      </c>
      <c r="K171" s="30" t="s">
        <v>272</v>
      </c>
      <c r="L171" s="232">
        <v>0.03</v>
      </c>
    </row>
    <row r="172" spans="2:12">
      <c r="H172" s="30" t="s">
        <v>273</v>
      </c>
      <c r="I172" s="274">
        <v>1.8</v>
      </c>
      <c r="K172" s="37" t="s">
        <v>274</v>
      </c>
      <c r="L172" s="248">
        <v>0.03</v>
      </c>
    </row>
    <row r="173" spans="2:12">
      <c r="H173" s="17" t="s">
        <v>275</v>
      </c>
      <c r="I173" s="275">
        <v>22.6</v>
      </c>
    </row>
    <row r="174" spans="2:12">
      <c r="H174" s="30" t="s">
        <v>276</v>
      </c>
      <c r="I174" s="274">
        <v>17.3</v>
      </c>
      <c r="J174" s="100"/>
    </row>
    <row r="175" spans="2:12">
      <c r="H175" s="17" t="s">
        <v>277</v>
      </c>
      <c r="I175" s="275">
        <v>7.9</v>
      </c>
    </row>
    <row r="176" spans="2:12">
      <c r="H176" s="30" t="s">
        <v>278</v>
      </c>
      <c r="I176" s="274">
        <v>3.2</v>
      </c>
    </row>
    <row r="177" spans="2:12">
      <c r="H177" s="17" t="s">
        <v>279</v>
      </c>
      <c r="I177" s="275">
        <v>8.9</v>
      </c>
    </row>
    <row r="178" spans="2:12">
      <c r="H178" s="30" t="s">
        <v>280</v>
      </c>
      <c r="I178" s="274">
        <v>20</v>
      </c>
    </row>
    <row r="179" spans="2:12">
      <c r="H179" s="17" t="s">
        <v>281</v>
      </c>
      <c r="I179" s="275">
        <v>13.9</v>
      </c>
    </row>
    <row r="180" spans="2:12">
      <c r="B180" s="17" t="s">
        <v>35</v>
      </c>
      <c r="H180" s="30" t="s">
        <v>282</v>
      </c>
      <c r="I180" s="274">
        <v>2</v>
      </c>
    </row>
    <row r="181" spans="2:12">
      <c r="H181" s="17" t="s">
        <v>283</v>
      </c>
      <c r="I181" s="84">
        <f>SUM(I168:I180)</f>
        <v>159.00000000000003</v>
      </c>
    </row>
    <row r="182" spans="2:12">
      <c r="H182" s="30" t="s">
        <v>284</v>
      </c>
      <c r="I182" s="271">
        <f>I181*0.1</f>
        <v>15.900000000000004</v>
      </c>
    </row>
    <row r="183" spans="2:12">
      <c r="H183" s="17" t="s">
        <v>45</v>
      </c>
      <c r="I183" s="228">
        <f>I181+I182</f>
        <v>174.90000000000003</v>
      </c>
    </row>
    <row r="184" spans="2:12">
      <c r="H184" s="17" t="s">
        <v>285</v>
      </c>
    </row>
    <row r="187" spans="2:12">
      <c r="H187" s="16" t="s">
        <v>286</v>
      </c>
      <c r="I187" s="65" t="s">
        <v>287</v>
      </c>
      <c r="J187" s="65" t="s">
        <v>288</v>
      </c>
      <c r="K187" s="65" t="s">
        <v>289</v>
      </c>
      <c r="L187" s="65" t="s">
        <v>290</v>
      </c>
    </row>
    <row r="188" spans="2:12">
      <c r="H188" s="30" t="s">
        <v>291</v>
      </c>
      <c r="I188" s="242" t="s">
        <v>292</v>
      </c>
      <c r="J188" s="257">
        <v>1600</v>
      </c>
      <c r="K188" s="259">
        <v>0.34</v>
      </c>
      <c r="L188" s="320" t="s">
        <v>293</v>
      </c>
    </row>
    <row r="189" spans="2:12">
      <c r="H189" s="230" t="s">
        <v>105</v>
      </c>
      <c r="I189" s="231" t="s">
        <v>294</v>
      </c>
      <c r="J189" s="321">
        <v>1800</v>
      </c>
      <c r="K189" s="322">
        <v>0.27900000000000003</v>
      </c>
      <c r="L189" s="323" t="s">
        <v>293</v>
      </c>
    </row>
    <row r="190" spans="2:12">
      <c r="H190" s="30" t="s">
        <v>295</v>
      </c>
      <c r="I190" s="242" t="s">
        <v>294</v>
      </c>
      <c r="J190" s="257">
        <v>359.7</v>
      </c>
      <c r="K190" s="259">
        <v>0.441</v>
      </c>
      <c r="L190" s="320" t="s">
        <v>296</v>
      </c>
    </row>
    <row r="191" spans="2:12">
      <c r="H191" s="230" t="s">
        <v>297</v>
      </c>
      <c r="I191" s="231" t="s">
        <v>298</v>
      </c>
      <c r="J191" s="321">
        <v>744.9</v>
      </c>
      <c r="K191" s="322">
        <v>0.35699999999999998</v>
      </c>
      <c r="L191" s="323" t="s">
        <v>293</v>
      </c>
    </row>
    <row r="192" spans="2:12">
      <c r="H192" s="30" t="s">
        <v>299</v>
      </c>
      <c r="I192" s="242" t="s">
        <v>294</v>
      </c>
      <c r="J192" s="257">
        <v>3108</v>
      </c>
      <c r="K192" s="324">
        <v>0.33300000000000002</v>
      </c>
      <c r="L192" s="320"/>
    </row>
    <row r="193" spans="8:12">
      <c r="H193" s="37" t="s">
        <v>108</v>
      </c>
      <c r="I193" s="20"/>
      <c r="J193" s="20"/>
      <c r="K193" s="166">
        <f>SUMPRODUCT(J188:J192,K188:K192)/SUM(J188:J192)</f>
        <v>0.32915442818485152</v>
      </c>
      <c r="L193" s="20"/>
    </row>
    <row r="194" spans="8:12">
      <c r="H194" s="17" t="s">
        <v>300</v>
      </c>
    </row>
    <row r="195" spans="8:12">
      <c r="H195" s="218" t="s">
        <v>301</v>
      </c>
    </row>
    <row r="196" spans="8:12">
      <c r="H196" s="218" t="s">
        <v>302</v>
      </c>
    </row>
    <row r="245" spans="7:7">
      <c r="G245" s="220"/>
    </row>
    <row r="246" spans="7:7">
      <c r="G246" s="220"/>
    </row>
    <row r="247" spans="7:7">
      <c r="G247" s="220"/>
    </row>
    <row r="248" spans="7:7">
      <c r="G248" s="220"/>
    </row>
    <row r="268" spans="7:7">
      <c r="G268" s="220"/>
    </row>
    <row r="279" spans="7:7">
      <c r="G279" s="220"/>
    </row>
  </sheetData>
  <mergeCells count="1">
    <mergeCell ref="E8:F8"/>
  </mergeCells>
  <phoneticPr fontId="2" type="noConversion"/>
  <hyperlinks>
    <hyperlink ref="H195" r:id="rId1" xr:uid="{D787A15B-420F-4385-A283-AB2CAF33FF41}"/>
    <hyperlink ref="H196" r:id="rId2" xr:uid="{167F142E-FEFD-4A68-BE93-7FCACBD8F456}"/>
    <hyperlink ref="B157" r:id="rId3" xr:uid="{AF97222D-772B-4760-AB88-8FE6D54853EE}"/>
  </hyperlinks>
  <pageMargins left="0.7" right="0.7" top="0.75" bottom="0.75" header="0.3" footer="0.3"/>
  <pageSetup paperSize="9" orientation="portrait" horizontalDpi="0" verticalDpi="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E8144-4CCE-9942-AE7E-6213203B5C28}">
  <sheetPr>
    <tabColor rgb="FF00B050"/>
  </sheetPr>
  <dimension ref="B1:L163"/>
  <sheetViews>
    <sheetView topLeftCell="A57" zoomScale="81" workbookViewId="0">
      <selection activeCell="F74" sqref="F74"/>
    </sheetView>
  </sheetViews>
  <sheetFormatPr defaultColWidth="10.875" defaultRowHeight="15.95"/>
  <cols>
    <col min="1" max="1" width="10.875" style="17"/>
    <col min="2" max="2" width="57.625" style="17" customWidth="1"/>
    <col min="3" max="3" width="10.875" style="17" customWidth="1"/>
    <col min="4" max="4" width="17.5" style="17" customWidth="1"/>
    <col min="5" max="5" width="17.625" style="17" customWidth="1"/>
    <col min="6" max="6" width="19.625" style="17" customWidth="1"/>
    <col min="7" max="7" width="20.875" style="17" customWidth="1"/>
    <col min="8" max="8" width="14.625" style="17" customWidth="1"/>
    <col min="9" max="9" width="17.375" style="17" customWidth="1"/>
    <col min="10" max="10" width="10.875" style="17"/>
    <col min="11" max="11" width="29.875" style="17" customWidth="1"/>
    <col min="12" max="12" width="22.875" style="17" customWidth="1"/>
    <col min="13" max="16384" width="10.875" style="17"/>
  </cols>
  <sheetData>
    <row r="1" spans="2:12" s="15" customFormat="1" ht="27">
      <c r="B1" s="14" t="s">
        <v>303</v>
      </c>
    </row>
    <row r="2" spans="2:12" s="15" customFormat="1">
      <c r="B2" s="16" t="s">
        <v>1</v>
      </c>
    </row>
    <row r="4" spans="2:12">
      <c r="C4" s="24"/>
      <c r="D4" s="24"/>
      <c r="E4" s="24"/>
      <c r="J4" s="25"/>
      <c r="K4" s="25"/>
      <c r="L4" s="25"/>
    </row>
    <row r="5" spans="2:12">
      <c r="B5" s="252" t="s">
        <v>304</v>
      </c>
      <c r="C5" s="250" t="s">
        <v>100</v>
      </c>
      <c r="D5" s="250" t="s">
        <v>101</v>
      </c>
      <c r="E5" s="250" t="s">
        <v>102</v>
      </c>
      <c r="F5" s="65" t="s">
        <v>305</v>
      </c>
      <c r="G5" s="75" t="s">
        <v>306</v>
      </c>
      <c r="H5" s="28"/>
      <c r="I5" s="28"/>
      <c r="J5" s="29"/>
      <c r="K5" s="29"/>
      <c r="L5" s="29"/>
    </row>
    <row r="6" spans="2:12">
      <c r="B6" s="17" t="s">
        <v>124</v>
      </c>
      <c r="C6" s="19">
        <f>Assumptions!$K72*Assumptions!$L72*Assumptions!J$61</f>
        <v>0</v>
      </c>
      <c r="D6" s="19">
        <f>Assumptions!$K72*Assumptions!$L72*Assumptions!K$61*(1+'Rent Schedule'!D$7)</f>
        <v>945775.05881249998</v>
      </c>
      <c r="E6" s="19">
        <f>Assumptions!$K72*Assumptions!$L72*Assumptions!L$61*(1+'Rent Schedule'!E$7)*(1+'Rent Schedule'!D$7)</f>
        <v>971310.98540043738</v>
      </c>
      <c r="F6" s="86">
        <f>SUM(C6:E6)</f>
        <v>1917086.0442129374</v>
      </c>
      <c r="G6" s="19">
        <f>Assumptions!$K72*Assumptions!$L72</f>
        <v>1838241.125</v>
      </c>
      <c r="K6" s="17" t="s">
        <v>124</v>
      </c>
      <c r="L6" s="86">
        <v>1917086.0442129374</v>
      </c>
    </row>
    <row r="7" spans="2:12">
      <c r="B7" s="30" t="s">
        <v>128</v>
      </c>
      <c r="C7" s="31">
        <f>Assumptions!$K73*Assumptions!$L73*Assumptions!J$61</f>
        <v>0</v>
      </c>
      <c r="D7" s="31">
        <f>Assumptions!$K73*Assumptions!$L73*Assumptions!K$61*(1+'Rent Schedule'!D$7)</f>
        <v>2224473.3178499998</v>
      </c>
      <c r="E7" s="31">
        <f>Assumptions!$K73*Assumptions!$L73*Assumptions!L$61*(1+'Rent Schedule'!E$7)*(1+'Rent Schedule'!D$7)</f>
        <v>2284534.0974319493</v>
      </c>
      <c r="F7" s="289">
        <f t="shared" ref="F7:F69" si="0">SUM(C7:E7)</f>
        <v>4509007.4152819496</v>
      </c>
      <c r="G7" s="31">
        <f>Assumptions!$K73*Assumptions!$L73</f>
        <v>4323563.3</v>
      </c>
      <c r="K7" s="30" t="s">
        <v>128</v>
      </c>
      <c r="L7" s="289">
        <v>4509007.4152819496</v>
      </c>
    </row>
    <row r="8" spans="2:12">
      <c r="B8" s="17" t="s">
        <v>130</v>
      </c>
      <c r="C8" s="19">
        <f>Assumptions!$K74*Assumptions!$L74*Assumptions!J$61</f>
        <v>0</v>
      </c>
      <c r="D8" s="19">
        <f>Assumptions!$K74*Assumptions!$L74*Assumptions!K$61*(1+'Rent Schedule'!D$7)</f>
        <v>2224473.3178499998</v>
      </c>
      <c r="E8" s="19">
        <f>Assumptions!$K74*Assumptions!$L74*Assumptions!L$61*(1+'Rent Schedule'!E$7)*(1+'Rent Schedule'!D$7)</f>
        <v>2284534.0974319493</v>
      </c>
      <c r="F8" s="86">
        <f t="shared" si="0"/>
        <v>4509007.4152819496</v>
      </c>
      <c r="G8" s="19">
        <f>Assumptions!$K74*Assumptions!$L74</f>
        <v>4323563.3</v>
      </c>
      <c r="K8" s="17" t="s">
        <v>130</v>
      </c>
      <c r="L8" s="86">
        <v>4509007.4152819496</v>
      </c>
    </row>
    <row r="9" spans="2:12">
      <c r="B9" s="30" t="s">
        <v>132</v>
      </c>
      <c r="C9" s="31">
        <f>Assumptions!$K75*Assumptions!$L75*Assumptions!J$61</f>
        <v>0</v>
      </c>
      <c r="D9" s="31">
        <f>Assumptions!$K75*Assumptions!$L75*Assumptions!K$61*(1+'Rent Schedule'!D$7)</f>
        <v>2224473.3178499998</v>
      </c>
      <c r="E9" s="31">
        <f>Assumptions!$K75*Assumptions!$L75*Assumptions!L$61*(1+'Rent Schedule'!E$7)*(1+'Rent Schedule'!D$7)</f>
        <v>2284534.0974319493</v>
      </c>
      <c r="F9" s="289">
        <f t="shared" si="0"/>
        <v>4509007.4152819496</v>
      </c>
      <c r="G9" s="31">
        <f>Assumptions!$K75*Assumptions!$L75</f>
        <v>4323563.3</v>
      </c>
      <c r="K9" s="30" t="s">
        <v>132</v>
      </c>
      <c r="L9" s="289">
        <v>4509007.4152819496</v>
      </c>
    </row>
    <row r="10" spans="2:12">
      <c r="B10" s="17" t="s">
        <v>133</v>
      </c>
      <c r="C10" s="19"/>
      <c r="D10" s="19"/>
      <c r="E10" s="19"/>
      <c r="F10" s="86"/>
      <c r="G10" s="19"/>
      <c r="K10" s="17" t="s">
        <v>133</v>
      </c>
      <c r="L10" s="86">
        <f>SUM(L11:L12)</f>
        <v>6974745.0991975572</v>
      </c>
    </row>
    <row r="11" spans="2:12">
      <c r="B11" s="32" t="s">
        <v>307</v>
      </c>
      <c r="C11" s="31">
        <f>Assumptions!$K77*Assumptions!$L77*Assumptions!J$61</f>
        <v>0</v>
      </c>
      <c r="D11" s="31">
        <f>Assumptions!$K77*Assumptions!$L77*Assumptions!K$61*(1+'Rent Schedule'!D$7)</f>
        <v>452936.02331249998</v>
      </c>
      <c r="E11" s="31">
        <f>Assumptions!$K77*Assumptions!$L77*Assumptions!L$61*(1+'Rent Schedule'!E$7)*(1+'Rent Schedule'!D$7)</f>
        <v>465165.29594193742</v>
      </c>
      <c r="F11" s="289">
        <f t="shared" si="0"/>
        <v>918101.31925443746</v>
      </c>
      <c r="G11" s="31">
        <f>Assumptions!$K77*Assumptions!$L77</f>
        <v>880342.125</v>
      </c>
      <c r="K11" s="32" t="s">
        <v>307</v>
      </c>
      <c r="L11" s="289">
        <v>918101.31925443746</v>
      </c>
    </row>
    <row r="12" spans="2:12">
      <c r="B12" s="33" t="s">
        <v>137</v>
      </c>
      <c r="C12" s="19">
        <f>Assumptions!$K78*Assumptions!$L78*Assumptions!J$61</f>
        <v>0</v>
      </c>
      <c r="D12" s="19">
        <f>Assumptions!$K78*Assumptions!$L78*Assumptions!K$61*(1+'Rent Schedule'!D$7)</f>
        <v>2987984.1045599999</v>
      </c>
      <c r="E12" s="19">
        <f>Assumptions!$K78*Assumptions!$L78*Assumptions!L$61*(1+'Rent Schedule'!E$7)*(1+'Rent Schedule'!D$7)</f>
        <v>3068659.6753831198</v>
      </c>
      <c r="F12" s="86">
        <f t="shared" si="0"/>
        <v>6056643.7799431197</v>
      </c>
      <c r="G12" s="19">
        <f>Assumptions!$K78*Assumptions!$L78</f>
        <v>5807549.2800000003</v>
      </c>
      <c r="K12" s="33" t="s">
        <v>137</v>
      </c>
      <c r="L12" s="86">
        <v>6056643.7799431197</v>
      </c>
    </row>
    <row r="13" spans="2:12">
      <c r="B13" s="30" t="s">
        <v>139</v>
      </c>
      <c r="C13" s="31"/>
      <c r="D13" s="31"/>
      <c r="E13" s="31"/>
      <c r="F13" s="289"/>
      <c r="G13" s="31"/>
      <c r="K13" s="30" t="s">
        <v>139</v>
      </c>
      <c r="L13" s="289">
        <f>SUM(L14:L15)</f>
        <v>7566612.301098899</v>
      </c>
    </row>
    <row r="14" spans="2:12">
      <c r="B14" s="33" t="s">
        <v>140</v>
      </c>
      <c r="C14" s="19">
        <f>Assumptions!$K80*Assumptions!$L80*Assumptions!J$61</f>
        <v>0</v>
      </c>
      <c r="D14" s="19">
        <f>Assumptions!$K80*Assumptions!$L80*Assumptions!K$61*(1+'Rent Schedule'!D$7)</f>
        <v>2986329.4725599997</v>
      </c>
      <c r="E14" s="19">
        <f>Assumptions!$K80*Assumptions!$L80*Assumptions!L$61*(1+'Rent Schedule'!E$7)*(1+'Rent Schedule'!D$7)</f>
        <v>3066960.3683191193</v>
      </c>
      <c r="F14" s="86">
        <f t="shared" si="0"/>
        <v>6053289.840879119</v>
      </c>
      <c r="G14" s="19">
        <f>Assumptions!$K80*Assumptions!$L80</f>
        <v>5804333.2800000003</v>
      </c>
      <c r="K14" s="33" t="s">
        <v>140</v>
      </c>
      <c r="L14" s="86">
        <v>6053289.840879119</v>
      </c>
    </row>
    <row r="15" spans="2:12">
      <c r="B15" s="32" t="s">
        <v>142</v>
      </c>
      <c r="C15" s="31">
        <f>Assumptions!$K81*Assumptions!$L81*Assumptions!J$61</f>
        <v>0</v>
      </c>
      <c r="D15" s="31">
        <f>Assumptions!$K81*Assumptions!$L81*Assumptions!K$61*(1+'Rent Schedule'!D$7)</f>
        <v>746582.36813999992</v>
      </c>
      <c r="E15" s="31">
        <f>Assumptions!$K81*Assumptions!$L81*Assumptions!L$61*(1+'Rent Schedule'!E$7)*(1+'Rent Schedule'!D$7)</f>
        <v>766740.09207977983</v>
      </c>
      <c r="F15" s="289">
        <f t="shared" si="0"/>
        <v>1513322.4602197798</v>
      </c>
      <c r="G15" s="31">
        <f>Assumptions!$K81*Assumptions!$L81</f>
        <v>1451083.32</v>
      </c>
      <c r="K15" s="32" t="s">
        <v>142</v>
      </c>
      <c r="L15" s="289">
        <v>1513322.4602197798</v>
      </c>
    </row>
    <row r="16" spans="2:12">
      <c r="B16" s="17" t="s">
        <v>143</v>
      </c>
      <c r="C16" s="19"/>
      <c r="D16" s="19"/>
      <c r="E16" s="19"/>
      <c r="F16" s="86"/>
      <c r="G16" s="19"/>
      <c r="K16" s="17" t="s">
        <v>143</v>
      </c>
      <c r="L16" s="86">
        <f>L17</f>
        <v>7119616.0723442994</v>
      </c>
    </row>
    <row r="17" spans="2:12">
      <c r="B17" s="32" t="s">
        <v>147</v>
      </c>
      <c r="C17" s="31">
        <f>Assumptions!$K83*Assumptions!$L83*Assumptions!J$61</f>
        <v>0</v>
      </c>
      <c r="D17" s="31">
        <f>Assumptions!$K83*Assumptions!$L83*Assumptions!K$61*(1+'Rent Schedule'!D$7)</f>
        <v>3512390.7608999996</v>
      </c>
      <c r="E17" s="31">
        <f>Assumptions!$K83*Assumptions!$L83*Assumptions!L$61*(1+'Rent Schedule'!E$7)*(1+'Rent Schedule'!D$7)</f>
        <v>3607225.3114442998</v>
      </c>
      <c r="F17" s="289">
        <f t="shared" si="0"/>
        <v>7119616.0723442994</v>
      </c>
      <c r="G17" s="31">
        <f>Assumptions!$K83*Assumptions!$L83</f>
        <v>6826804.2000000002</v>
      </c>
      <c r="K17" s="32" t="s">
        <v>147</v>
      </c>
      <c r="L17" s="289">
        <v>7119616.0723442994</v>
      </c>
    </row>
    <row r="18" spans="2:12">
      <c r="B18" s="17" t="s">
        <v>148</v>
      </c>
      <c r="C18" s="19"/>
      <c r="D18" s="19"/>
      <c r="E18" s="19"/>
      <c r="F18" s="86"/>
      <c r="G18" s="19"/>
      <c r="K18" s="17" t="s">
        <v>148</v>
      </c>
      <c r="L18" s="86">
        <f>L19</f>
        <v>7119616.0723442994</v>
      </c>
    </row>
    <row r="19" spans="2:12">
      <c r="B19" s="32" t="s">
        <v>149</v>
      </c>
      <c r="C19" s="31">
        <f>Assumptions!$K85*Assumptions!$L85*Assumptions!J$61</f>
        <v>0</v>
      </c>
      <c r="D19" s="31">
        <f>Assumptions!$K85*Assumptions!$L85*Assumptions!K$61*(1+'Rent Schedule'!D$7)</f>
        <v>3512390.7608999996</v>
      </c>
      <c r="E19" s="31">
        <f>Assumptions!$K85*Assumptions!$L85*Assumptions!L$61*(1+'Rent Schedule'!E$7)*(1+'Rent Schedule'!D$7)</f>
        <v>3607225.3114442998</v>
      </c>
      <c r="F19" s="289">
        <f t="shared" si="0"/>
        <v>7119616.0723442994</v>
      </c>
      <c r="G19" s="31">
        <f>Assumptions!$K85*Assumptions!$L85</f>
        <v>6826804.2000000002</v>
      </c>
      <c r="K19" s="32" t="s">
        <v>149</v>
      </c>
      <c r="L19" s="289">
        <v>7119616.0723442994</v>
      </c>
    </row>
    <row r="20" spans="2:12">
      <c r="B20" s="17" t="s">
        <v>150</v>
      </c>
      <c r="C20" s="19"/>
      <c r="D20" s="19"/>
      <c r="E20" s="19"/>
      <c r="F20" s="86"/>
      <c r="G20" s="19"/>
      <c r="K20" s="17" t="s">
        <v>150</v>
      </c>
      <c r="L20" s="86">
        <f>L21</f>
        <v>7119616.0723442994</v>
      </c>
    </row>
    <row r="21" spans="2:12">
      <c r="B21" s="32" t="s">
        <v>151</v>
      </c>
      <c r="C21" s="31">
        <f>Assumptions!$K87*Assumptions!$L87*Assumptions!J$61</f>
        <v>0</v>
      </c>
      <c r="D21" s="31">
        <f>Assumptions!$K87*Assumptions!$L87*Assumptions!K$61*(1+'Rent Schedule'!D$7)</f>
        <v>3512390.7608999996</v>
      </c>
      <c r="E21" s="31">
        <f>Assumptions!$K87*Assumptions!$L87*Assumptions!L$61*(1+'Rent Schedule'!E$7)*(1+'Rent Schedule'!D$7)</f>
        <v>3607225.3114442998</v>
      </c>
      <c r="F21" s="289">
        <f t="shared" si="0"/>
        <v>7119616.0723442994</v>
      </c>
      <c r="G21" s="31">
        <f>Assumptions!$K87*Assumptions!$L87</f>
        <v>6826804.2000000002</v>
      </c>
      <c r="K21" s="32" t="s">
        <v>151</v>
      </c>
      <c r="L21" s="289">
        <v>7119616.0723442994</v>
      </c>
    </row>
    <row r="22" spans="2:12">
      <c r="B22" s="17" t="s">
        <v>152</v>
      </c>
      <c r="C22" s="19"/>
      <c r="D22" s="19"/>
      <c r="E22" s="19"/>
      <c r="F22" s="86"/>
      <c r="G22" s="19"/>
      <c r="K22" s="17" t="s">
        <v>152</v>
      </c>
      <c r="L22" s="86">
        <f>L23</f>
        <v>6178999.6694216682</v>
      </c>
    </row>
    <row r="23" spans="2:12">
      <c r="B23" s="32" t="s">
        <v>151</v>
      </c>
      <c r="C23" s="31">
        <f>Assumptions!$K89*Assumptions!$L89*Assumptions!J$61</f>
        <v>0</v>
      </c>
      <c r="D23" s="31">
        <f>Assumptions!$K89*Assumptions!$L89*Assumptions!K$61*(1+'Rent Schedule'!D$7)</f>
        <v>3048347.1482099993</v>
      </c>
      <c r="E23" s="31">
        <f>Assumptions!$K89*Assumptions!$L89*Assumptions!L$61*(1+'Rent Schedule'!E$7)*(1+'Rent Schedule'!D$7)</f>
        <v>3130652.5212116688</v>
      </c>
      <c r="F23" s="289">
        <f t="shared" si="0"/>
        <v>6178999.6694216682</v>
      </c>
      <c r="G23" s="31">
        <f>Assumptions!$K89*Assumptions!$L89</f>
        <v>5924872.9799999995</v>
      </c>
      <c r="K23" s="32" t="s">
        <v>151</v>
      </c>
      <c r="L23" s="289">
        <v>6178999.6694216682</v>
      </c>
    </row>
    <row r="24" spans="2:12">
      <c r="B24" s="33" t="s">
        <v>153</v>
      </c>
      <c r="C24" s="19">
        <f>Assumptions!$K90*Assumptions!$L90*Assumptions!J$61</f>
        <v>0</v>
      </c>
      <c r="D24" s="19">
        <f>Assumptions!$K90*Assumptions!$L90*Assumptions!K$61*(1+'Rent Schedule'!D$7)</f>
        <v>338705.23868999997</v>
      </c>
      <c r="E24" s="19">
        <f>Assumptions!$K90*Assumptions!$L90*Assumptions!L$61*(1+'Rent Schedule'!E$7)</f>
        <v>338046.91946999996</v>
      </c>
      <c r="F24" s="86">
        <f t="shared" si="0"/>
        <v>676752.15815999988</v>
      </c>
      <c r="G24" s="19">
        <f>Assumptions!$K90*Assumptions!$L90</f>
        <v>658319.22</v>
      </c>
      <c r="K24" s="33" t="s">
        <v>153</v>
      </c>
      <c r="L24" s="86">
        <v>676752.15815999988</v>
      </c>
    </row>
    <row r="25" spans="2:12">
      <c r="B25" s="30" t="s">
        <v>308</v>
      </c>
      <c r="C25" s="31">
        <f>SUM(C6:C24)</f>
        <v>0</v>
      </c>
      <c r="D25" s="31">
        <f>SUM(D6:D24)</f>
        <v>28717251.650534995</v>
      </c>
      <c r="E25" s="31">
        <f t="shared" ref="E25:F25" si="1">SUM(E6:E24)</f>
        <v>29482814.084434815</v>
      </c>
      <c r="F25" s="31">
        <f t="shared" si="1"/>
        <v>58200065.734969817</v>
      </c>
      <c r="G25" s="31">
        <f>SUM(G6:G24)</f>
        <v>55815843.830000006</v>
      </c>
      <c r="K25" s="30" t="s">
        <v>308</v>
      </c>
      <c r="L25" s="31">
        <v>58200065.734969817</v>
      </c>
    </row>
    <row r="26" spans="2:12">
      <c r="B26" s="17" t="s">
        <v>284</v>
      </c>
      <c r="C26" s="19">
        <f>C25*0.1</f>
        <v>0</v>
      </c>
      <c r="D26" s="19">
        <f t="shared" ref="D26:F26" si="2">D25*0.1</f>
        <v>2871725.1650534999</v>
      </c>
      <c r="E26" s="19">
        <f t="shared" si="2"/>
        <v>2948281.4084434817</v>
      </c>
      <c r="F26" s="19">
        <f t="shared" si="2"/>
        <v>5820006.5734969825</v>
      </c>
      <c r="G26" s="19">
        <f>G25*0.1</f>
        <v>5581584.3830000013</v>
      </c>
      <c r="K26" s="17" t="s">
        <v>284</v>
      </c>
      <c r="L26" s="19">
        <v>5820006.5734969825</v>
      </c>
    </row>
    <row r="27" spans="2:12">
      <c r="B27" s="34" t="s">
        <v>45</v>
      </c>
      <c r="C27" s="35">
        <f>C25+C26</f>
        <v>0</v>
      </c>
      <c r="D27" s="35">
        <f t="shared" ref="D27:F27" si="3">D25+D26</f>
        <v>31588976.815588497</v>
      </c>
      <c r="E27" s="35">
        <f t="shared" si="3"/>
        <v>32431095.492878295</v>
      </c>
      <c r="F27" s="35">
        <f t="shared" si="3"/>
        <v>64020072.3084668</v>
      </c>
      <c r="G27" s="35">
        <f>G25+G26</f>
        <v>61397428.213000007</v>
      </c>
    </row>
    <row r="28" spans="2:12">
      <c r="C28" s="20"/>
      <c r="D28" s="20"/>
      <c r="E28" s="20"/>
      <c r="F28" s="160"/>
    </row>
    <row r="29" spans="2:12">
      <c r="B29" s="16" t="s">
        <v>309</v>
      </c>
      <c r="C29" s="250" t="s">
        <v>100</v>
      </c>
      <c r="D29" s="250" t="s">
        <v>101</v>
      </c>
      <c r="E29" s="250" t="s">
        <v>102</v>
      </c>
      <c r="F29" s="65" t="s">
        <v>305</v>
      </c>
      <c r="G29" s="75" t="s">
        <v>306</v>
      </c>
    </row>
    <row r="30" spans="2:12">
      <c r="B30" s="17" t="s">
        <v>161</v>
      </c>
      <c r="C30" s="20"/>
      <c r="D30" s="20"/>
      <c r="E30" s="20"/>
      <c r="F30" s="160"/>
      <c r="K30" s="17" t="s">
        <v>124</v>
      </c>
      <c r="L30" s="86">
        <v>1917086.0442129374</v>
      </c>
    </row>
    <row r="31" spans="2:12">
      <c r="B31" s="30" t="s">
        <v>163</v>
      </c>
      <c r="C31" s="31">
        <f>Assumptions!$L98*Assumptions!$K98*Assumptions!J$61</f>
        <v>0</v>
      </c>
      <c r="D31" s="31">
        <f>Assumptions!$L98*Assumptions!$K98*(1+'Rent Schedule'!D$7)</f>
        <v>28176.376409999997</v>
      </c>
      <c r="E31" s="31">
        <f>C31</f>
        <v>0</v>
      </c>
      <c r="F31" s="249">
        <f t="shared" si="0"/>
        <v>28176.376409999997</v>
      </c>
      <c r="G31" s="31">
        <f>Assumptions!$L98*Assumptions!$K98</f>
        <v>27382.29</v>
      </c>
      <c r="K31" s="30" t="s">
        <v>128</v>
      </c>
      <c r="L31" s="289">
        <v>4509007.4152819496</v>
      </c>
    </row>
    <row r="32" spans="2:12">
      <c r="B32" s="17" t="s">
        <v>169</v>
      </c>
      <c r="C32" s="19">
        <f>Assumptions!$L99*Assumptions!$K99*Assumptions!J$61</f>
        <v>0</v>
      </c>
      <c r="D32" s="19">
        <f>Assumptions!$L99*Assumptions!$K99*(1+'Rent Schedule'!D$7)</f>
        <v>16770.806639999999</v>
      </c>
      <c r="E32" s="19">
        <f t="shared" ref="E32:E42" si="4">C32</f>
        <v>0</v>
      </c>
      <c r="F32" s="160">
        <f t="shared" si="0"/>
        <v>16770.806639999999</v>
      </c>
      <c r="G32" s="19">
        <f>Assumptions!$L99*Assumptions!$K99</f>
        <v>16298.160000000002</v>
      </c>
      <c r="K32" s="17" t="s">
        <v>130</v>
      </c>
      <c r="L32" s="86">
        <v>4509007.4152819496</v>
      </c>
    </row>
    <row r="33" spans="2:12">
      <c r="B33" s="30" t="s">
        <v>172</v>
      </c>
      <c r="C33" s="31"/>
      <c r="D33" s="31"/>
      <c r="E33" s="31">
        <f t="shared" si="4"/>
        <v>0</v>
      </c>
      <c r="F33" s="249"/>
      <c r="G33" s="31"/>
      <c r="K33" s="30" t="s">
        <v>132</v>
      </c>
      <c r="L33" s="289">
        <v>4509007.4152819496</v>
      </c>
    </row>
    <row r="34" spans="2:12">
      <c r="B34" s="17" t="s">
        <v>163</v>
      </c>
      <c r="C34" s="19">
        <f>Assumptions!$L101*Assumptions!$K101*Assumptions!J$61</f>
        <v>0</v>
      </c>
      <c r="D34" s="19">
        <f>Assumptions!$L101*Assumptions!$K101*(1+'Rent Schedule'!D$7)</f>
        <v>29427.528290159993</v>
      </c>
      <c r="E34" s="19">
        <f t="shared" si="4"/>
        <v>0</v>
      </c>
      <c r="F34" s="160">
        <f t="shared" si="0"/>
        <v>29427.528290159993</v>
      </c>
      <c r="G34" s="19">
        <f>Assumptions!$L101*Assumptions!$K101</f>
        <v>28598.181039999996</v>
      </c>
      <c r="K34" s="17" t="s">
        <v>133</v>
      </c>
      <c r="L34" s="86">
        <v>6974745.0991975572</v>
      </c>
    </row>
    <row r="35" spans="2:12">
      <c r="B35" s="30" t="s">
        <v>169</v>
      </c>
      <c r="C35" s="31">
        <f>Assumptions!$L102*Assumptions!$K102*Assumptions!J$61</f>
        <v>0</v>
      </c>
      <c r="D35" s="31">
        <f>Assumptions!$L102*Assumptions!$K102*(1+'Rent Schedule'!D$7)</f>
        <v>17515.502336639998</v>
      </c>
      <c r="E35" s="31">
        <f t="shared" si="4"/>
        <v>0</v>
      </c>
      <c r="F35" s="249">
        <f t="shared" si="0"/>
        <v>17515.502336639998</v>
      </c>
      <c r="G35" s="31">
        <f>Assumptions!$L102*Assumptions!$K102</f>
        <v>17021.868159999998</v>
      </c>
      <c r="K35" s="30" t="s">
        <v>139</v>
      </c>
      <c r="L35" s="289">
        <v>7566612.301098899</v>
      </c>
    </row>
    <row r="36" spans="2:12">
      <c r="B36" s="17" t="s">
        <v>178</v>
      </c>
      <c r="C36" s="19"/>
      <c r="D36" s="19"/>
      <c r="E36" s="19">
        <f t="shared" si="4"/>
        <v>0</v>
      </c>
      <c r="F36" s="160"/>
      <c r="G36" s="19"/>
      <c r="K36" s="17" t="s">
        <v>143</v>
      </c>
      <c r="L36" s="86">
        <v>7119616.0723442994</v>
      </c>
    </row>
    <row r="37" spans="2:12">
      <c r="B37" s="30" t="s">
        <v>163</v>
      </c>
      <c r="C37" s="31">
        <f>Assumptions!$L104*Assumptions!$K104*Assumptions!J$61</f>
        <v>0</v>
      </c>
      <c r="D37" s="31">
        <f>Assumptions!$L104*Assumptions!$K104*(1+'Rent Schedule'!D$7)</f>
        <v>20505.204932939996</v>
      </c>
      <c r="E37" s="31">
        <f t="shared" si="4"/>
        <v>0</v>
      </c>
      <c r="F37" s="249">
        <f t="shared" si="0"/>
        <v>20505.204932939996</v>
      </c>
      <c r="G37" s="31">
        <f>Assumptions!$L104*Assumptions!$K104</f>
        <v>19927.312859999998</v>
      </c>
      <c r="K37" s="17" t="s">
        <v>148</v>
      </c>
      <c r="L37" s="86">
        <v>7119616.0723442994</v>
      </c>
    </row>
    <row r="38" spans="2:12">
      <c r="B38" s="17" t="s">
        <v>169</v>
      </c>
      <c r="C38" s="19">
        <f>Assumptions!$L105*Assumptions!$K105*Assumptions!J$61</f>
        <v>0</v>
      </c>
      <c r="D38" s="19">
        <f>Assumptions!$L105*Assumptions!$K105*(1+'Rent Schedule'!D$7)</f>
        <v>12204.86346576</v>
      </c>
      <c r="E38" s="19">
        <f t="shared" si="4"/>
        <v>0</v>
      </c>
      <c r="F38" s="160">
        <f t="shared" si="0"/>
        <v>12204.86346576</v>
      </c>
      <c r="G38" s="19">
        <f>Assumptions!$L105*Assumptions!$K105</f>
        <v>11860.897440000001</v>
      </c>
      <c r="K38" s="17" t="s">
        <v>150</v>
      </c>
      <c r="L38" s="86">
        <v>7119616.0723442994</v>
      </c>
    </row>
    <row r="39" spans="2:12">
      <c r="B39" s="30" t="s">
        <v>182</v>
      </c>
      <c r="C39" s="31"/>
      <c r="D39" s="31"/>
      <c r="E39" s="31">
        <f t="shared" si="4"/>
        <v>0</v>
      </c>
      <c r="F39" s="249"/>
      <c r="G39" s="31"/>
      <c r="K39" s="17" t="s">
        <v>152</v>
      </c>
      <c r="L39" s="86">
        <v>6178999.6694216682</v>
      </c>
    </row>
    <row r="40" spans="2:12">
      <c r="B40" s="17" t="s">
        <v>163</v>
      </c>
      <c r="C40" s="19">
        <f>Assumptions!$L107*Assumptions!$K107*Assumptions!J$61</f>
        <v>0</v>
      </c>
      <c r="D40" s="19">
        <f>Assumptions!$L107*Assumptions!$K107*(1+'Rent Schedule'!D$7)</f>
        <v>21160.434203999994</v>
      </c>
      <c r="E40" s="19">
        <f t="shared" si="4"/>
        <v>0</v>
      </c>
      <c r="F40" s="160">
        <f t="shared" si="0"/>
        <v>21160.434203999994</v>
      </c>
      <c r="G40" s="19">
        <f>Assumptions!$L107*Assumptions!$K107</f>
        <v>20564.075999999997</v>
      </c>
      <c r="K40" s="17" t="s">
        <v>284</v>
      </c>
      <c r="L40" s="19">
        <v>5820006.5734969825</v>
      </c>
    </row>
    <row r="41" spans="2:12">
      <c r="B41" s="30" t="s">
        <v>187</v>
      </c>
      <c r="C41" s="31"/>
      <c r="D41" s="31"/>
      <c r="E41" s="31">
        <f t="shared" si="4"/>
        <v>0</v>
      </c>
      <c r="F41" s="249"/>
      <c r="G41" s="31"/>
    </row>
    <row r="42" spans="2:12">
      <c r="B42" s="17" t="s">
        <v>189</v>
      </c>
      <c r="C42" s="19">
        <f>Assumptions!$L109*Assumptions!$K109*Assumptions!J$61</f>
        <v>0</v>
      </c>
      <c r="D42" s="19">
        <f>Assumptions!$L109*Assumptions!$K109*(1+'Rent Schedule'!D$7)</f>
        <v>25090.182384539992</v>
      </c>
      <c r="E42" s="19">
        <f t="shared" si="4"/>
        <v>0</v>
      </c>
      <c r="F42" s="160">
        <f>SUM(C42:E42)</f>
        <v>25090.182384539992</v>
      </c>
      <c r="G42" s="19">
        <f>Assumptions!$L109*Assumptions!$K109</f>
        <v>24383.073259999994</v>
      </c>
    </row>
    <row r="43" spans="2:12">
      <c r="B43" s="30" t="s">
        <v>310</v>
      </c>
      <c r="C43" s="31">
        <f>SUM(C31:C42)</f>
        <v>0</v>
      </c>
      <c r="D43" s="31">
        <f>SUM(D31:D42)</f>
        <v>170850.89866403997</v>
      </c>
      <c r="E43" s="31">
        <f>SUM(E31:E42)</f>
        <v>0</v>
      </c>
      <c r="F43" s="31">
        <f>SUM(F31:F42)</f>
        <v>170850.89866403997</v>
      </c>
      <c r="G43" s="31">
        <f>SUM(G31:G42)</f>
        <v>166035.85876</v>
      </c>
    </row>
    <row r="44" spans="2:12">
      <c r="B44" s="17" t="s">
        <v>284</v>
      </c>
      <c r="C44" s="19">
        <f>C43*0.1</f>
        <v>0</v>
      </c>
      <c r="D44" s="19">
        <f>D43*0.1</f>
        <v>17085.089866403996</v>
      </c>
      <c r="E44" s="19">
        <f>E43*0.1</f>
        <v>0</v>
      </c>
      <c r="F44" s="19">
        <f>F43*0.1</f>
        <v>17085.089866403996</v>
      </c>
      <c r="G44" s="19">
        <f>G43*0.1</f>
        <v>16603.585876000001</v>
      </c>
    </row>
    <row r="45" spans="2:12">
      <c r="B45" s="34" t="s">
        <v>45</v>
      </c>
      <c r="C45" s="35">
        <f>C44+C43</f>
        <v>0</v>
      </c>
      <c r="D45" s="35">
        <f>D44+D43</f>
        <v>187935.98853044395</v>
      </c>
      <c r="E45" s="35">
        <f>E44+E43</f>
        <v>0</v>
      </c>
      <c r="F45" s="35">
        <f>F44+F43</f>
        <v>187935.98853044395</v>
      </c>
      <c r="G45" s="35">
        <f>G44+G43</f>
        <v>182639.444636</v>
      </c>
    </row>
    <row r="46" spans="2:12">
      <c r="C46" s="20"/>
      <c r="D46" s="36"/>
      <c r="E46" s="20"/>
      <c r="F46" s="160"/>
    </row>
    <row r="47" spans="2:12">
      <c r="B47" s="253" t="s">
        <v>311</v>
      </c>
      <c r="C47" s="254" t="s">
        <v>100</v>
      </c>
      <c r="D47" s="254" t="s">
        <v>101</v>
      </c>
      <c r="E47" s="254" t="s">
        <v>102</v>
      </c>
      <c r="F47" s="65" t="s">
        <v>305</v>
      </c>
      <c r="G47" s="255" t="s">
        <v>306</v>
      </c>
    </row>
    <row r="48" spans="2:12">
      <c r="B48" s="17" t="s">
        <v>312</v>
      </c>
      <c r="C48" s="19">
        <f>C27*Assumptions!$L$172</f>
        <v>0</v>
      </c>
      <c r="D48" s="19">
        <f>D27*Assumptions!$L$172</f>
        <v>947669.3044676549</v>
      </c>
      <c r="E48" s="19">
        <f>E27*Assumptions!$L$172</f>
        <v>972932.86478634877</v>
      </c>
      <c r="F48" s="86">
        <f>SUM(C48:E48)</f>
        <v>1920602.1692540036</v>
      </c>
      <c r="G48" s="19">
        <f>G27*Assumptions!$L$172</f>
        <v>1841922.8463900001</v>
      </c>
    </row>
    <row r="49" spans="2:7">
      <c r="B49" s="34" t="s">
        <v>45</v>
      </c>
      <c r="C49" s="35">
        <f>SUM(C48:C48)</f>
        <v>0</v>
      </c>
      <c r="D49" s="35">
        <f>SUM(D48:D48)</f>
        <v>947669.3044676549</v>
      </c>
      <c r="E49" s="35">
        <f>SUM(E48:E48)</f>
        <v>972932.86478634877</v>
      </c>
      <c r="F49" s="35">
        <f>SUM(F48:F48)</f>
        <v>1920602.1692540036</v>
      </c>
      <c r="G49" s="35">
        <f>SUM(G48:G48)</f>
        <v>1841922.8463900001</v>
      </c>
    </row>
    <row r="50" spans="2:7">
      <c r="C50" s="20"/>
      <c r="D50" s="20"/>
      <c r="E50" s="20"/>
      <c r="F50" s="86"/>
      <c r="G50" s="20"/>
    </row>
    <row r="51" spans="2:7">
      <c r="B51" s="253" t="s">
        <v>313</v>
      </c>
      <c r="C51" s="254" t="s">
        <v>100</v>
      </c>
      <c r="D51" s="254" t="s">
        <v>101</v>
      </c>
      <c r="E51" s="254" t="s">
        <v>102</v>
      </c>
      <c r="F51" s="65" t="s">
        <v>305</v>
      </c>
      <c r="G51" s="255" t="s">
        <v>306</v>
      </c>
    </row>
    <row r="52" spans="2:7">
      <c r="B52" s="17" t="s">
        <v>314</v>
      </c>
      <c r="C52" s="19">
        <f>C27*Assumptions!$L$114</f>
        <v>0</v>
      </c>
      <c r="D52" s="19">
        <f>D27*Assumptions!$L$114</f>
        <v>947669.3044676549</v>
      </c>
      <c r="E52" s="19">
        <f>E27*Assumptions!$L$114</f>
        <v>972932.86478634877</v>
      </c>
      <c r="F52" s="86">
        <f>SUM(D52:E52)</f>
        <v>1920602.1692540036</v>
      </c>
      <c r="G52" s="19">
        <f>G27*Assumptions!$L$114</f>
        <v>1841922.8463900001</v>
      </c>
    </row>
    <row r="53" spans="2:7">
      <c r="B53" s="34" t="s">
        <v>45</v>
      </c>
      <c r="C53" s="35">
        <f>C52</f>
        <v>0</v>
      </c>
      <c r="D53" s="35">
        <f>D52</f>
        <v>947669.3044676549</v>
      </c>
      <c r="E53" s="35">
        <f>E52</f>
        <v>972932.86478634877</v>
      </c>
      <c r="F53" s="325">
        <f>F52</f>
        <v>1920602.1692540036</v>
      </c>
      <c r="G53" s="35">
        <f>G52</f>
        <v>1841922.8463900001</v>
      </c>
    </row>
    <row r="54" spans="2:7">
      <c r="C54" s="20"/>
      <c r="D54" s="20"/>
      <c r="E54" s="20"/>
      <c r="F54" s="86"/>
      <c r="G54" s="20"/>
    </row>
    <row r="55" spans="2:7">
      <c r="B55" s="253" t="s">
        <v>315</v>
      </c>
      <c r="C55" s="254" t="s">
        <v>100</v>
      </c>
      <c r="D55" s="254" t="s">
        <v>101</v>
      </c>
      <c r="E55" s="254" t="s">
        <v>102</v>
      </c>
      <c r="F55" s="65" t="s">
        <v>305</v>
      </c>
      <c r="G55" s="255" t="s">
        <v>306</v>
      </c>
    </row>
    <row r="56" spans="2:7">
      <c r="B56" s="17" t="s">
        <v>200</v>
      </c>
      <c r="C56" s="19">
        <v>0</v>
      </c>
      <c r="D56" s="19">
        <f>Assumptions!L117*(1+'Rent Schedule'!D7)</f>
        <v>151196.06766600002</v>
      </c>
      <c r="E56" s="19">
        <v>0</v>
      </c>
      <c r="F56" s="86">
        <f t="shared" si="0"/>
        <v>151196.06766600002</v>
      </c>
      <c r="G56" s="19">
        <f>D56/(1+'Rent Schedule'!$D$7)</f>
        <v>146934.95400000003</v>
      </c>
    </row>
    <row r="57" spans="2:7">
      <c r="B57" s="30" t="s">
        <v>212</v>
      </c>
      <c r="C57" s="31">
        <v>0</v>
      </c>
      <c r="D57" s="31">
        <f>Assumptions!L125*(1+'Rent Schedule'!D7)</f>
        <v>1712.2559999999999</v>
      </c>
      <c r="E57" s="31">
        <v>0</v>
      </c>
      <c r="F57" s="289">
        <f t="shared" si="0"/>
        <v>1712.2559999999999</v>
      </c>
      <c r="G57" s="31">
        <f>D57/(1+'Rent Schedule'!$D$7)</f>
        <v>1664</v>
      </c>
    </row>
    <row r="58" spans="2:7">
      <c r="B58" s="17" t="s">
        <v>213</v>
      </c>
      <c r="C58" s="19">
        <v>0</v>
      </c>
      <c r="D58" s="19">
        <f>Assumptions!L126*(1+'Rent Schedule'!D7)</f>
        <v>3531.5279999999998</v>
      </c>
      <c r="E58" s="19">
        <v>0</v>
      </c>
      <c r="F58" s="86">
        <f t="shared" si="0"/>
        <v>3531.5279999999998</v>
      </c>
      <c r="G58" s="19">
        <f>D58/(1+'Rent Schedule'!$D$7)</f>
        <v>3432</v>
      </c>
    </row>
    <row r="59" spans="2:7">
      <c r="B59" s="30" t="s">
        <v>218</v>
      </c>
      <c r="C59" s="31">
        <v>0</v>
      </c>
      <c r="D59" s="31">
        <f>Assumptions!L131*(1+'Rent Schedule'!D7)</f>
        <v>24045.671999999999</v>
      </c>
      <c r="E59" s="31">
        <v>0</v>
      </c>
      <c r="F59" s="289">
        <f t="shared" si="0"/>
        <v>24045.671999999999</v>
      </c>
      <c r="G59" s="31">
        <f>D59/(1+'Rent Schedule'!$D$7)</f>
        <v>23368</v>
      </c>
    </row>
    <row r="60" spans="2:7">
      <c r="B60" s="17" t="s">
        <v>257</v>
      </c>
      <c r="C60" s="19">
        <v>0</v>
      </c>
      <c r="D60" s="19">
        <f>Assumptions!L159*(1+'Rent Schedule'!D7)</f>
        <v>1029</v>
      </c>
      <c r="E60" s="19">
        <v>0</v>
      </c>
      <c r="F60" s="86">
        <f t="shared" si="0"/>
        <v>1029</v>
      </c>
      <c r="G60" s="19">
        <f>D60/(1+'Rent Schedule'!$D$7)</f>
        <v>1000.0000000000001</v>
      </c>
    </row>
    <row r="61" spans="2:7">
      <c r="B61" s="30" t="s">
        <v>310</v>
      </c>
      <c r="C61" s="31">
        <f>SUM(C56:C60)</f>
        <v>0</v>
      </c>
      <c r="D61" s="31">
        <f>SUM(D56:D60)</f>
        <v>181514.52366599999</v>
      </c>
      <c r="E61" s="31">
        <f>SUM(E56:E60)</f>
        <v>0</v>
      </c>
      <c r="F61" s="31">
        <f>SUM(F56:F60)</f>
        <v>181514.52366599999</v>
      </c>
      <c r="G61" s="31">
        <f>SUM(G56:G60)</f>
        <v>176398.95400000003</v>
      </c>
    </row>
    <row r="62" spans="2:7">
      <c r="B62" s="17" t="s">
        <v>284</v>
      </c>
      <c r="C62" s="19">
        <f>C61*0.1</f>
        <v>0</v>
      </c>
      <c r="D62" s="19">
        <f>D61*0.1</f>
        <v>18151.452366599999</v>
      </c>
      <c r="E62" s="19">
        <f>E61*0.1</f>
        <v>0</v>
      </c>
      <c r="F62" s="19">
        <f>F61*0.1</f>
        <v>18151.452366599999</v>
      </c>
      <c r="G62" s="19">
        <f t="shared" ref="G62" si="5">G61*0.1</f>
        <v>17639.895400000005</v>
      </c>
    </row>
    <row r="63" spans="2:7">
      <c r="B63" s="34" t="s">
        <v>45</v>
      </c>
      <c r="C63" s="35">
        <f>C62+C61</f>
        <v>0</v>
      </c>
      <c r="D63" s="35">
        <f>D62+D61</f>
        <v>199665.97603259998</v>
      </c>
      <c r="E63" s="35">
        <f>E62+E61</f>
        <v>0</v>
      </c>
      <c r="F63" s="35">
        <f>F62+F61</f>
        <v>199665.97603259998</v>
      </c>
      <c r="G63" s="35">
        <f>G62+G61</f>
        <v>194038.84940000004</v>
      </c>
    </row>
    <row r="64" spans="2:7">
      <c r="C64" s="20"/>
      <c r="D64" s="20"/>
      <c r="E64" s="20"/>
      <c r="F64" s="86"/>
      <c r="G64" s="20"/>
    </row>
    <row r="65" spans="2:7">
      <c r="B65" s="253" t="s">
        <v>316</v>
      </c>
      <c r="C65" s="254" t="s">
        <v>100</v>
      </c>
      <c r="D65" s="254" t="s">
        <v>101</v>
      </c>
      <c r="E65" s="254" t="s">
        <v>102</v>
      </c>
      <c r="F65" s="65" t="s">
        <v>305</v>
      </c>
      <c r="G65" s="255" t="s">
        <v>306</v>
      </c>
    </row>
    <row r="66" spans="2:7">
      <c r="B66" s="41" t="s">
        <v>241</v>
      </c>
      <c r="C66" s="19">
        <f>Assumptions!$C84*Assumptions!$L150*Assumptions!J61</f>
        <v>0</v>
      </c>
      <c r="D66" s="19">
        <f>(Assumptions!$C84*Assumptions!$L150*Assumptions!K61)*(1+'Rent Schedule'!D7)</f>
        <v>45848.018630400002</v>
      </c>
      <c r="E66" s="19">
        <f>Assumptions!$C84*Assumptions!$L150*Assumptions!L61*(1+'Rent Schedule'!E7)*(1+'Rent Schedule'!D7)</f>
        <v>47085.9151334208</v>
      </c>
      <c r="F66" s="86">
        <f t="shared" si="0"/>
        <v>92933.933763820794</v>
      </c>
      <c r="G66" s="19">
        <f>Assumptions!$C84*Assumptions!$L150</f>
        <v>89111.795200000008</v>
      </c>
    </row>
    <row r="67" spans="2:7">
      <c r="B67" s="42" t="s">
        <v>243</v>
      </c>
      <c r="C67" s="31">
        <f>Assumptions!$L151*SUM(Assumptions!$C88:$C93)*Assumptions!J61</f>
        <v>0</v>
      </c>
      <c r="D67" s="31">
        <f>Assumptions!$L151*SUM(Assumptions!$C88:$C93)*Assumptions!K61*(1+'Rent Schedule'!D7)</f>
        <v>41438.837391000001</v>
      </c>
      <c r="E67" s="31">
        <f>Assumptions!$L151*SUM(Assumptions!$C88:$C93)*Assumptions!L61*(1+'Rent Schedule'!E7)*(1+'Rent Schedule'!D7)</f>
        <v>42557.686000557005</v>
      </c>
      <c r="F67" s="289">
        <f t="shared" si="0"/>
        <v>83996.523391557013</v>
      </c>
      <c r="G67" s="31">
        <f>Assumptions!$L151*SUM(Assumptions!$C88:$C93)</f>
        <v>80541.958000000013</v>
      </c>
    </row>
    <row r="68" spans="2:7">
      <c r="B68" s="17" t="s">
        <v>245</v>
      </c>
      <c r="C68" s="19">
        <f>Assumptions!$L$152*Assumptions!J61</f>
        <v>0</v>
      </c>
      <c r="D68" s="19">
        <f>Assumptions!$L$152*Assumptions!K61*(1+'Rent Schedule'!D7)</f>
        <v>1040.8335</v>
      </c>
      <c r="E68" s="19">
        <f>Assumptions!$L$152*Assumptions!L61*(1+'Rent Schedule'!E7)*(1+'Rent Schedule'!D7)</f>
        <v>1068.9360044999996</v>
      </c>
      <c r="F68" s="86">
        <f t="shared" si="0"/>
        <v>2109.7695044999996</v>
      </c>
      <c r="G68" s="19">
        <f>Assumptions!$L$152</f>
        <v>2023</v>
      </c>
    </row>
    <row r="69" spans="2:7">
      <c r="B69" s="30" t="s">
        <v>257</v>
      </c>
      <c r="C69" s="31">
        <f>Assumptions!$L$159*Assumptions!J61</f>
        <v>0</v>
      </c>
      <c r="D69" s="31">
        <f>Assumptions!$L$159*Assumptions!K61*(1+'Rent Schedule'!D7)</f>
        <v>514.5</v>
      </c>
      <c r="E69" s="31">
        <f>Assumptions!$L$159*Assumptions!L61*(1+'Rent Schedule'!E7)*(1+'Rent Schedule'!D7)</f>
        <v>528.39149999999995</v>
      </c>
      <c r="F69" s="289">
        <f t="shared" si="0"/>
        <v>1042.8915</v>
      </c>
      <c r="G69" s="31">
        <f>Assumptions!$L$159</f>
        <v>1000</v>
      </c>
    </row>
    <row r="70" spans="2:7">
      <c r="B70" s="17" t="s">
        <v>310</v>
      </c>
      <c r="C70" s="19">
        <f>SUM(C66:C69)</f>
        <v>0</v>
      </c>
      <c r="D70" s="19">
        <f>SUM(D66:D69)</f>
        <v>88842.189521399996</v>
      </c>
      <c r="E70" s="19">
        <f>SUM(E66:E69)</f>
        <v>91240.92863847781</v>
      </c>
      <c r="F70" s="19">
        <f>SUM(F66:F69)</f>
        <v>180083.11815987781</v>
      </c>
      <c r="G70" s="19">
        <f>SUM(G66:G69)</f>
        <v>172676.75320000004</v>
      </c>
    </row>
    <row r="71" spans="2:7">
      <c r="B71" s="30" t="s">
        <v>284</v>
      </c>
      <c r="C71" s="31">
        <f>C70*0.1</f>
        <v>0</v>
      </c>
      <c r="D71" s="31">
        <f>D70*0.1</f>
        <v>8884.2189521399996</v>
      </c>
      <c r="E71" s="31">
        <f>E70*0.1</f>
        <v>9124.0928638477817</v>
      </c>
      <c r="F71" s="31">
        <f>F70*0.1</f>
        <v>18008.311815987781</v>
      </c>
      <c r="G71" s="31">
        <f t="shared" ref="G71" si="6">G70*0.1</f>
        <v>17267.675320000006</v>
      </c>
    </row>
    <row r="72" spans="2:7">
      <c r="B72" s="37" t="s">
        <v>45</v>
      </c>
      <c r="C72" s="38">
        <f>C71+C70</f>
        <v>0</v>
      </c>
      <c r="D72" s="38">
        <f>D71+D70</f>
        <v>97726.408473539996</v>
      </c>
      <c r="E72" s="38">
        <f>E71+E70</f>
        <v>100365.02150232559</v>
      </c>
      <c r="F72" s="38">
        <f>F71+F70</f>
        <v>198091.42997586558</v>
      </c>
      <c r="G72" s="38">
        <f>G71+G70</f>
        <v>189944.42852000004</v>
      </c>
    </row>
    <row r="73" spans="2:7">
      <c r="C73" s="20"/>
      <c r="D73" s="20"/>
      <c r="E73" s="36"/>
      <c r="F73" s="86"/>
      <c r="G73" s="20"/>
    </row>
    <row r="74" spans="2:7">
      <c r="B74" s="21" t="s">
        <v>47</v>
      </c>
      <c r="C74" s="26">
        <f>C49+C45+C27+C53+C63+C72</f>
        <v>0</v>
      </c>
      <c r="D74" s="26">
        <f>D49+D45+D27+D53+D63+D72</f>
        <v>33969643.797560386</v>
      </c>
      <c r="E74" s="26">
        <f>E49+E45+E27+E53+E63+E72</f>
        <v>34477326.243953317</v>
      </c>
      <c r="F74" s="26">
        <f>F49+F45+F27+F53+F63+F72</f>
        <v>68446970.041513711</v>
      </c>
      <c r="G74" s="26">
        <f>G49+G45+G27+G53+G63+G72</f>
        <v>65647896.628336012</v>
      </c>
    </row>
    <row r="78" spans="2:7">
      <c r="B78" s="326" t="s">
        <v>161</v>
      </c>
      <c r="C78" s="327">
        <v>44772.46</v>
      </c>
    </row>
    <row r="79" spans="2:7">
      <c r="B79" s="328" t="s">
        <v>172</v>
      </c>
      <c r="C79" s="327">
        <v>46760.55</v>
      </c>
    </row>
    <row r="80" spans="2:7">
      <c r="B80" s="326" t="s">
        <v>178</v>
      </c>
      <c r="C80" s="327">
        <v>32582.92</v>
      </c>
    </row>
    <row r="81" spans="2:4">
      <c r="B81" s="326" t="s">
        <v>182</v>
      </c>
      <c r="C81" s="327">
        <v>21078.18</v>
      </c>
    </row>
    <row r="82" spans="2:4">
      <c r="B82" s="326" t="s">
        <v>187</v>
      </c>
      <c r="C82" s="327">
        <v>24992.65</v>
      </c>
    </row>
    <row r="83" spans="2:4">
      <c r="B83" s="326" t="s">
        <v>317</v>
      </c>
      <c r="C83" s="327">
        <v>17018.68</v>
      </c>
    </row>
    <row r="84" spans="2:4">
      <c r="B84" s="17" t="s">
        <v>45</v>
      </c>
      <c r="C84" s="23">
        <f>SUM(C78:C83)</f>
        <v>187205.44</v>
      </c>
    </row>
    <row r="87" spans="2:4">
      <c r="D87" s="23"/>
    </row>
    <row r="163" spans="11:11">
      <c r="K163" s="17" t="e">
        <f>K158+K151+K149*SUM(#REF!)+'Development Schedule'!C66</f>
        <v>#REF!</v>
      </c>
    </row>
  </sheetData>
  <pageMargins left="0.7" right="0.7" top="0.75" bottom="0.75" header="0.3" footer="0.3"/>
  <ignoredErrors>
    <ignoredError sqref="F52 F48" formula="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3553E-81BD-8542-AB73-CFB22EDD0E90}">
  <sheetPr>
    <tabColor rgb="FF00B050"/>
  </sheetPr>
  <dimension ref="B1:U76"/>
  <sheetViews>
    <sheetView topLeftCell="A9" zoomScaleNormal="50" workbookViewId="0">
      <selection activeCell="B15" sqref="B15"/>
    </sheetView>
  </sheetViews>
  <sheetFormatPr defaultColWidth="10.875" defaultRowHeight="15.95"/>
  <cols>
    <col min="1" max="1" width="10.875" style="17"/>
    <col min="2" max="2" width="31.875" style="17" customWidth="1"/>
    <col min="3" max="3" width="12.875" style="17" customWidth="1"/>
    <col min="4" max="4" width="12.375" style="17" customWidth="1"/>
    <col min="5" max="6" width="13.875" style="17" customWidth="1"/>
    <col min="7" max="7" width="15" style="17" customWidth="1"/>
    <col min="8" max="8" width="15.5" style="17" customWidth="1"/>
    <col min="9" max="9" width="16" style="17" customWidth="1"/>
    <col min="10" max="10" width="15.5" style="17" customWidth="1"/>
    <col min="11" max="11" width="14.125" style="17" customWidth="1"/>
    <col min="12" max="12" width="16" style="17" customWidth="1"/>
    <col min="13" max="13" width="15.875" style="17" customWidth="1"/>
    <col min="14" max="14" width="15" style="17" customWidth="1"/>
    <col min="15" max="15" width="17.125" style="17" customWidth="1"/>
    <col min="16" max="16" width="15.625" style="17" customWidth="1"/>
    <col min="17" max="17" width="15" style="17" customWidth="1"/>
    <col min="18" max="18" width="15.5" style="17" customWidth="1"/>
    <col min="19" max="19" width="15" style="17" customWidth="1"/>
    <col min="20" max="20" width="15.625" style="17" customWidth="1"/>
    <col min="21" max="16384" width="10.875" style="17"/>
  </cols>
  <sheetData>
    <row r="1" spans="2:20" s="15" customFormat="1" ht="27">
      <c r="B1" s="14" t="s">
        <v>318</v>
      </c>
    </row>
    <row r="2" spans="2:20" s="15" customFormat="1">
      <c r="B2" s="16" t="s">
        <v>1</v>
      </c>
    </row>
    <row r="6" spans="2:20">
      <c r="B6" s="16" t="s">
        <v>319</v>
      </c>
      <c r="C6" s="43" t="s">
        <v>100</v>
      </c>
      <c r="D6" s="43" t="s">
        <v>101</v>
      </c>
      <c r="E6" s="43" t="s">
        <v>102</v>
      </c>
      <c r="F6" s="43" t="s">
        <v>320</v>
      </c>
      <c r="G6" s="43" t="s">
        <v>321</v>
      </c>
      <c r="H6" s="43" t="s">
        <v>322</v>
      </c>
      <c r="I6" s="43" t="s">
        <v>323</v>
      </c>
      <c r="J6" s="43" t="s">
        <v>324</v>
      </c>
      <c r="K6" s="43" t="s">
        <v>325</v>
      </c>
      <c r="L6" s="43" t="s">
        <v>326</v>
      </c>
      <c r="M6" s="43" t="s">
        <v>327</v>
      </c>
      <c r="N6" s="43" t="s">
        <v>328</v>
      </c>
      <c r="O6" s="44" t="s">
        <v>329</v>
      </c>
      <c r="P6" s="44" t="s">
        <v>330</v>
      </c>
      <c r="Q6" s="44" t="s">
        <v>331</v>
      </c>
      <c r="R6" s="44" t="s">
        <v>332</v>
      </c>
      <c r="S6" s="44" t="s">
        <v>333</v>
      </c>
      <c r="T6" s="44" t="s">
        <v>334</v>
      </c>
    </row>
    <row r="7" spans="2:20">
      <c r="B7" s="37" t="s">
        <v>335</v>
      </c>
      <c r="C7" s="45">
        <f>Assumptions!F21</f>
        <v>3.5000000000000003E-2</v>
      </c>
      <c r="D7" s="45">
        <f>Assumptions!F22</f>
        <v>2.9000000000000001E-2</v>
      </c>
      <c r="E7" s="45">
        <f>Assumptions!F23</f>
        <v>2.7E-2</v>
      </c>
      <c r="F7" s="45">
        <f>Assumptions!F24</f>
        <v>2.5999999999999999E-2</v>
      </c>
      <c r="G7" s="45">
        <f>Assumptions!F25</f>
        <v>2.5000000000000001E-2</v>
      </c>
      <c r="H7" s="45">
        <f>Assumptions!F26</f>
        <v>2.5000000000000001E-2</v>
      </c>
      <c r="I7" s="45">
        <f>Assumptions!F27</f>
        <v>2.5000000000000001E-2</v>
      </c>
      <c r="J7" s="45">
        <f>Assumptions!F28</f>
        <v>2.5000000000000001E-2</v>
      </c>
      <c r="K7" s="45">
        <f>Assumptions!F29</f>
        <v>2.5000000000000001E-2</v>
      </c>
      <c r="L7" s="45">
        <f>Assumptions!F30</f>
        <v>2.5000000000000001E-2</v>
      </c>
      <c r="M7" s="45">
        <f>Assumptions!F31</f>
        <v>2.5000000000000001E-2</v>
      </c>
      <c r="N7" s="45">
        <f>Assumptions!F32</f>
        <v>2.5000000000000001E-2</v>
      </c>
      <c r="O7" s="45">
        <f>N7</f>
        <v>2.5000000000000001E-2</v>
      </c>
      <c r="P7" s="45">
        <f t="shared" ref="P7:T7" si="0">O7</f>
        <v>2.5000000000000001E-2</v>
      </c>
      <c r="Q7" s="45">
        <f t="shared" si="0"/>
        <v>2.5000000000000001E-2</v>
      </c>
      <c r="R7" s="45">
        <f t="shared" si="0"/>
        <v>2.5000000000000001E-2</v>
      </c>
      <c r="S7" s="45">
        <f t="shared" si="0"/>
        <v>2.5000000000000001E-2</v>
      </c>
      <c r="T7" s="45">
        <f t="shared" si="0"/>
        <v>2.5000000000000001E-2</v>
      </c>
    </row>
    <row r="8" spans="2:20">
      <c r="C8" s="46"/>
      <c r="D8" s="46"/>
      <c r="E8" s="46"/>
      <c r="F8" s="46"/>
      <c r="G8" s="46"/>
      <c r="H8" s="46"/>
      <c r="I8" s="46"/>
      <c r="J8" s="46"/>
      <c r="K8" s="46"/>
      <c r="L8" s="46"/>
      <c r="M8" s="46"/>
    </row>
    <row r="9" spans="2:20">
      <c r="B9" s="37" t="s">
        <v>336</v>
      </c>
      <c r="C9" s="45">
        <f>Assumptions!F15</f>
        <v>4.8000000000000001E-2</v>
      </c>
      <c r="D9" s="47"/>
      <c r="E9" s="47"/>
      <c r="F9" s="47"/>
      <c r="G9" s="47"/>
      <c r="H9" s="47"/>
      <c r="I9" s="47"/>
      <c r="J9" s="47"/>
      <c r="K9" s="46"/>
      <c r="L9" s="46"/>
      <c r="M9" s="46"/>
    </row>
    <row r="10" spans="2:20">
      <c r="B10" s="37" t="s">
        <v>337</v>
      </c>
      <c r="C10" s="45">
        <f>Assumptions!L55</f>
        <v>7.5299914525066805E-2</v>
      </c>
      <c r="D10" s="47"/>
      <c r="E10" s="47"/>
      <c r="F10" s="47"/>
      <c r="G10" s="47"/>
      <c r="H10" s="47"/>
      <c r="I10" s="47"/>
      <c r="J10" s="47"/>
      <c r="K10" s="46"/>
      <c r="L10" s="46"/>
      <c r="M10" s="46"/>
    </row>
    <row r="11" spans="2:20">
      <c r="B11" s="37"/>
      <c r="C11" s="48"/>
      <c r="D11" s="47"/>
      <c r="E11" s="47"/>
      <c r="F11" s="47"/>
      <c r="G11" s="47"/>
      <c r="H11" s="47"/>
      <c r="I11" s="47"/>
      <c r="J11" s="47"/>
    </row>
    <row r="12" spans="2:20">
      <c r="B12" s="37" t="s">
        <v>338</v>
      </c>
      <c r="C12" s="49">
        <f>(1+C9)^3</f>
        <v>1.1510225920000001</v>
      </c>
      <c r="D12" s="47"/>
      <c r="E12" s="47"/>
      <c r="F12" s="47"/>
      <c r="G12" s="47"/>
      <c r="H12" s="47"/>
      <c r="I12" s="47"/>
      <c r="J12" s="47"/>
    </row>
    <row r="13" spans="2:20">
      <c r="B13" s="37" t="s">
        <v>339</v>
      </c>
      <c r="C13" s="49">
        <f>((1+C7)*(1+D7)*(1+E7))</f>
        <v>1.0937704049999997</v>
      </c>
      <c r="D13" s="47"/>
      <c r="E13" s="47"/>
      <c r="F13" s="47"/>
      <c r="G13" s="47"/>
      <c r="H13" s="47"/>
      <c r="I13" s="47"/>
      <c r="J13" s="47"/>
    </row>
    <row r="14" spans="2:20">
      <c r="B14" s="37"/>
      <c r="C14" s="49"/>
      <c r="D14" s="47"/>
      <c r="E14" s="47"/>
      <c r="F14" s="47"/>
      <c r="G14" s="47"/>
      <c r="H14" s="47"/>
      <c r="I14" s="47"/>
      <c r="J14" s="47"/>
    </row>
    <row r="15" spans="2:20">
      <c r="B15" s="16" t="s">
        <v>340</v>
      </c>
      <c r="C15" s="53"/>
      <c r="D15" s="53"/>
      <c r="E15" s="53"/>
      <c r="F15" s="53"/>
      <c r="G15" s="53"/>
      <c r="H15" s="53"/>
      <c r="I15" s="53"/>
      <c r="J15" s="53"/>
      <c r="K15" s="53"/>
      <c r="L15" s="53"/>
      <c r="M15" s="53"/>
      <c r="N15" s="15"/>
      <c r="O15" s="15"/>
      <c r="P15" s="15"/>
      <c r="Q15" s="15"/>
      <c r="R15" s="15"/>
      <c r="S15" s="15"/>
      <c r="T15" s="15"/>
    </row>
    <row r="16" spans="2:20">
      <c r="B16" s="21" t="s">
        <v>341</v>
      </c>
      <c r="C16" s="27" t="s">
        <v>100</v>
      </c>
      <c r="D16" s="27" t="s">
        <v>101</v>
      </c>
      <c r="E16" s="27" t="s">
        <v>102</v>
      </c>
      <c r="F16" s="27" t="s">
        <v>320</v>
      </c>
      <c r="G16" s="27" t="s">
        <v>321</v>
      </c>
      <c r="H16" s="27" t="s">
        <v>322</v>
      </c>
      <c r="I16" s="27" t="s">
        <v>323</v>
      </c>
      <c r="J16" s="142" t="s">
        <v>324</v>
      </c>
      <c r="K16" s="142" t="s">
        <v>325</v>
      </c>
      <c r="L16" s="142" t="s">
        <v>326</v>
      </c>
      <c r="M16" s="142" t="s">
        <v>327</v>
      </c>
      <c r="N16" s="142" t="s">
        <v>328</v>
      </c>
      <c r="O16" s="142" t="s">
        <v>329</v>
      </c>
      <c r="P16" s="142" t="s">
        <v>330</v>
      </c>
      <c r="Q16" s="142" t="s">
        <v>331</v>
      </c>
      <c r="R16" s="142" t="s">
        <v>332</v>
      </c>
      <c r="S16" s="142" t="s">
        <v>333</v>
      </c>
      <c r="T16" s="142" t="s">
        <v>334</v>
      </c>
    </row>
    <row r="17" spans="2:20">
      <c r="B17" s="56" t="s">
        <v>128</v>
      </c>
      <c r="C17" s="19">
        <v>0</v>
      </c>
      <c r="D17" s="19">
        <v>0</v>
      </c>
      <c r="E17" s="19">
        <v>0</v>
      </c>
      <c r="F17" s="19">
        <f>Assumptions!$C$148*Assumptions!F85*'Rent Schedule'!$C$12</f>
        <v>175940.70932275202</v>
      </c>
      <c r="G17" s="19">
        <f t="shared" ref="G17:T17" si="1">F17*(1+$C$9)</f>
        <v>184385.86337024413</v>
      </c>
      <c r="H17" s="19">
        <f t="shared" si="1"/>
        <v>193236.38481201587</v>
      </c>
      <c r="I17" s="19">
        <f t="shared" si="1"/>
        <v>202511.73128299264</v>
      </c>
      <c r="J17" s="19">
        <f t="shared" si="1"/>
        <v>212232.29438457629</v>
      </c>
      <c r="K17" s="19">
        <f t="shared" si="1"/>
        <v>222419.44451503595</v>
      </c>
      <c r="L17" s="19">
        <f t="shared" si="1"/>
        <v>233095.5778517577</v>
      </c>
      <c r="M17" s="19">
        <f t="shared" si="1"/>
        <v>244284.16558864209</v>
      </c>
      <c r="N17" s="19">
        <f t="shared" si="1"/>
        <v>256009.80553689692</v>
      </c>
      <c r="O17" s="19">
        <f t="shared" si="1"/>
        <v>268298.27620266797</v>
      </c>
      <c r="P17" s="19">
        <f t="shared" si="1"/>
        <v>281176.59346039605</v>
      </c>
      <c r="Q17" s="19">
        <f t="shared" si="1"/>
        <v>294673.06994649506</v>
      </c>
      <c r="R17" s="19">
        <f t="shared" si="1"/>
        <v>308817.37730392686</v>
      </c>
      <c r="S17" s="19">
        <f t="shared" si="1"/>
        <v>323640.61141451536</v>
      </c>
      <c r="T17" s="19">
        <f t="shared" si="1"/>
        <v>339175.36076241208</v>
      </c>
    </row>
    <row r="18" spans="2:20">
      <c r="B18" s="56" t="s">
        <v>130</v>
      </c>
      <c r="C18" s="19">
        <v>0</v>
      </c>
      <c r="D18" s="19">
        <v>0</v>
      </c>
      <c r="E18" s="19">
        <v>0</v>
      </c>
      <c r="F18" s="19">
        <f>Assumptions!$C$148*Assumptions!F86*'Rent Schedule'!$C$12</f>
        <v>166343.94335969281</v>
      </c>
      <c r="G18" s="19">
        <f t="shared" ref="G18:T18" si="2">F18*(1+$C$9)</f>
        <v>174328.45264095807</v>
      </c>
      <c r="H18" s="19">
        <f t="shared" si="2"/>
        <v>182696.21836772407</v>
      </c>
      <c r="I18" s="19">
        <f t="shared" si="2"/>
        <v>191465.63684937483</v>
      </c>
      <c r="J18" s="19">
        <f t="shared" si="2"/>
        <v>200655.98741814482</v>
      </c>
      <c r="K18" s="19">
        <f t="shared" si="2"/>
        <v>210287.47481421579</v>
      </c>
      <c r="L18" s="19">
        <f t="shared" si="2"/>
        <v>220381.27360529816</v>
      </c>
      <c r="M18" s="19">
        <f t="shared" si="2"/>
        <v>230959.57473835247</v>
      </c>
      <c r="N18" s="19">
        <f t="shared" si="2"/>
        <v>242045.63432579339</v>
      </c>
      <c r="O18" s="19">
        <f t="shared" si="2"/>
        <v>253663.82477343149</v>
      </c>
      <c r="P18" s="19">
        <f t="shared" si="2"/>
        <v>265839.68836255622</v>
      </c>
      <c r="Q18" s="19">
        <f t="shared" si="2"/>
        <v>278599.99340395891</v>
      </c>
      <c r="R18" s="19">
        <f t="shared" si="2"/>
        <v>291972.79308734892</v>
      </c>
      <c r="S18" s="19">
        <f t="shared" si="2"/>
        <v>305987.48715554166</v>
      </c>
      <c r="T18" s="19">
        <f t="shared" si="2"/>
        <v>320674.88653900765</v>
      </c>
    </row>
    <row r="19" spans="2:20">
      <c r="B19" s="56" t="s">
        <v>132</v>
      </c>
      <c r="C19" s="19">
        <v>0</v>
      </c>
      <c r="D19" s="19">
        <v>0</v>
      </c>
      <c r="E19" s="19">
        <v>0</v>
      </c>
      <c r="F19" s="19">
        <f>Assumptions!$C$148*Assumptions!F87*'Rent Schedule'!$C$12</f>
        <v>166343.94335969281</v>
      </c>
      <c r="G19" s="19">
        <f>F19*(1+$C$9)</f>
        <v>174328.45264095807</v>
      </c>
      <c r="H19" s="19">
        <f>G19*(1+$C$9)</f>
        <v>182696.21836772407</v>
      </c>
      <c r="I19" s="19">
        <f t="shared" ref="I19:T19" si="3">H19*(1+$C$9)</f>
        <v>191465.63684937483</v>
      </c>
      <c r="J19" s="19">
        <f t="shared" si="3"/>
        <v>200655.98741814482</v>
      </c>
      <c r="K19" s="19">
        <f t="shared" si="3"/>
        <v>210287.47481421579</v>
      </c>
      <c r="L19" s="19">
        <f t="shared" si="3"/>
        <v>220381.27360529816</v>
      </c>
      <c r="M19" s="19">
        <f t="shared" si="3"/>
        <v>230959.57473835247</v>
      </c>
      <c r="N19" s="19">
        <f t="shared" si="3"/>
        <v>242045.63432579339</v>
      </c>
      <c r="O19" s="19">
        <f t="shared" si="3"/>
        <v>253663.82477343149</v>
      </c>
      <c r="P19" s="19">
        <f t="shared" si="3"/>
        <v>265839.68836255622</v>
      </c>
      <c r="Q19" s="19">
        <f t="shared" si="3"/>
        <v>278599.99340395891</v>
      </c>
      <c r="R19" s="19">
        <f t="shared" si="3"/>
        <v>291972.79308734892</v>
      </c>
      <c r="S19" s="19">
        <f t="shared" si="3"/>
        <v>305987.48715554166</v>
      </c>
      <c r="T19" s="19">
        <f t="shared" si="3"/>
        <v>320674.88653900765</v>
      </c>
    </row>
    <row r="20" spans="2:20">
      <c r="B20" s="56" t="s">
        <v>133</v>
      </c>
      <c r="C20" s="19">
        <v>0</v>
      </c>
      <c r="D20" s="19">
        <v>0</v>
      </c>
      <c r="E20" s="19">
        <v>0</v>
      </c>
      <c r="F20" s="19">
        <f>Assumptions!$C$148*Assumptions!F88*'Rent Schedule'!$C$12</f>
        <v>121559.0355320832</v>
      </c>
      <c r="G20" s="19">
        <f t="shared" ref="G20:T20" si="4">F20*(1+$C$9)</f>
        <v>127393.86923762321</v>
      </c>
      <c r="H20" s="19">
        <f t="shared" si="4"/>
        <v>133508.77496102912</v>
      </c>
      <c r="I20" s="19">
        <f t="shared" si="4"/>
        <v>139917.19615915851</v>
      </c>
      <c r="J20" s="19">
        <f t="shared" si="4"/>
        <v>146633.22157479814</v>
      </c>
      <c r="K20" s="19">
        <f t="shared" si="4"/>
        <v>153671.61621038846</v>
      </c>
      <c r="L20" s="19">
        <f t="shared" si="4"/>
        <v>161047.85378848712</v>
      </c>
      <c r="M20" s="19">
        <f t="shared" si="4"/>
        <v>168778.1507703345</v>
      </c>
      <c r="N20" s="19">
        <f t="shared" si="4"/>
        <v>176879.50200731057</v>
      </c>
      <c r="O20" s="19">
        <f t="shared" si="4"/>
        <v>185369.71810366149</v>
      </c>
      <c r="P20" s="19">
        <f t="shared" si="4"/>
        <v>194267.46457263725</v>
      </c>
      <c r="Q20" s="19">
        <f t="shared" si="4"/>
        <v>203592.30287212384</v>
      </c>
      <c r="R20" s="19">
        <f t="shared" si="4"/>
        <v>213364.73340998578</v>
      </c>
      <c r="S20" s="19">
        <f t="shared" si="4"/>
        <v>223606.24061366511</v>
      </c>
      <c r="T20" s="19">
        <f t="shared" si="4"/>
        <v>234339.34016312106</v>
      </c>
    </row>
    <row r="21" spans="2:20">
      <c r="B21" s="97" t="s">
        <v>45</v>
      </c>
      <c r="C21" s="117">
        <f t="shared" ref="C21:T21" si="5">SUM(C17:C20)</f>
        <v>0</v>
      </c>
      <c r="D21" s="117">
        <f t="shared" si="5"/>
        <v>0</v>
      </c>
      <c r="E21" s="117">
        <f t="shared" si="5"/>
        <v>0</v>
      </c>
      <c r="F21" s="117">
        <f t="shared" si="5"/>
        <v>630187.63157422084</v>
      </c>
      <c r="G21" s="117">
        <f t="shared" si="5"/>
        <v>660436.63788978336</v>
      </c>
      <c r="H21" s="117">
        <f t="shared" si="5"/>
        <v>692137.59650849318</v>
      </c>
      <c r="I21" s="117">
        <f t="shared" si="5"/>
        <v>725360.20114090084</v>
      </c>
      <c r="J21" s="117">
        <f t="shared" si="5"/>
        <v>760177.49079566402</v>
      </c>
      <c r="K21" s="117">
        <f t="shared" si="5"/>
        <v>796666.01035385602</v>
      </c>
      <c r="L21" s="117">
        <f t="shared" si="5"/>
        <v>834905.97885084117</v>
      </c>
      <c r="M21" s="117">
        <f t="shared" si="5"/>
        <v>874981.46583568153</v>
      </c>
      <c r="N21" s="117">
        <f t="shared" si="5"/>
        <v>916980.57619579416</v>
      </c>
      <c r="O21" s="117">
        <f t="shared" si="5"/>
        <v>960995.64385319245</v>
      </c>
      <c r="P21" s="117">
        <f t="shared" si="5"/>
        <v>1007123.4347581457</v>
      </c>
      <c r="Q21" s="117">
        <f t="shared" si="5"/>
        <v>1055465.3596265367</v>
      </c>
      <c r="R21" s="117">
        <f t="shared" si="5"/>
        <v>1106127.6968886105</v>
      </c>
      <c r="S21" s="117">
        <f t="shared" si="5"/>
        <v>1159221.8263392637</v>
      </c>
      <c r="T21" s="117">
        <f t="shared" si="5"/>
        <v>1214864.4740035485</v>
      </c>
    </row>
    <row r="23" spans="2:20">
      <c r="B23" s="16" t="s">
        <v>342</v>
      </c>
      <c r="C23" s="53"/>
      <c r="D23" s="53"/>
      <c r="E23" s="53"/>
      <c r="F23" s="53"/>
      <c r="G23" s="53"/>
      <c r="H23" s="53"/>
      <c r="I23" s="53"/>
      <c r="J23" s="53"/>
      <c r="K23" s="53"/>
      <c r="L23" s="53"/>
      <c r="M23" s="53"/>
      <c r="N23" s="15"/>
      <c r="O23" s="15"/>
      <c r="P23" s="15"/>
      <c r="Q23" s="15"/>
      <c r="R23" s="15"/>
      <c r="S23" s="15"/>
      <c r="T23" s="15"/>
    </row>
    <row r="24" spans="2:20">
      <c r="B24" s="21" t="s">
        <v>341</v>
      </c>
      <c r="C24" s="27" t="s">
        <v>100</v>
      </c>
      <c r="D24" s="27" t="s">
        <v>101</v>
      </c>
      <c r="E24" s="27" t="s">
        <v>102</v>
      </c>
      <c r="F24" s="27" t="s">
        <v>320</v>
      </c>
      <c r="G24" s="27" t="s">
        <v>321</v>
      </c>
      <c r="H24" s="27" t="s">
        <v>322</v>
      </c>
      <c r="I24" s="27" t="s">
        <v>323</v>
      </c>
      <c r="J24" s="142" t="s">
        <v>324</v>
      </c>
      <c r="K24" s="142" t="s">
        <v>325</v>
      </c>
      <c r="L24" s="142" t="s">
        <v>326</v>
      </c>
      <c r="M24" s="142" t="s">
        <v>327</v>
      </c>
      <c r="N24" s="142" t="s">
        <v>328</v>
      </c>
      <c r="O24" s="142" t="s">
        <v>329</v>
      </c>
      <c r="P24" s="142" t="s">
        <v>330</v>
      </c>
      <c r="Q24" s="142" t="s">
        <v>331</v>
      </c>
      <c r="R24" s="142" t="s">
        <v>332</v>
      </c>
      <c r="S24" s="142" t="s">
        <v>333</v>
      </c>
      <c r="T24" s="142" t="s">
        <v>334</v>
      </c>
    </row>
    <row r="25" spans="2:20">
      <c r="B25" s="61" t="s">
        <v>133</v>
      </c>
      <c r="C25" s="19"/>
      <c r="D25" s="19"/>
      <c r="E25" s="19"/>
      <c r="F25" s="38"/>
      <c r="G25" s="36"/>
      <c r="H25" s="36"/>
      <c r="I25" s="36"/>
      <c r="J25" s="36"/>
      <c r="K25" s="36"/>
      <c r="L25" s="36"/>
      <c r="M25" s="36"/>
      <c r="N25" s="20"/>
      <c r="O25" s="20"/>
      <c r="P25" s="20"/>
      <c r="Q25" s="20"/>
      <c r="R25" s="20"/>
      <c r="S25" s="20"/>
      <c r="T25" s="20"/>
    </row>
    <row r="26" spans="2:20">
      <c r="B26" s="33" t="s">
        <v>307</v>
      </c>
      <c r="C26" s="19">
        <v>0</v>
      </c>
      <c r="D26" s="19">
        <v>0</v>
      </c>
      <c r="E26" s="19">
        <v>0</v>
      </c>
      <c r="F26" s="19">
        <f>Assumptions!$E126*Assumptions!F126*$C$12</f>
        <v>37870.187134917651</v>
      </c>
      <c r="G26" s="19">
        <f t="shared" ref="G26:T26" si="6">F26*(1+$C$9)</f>
        <v>39687.956117393696</v>
      </c>
      <c r="H26" s="19">
        <f t="shared" si="6"/>
        <v>41592.978011028594</v>
      </c>
      <c r="I26" s="19">
        <f t="shared" si="6"/>
        <v>43589.44095555797</v>
      </c>
      <c r="J26" s="19">
        <f t="shared" si="6"/>
        <v>45681.734121424757</v>
      </c>
      <c r="K26" s="19">
        <f t="shared" si="6"/>
        <v>47874.457359253145</v>
      </c>
      <c r="L26" s="19">
        <f t="shared" si="6"/>
        <v>50172.431312497298</v>
      </c>
      <c r="M26" s="19">
        <f t="shared" si="6"/>
        <v>52580.70801549717</v>
      </c>
      <c r="N26" s="19">
        <f t="shared" si="6"/>
        <v>55104.582000241033</v>
      </c>
      <c r="O26" s="19">
        <f t="shared" si="6"/>
        <v>57749.601936252606</v>
      </c>
      <c r="P26" s="19">
        <f t="shared" si="6"/>
        <v>60521.582829192732</v>
      </c>
      <c r="Q26" s="19">
        <f t="shared" si="6"/>
        <v>63426.618804993988</v>
      </c>
      <c r="R26" s="19">
        <f t="shared" si="6"/>
        <v>66471.096507633702</v>
      </c>
      <c r="S26" s="19">
        <f t="shared" si="6"/>
        <v>69661.709140000123</v>
      </c>
      <c r="T26" s="19">
        <f t="shared" si="6"/>
        <v>73005.471178720138</v>
      </c>
    </row>
    <row r="27" spans="2:20">
      <c r="B27" s="33" t="s">
        <v>137</v>
      </c>
      <c r="C27" s="19">
        <v>0</v>
      </c>
      <c r="D27" s="19">
        <v>0</v>
      </c>
      <c r="E27" s="19">
        <v>0</v>
      </c>
      <c r="F27" s="19">
        <f>Assumptions!$E127*Assumptions!F127*$C$12</f>
        <v>363111.3309842879</v>
      </c>
      <c r="G27" s="19">
        <f t="shared" ref="G27:T27" si="7">F27*(1+$C$9)</f>
        <v>380540.6748715337</v>
      </c>
      <c r="H27" s="19">
        <f t="shared" si="7"/>
        <v>398806.62726536731</v>
      </c>
      <c r="I27" s="19">
        <f t="shared" si="7"/>
        <v>417949.34537410497</v>
      </c>
      <c r="J27" s="19">
        <f t="shared" si="7"/>
        <v>438010.91395206202</v>
      </c>
      <c r="K27" s="19">
        <f t="shared" si="7"/>
        <v>459035.43782176101</v>
      </c>
      <c r="L27" s="19">
        <f t="shared" si="7"/>
        <v>481069.13883720554</v>
      </c>
      <c r="M27" s="19">
        <f t="shared" si="7"/>
        <v>504160.45750139141</v>
      </c>
      <c r="N27" s="19">
        <f t="shared" si="7"/>
        <v>528360.15946145821</v>
      </c>
      <c r="O27" s="19">
        <f t="shared" si="7"/>
        <v>553721.44711560826</v>
      </c>
      <c r="P27" s="19">
        <f t="shared" si="7"/>
        <v>580300.07657715748</v>
      </c>
      <c r="Q27" s="19">
        <f t="shared" si="7"/>
        <v>608154.48025286105</v>
      </c>
      <c r="R27" s="19">
        <f t="shared" si="7"/>
        <v>637345.89530499838</v>
      </c>
      <c r="S27" s="19">
        <f t="shared" si="7"/>
        <v>667938.49827963836</v>
      </c>
      <c r="T27" s="19">
        <f t="shared" si="7"/>
        <v>699999.54619706108</v>
      </c>
    </row>
    <row r="28" spans="2:20">
      <c r="B28" s="61" t="s">
        <v>139</v>
      </c>
      <c r="C28" s="19"/>
      <c r="D28" s="19"/>
      <c r="E28" s="19"/>
      <c r="F28" s="38"/>
      <c r="G28" s="19"/>
      <c r="H28" s="36"/>
      <c r="I28" s="36"/>
      <c r="J28" s="36"/>
      <c r="K28" s="36"/>
      <c r="L28" s="36"/>
      <c r="M28" s="36"/>
      <c r="N28" s="20"/>
      <c r="O28" s="20"/>
      <c r="P28" s="20"/>
      <c r="Q28" s="20"/>
      <c r="R28" s="20"/>
      <c r="S28" s="20"/>
      <c r="T28" s="20"/>
    </row>
    <row r="29" spans="2:20">
      <c r="B29" s="33" t="s">
        <v>343</v>
      </c>
      <c r="C29" s="19">
        <v>0</v>
      </c>
      <c r="D29" s="19">
        <v>0</v>
      </c>
      <c r="E29" s="19">
        <v>0</v>
      </c>
      <c r="F29" s="19">
        <f>Assumptions!$E129*Assumptions!F129*$C$12</f>
        <v>444680.78482981969</v>
      </c>
      <c r="G29" s="19">
        <f t="shared" ref="G29:T29" si="8">F29*(1+$C$9)</f>
        <v>466025.46250165108</v>
      </c>
      <c r="H29" s="19">
        <f t="shared" si="8"/>
        <v>488394.68470173038</v>
      </c>
      <c r="I29" s="19">
        <f t="shared" si="8"/>
        <v>511837.62956741347</v>
      </c>
      <c r="J29" s="19">
        <f t="shared" si="8"/>
        <v>536405.83578664938</v>
      </c>
      <c r="K29" s="19">
        <f t="shared" si="8"/>
        <v>562153.31590440858</v>
      </c>
      <c r="L29" s="19">
        <f t="shared" si="8"/>
        <v>589136.67506782024</v>
      </c>
      <c r="M29" s="19">
        <f t="shared" si="8"/>
        <v>617415.23547107563</v>
      </c>
      <c r="N29" s="19">
        <f t="shared" si="8"/>
        <v>647051.16677368723</v>
      </c>
      <c r="O29" s="19">
        <f t="shared" si="8"/>
        <v>678109.6227788243</v>
      </c>
      <c r="P29" s="19">
        <f t="shared" si="8"/>
        <v>710658.88467220787</v>
      </c>
      <c r="Q29" s="19">
        <f t="shared" si="8"/>
        <v>744770.51113647386</v>
      </c>
      <c r="R29" s="19">
        <f t="shared" si="8"/>
        <v>780519.49567102466</v>
      </c>
      <c r="S29" s="19">
        <f t="shared" si="8"/>
        <v>817984.43146323389</v>
      </c>
      <c r="T29" s="19">
        <f t="shared" si="8"/>
        <v>857247.6841734692</v>
      </c>
    </row>
    <row r="30" spans="2:20">
      <c r="B30" s="33" t="s">
        <v>142</v>
      </c>
      <c r="C30" s="19">
        <v>0</v>
      </c>
      <c r="D30" s="19">
        <v>0</v>
      </c>
      <c r="E30" s="19">
        <v>0</v>
      </c>
      <c r="F30" s="19">
        <f>Assumptions!$E130*Assumptions!F130*$C$12</f>
        <v>151612.2141887676</v>
      </c>
      <c r="G30" s="19">
        <f t="shared" ref="G30:T30" si="9">F30*(1+$C$9)</f>
        <v>158889.60046982844</v>
      </c>
      <c r="H30" s="19">
        <f t="shared" si="9"/>
        <v>166516.3012923802</v>
      </c>
      <c r="I30" s="19">
        <f t="shared" si="9"/>
        <v>174509.08375441446</v>
      </c>
      <c r="J30" s="19">
        <f t="shared" si="9"/>
        <v>182885.51977462636</v>
      </c>
      <c r="K30" s="19">
        <f t="shared" si="9"/>
        <v>191664.02472380843</v>
      </c>
      <c r="L30" s="19">
        <f t="shared" si="9"/>
        <v>200863.89791055123</v>
      </c>
      <c r="M30" s="19">
        <f t="shared" si="9"/>
        <v>210505.36501025769</v>
      </c>
      <c r="N30" s="19">
        <f t="shared" si="9"/>
        <v>220609.62253075009</v>
      </c>
      <c r="O30" s="19">
        <f t="shared" si="9"/>
        <v>231198.88441222609</v>
      </c>
      <c r="P30" s="19">
        <f t="shared" si="9"/>
        <v>242296.43086401295</v>
      </c>
      <c r="Q30" s="19">
        <f t="shared" si="9"/>
        <v>253926.65954548557</v>
      </c>
      <c r="R30" s="19">
        <f t="shared" si="9"/>
        <v>266115.13920366886</v>
      </c>
      <c r="S30" s="19">
        <f t="shared" si="9"/>
        <v>278888.66588544496</v>
      </c>
      <c r="T30" s="19">
        <f t="shared" si="9"/>
        <v>292275.32184794632</v>
      </c>
    </row>
    <row r="31" spans="2:20">
      <c r="B31" s="61" t="s">
        <v>143</v>
      </c>
      <c r="C31" s="19"/>
      <c r="D31" s="19"/>
      <c r="E31" s="19"/>
      <c r="F31" s="19"/>
      <c r="G31" s="19"/>
      <c r="H31" s="36"/>
      <c r="I31" s="36"/>
      <c r="J31" s="36"/>
      <c r="K31" s="36"/>
      <c r="L31" s="36"/>
      <c r="M31" s="19"/>
      <c r="N31" s="19"/>
      <c r="O31" s="20"/>
      <c r="P31" s="20"/>
      <c r="Q31" s="20"/>
      <c r="R31" s="20"/>
      <c r="S31" s="20"/>
      <c r="T31" s="20"/>
    </row>
    <row r="32" spans="2:20">
      <c r="B32" s="33" t="s">
        <v>147</v>
      </c>
      <c r="C32" s="19">
        <v>0</v>
      </c>
      <c r="D32" s="19">
        <v>0</v>
      </c>
      <c r="E32" s="19">
        <v>0</v>
      </c>
      <c r="F32" s="19">
        <f>Assumptions!$E132*Assumptions!F132*$C$12</f>
        <v>2571168.2157492992</v>
      </c>
      <c r="G32" s="19">
        <f t="shared" ref="G32:T32" si="10">F32*(1+$C$9)</f>
        <v>2694584.2901052656</v>
      </c>
      <c r="H32" s="19">
        <f t="shared" si="10"/>
        <v>2823924.3360303184</v>
      </c>
      <c r="I32" s="19">
        <f t="shared" si="10"/>
        <v>2959472.7041597739</v>
      </c>
      <c r="J32" s="19">
        <f t="shared" si="10"/>
        <v>3101527.3939594431</v>
      </c>
      <c r="K32" s="19">
        <f t="shared" si="10"/>
        <v>3250400.7088694964</v>
      </c>
      <c r="L32" s="19">
        <f t="shared" si="10"/>
        <v>3406419.9428952322</v>
      </c>
      <c r="M32" s="19">
        <f t="shared" si="10"/>
        <v>3569928.1001542034</v>
      </c>
      <c r="N32" s="19">
        <f t="shared" si="10"/>
        <v>3741284.6489616055</v>
      </c>
      <c r="O32" s="19">
        <f t="shared" si="10"/>
        <v>3920866.3121117628</v>
      </c>
      <c r="P32" s="19">
        <f t="shared" si="10"/>
        <v>4109067.8950931276</v>
      </c>
      <c r="Q32" s="19">
        <f t="shared" si="10"/>
        <v>4306303.1540575977</v>
      </c>
      <c r="R32" s="19">
        <f t="shared" si="10"/>
        <v>4513005.705452363</v>
      </c>
      <c r="S32" s="19">
        <f t="shared" si="10"/>
        <v>4729629.9793140767</v>
      </c>
      <c r="T32" s="19">
        <f t="shared" si="10"/>
        <v>4956652.218321153</v>
      </c>
    </row>
    <row r="33" spans="2:21">
      <c r="B33" s="61" t="s">
        <v>148</v>
      </c>
      <c r="C33" s="19"/>
      <c r="D33" s="19"/>
      <c r="E33" s="19"/>
      <c r="F33" s="19"/>
      <c r="G33" s="19"/>
      <c r="H33" s="36"/>
      <c r="I33" s="36"/>
      <c r="J33" s="36"/>
      <c r="K33" s="36"/>
      <c r="L33" s="36"/>
      <c r="M33" s="19"/>
      <c r="N33" s="19"/>
      <c r="O33" s="20"/>
      <c r="P33" s="20"/>
      <c r="Q33" s="20"/>
      <c r="R33" s="20"/>
      <c r="S33" s="20"/>
      <c r="T33" s="20"/>
    </row>
    <row r="34" spans="2:21">
      <c r="B34" s="33" t="s">
        <v>149</v>
      </c>
      <c r="C34" s="19">
        <v>0</v>
      </c>
      <c r="D34" s="19">
        <v>0</v>
      </c>
      <c r="E34" s="19">
        <v>0</v>
      </c>
      <c r="F34" s="19">
        <f>Assumptions!$E134*Assumptions!F134*$C$12</f>
        <v>1470605.763505545</v>
      </c>
      <c r="G34" s="19">
        <f t="shared" ref="G34:T34" si="11">F34*(1+$C$9)</f>
        <v>1541194.8401538113</v>
      </c>
      <c r="H34" s="19">
        <f t="shared" si="11"/>
        <v>1615172.1924811942</v>
      </c>
      <c r="I34" s="19">
        <f t="shared" si="11"/>
        <v>1692700.4577202916</v>
      </c>
      <c r="J34" s="19">
        <f t="shared" si="11"/>
        <v>1773950.0796908657</v>
      </c>
      <c r="K34" s="19">
        <f t="shared" si="11"/>
        <v>1859099.6835160274</v>
      </c>
      <c r="L34" s="19">
        <f t="shared" si="11"/>
        <v>1948336.4683247968</v>
      </c>
      <c r="M34" s="19">
        <f t="shared" si="11"/>
        <v>2041856.618804387</v>
      </c>
      <c r="N34" s="19">
        <f t="shared" si="11"/>
        <v>2139865.7365069976</v>
      </c>
      <c r="O34" s="19">
        <f t="shared" si="11"/>
        <v>2242579.2918593334</v>
      </c>
      <c r="P34" s="19">
        <f t="shared" si="11"/>
        <v>2350223.0978685813</v>
      </c>
      <c r="Q34" s="19">
        <f t="shared" si="11"/>
        <v>2463033.8065662733</v>
      </c>
      <c r="R34" s="19">
        <f t="shared" si="11"/>
        <v>2581259.4292814545</v>
      </c>
      <c r="S34" s="19">
        <f t="shared" si="11"/>
        <v>2705159.8818869647</v>
      </c>
      <c r="T34" s="19">
        <f t="shared" si="11"/>
        <v>2835007.5562175391</v>
      </c>
    </row>
    <row r="35" spans="2:21">
      <c r="B35" s="61" t="s">
        <v>150</v>
      </c>
      <c r="C35" s="19"/>
      <c r="D35" s="19"/>
      <c r="E35" s="19"/>
      <c r="F35" s="19"/>
      <c r="G35" s="19"/>
      <c r="H35" s="36"/>
      <c r="I35" s="36"/>
      <c r="J35" s="36"/>
      <c r="K35" s="36"/>
      <c r="L35" s="36"/>
      <c r="M35" s="19"/>
      <c r="N35" s="19"/>
      <c r="O35" s="20"/>
      <c r="P35" s="20"/>
      <c r="Q35" s="20"/>
      <c r="R35" s="20"/>
      <c r="S35" s="20"/>
      <c r="T35" s="20"/>
      <c r="U35" s="57"/>
    </row>
    <row r="36" spans="2:21">
      <c r="B36" s="33" t="s">
        <v>151</v>
      </c>
      <c r="C36" s="19">
        <v>0</v>
      </c>
      <c r="D36" s="19">
        <v>0</v>
      </c>
      <c r="E36" s="19">
        <v>0</v>
      </c>
      <c r="F36" s="19">
        <f>Assumptions!$E136*Assumptions!F136*$C$12</f>
        <v>1696466.0830053277</v>
      </c>
      <c r="G36" s="19">
        <f t="shared" ref="G36:T36" si="12">F36*(1+$C$9)</f>
        <v>1777896.4549895835</v>
      </c>
      <c r="H36" s="19">
        <f t="shared" si="12"/>
        <v>1863235.4848290836</v>
      </c>
      <c r="I36" s="19">
        <f t="shared" si="12"/>
        <v>1952670.7881008796</v>
      </c>
      <c r="J36" s="19">
        <f t="shared" si="12"/>
        <v>2046398.985929722</v>
      </c>
      <c r="K36" s="19">
        <f t="shared" si="12"/>
        <v>2144626.1372543485</v>
      </c>
      <c r="L36" s="19">
        <f t="shared" si="12"/>
        <v>2247568.1918425574</v>
      </c>
      <c r="M36" s="19">
        <f t="shared" si="12"/>
        <v>2355451.4650510005</v>
      </c>
      <c r="N36" s="19">
        <f t="shared" si="12"/>
        <v>2468513.1353734485</v>
      </c>
      <c r="O36" s="19">
        <f t="shared" si="12"/>
        <v>2587001.7658713739</v>
      </c>
      <c r="P36" s="19">
        <f t="shared" si="12"/>
        <v>2711177.8506331998</v>
      </c>
      <c r="Q36" s="19">
        <f t="shared" si="12"/>
        <v>2841314.3874635934</v>
      </c>
      <c r="R36" s="19">
        <f t="shared" si="12"/>
        <v>2977697.478061846</v>
      </c>
      <c r="S36" s="19">
        <f t="shared" si="12"/>
        <v>3120626.9570088149</v>
      </c>
      <c r="T36" s="19">
        <f t="shared" si="12"/>
        <v>3270417.0509452382</v>
      </c>
    </row>
    <row r="37" spans="2:21">
      <c r="B37" s="61" t="s">
        <v>152</v>
      </c>
      <c r="C37" s="19"/>
      <c r="D37" s="19"/>
      <c r="E37" s="19"/>
      <c r="F37" s="19"/>
      <c r="G37" s="19"/>
      <c r="H37" s="36"/>
      <c r="I37" s="36"/>
      <c r="J37" s="36"/>
      <c r="K37" s="36"/>
      <c r="L37" s="36"/>
      <c r="M37" s="19"/>
      <c r="N37" s="19"/>
      <c r="O37" s="20"/>
      <c r="P37" s="20"/>
      <c r="Q37" s="20"/>
      <c r="R37" s="20"/>
      <c r="S37" s="20"/>
      <c r="T37" s="20"/>
    </row>
    <row r="38" spans="2:21">
      <c r="B38" s="33" t="s">
        <v>151</v>
      </c>
      <c r="C38" s="19">
        <v>0</v>
      </c>
      <c r="D38" s="19">
        <v>0</v>
      </c>
      <c r="E38" s="19">
        <v>0</v>
      </c>
      <c r="F38" s="19">
        <f>Assumptions!$E139*Assumptions!F139*$C$12</f>
        <v>1066548.456916291</v>
      </c>
      <c r="G38" s="19">
        <f t="shared" ref="G38:T38" si="13">F38*(1+$C$9)</f>
        <v>1117742.7828482729</v>
      </c>
      <c r="H38" s="19">
        <f t="shared" si="13"/>
        <v>1171394.4364249902</v>
      </c>
      <c r="I38" s="19">
        <f t="shared" si="13"/>
        <v>1227621.3693733898</v>
      </c>
      <c r="J38" s="19">
        <f t="shared" si="13"/>
        <v>1286547.1951033126</v>
      </c>
      <c r="K38" s="19">
        <f t="shared" si="13"/>
        <v>1348301.4604682717</v>
      </c>
      <c r="L38" s="19">
        <f t="shared" si="13"/>
        <v>1413019.9305707489</v>
      </c>
      <c r="M38" s="19">
        <f t="shared" si="13"/>
        <v>1480844.8872381449</v>
      </c>
      <c r="N38" s="19">
        <f t="shared" si="13"/>
        <v>1551925.4418255759</v>
      </c>
      <c r="O38" s="19">
        <f t="shared" si="13"/>
        <v>1626417.8630332036</v>
      </c>
      <c r="P38" s="19">
        <f t="shared" si="13"/>
        <v>1704485.9204587976</v>
      </c>
      <c r="Q38" s="19">
        <f t="shared" si="13"/>
        <v>1786301.24464082</v>
      </c>
      <c r="R38" s="19">
        <f t="shared" si="13"/>
        <v>1872043.7043835793</v>
      </c>
      <c r="S38" s="19">
        <f t="shared" si="13"/>
        <v>1961901.8021939911</v>
      </c>
      <c r="T38" s="19">
        <f t="shared" si="13"/>
        <v>2056073.0886993029</v>
      </c>
    </row>
    <row r="39" spans="2:21">
      <c r="B39" s="154" t="s">
        <v>45</v>
      </c>
      <c r="C39" s="278">
        <f>SUM(C26:C38)</f>
        <v>0</v>
      </c>
      <c r="D39" s="278">
        <f>SUM(D26:D38)</f>
        <v>0</v>
      </c>
      <c r="E39" s="278">
        <f>SUM(E26:E38)</f>
        <v>0</v>
      </c>
      <c r="F39" s="278">
        <f>SUM(F26:F38)</f>
        <v>7802063.0363142565</v>
      </c>
      <c r="G39" s="278">
        <f t="shared" ref="G39:T39" si="14">SUM(G26:G38)</f>
        <v>8176562.0620573405</v>
      </c>
      <c r="H39" s="278">
        <f t="shared" si="14"/>
        <v>8569037.0410360917</v>
      </c>
      <c r="I39" s="278">
        <f t="shared" si="14"/>
        <v>8980350.8190058265</v>
      </c>
      <c r="J39" s="278">
        <f t="shared" si="14"/>
        <v>9411407.6583181061</v>
      </c>
      <c r="K39" s="278">
        <f t="shared" si="14"/>
        <v>9863155.2259173747</v>
      </c>
      <c r="L39" s="278">
        <f t="shared" si="14"/>
        <v>10336586.676761411</v>
      </c>
      <c r="M39" s="278">
        <f t="shared" si="14"/>
        <v>10832742.837245958</v>
      </c>
      <c r="N39" s="278">
        <f t="shared" si="14"/>
        <v>11352714.493433764</v>
      </c>
      <c r="O39" s="278">
        <f t="shared" si="14"/>
        <v>11897644.789118586</v>
      </c>
      <c r="P39" s="278">
        <f t="shared" si="14"/>
        <v>12468731.738996277</v>
      </c>
      <c r="Q39" s="278">
        <f t="shared" si="14"/>
        <v>13067230.862468099</v>
      </c>
      <c r="R39" s="278">
        <f t="shared" si="14"/>
        <v>13694457.94386657</v>
      </c>
      <c r="S39" s="278">
        <f t="shared" si="14"/>
        <v>14351791.925172165</v>
      </c>
      <c r="T39" s="278">
        <f t="shared" si="14"/>
        <v>15040677.937580429</v>
      </c>
    </row>
    <row r="40" spans="2:21">
      <c r="B40" s="33"/>
      <c r="C40" s="57"/>
      <c r="D40" s="57"/>
      <c r="E40" s="57"/>
      <c r="F40" s="57"/>
      <c r="G40" s="57"/>
      <c r="H40" s="57"/>
      <c r="I40" s="57"/>
      <c r="J40" s="57"/>
      <c r="K40" s="57"/>
      <c r="L40" s="57"/>
      <c r="M40" s="57"/>
      <c r="N40" s="57"/>
      <c r="O40" s="57"/>
      <c r="P40" s="57"/>
      <c r="Q40" s="57"/>
      <c r="R40" s="57"/>
      <c r="S40" s="57"/>
      <c r="T40" s="57"/>
    </row>
    <row r="41" spans="2:21">
      <c r="B41" s="61"/>
      <c r="C41" s="57"/>
      <c r="D41" s="57"/>
      <c r="E41" s="57"/>
      <c r="F41" s="57"/>
      <c r="G41" s="57"/>
      <c r="H41" s="57"/>
      <c r="I41" s="57"/>
      <c r="J41" s="57"/>
      <c r="K41" s="57"/>
      <c r="L41" s="57"/>
      <c r="M41" s="57"/>
      <c r="N41" s="57"/>
      <c r="O41" s="57"/>
      <c r="P41" s="57"/>
      <c r="Q41" s="57"/>
      <c r="R41" s="57"/>
      <c r="S41" s="57"/>
      <c r="T41" s="57"/>
    </row>
    <row r="42" spans="2:21">
      <c r="B42" s="33"/>
      <c r="C42" s="57"/>
      <c r="D42" s="57"/>
      <c r="E42" s="57"/>
      <c r="F42" s="57"/>
      <c r="G42" s="57"/>
      <c r="H42" s="57"/>
      <c r="I42" s="57"/>
      <c r="J42" s="57"/>
      <c r="K42" s="279"/>
      <c r="L42" s="57"/>
      <c r="M42" s="57"/>
      <c r="N42" s="57"/>
      <c r="O42" s="57"/>
      <c r="P42" s="57"/>
      <c r="Q42" s="57"/>
      <c r="R42" s="57"/>
      <c r="S42" s="57"/>
      <c r="T42" s="57"/>
    </row>
    <row r="43" spans="2:21">
      <c r="B43" s="33"/>
      <c r="C43" s="57"/>
      <c r="D43" s="57"/>
      <c r="E43" s="57"/>
      <c r="F43" s="57"/>
      <c r="G43" s="57"/>
      <c r="H43" s="57"/>
      <c r="I43" s="57"/>
      <c r="J43" s="57"/>
      <c r="K43" s="57"/>
      <c r="L43" s="57"/>
      <c r="M43" s="57"/>
      <c r="N43" s="57"/>
      <c r="O43" s="57"/>
      <c r="P43" s="57"/>
      <c r="Q43" s="57"/>
      <c r="R43" s="57"/>
      <c r="S43" s="57"/>
      <c r="T43" s="57"/>
    </row>
    <row r="44" spans="2:21">
      <c r="B44" s="61"/>
      <c r="C44" s="57"/>
      <c r="D44" s="57"/>
      <c r="E44" s="57"/>
      <c r="F44" s="57"/>
      <c r="G44" s="57"/>
      <c r="H44" s="57"/>
      <c r="I44" s="57"/>
      <c r="J44" s="57"/>
      <c r="K44" s="57"/>
      <c r="L44" s="57"/>
      <c r="M44" s="57"/>
      <c r="N44" s="57"/>
      <c r="O44" s="57"/>
      <c r="P44" s="57"/>
      <c r="Q44" s="57"/>
      <c r="R44" s="57"/>
      <c r="S44" s="57"/>
      <c r="T44" s="57"/>
    </row>
    <row r="45" spans="2:21">
      <c r="B45" s="33"/>
      <c r="C45" s="57"/>
      <c r="D45" s="57"/>
      <c r="E45" s="57"/>
      <c r="F45" s="57"/>
      <c r="G45" s="57"/>
      <c r="H45" s="57"/>
      <c r="I45" s="57"/>
      <c r="J45" s="57"/>
      <c r="K45" s="57"/>
      <c r="L45" s="57"/>
      <c r="M45" s="57"/>
      <c r="N45" s="57"/>
      <c r="O45" s="57"/>
      <c r="P45" s="57"/>
      <c r="Q45" s="57"/>
      <c r="R45" s="57"/>
      <c r="S45" s="57"/>
      <c r="T45" s="57"/>
    </row>
    <row r="46" spans="2:21">
      <c r="B46" s="33"/>
      <c r="C46" s="57"/>
      <c r="D46" s="57"/>
      <c r="E46" s="57"/>
      <c r="F46" s="57"/>
      <c r="G46" s="57"/>
      <c r="H46" s="57"/>
      <c r="I46" s="57"/>
      <c r="J46" s="57"/>
      <c r="K46" s="57"/>
      <c r="L46" s="57"/>
      <c r="M46" s="57"/>
      <c r="N46" s="57"/>
      <c r="O46" s="57"/>
      <c r="P46" s="57"/>
      <c r="Q46" s="57"/>
      <c r="R46" s="57"/>
      <c r="S46" s="57"/>
      <c r="T46" s="57"/>
    </row>
    <row r="47" spans="2:21">
      <c r="B47" s="37"/>
      <c r="C47" s="58"/>
      <c r="D47" s="58"/>
      <c r="E47" s="58"/>
      <c r="F47" s="58"/>
      <c r="G47" s="58"/>
      <c r="H47" s="58"/>
      <c r="I47" s="58"/>
      <c r="J47" s="58"/>
      <c r="K47" s="58"/>
      <c r="L47" s="58"/>
      <c r="M47" s="58"/>
      <c r="N47" s="58"/>
      <c r="O47" s="58"/>
      <c r="P47" s="58"/>
      <c r="Q47" s="58"/>
      <c r="R47" s="58"/>
      <c r="S47" s="58"/>
      <c r="T47" s="58"/>
    </row>
    <row r="49" spans="4:4">
      <c r="D49" s="63"/>
    </row>
    <row r="75" spans="2:20">
      <c r="B75" s="56"/>
      <c r="C75" s="57"/>
      <c r="D75" s="57"/>
      <c r="E75" s="57"/>
      <c r="F75" s="57"/>
      <c r="G75" s="57"/>
      <c r="H75" s="57"/>
      <c r="I75" s="57"/>
      <c r="J75" s="57"/>
      <c r="K75" s="57"/>
      <c r="L75" s="57"/>
      <c r="M75" s="57"/>
      <c r="N75" s="57"/>
      <c r="O75" s="57"/>
      <c r="P75" s="57"/>
      <c r="Q75" s="57"/>
      <c r="R75" s="57"/>
      <c r="S75" s="57"/>
      <c r="T75" s="57"/>
    </row>
    <row r="76" spans="2:20">
      <c r="B76" s="37"/>
      <c r="C76" s="58"/>
      <c r="D76" s="58"/>
      <c r="E76" s="58"/>
      <c r="F76" s="58"/>
      <c r="G76" s="58"/>
      <c r="H76" s="58"/>
      <c r="I76" s="58"/>
      <c r="J76" s="58"/>
      <c r="K76" s="58"/>
      <c r="L76" s="58"/>
      <c r="M76" s="58"/>
      <c r="N76" s="58"/>
      <c r="O76" s="58"/>
      <c r="P76" s="58"/>
      <c r="Q76" s="58"/>
      <c r="R76" s="58"/>
      <c r="S76" s="58"/>
      <c r="T76"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B2D06-06AF-6147-88A7-FB8D7FF0D3B8}">
  <sheetPr>
    <tabColor rgb="FF00B050"/>
  </sheetPr>
  <dimension ref="B1:T96"/>
  <sheetViews>
    <sheetView topLeftCell="A49" zoomScale="69" workbookViewId="0">
      <selection activeCell="B24" sqref="B24"/>
    </sheetView>
  </sheetViews>
  <sheetFormatPr defaultColWidth="11" defaultRowHeight="15.95"/>
  <cols>
    <col min="1" max="1" width="11" style="17"/>
    <col min="2" max="2" width="47.625" style="17" customWidth="1"/>
    <col min="3" max="3" width="11.5" style="17" bestFit="1" customWidth="1"/>
    <col min="4" max="4" width="17.375" style="17" bestFit="1" customWidth="1"/>
    <col min="5" max="5" width="15.5" style="17" bestFit="1" customWidth="1"/>
    <col min="6" max="6" width="31.625" style="17" customWidth="1"/>
    <col min="7" max="12" width="14.875" style="17" bestFit="1" customWidth="1"/>
    <col min="13" max="13" width="14.375" style="17" bestFit="1" customWidth="1"/>
    <col min="14" max="19" width="14.875" style="17" bestFit="1" customWidth="1"/>
    <col min="20" max="20" width="16" style="17" bestFit="1" customWidth="1"/>
    <col min="21" max="16384" width="11" style="17"/>
  </cols>
  <sheetData>
    <row r="1" spans="2:20" s="15" customFormat="1" ht="27">
      <c r="B1" s="14" t="s">
        <v>344</v>
      </c>
    </row>
    <row r="2" spans="2:20" s="15" customFormat="1">
      <c r="B2" s="16" t="s">
        <v>1</v>
      </c>
    </row>
    <row r="6" spans="2:20">
      <c r="B6" s="16" t="s">
        <v>319</v>
      </c>
      <c r="C6" s="43" t="s">
        <v>100</v>
      </c>
      <c r="D6" s="43" t="s">
        <v>101</v>
      </c>
      <c r="E6" s="43" t="s">
        <v>102</v>
      </c>
      <c r="F6" s="43" t="s">
        <v>320</v>
      </c>
      <c r="G6" s="43" t="s">
        <v>321</v>
      </c>
      <c r="H6" s="43" t="s">
        <v>322</v>
      </c>
      <c r="I6" s="43" t="s">
        <v>323</v>
      </c>
      <c r="J6" s="43" t="s">
        <v>324</v>
      </c>
      <c r="K6" s="43" t="s">
        <v>325</v>
      </c>
      <c r="L6" s="43" t="s">
        <v>326</v>
      </c>
      <c r="M6" s="43" t="s">
        <v>327</v>
      </c>
      <c r="N6" s="43" t="s">
        <v>328</v>
      </c>
      <c r="O6" s="44" t="s">
        <v>329</v>
      </c>
      <c r="P6" s="44" t="s">
        <v>330</v>
      </c>
      <c r="Q6" s="44" t="s">
        <v>331</v>
      </c>
      <c r="R6" s="44" t="s">
        <v>332</v>
      </c>
      <c r="S6" s="44" t="s">
        <v>333</v>
      </c>
      <c r="T6" s="44" t="s">
        <v>334</v>
      </c>
    </row>
    <row r="7" spans="2:20">
      <c r="B7" s="37" t="s">
        <v>335</v>
      </c>
      <c r="C7" s="45">
        <f>Assumptions!F21</f>
        <v>3.5000000000000003E-2</v>
      </c>
      <c r="D7" s="45">
        <f>Assumptions!F22</f>
        <v>2.9000000000000001E-2</v>
      </c>
      <c r="E7" s="45">
        <f>Assumptions!F23</f>
        <v>2.7E-2</v>
      </c>
      <c r="F7" s="45">
        <f>Assumptions!F24</f>
        <v>2.5999999999999999E-2</v>
      </c>
      <c r="G7" s="45">
        <f>Assumptions!F25</f>
        <v>2.5000000000000001E-2</v>
      </c>
      <c r="H7" s="45">
        <f>Assumptions!F26</f>
        <v>2.5000000000000001E-2</v>
      </c>
      <c r="I7" s="45">
        <f>Assumptions!F27</f>
        <v>2.5000000000000001E-2</v>
      </c>
      <c r="J7" s="45">
        <f>Assumptions!F28</f>
        <v>2.5000000000000001E-2</v>
      </c>
      <c r="K7" s="45">
        <f>Assumptions!F29</f>
        <v>2.5000000000000001E-2</v>
      </c>
      <c r="L7" s="45">
        <f>Assumptions!F30</f>
        <v>2.5000000000000001E-2</v>
      </c>
      <c r="M7" s="45">
        <f>Assumptions!F31</f>
        <v>2.5000000000000001E-2</v>
      </c>
      <c r="N7" s="45">
        <f>Assumptions!F32</f>
        <v>2.5000000000000001E-2</v>
      </c>
      <c r="O7" s="45">
        <f>N7</f>
        <v>2.5000000000000001E-2</v>
      </c>
      <c r="P7" s="45">
        <f t="shared" ref="P7:T7" si="0">O7</f>
        <v>2.5000000000000001E-2</v>
      </c>
      <c r="Q7" s="45">
        <f t="shared" si="0"/>
        <v>2.5000000000000001E-2</v>
      </c>
      <c r="R7" s="45">
        <f t="shared" si="0"/>
        <v>2.5000000000000001E-2</v>
      </c>
      <c r="S7" s="45">
        <f t="shared" si="0"/>
        <v>2.5000000000000001E-2</v>
      </c>
      <c r="T7" s="45">
        <f t="shared" si="0"/>
        <v>2.5000000000000001E-2</v>
      </c>
    </row>
    <row r="8" spans="2:20">
      <c r="C8" s="46"/>
      <c r="D8" s="46"/>
      <c r="E8" s="46"/>
      <c r="F8" s="46"/>
      <c r="G8" s="46"/>
      <c r="H8" s="46"/>
      <c r="I8" s="46"/>
      <c r="J8" s="46"/>
      <c r="K8" s="46"/>
      <c r="L8" s="46"/>
      <c r="M8" s="46"/>
    </row>
    <row r="9" spans="2:20">
      <c r="B9" s="37" t="s">
        <v>336</v>
      </c>
      <c r="C9" s="45">
        <f>Assumptions!F15</f>
        <v>4.8000000000000001E-2</v>
      </c>
      <c r="D9" s="47"/>
      <c r="E9" s="47"/>
      <c r="F9" s="47"/>
      <c r="G9" s="47"/>
      <c r="H9" s="47"/>
      <c r="I9" s="47"/>
      <c r="J9" s="47"/>
      <c r="K9" s="46"/>
      <c r="L9" s="46"/>
      <c r="M9" s="46"/>
    </row>
    <row r="10" spans="2:20">
      <c r="B10" s="37" t="s">
        <v>337</v>
      </c>
      <c r="C10" s="45">
        <f>Assumptions!L55</f>
        <v>7.5299914525066805E-2</v>
      </c>
      <c r="D10" s="47"/>
      <c r="E10" s="47"/>
      <c r="F10" s="47"/>
      <c r="G10" s="47"/>
      <c r="H10" s="47"/>
      <c r="I10" s="47"/>
      <c r="J10" s="47"/>
      <c r="K10" s="46"/>
      <c r="L10" s="46"/>
      <c r="M10" s="46"/>
    </row>
    <row r="11" spans="2:20">
      <c r="B11" s="37" t="s">
        <v>345</v>
      </c>
      <c r="C11" s="45">
        <f>Assumptions!C9</f>
        <v>5.1533333333333334E-2</v>
      </c>
      <c r="D11" s="47"/>
      <c r="E11" s="47"/>
      <c r="F11" s="47"/>
      <c r="G11" s="47"/>
      <c r="H11" s="47"/>
      <c r="I11" s="47"/>
      <c r="J11" s="47"/>
      <c r="K11" s="46"/>
      <c r="L11" s="46"/>
      <c r="M11" s="46"/>
    </row>
    <row r="12" spans="2:20">
      <c r="B12" s="37"/>
      <c r="C12" s="48"/>
      <c r="D12" s="47"/>
      <c r="E12" s="47"/>
      <c r="F12" s="47"/>
      <c r="G12" s="47"/>
      <c r="H12" s="47"/>
      <c r="I12" s="47"/>
      <c r="J12" s="47"/>
    </row>
    <row r="13" spans="2:20">
      <c r="B13" s="37" t="s">
        <v>338</v>
      </c>
      <c r="C13" s="226">
        <f>(1+C9)^3</f>
        <v>1.1510225920000001</v>
      </c>
      <c r="D13" s="47"/>
      <c r="E13" s="47"/>
      <c r="F13" s="47"/>
      <c r="G13" s="47"/>
      <c r="H13" s="47"/>
      <c r="I13" s="47"/>
      <c r="J13" s="47"/>
    </row>
    <row r="14" spans="2:20">
      <c r="B14" s="37" t="s">
        <v>339</v>
      </c>
      <c r="C14" s="226">
        <f>((1+C7)*(1+D7)*(1+E7))</f>
        <v>1.0937704049999997</v>
      </c>
      <c r="D14" s="47"/>
      <c r="E14" s="47"/>
      <c r="F14" s="47"/>
      <c r="G14" s="47"/>
      <c r="H14" s="47"/>
      <c r="I14" s="47"/>
      <c r="J14" s="47"/>
    </row>
    <row r="15" spans="2:20">
      <c r="E15" s="47"/>
      <c r="F15" s="47"/>
      <c r="G15" s="47"/>
      <c r="H15" s="47"/>
      <c r="I15" s="47"/>
      <c r="J15" s="47"/>
    </row>
    <row r="16" spans="2:20">
      <c r="E16" s="47"/>
      <c r="F16" s="47"/>
      <c r="G16" s="47"/>
      <c r="H16" s="47"/>
      <c r="I16" s="47"/>
      <c r="J16" s="47"/>
    </row>
    <row r="17" spans="2:10">
      <c r="D17" s="204"/>
      <c r="E17" s="47"/>
      <c r="F17" s="47"/>
      <c r="G17" s="47"/>
      <c r="H17" s="47"/>
      <c r="I17" s="47"/>
      <c r="J17" s="47"/>
    </row>
    <row r="18" spans="2:10">
      <c r="D18" s="47"/>
      <c r="E18" s="47"/>
      <c r="F18" s="47"/>
      <c r="G18" s="47"/>
      <c r="H18" s="47"/>
      <c r="I18" s="47"/>
      <c r="J18" s="47"/>
    </row>
    <row r="19" spans="2:10">
      <c r="D19" s="47"/>
      <c r="E19" s="47"/>
      <c r="F19" s="47"/>
      <c r="G19" s="47"/>
      <c r="H19" s="47"/>
      <c r="I19" s="47"/>
      <c r="J19" s="47"/>
    </row>
    <row r="20" spans="2:10">
      <c r="D20" s="47"/>
      <c r="E20" s="47"/>
      <c r="F20" s="47"/>
      <c r="G20" s="47"/>
      <c r="H20" s="47"/>
      <c r="I20" s="47"/>
      <c r="J20" s="47"/>
    </row>
    <row r="21" spans="2:10">
      <c r="D21" s="47"/>
    </row>
    <row r="22" spans="2:10">
      <c r="D22" s="47"/>
    </row>
    <row r="24" spans="2:10">
      <c r="B24" s="16" t="s">
        <v>346</v>
      </c>
      <c r="C24" s="44" t="s">
        <v>225</v>
      </c>
      <c r="D24" s="44" t="s">
        <v>347</v>
      </c>
      <c r="F24" s="16" t="s">
        <v>348</v>
      </c>
      <c r="G24" s="44" t="s">
        <v>23</v>
      </c>
    </row>
    <row r="25" spans="2:10">
      <c r="B25" s="17" t="s">
        <v>349</v>
      </c>
      <c r="C25" s="105">
        <v>306850</v>
      </c>
      <c r="D25" s="93"/>
      <c r="F25" s="17" t="s">
        <v>242</v>
      </c>
      <c r="G25" s="45">
        <f>Assumptions!C151</f>
        <v>0.5</v>
      </c>
    </row>
    <row r="26" spans="2:10">
      <c r="B26" s="30" t="s">
        <v>350</v>
      </c>
      <c r="C26" s="207">
        <v>224.32</v>
      </c>
      <c r="D26" s="288"/>
      <c r="F26" s="30" t="s">
        <v>244</v>
      </c>
      <c r="G26" s="50">
        <f>Assumptions!C152</f>
        <v>1470</v>
      </c>
    </row>
    <row r="27" spans="2:10">
      <c r="B27" s="17" t="s">
        <v>351</v>
      </c>
      <c r="C27" s="106">
        <v>7.0000000000000007E-2</v>
      </c>
      <c r="D27" s="93"/>
      <c r="F27" s="17" t="s">
        <v>246</v>
      </c>
      <c r="G27" s="51">
        <f>Assumptions!C153</f>
        <v>1720</v>
      </c>
    </row>
    <row r="28" spans="2:10">
      <c r="B28" s="30" t="s">
        <v>352</v>
      </c>
      <c r="C28" s="207">
        <v>62500</v>
      </c>
      <c r="D28" s="289">
        <f>0.0175*(5600000-5000000)</f>
        <v>10500.000000000002</v>
      </c>
      <c r="F28" s="30" t="s">
        <v>248</v>
      </c>
      <c r="G28" s="52">
        <f>Assumptions!C154</f>
        <v>1920</v>
      </c>
    </row>
    <row r="29" spans="2:10">
      <c r="B29" s="17" t="s">
        <v>353</v>
      </c>
      <c r="C29" s="106">
        <v>0.9</v>
      </c>
      <c r="F29" s="17" t="s">
        <v>250</v>
      </c>
      <c r="G29" s="102">
        <f>Assumptions!C155</f>
        <v>0.25</v>
      </c>
    </row>
    <row r="30" spans="2:10">
      <c r="B30" s="30" t="s">
        <v>354</v>
      </c>
      <c r="C30" s="259">
        <v>4.0000000000000001E-3</v>
      </c>
      <c r="D30" s="30"/>
    </row>
    <row r="31" spans="2:10">
      <c r="B31" s="17" t="s">
        <v>355</v>
      </c>
      <c r="C31" s="106">
        <v>0.01</v>
      </c>
    </row>
    <row r="32" spans="2:10">
      <c r="B32" s="30" t="s">
        <v>356</v>
      </c>
      <c r="C32" s="287">
        <v>7</v>
      </c>
      <c r="D32" s="30"/>
    </row>
    <row r="33" spans="2:20">
      <c r="B33" s="17" t="s">
        <v>357</v>
      </c>
    </row>
    <row r="37" spans="2:20">
      <c r="B37" s="59" t="s">
        <v>358</v>
      </c>
      <c r="C37" s="59"/>
      <c r="D37" s="60"/>
      <c r="E37" s="280"/>
      <c r="F37" s="280"/>
      <c r="G37" s="280"/>
      <c r="H37" s="280"/>
      <c r="I37" s="280"/>
      <c r="J37" s="280"/>
      <c r="K37" s="280"/>
      <c r="L37" s="280"/>
      <c r="M37" s="280"/>
      <c r="N37" s="281"/>
      <c r="O37" s="281"/>
      <c r="P37" s="281"/>
      <c r="Q37" s="281"/>
      <c r="R37" s="281"/>
      <c r="S37" s="281"/>
      <c r="T37" s="281"/>
    </row>
    <row r="38" spans="2:20">
      <c r="B38" s="18" t="s">
        <v>341</v>
      </c>
      <c r="C38" s="54" t="s">
        <v>100</v>
      </c>
      <c r="D38" s="54" t="s">
        <v>101</v>
      </c>
      <c r="E38" s="27" t="s">
        <v>102</v>
      </c>
      <c r="F38" s="27" t="s">
        <v>320</v>
      </c>
      <c r="G38" s="27" t="s">
        <v>321</v>
      </c>
      <c r="H38" s="27" t="s">
        <v>322</v>
      </c>
      <c r="I38" s="27" t="s">
        <v>323</v>
      </c>
      <c r="J38" s="142" t="s">
        <v>324</v>
      </c>
      <c r="K38" s="142" t="s">
        <v>325</v>
      </c>
      <c r="L38" s="142" t="s">
        <v>326</v>
      </c>
      <c r="M38" s="142" t="s">
        <v>327</v>
      </c>
      <c r="N38" s="142" t="s">
        <v>328</v>
      </c>
      <c r="O38" s="142" t="s">
        <v>329</v>
      </c>
      <c r="P38" s="142" t="s">
        <v>330</v>
      </c>
      <c r="Q38" s="142" t="s">
        <v>331</v>
      </c>
      <c r="R38" s="142" t="s">
        <v>332</v>
      </c>
      <c r="S38" s="142" t="s">
        <v>333</v>
      </c>
      <c r="T38" s="142" t="s">
        <v>334</v>
      </c>
    </row>
    <row r="39" spans="2:20">
      <c r="B39" s="61" t="s">
        <v>133</v>
      </c>
      <c r="C39" s="57"/>
      <c r="D39" s="57"/>
      <c r="E39" s="19"/>
      <c r="F39" s="38"/>
      <c r="G39" s="36"/>
      <c r="H39" s="36"/>
      <c r="I39" s="36"/>
      <c r="J39" s="36"/>
      <c r="K39" s="36"/>
      <c r="L39" s="36"/>
      <c r="M39" s="36"/>
      <c r="N39" s="20"/>
      <c r="O39" s="20"/>
      <c r="P39" s="20"/>
      <c r="Q39" s="20"/>
      <c r="R39" s="20"/>
      <c r="S39" s="20"/>
      <c r="T39" s="20"/>
    </row>
    <row r="40" spans="2:20">
      <c r="B40" s="33" t="s">
        <v>359</v>
      </c>
      <c r="C40" s="57">
        <v>0</v>
      </c>
      <c r="D40" s="57">
        <v>0</v>
      </c>
      <c r="E40" s="19">
        <f>Assumptions!E127*$G$28*G25/(1+E7)</f>
        <v>191207.32229795525</v>
      </c>
      <c r="F40" s="19">
        <v>0</v>
      </c>
      <c r="G40" s="19">
        <v>0</v>
      </c>
      <c r="H40" s="19">
        <v>0</v>
      </c>
      <c r="I40" s="19">
        <v>0</v>
      </c>
      <c r="J40" s="19">
        <v>0</v>
      </c>
      <c r="K40" s="19">
        <v>0</v>
      </c>
      <c r="L40" s="19">
        <v>0</v>
      </c>
      <c r="M40" s="19">
        <v>0</v>
      </c>
      <c r="N40" s="19">
        <v>0</v>
      </c>
      <c r="O40" s="19">
        <v>0</v>
      </c>
      <c r="P40" s="19">
        <v>0</v>
      </c>
      <c r="Q40" s="19">
        <v>0</v>
      </c>
      <c r="R40" s="19">
        <v>0</v>
      </c>
      <c r="S40" s="19">
        <v>0</v>
      </c>
      <c r="T40" s="19">
        <v>0</v>
      </c>
    </row>
    <row r="41" spans="2:20">
      <c r="B41" s="33" t="s">
        <v>360</v>
      </c>
      <c r="C41" s="57">
        <v>0</v>
      </c>
      <c r="D41" s="57">
        <v>0</v>
      </c>
      <c r="E41" s="19">
        <v>0</v>
      </c>
      <c r="F41" s="19">
        <f>G29*Assumptions!$E126*Assumptions!F126*$C$13</f>
        <v>9467.5467837294127</v>
      </c>
      <c r="G41" s="19">
        <v>0</v>
      </c>
      <c r="H41" s="19">
        <v>0</v>
      </c>
      <c r="I41" s="19">
        <v>0</v>
      </c>
      <c r="J41" s="19">
        <v>0</v>
      </c>
      <c r="K41" s="19">
        <v>0</v>
      </c>
      <c r="L41" s="19">
        <v>0</v>
      </c>
      <c r="M41" s="19">
        <v>0</v>
      </c>
      <c r="N41" s="19">
        <v>0</v>
      </c>
      <c r="O41" s="19">
        <v>0</v>
      </c>
      <c r="P41" s="19">
        <v>0</v>
      </c>
      <c r="Q41" s="19">
        <v>0</v>
      </c>
      <c r="R41" s="19">
        <v>0</v>
      </c>
      <c r="S41" s="19">
        <v>0</v>
      </c>
      <c r="T41" s="19">
        <v>0</v>
      </c>
    </row>
    <row r="42" spans="2:20">
      <c r="B42" s="33" t="s">
        <v>361</v>
      </c>
      <c r="C42" s="57">
        <v>0</v>
      </c>
      <c r="D42" s="57">
        <v>0</v>
      </c>
      <c r="E42" s="19">
        <f>Assumptions!E126*G27*G25/(1+E7)</f>
        <v>42822.473222979563</v>
      </c>
      <c r="F42" s="19">
        <v>0</v>
      </c>
      <c r="G42" s="19">
        <v>0</v>
      </c>
      <c r="H42" s="19">
        <v>0</v>
      </c>
      <c r="I42" s="19">
        <v>0</v>
      </c>
      <c r="J42" s="19">
        <v>0</v>
      </c>
      <c r="K42" s="19">
        <v>0</v>
      </c>
      <c r="L42" s="19">
        <v>0</v>
      </c>
      <c r="M42" s="19">
        <v>0</v>
      </c>
      <c r="N42" s="19">
        <v>0</v>
      </c>
      <c r="O42" s="19">
        <v>0</v>
      </c>
      <c r="P42" s="19">
        <v>0</v>
      </c>
      <c r="Q42" s="19">
        <v>0</v>
      </c>
      <c r="R42" s="19">
        <v>0</v>
      </c>
      <c r="S42" s="19">
        <v>0</v>
      </c>
      <c r="T42" s="19">
        <v>0</v>
      </c>
    </row>
    <row r="43" spans="2:20">
      <c r="B43" s="33" t="s">
        <v>362</v>
      </c>
      <c r="C43" s="57">
        <v>0</v>
      </c>
      <c r="D43" s="57">
        <v>0</v>
      </c>
      <c r="E43" s="19">
        <v>0</v>
      </c>
      <c r="F43" s="19">
        <f>Assumptions!$E127*Assumptions!F127*$C$13*G29</f>
        <v>90777.832746071974</v>
      </c>
      <c r="G43" s="19">
        <v>0</v>
      </c>
      <c r="H43" s="19">
        <v>0</v>
      </c>
      <c r="I43" s="19">
        <v>0</v>
      </c>
      <c r="J43" s="19">
        <v>0</v>
      </c>
      <c r="K43" s="19">
        <v>0</v>
      </c>
      <c r="L43" s="19">
        <v>0</v>
      </c>
      <c r="M43" s="19">
        <v>0</v>
      </c>
      <c r="N43" s="19">
        <v>0</v>
      </c>
      <c r="O43" s="19">
        <v>0</v>
      </c>
      <c r="P43" s="19">
        <v>0</v>
      </c>
      <c r="Q43" s="19">
        <v>0</v>
      </c>
      <c r="R43" s="19">
        <v>0</v>
      </c>
      <c r="S43" s="19">
        <v>0</v>
      </c>
      <c r="T43" s="19">
        <v>0</v>
      </c>
    </row>
    <row r="44" spans="2:20">
      <c r="B44" s="61" t="s">
        <v>139</v>
      </c>
      <c r="C44" s="57"/>
      <c r="D44" s="57"/>
      <c r="E44" s="19"/>
      <c r="F44" s="38"/>
      <c r="G44" s="19"/>
      <c r="H44" s="19"/>
      <c r="I44" s="19"/>
      <c r="J44" s="19"/>
      <c r="K44" s="19"/>
      <c r="L44" s="19"/>
      <c r="M44" s="19"/>
      <c r="N44" s="19"/>
      <c r="O44" s="19"/>
      <c r="P44" s="19"/>
      <c r="Q44" s="19"/>
      <c r="R44" s="19"/>
      <c r="S44" s="19"/>
      <c r="T44" s="19"/>
    </row>
    <row r="45" spans="2:20">
      <c r="B45" s="33" t="s">
        <v>363</v>
      </c>
      <c r="C45" s="57">
        <v>0</v>
      </c>
      <c r="D45" s="57">
        <v>0</v>
      </c>
      <c r="E45" s="19">
        <f>G26*Assumptions!E129*G25/(1+E7)</f>
        <v>563958.98734177218</v>
      </c>
      <c r="F45" s="19">
        <v>0</v>
      </c>
      <c r="G45" s="19">
        <v>0</v>
      </c>
      <c r="H45" s="19">
        <v>0</v>
      </c>
      <c r="I45" s="19">
        <v>0</v>
      </c>
      <c r="J45" s="19">
        <v>0</v>
      </c>
      <c r="K45" s="19">
        <v>0</v>
      </c>
      <c r="L45" s="19">
        <v>0</v>
      </c>
      <c r="M45" s="19">
        <v>0</v>
      </c>
      <c r="N45" s="19">
        <v>0</v>
      </c>
      <c r="O45" s="19">
        <v>0</v>
      </c>
      <c r="P45" s="19">
        <v>0</v>
      </c>
      <c r="Q45" s="19">
        <v>0</v>
      </c>
      <c r="R45" s="19">
        <v>0</v>
      </c>
      <c r="S45" s="19">
        <v>0</v>
      </c>
      <c r="T45" s="19">
        <v>0</v>
      </c>
    </row>
    <row r="46" spans="2:20">
      <c r="B46" s="33" t="s">
        <v>364</v>
      </c>
      <c r="C46" s="57">
        <v>0</v>
      </c>
      <c r="D46" s="57">
        <v>0</v>
      </c>
      <c r="E46" s="19">
        <v>0</v>
      </c>
      <c r="F46" s="19">
        <f>Assumptions!$E129*Assumptions!F129*$C$13*G29</f>
        <v>111170.19620745492</v>
      </c>
      <c r="G46" s="19">
        <v>0</v>
      </c>
      <c r="H46" s="19">
        <v>0</v>
      </c>
      <c r="I46" s="19">
        <v>0</v>
      </c>
      <c r="J46" s="19">
        <v>0</v>
      </c>
      <c r="K46" s="19">
        <v>0</v>
      </c>
      <c r="L46" s="19">
        <v>0</v>
      </c>
      <c r="M46" s="19">
        <v>0</v>
      </c>
      <c r="N46" s="19">
        <v>0</v>
      </c>
      <c r="O46" s="19">
        <v>0</v>
      </c>
      <c r="P46" s="19">
        <v>0</v>
      </c>
      <c r="Q46" s="19">
        <v>0</v>
      </c>
      <c r="R46" s="19">
        <v>0</v>
      </c>
      <c r="S46" s="19">
        <v>0</v>
      </c>
      <c r="T46" s="19">
        <v>0</v>
      </c>
    </row>
    <row r="47" spans="2:20">
      <c r="B47" s="33" t="s">
        <v>365</v>
      </c>
      <c r="C47" s="57">
        <v>0</v>
      </c>
      <c r="D47" s="57">
        <v>0</v>
      </c>
      <c r="E47" s="19">
        <f>G27*Assumptions!E130*G25/(1+E7)</f>
        <v>164967.59493670886</v>
      </c>
      <c r="F47" s="19">
        <v>0</v>
      </c>
      <c r="G47" s="19">
        <v>0</v>
      </c>
      <c r="H47" s="19">
        <v>0</v>
      </c>
      <c r="I47" s="19">
        <v>0</v>
      </c>
      <c r="J47" s="19">
        <v>0</v>
      </c>
      <c r="K47" s="19">
        <v>0</v>
      </c>
      <c r="L47" s="19">
        <v>0</v>
      </c>
      <c r="M47" s="19">
        <v>0</v>
      </c>
      <c r="N47" s="19">
        <v>0</v>
      </c>
      <c r="O47" s="19">
        <v>0</v>
      </c>
      <c r="P47" s="19">
        <v>0</v>
      </c>
      <c r="Q47" s="19">
        <v>0</v>
      </c>
      <c r="R47" s="19">
        <v>0</v>
      </c>
      <c r="S47" s="19">
        <v>0</v>
      </c>
      <c r="T47" s="19">
        <v>0</v>
      </c>
    </row>
    <row r="48" spans="2:20">
      <c r="B48" s="33" t="s">
        <v>366</v>
      </c>
      <c r="C48" s="57">
        <v>0</v>
      </c>
      <c r="D48" s="57">
        <v>0</v>
      </c>
      <c r="E48" s="19">
        <v>0</v>
      </c>
      <c r="F48" s="19">
        <f>Assumptions!$E130*Assumptions!F130*$C$13*G29</f>
        <v>37903.053547191899</v>
      </c>
      <c r="G48" s="19">
        <v>0</v>
      </c>
      <c r="H48" s="19">
        <v>0</v>
      </c>
      <c r="I48" s="19">
        <v>0</v>
      </c>
      <c r="J48" s="19">
        <v>0</v>
      </c>
      <c r="K48" s="19">
        <v>0</v>
      </c>
      <c r="L48" s="19">
        <v>0</v>
      </c>
      <c r="M48" s="19">
        <v>0</v>
      </c>
      <c r="N48" s="19">
        <v>0</v>
      </c>
      <c r="O48" s="19">
        <v>0</v>
      </c>
      <c r="P48" s="19">
        <v>0</v>
      </c>
      <c r="Q48" s="19">
        <v>0</v>
      </c>
      <c r="R48" s="19">
        <v>0</v>
      </c>
      <c r="S48" s="19">
        <v>0</v>
      </c>
      <c r="T48" s="19">
        <v>0</v>
      </c>
    </row>
    <row r="49" spans="2:20">
      <c r="B49" s="61" t="s">
        <v>143</v>
      </c>
      <c r="C49" s="57"/>
      <c r="D49" s="57"/>
      <c r="E49" s="19"/>
      <c r="F49" s="19"/>
      <c r="G49" s="19"/>
      <c r="H49" s="19"/>
      <c r="I49" s="19"/>
      <c r="J49" s="19"/>
      <c r="K49" s="19"/>
      <c r="L49" s="19"/>
      <c r="M49" s="19"/>
      <c r="N49" s="19"/>
      <c r="O49" s="19"/>
      <c r="P49" s="19"/>
      <c r="Q49" s="19"/>
      <c r="R49" s="19"/>
      <c r="S49" s="19"/>
      <c r="T49" s="19"/>
    </row>
    <row r="50" spans="2:20">
      <c r="B50" s="33" t="s">
        <v>367</v>
      </c>
      <c r="C50" s="57">
        <v>0</v>
      </c>
      <c r="D50" s="57">
        <v>0</v>
      </c>
      <c r="E50" s="19">
        <f>G26*Assumptions!E132*G25/(1+E7)</f>
        <v>1120649.5618305744</v>
      </c>
      <c r="F50" s="19">
        <v>0</v>
      </c>
      <c r="G50" s="19">
        <v>0</v>
      </c>
      <c r="H50" s="19">
        <v>0</v>
      </c>
      <c r="I50" s="19">
        <v>0</v>
      </c>
      <c r="J50" s="19">
        <v>0</v>
      </c>
      <c r="K50" s="19">
        <v>0</v>
      </c>
      <c r="L50" s="19">
        <v>0</v>
      </c>
      <c r="M50" s="19">
        <v>0</v>
      </c>
      <c r="N50" s="19">
        <v>0</v>
      </c>
      <c r="O50" s="19">
        <v>0</v>
      </c>
      <c r="P50" s="19">
        <v>0</v>
      </c>
      <c r="Q50" s="19">
        <v>0</v>
      </c>
      <c r="R50" s="19">
        <v>0</v>
      </c>
      <c r="S50" s="19">
        <v>0</v>
      </c>
      <c r="T50" s="19">
        <v>0</v>
      </c>
    </row>
    <row r="51" spans="2:20">
      <c r="B51" s="33" t="s">
        <v>368</v>
      </c>
      <c r="C51" s="57">
        <v>0</v>
      </c>
      <c r="D51" s="57">
        <v>0</v>
      </c>
      <c r="E51" s="19">
        <v>0</v>
      </c>
      <c r="F51" s="19">
        <f>Assumptions!$E132*Assumptions!F132*$C$13*G29</f>
        <v>642792.05393732479</v>
      </c>
      <c r="G51" s="19">
        <v>0</v>
      </c>
      <c r="H51" s="19">
        <v>0</v>
      </c>
      <c r="I51" s="19">
        <v>0</v>
      </c>
      <c r="J51" s="19">
        <v>0</v>
      </c>
      <c r="K51" s="19">
        <v>0</v>
      </c>
      <c r="L51" s="19">
        <v>0</v>
      </c>
      <c r="M51" s="19">
        <v>0</v>
      </c>
      <c r="N51" s="19">
        <v>0</v>
      </c>
      <c r="O51" s="19">
        <v>0</v>
      </c>
      <c r="P51" s="19">
        <v>0</v>
      </c>
      <c r="Q51" s="19">
        <v>0</v>
      </c>
      <c r="R51" s="19">
        <v>0</v>
      </c>
      <c r="S51" s="19">
        <v>0</v>
      </c>
      <c r="T51" s="19">
        <v>0</v>
      </c>
    </row>
    <row r="52" spans="2:20">
      <c r="B52" s="61" t="s">
        <v>148</v>
      </c>
      <c r="C52" s="57"/>
      <c r="D52" s="57"/>
      <c r="E52" s="19"/>
      <c r="F52" s="19"/>
      <c r="G52" s="19"/>
      <c r="H52" s="19"/>
      <c r="I52" s="19"/>
      <c r="J52" s="19"/>
      <c r="K52" s="19"/>
      <c r="L52" s="19"/>
      <c r="M52" s="19"/>
      <c r="N52" s="19"/>
      <c r="O52" s="19"/>
      <c r="P52" s="19"/>
      <c r="Q52" s="19"/>
      <c r="R52" s="19"/>
      <c r="S52" s="19"/>
      <c r="T52" s="19"/>
    </row>
    <row r="53" spans="2:20">
      <c r="B53" s="33" t="s">
        <v>369</v>
      </c>
      <c r="C53" s="57">
        <v>0</v>
      </c>
      <c r="D53" s="57">
        <v>0</v>
      </c>
      <c r="E53" s="19">
        <f>G26*Assumptions!E134*G25/(1+E7)</f>
        <v>1121050.340798442</v>
      </c>
      <c r="F53" s="19">
        <v>0</v>
      </c>
      <c r="G53" s="19">
        <v>0</v>
      </c>
      <c r="H53" s="19">
        <v>0</v>
      </c>
      <c r="I53" s="19">
        <v>0</v>
      </c>
      <c r="J53" s="19">
        <v>0</v>
      </c>
      <c r="K53" s="19">
        <v>0</v>
      </c>
      <c r="L53" s="19">
        <v>0</v>
      </c>
      <c r="M53" s="19">
        <v>0</v>
      </c>
      <c r="N53" s="19">
        <v>0</v>
      </c>
      <c r="O53" s="19">
        <v>0</v>
      </c>
      <c r="P53" s="19">
        <v>0</v>
      </c>
      <c r="Q53" s="19">
        <v>0</v>
      </c>
      <c r="R53" s="19">
        <v>0</v>
      </c>
      <c r="S53" s="19">
        <v>0</v>
      </c>
      <c r="T53" s="19">
        <v>0</v>
      </c>
    </row>
    <row r="54" spans="2:20">
      <c r="B54" s="33" t="s">
        <v>370</v>
      </c>
      <c r="C54" s="57">
        <v>0</v>
      </c>
      <c r="D54" s="57">
        <v>0</v>
      </c>
      <c r="E54" s="19">
        <v>0</v>
      </c>
      <c r="F54" s="19">
        <f>Assumptions!$E134*Assumptions!F134*$C$13*G29</f>
        <v>367651.44087638624</v>
      </c>
      <c r="G54" s="19">
        <v>0</v>
      </c>
      <c r="H54" s="19">
        <v>0</v>
      </c>
      <c r="I54" s="19">
        <v>0</v>
      </c>
      <c r="J54" s="19">
        <v>0</v>
      </c>
      <c r="K54" s="19">
        <v>0</v>
      </c>
      <c r="L54" s="19">
        <v>0</v>
      </c>
      <c r="M54" s="19">
        <v>0</v>
      </c>
      <c r="N54" s="19">
        <v>0</v>
      </c>
      <c r="O54" s="19">
        <v>0</v>
      </c>
      <c r="P54" s="19">
        <v>0</v>
      </c>
      <c r="Q54" s="19">
        <v>0</v>
      </c>
      <c r="R54" s="19">
        <v>0</v>
      </c>
      <c r="S54" s="19">
        <v>0</v>
      </c>
      <c r="T54" s="19">
        <v>0</v>
      </c>
    </row>
    <row r="55" spans="2:20">
      <c r="B55" s="61" t="s">
        <v>150</v>
      </c>
      <c r="C55" s="57"/>
      <c r="D55" s="57"/>
      <c r="E55" s="19"/>
      <c r="F55" s="19"/>
      <c r="G55" s="19"/>
      <c r="H55" s="19"/>
      <c r="I55" s="19"/>
      <c r="J55" s="19"/>
      <c r="K55" s="19"/>
      <c r="L55" s="19"/>
      <c r="M55" s="19"/>
      <c r="N55" s="19"/>
      <c r="O55" s="19"/>
      <c r="P55" s="19"/>
      <c r="Q55" s="19"/>
      <c r="R55" s="19"/>
      <c r="S55" s="19"/>
      <c r="T55" s="19"/>
    </row>
    <row r="56" spans="2:20">
      <c r="B56" s="33" t="s">
        <v>371</v>
      </c>
      <c r="C56" s="57">
        <v>0</v>
      </c>
      <c r="D56" s="57">
        <v>0</v>
      </c>
      <c r="E56" s="19">
        <f>G27*Assumptions!E136*G25/(1+E7)</f>
        <v>1311705.1606621228</v>
      </c>
      <c r="F56" s="19">
        <v>0</v>
      </c>
      <c r="G56" s="19">
        <v>0</v>
      </c>
      <c r="H56" s="19">
        <v>0</v>
      </c>
      <c r="I56" s="19">
        <v>0</v>
      </c>
      <c r="J56" s="19">
        <v>0</v>
      </c>
      <c r="K56" s="19">
        <v>0</v>
      </c>
      <c r="L56" s="19">
        <v>0</v>
      </c>
      <c r="M56" s="19">
        <v>0</v>
      </c>
      <c r="N56" s="19">
        <v>0</v>
      </c>
      <c r="O56" s="19">
        <v>0</v>
      </c>
      <c r="P56" s="19">
        <v>0</v>
      </c>
      <c r="Q56" s="19">
        <v>0</v>
      </c>
      <c r="R56" s="19">
        <v>0</v>
      </c>
      <c r="S56" s="19">
        <v>0</v>
      </c>
      <c r="T56" s="19">
        <v>0</v>
      </c>
    </row>
    <row r="57" spans="2:20">
      <c r="B57" s="33" t="s">
        <v>372</v>
      </c>
      <c r="C57" s="57">
        <v>0</v>
      </c>
      <c r="D57" s="57">
        <v>0</v>
      </c>
      <c r="E57" s="19">
        <v>0</v>
      </c>
      <c r="F57" s="19">
        <f>Assumptions!$E136*Assumptions!F136*$C$13*G29</f>
        <v>424116.52075133193</v>
      </c>
      <c r="G57" s="19">
        <v>0</v>
      </c>
      <c r="H57" s="19">
        <v>0</v>
      </c>
      <c r="I57" s="19">
        <v>0</v>
      </c>
      <c r="J57" s="19">
        <v>0</v>
      </c>
      <c r="K57" s="19">
        <v>0</v>
      </c>
      <c r="L57" s="19">
        <v>0</v>
      </c>
      <c r="M57" s="19">
        <v>0</v>
      </c>
      <c r="N57" s="19">
        <v>0</v>
      </c>
      <c r="O57" s="19">
        <v>0</v>
      </c>
      <c r="P57" s="19">
        <v>0</v>
      </c>
      <c r="Q57" s="19">
        <v>0</v>
      </c>
      <c r="R57" s="19">
        <v>0</v>
      </c>
      <c r="S57" s="19">
        <v>0</v>
      </c>
      <c r="T57" s="19">
        <v>0</v>
      </c>
    </row>
    <row r="58" spans="2:20">
      <c r="B58" s="61" t="s">
        <v>152</v>
      </c>
      <c r="C58" s="57"/>
      <c r="D58" s="57"/>
      <c r="E58" s="19"/>
      <c r="F58" s="19"/>
      <c r="G58" s="19"/>
      <c r="H58" s="19"/>
      <c r="I58" s="19"/>
      <c r="J58" s="19"/>
      <c r="K58" s="19"/>
      <c r="L58" s="19"/>
      <c r="M58" s="19"/>
      <c r="N58" s="19"/>
      <c r="O58" s="19"/>
      <c r="P58" s="19"/>
      <c r="Q58" s="19"/>
      <c r="R58" s="19"/>
      <c r="S58" s="19"/>
      <c r="T58" s="19"/>
    </row>
    <row r="59" spans="2:20">
      <c r="B59" s="33" t="s">
        <v>371</v>
      </c>
      <c r="C59" s="57">
        <v>0</v>
      </c>
      <c r="D59" s="57">
        <v>0</v>
      </c>
      <c r="E59" s="19">
        <f>G27*Assumptions!E139*G25/(1+E7)</f>
        <v>824653.74878286279</v>
      </c>
      <c r="F59" s="19">
        <v>0</v>
      </c>
      <c r="G59" s="19">
        <v>0</v>
      </c>
      <c r="H59" s="19">
        <v>0</v>
      </c>
      <c r="I59" s="19">
        <v>0</v>
      </c>
      <c r="J59" s="19">
        <v>0</v>
      </c>
      <c r="K59" s="19">
        <v>0</v>
      </c>
      <c r="L59" s="19">
        <v>0</v>
      </c>
      <c r="M59" s="19">
        <v>0</v>
      </c>
      <c r="N59" s="19">
        <v>0</v>
      </c>
      <c r="O59" s="19">
        <v>0</v>
      </c>
      <c r="P59" s="19">
        <v>0</v>
      </c>
      <c r="Q59" s="19">
        <v>0</v>
      </c>
      <c r="R59" s="19">
        <v>0</v>
      </c>
      <c r="S59" s="19">
        <v>0</v>
      </c>
      <c r="T59" s="19">
        <v>0</v>
      </c>
    </row>
    <row r="60" spans="2:20">
      <c r="B60" s="33" t="s">
        <v>372</v>
      </c>
      <c r="C60" s="57">
        <v>0</v>
      </c>
      <c r="D60" s="57">
        <v>0</v>
      </c>
      <c r="E60" s="19">
        <v>0</v>
      </c>
      <c r="F60" s="19">
        <f>Assumptions!$E139*Assumptions!F139*$C$13*G29</f>
        <v>266637.11422907276</v>
      </c>
      <c r="G60" s="19">
        <v>0</v>
      </c>
      <c r="H60" s="19">
        <v>0</v>
      </c>
      <c r="I60" s="19">
        <v>0</v>
      </c>
      <c r="J60" s="19">
        <v>0</v>
      </c>
      <c r="K60" s="19">
        <v>0</v>
      </c>
      <c r="L60" s="19">
        <v>0</v>
      </c>
      <c r="M60" s="19">
        <v>0</v>
      </c>
      <c r="N60" s="19">
        <v>0</v>
      </c>
      <c r="O60" s="19">
        <v>0</v>
      </c>
      <c r="P60" s="19">
        <v>0</v>
      </c>
      <c r="Q60" s="19">
        <v>0</v>
      </c>
      <c r="R60" s="19">
        <v>0</v>
      </c>
      <c r="S60" s="19">
        <v>0</v>
      </c>
      <c r="T60" s="19">
        <v>0</v>
      </c>
    </row>
    <row r="61" spans="2:20">
      <c r="B61" s="97" t="s">
        <v>45</v>
      </c>
      <c r="C61" s="141">
        <f t="shared" ref="C61:T61" si="1">SUM(C40:C60)</f>
        <v>0</v>
      </c>
      <c r="D61" s="141">
        <f t="shared" si="1"/>
        <v>0</v>
      </c>
      <c r="E61" s="117">
        <f t="shared" si="1"/>
        <v>5341015.1898734178</v>
      </c>
      <c r="F61" s="117">
        <f t="shared" si="1"/>
        <v>1950515.7590785641</v>
      </c>
      <c r="G61" s="117">
        <f t="shared" si="1"/>
        <v>0</v>
      </c>
      <c r="H61" s="117">
        <f t="shared" si="1"/>
        <v>0</v>
      </c>
      <c r="I61" s="117">
        <f t="shared" si="1"/>
        <v>0</v>
      </c>
      <c r="J61" s="117">
        <f t="shared" si="1"/>
        <v>0</v>
      </c>
      <c r="K61" s="117">
        <f t="shared" si="1"/>
        <v>0</v>
      </c>
      <c r="L61" s="117">
        <f t="shared" si="1"/>
        <v>0</v>
      </c>
      <c r="M61" s="117">
        <f t="shared" si="1"/>
        <v>0</v>
      </c>
      <c r="N61" s="117">
        <f t="shared" si="1"/>
        <v>0</v>
      </c>
      <c r="O61" s="117">
        <f t="shared" si="1"/>
        <v>0</v>
      </c>
      <c r="P61" s="117">
        <f t="shared" si="1"/>
        <v>0</v>
      </c>
      <c r="Q61" s="117">
        <f t="shared" si="1"/>
        <v>0</v>
      </c>
      <c r="R61" s="117">
        <f t="shared" si="1"/>
        <v>0</v>
      </c>
      <c r="S61" s="117">
        <f t="shared" si="1"/>
        <v>0</v>
      </c>
      <c r="T61" s="117">
        <f t="shared" si="1"/>
        <v>0</v>
      </c>
    </row>
    <row r="62" spans="2:20">
      <c r="E62" s="20"/>
      <c r="F62" s="20"/>
      <c r="G62" s="20"/>
      <c r="H62" s="20"/>
      <c r="I62" s="20"/>
      <c r="J62" s="20"/>
      <c r="K62" s="20"/>
      <c r="L62" s="20"/>
      <c r="M62" s="20"/>
      <c r="N62" s="20"/>
      <c r="O62" s="20"/>
      <c r="P62" s="20"/>
      <c r="Q62" s="20"/>
      <c r="R62" s="20"/>
      <c r="S62" s="20"/>
      <c r="T62" s="20"/>
    </row>
    <row r="63" spans="2:20">
      <c r="B63" s="16" t="s">
        <v>373</v>
      </c>
      <c r="C63" s="107"/>
      <c r="D63" s="107"/>
      <c r="E63" s="251"/>
      <c r="F63" s="251"/>
      <c r="G63" s="281"/>
      <c r="H63" s="281"/>
      <c r="I63" s="281"/>
      <c r="J63" s="281"/>
      <c r="K63" s="281"/>
      <c r="L63" s="281"/>
      <c r="M63" s="281"/>
      <c r="N63" s="281"/>
      <c r="O63" s="281"/>
      <c r="P63" s="281"/>
      <c r="Q63" s="281"/>
      <c r="R63" s="281"/>
      <c r="S63" s="281"/>
      <c r="T63" s="281"/>
    </row>
    <row r="64" spans="2:20">
      <c r="B64" s="21" t="s">
        <v>341</v>
      </c>
      <c r="C64" s="54" t="s">
        <v>100</v>
      </c>
      <c r="D64" s="54" t="s">
        <v>101</v>
      </c>
      <c r="E64" s="27" t="s">
        <v>102</v>
      </c>
      <c r="F64" s="27" t="s">
        <v>320</v>
      </c>
      <c r="G64" s="27" t="s">
        <v>321</v>
      </c>
      <c r="H64" s="27" t="s">
        <v>322</v>
      </c>
      <c r="I64" s="27" t="s">
        <v>323</v>
      </c>
      <c r="J64" s="142" t="s">
        <v>324</v>
      </c>
      <c r="K64" s="142" t="s">
        <v>325</v>
      </c>
      <c r="L64" s="142" t="s">
        <v>326</v>
      </c>
      <c r="M64" s="142" t="s">
        <v>327</v>
      </c>
      <c r="N64" s="142" t="s">
        <v>328</v>
      </c>
      <c r="O64" s="142" t="s">
        <v>329</v>
      </c>
      <c r="P64" s="142" t="s">
        <v>330</v>
      </c>
      <c r="Q64" s="142" t="s">
        <v>331</v>
      </c>
      <c r="R64" s="142" t="s">
        <v>332</v>
      </c>
      <c r="S64" s="142" t="s">
        <v>333</v>
      </c>
      <c r="T64" s="142" t="s">
        <v>334</v>
      </c>
    </row>
    <row r="65" spans="2:20">
      <c r="B65" s="17" t="s">
        <v>374</v>
      </c>
      <c r="C65" s="160">
        <f>'Rent Schedule'!C39*Assumptions!$C$79</f>
        <v>0</v>
      </c>
      <c r="D65" s="160">
        <f>'Rent Schedule'!D39*Assumptions!$C$79</f>
        <v>0</v>
      </c>
      <c r="E65" s="86">
        <f>'Rent Schedule'!E39*Assumptions!$C$79</f>
        <v>0</v>
      </c>
      <c r="F65" s="86">
        <f>'Rent Schedule'!F39*Assumptions!$C$79</f>
        <v>202488.45158060393</v>
      </c>
      <c r="G65" s="86">
        <f>'Rent Schedule'!G39*Assumptions!$C$79</f>
        <v>212207.8972564729</v>
      </c>
      <c r="H65" s="86">
        <f>'Rent Schedule'!H39*Assumptions!$C$79</f>
        <v>222393.87632478357</v>
      </c>
      <c r="I65" s="86">
        <f>'Rent Schedule'!I39*Assumptions!$C$79</f>
        <v>233068.78238837325</v>
      </c>
      <c r="J65" s="86">
        <f>'Rent Schedule'!J39*Assumptions!$C$79</f>
        <v>244256.08394301517</v>
      </c>
      <c r="K65" s="86">
        <f>'Rent Schedule'!K39*Assumptions!$C$79</f>
        <v>255980.37597227987</v>
      </c>
      <c r="L65" s="86">
        <f>'Rent Schedule'!L39*Assumptions!$C$79</f>
        <v>268267.4340189494</v>
      </c>
      <c r="M65" s="86">
        <f>'Rent Schedule'!M39*Assumptions!$C$79</f>
        <v>281144.27085185895</v>
      </c>
      <c r="N65" s="86">
        <f>'Rent Schedule'!N39*Assumptions!$C$79</f>
        <v>294639.19585274818</v>
      </c>
      <c r="O65" s="86">
        <f>'Rent Schedule'!O39*Assumptions!$C$79</f>
        <v>308781.87725368008</v>
      </c>
      <c r="P65" s="86">
        <f>'Rent Schedule'!P39*Assumptions!$C$79</f>
        <v>323603.40736185672</v>
      </c>
      <c r="Q65" s="86">
        <f>'Rent Schedule'!Q39*Assumptions!$C$79</f>
        <v>339136.37091522588</v>
      </c>
      <c r="R65" s="86">
        <f>'Rent Schedule'!R39*Assumptions!$C$79</f>
        <v>355414.91671915672</v>
      </c>
      <c r="S65" s="86">
        <f>'Rent Schedule'!S39*Assumptions!$C$79</f>
        <v>372474.83272167627</v>
      </c>
      <c r="T65" s="86">
        <f>'Rent Schedule'!T39*Assumptions!$C$79</f>
        <v>390353.62469231675</v>
      </c>
    </row>
    <row r="66" spans="2:20">
      <c r="E66" s="20"/>
      <c r="F66" s="20"/>
      <c r="G66" s="20"/>
      <c r="H66" s="20"/>
      <c r="I66" s="20"/>
      <c r="J66" s="20"/>
      <c r="K66" s="20"/>
      <c r="L66" s="20"/>
      <c r="M66" s="20"/>
      <c r="N66" s="20"/>
      <c r="O66" s="20"/>
      <c r="P66" s="20"/>
      <c r="Q66" s="20"/>
      <c r="R66" s="20"/>
      <c r="S66" s="20"/>
      <c r="T66" s="20"/>
    </row>
    <row r="67" spans="2:20">
      <c r="B67" s="16" t="s">
        <v>375</v>
      </c>
      <c r="C67" s="107"/>
      <c r="D67" s="107"/>
      <c r="E67" s="251"/>
      <c r="F67" s="251"/>
      <c r="G67" s="281"/>
      <c r="H67" s="281"/>
      <c r="I67" s="281"/>
      <c r="J67" s="281"/>
      <c r="K67" s="281"/>
      <c r="L67" s="281"/>
      <c r="M67" s="281"/>
      <c r="N67" s="281"/>
      <c r="O67" s="281"/>
      <c r="P67" s="281"/>
      <c r="Q67" s="281"/>
      <c r="R67" s="281"/>
      <c r="S67" s="281"/>
      <c r="T67" s="281"/>
    </row>
    <row r="68" spans="2:20">
      <c r="B68" s="21" t="s">
        <v>341</v>
      </c>
      <c r="C68" s="54" t="s">
        <v>100</v>
      </c>
      <c r="D68" s="54" t="s">
        <v>101</v>
      </c>
      <c r="E68" s="27" t="s">
        <v>102</v>
      </c>
      <c r="F68" s="27" t="s">
        <v>320</v>
      </c>
      <c r="G68" s="27" t="s">
        <v>321</v>
      </c>
      <c r="H68" s="27" t="s">
        <v>322</v>
      </c>
      <c r="I68" s="27" t="s">
        <v>323</v>
      </c>
      <c r="J68" s="142" t="s">
        <v>324</v>
      </c>
      <c r="K68" s="142" t="s">
        <v>325</v>
      </c>
      <c r="L68" s="142" t="s">
        <v>326</v>
      </c>
      <c r="M68" s="142" t="s">
        <v>327</v>
      </c>
      <c r="N68" s="142" t="s">
        <v>328</v>
      </c>
      <c r="O68" s="142" t="s">
        <v>329</v>
      </c>
      <c r="P68" s="142" t="s">
        <v>330</v>
      </c>
      <c r="Q68" s="142" t="s">
        <v>331</v>
      </c>
      <c r="R68" s="142" t="s">
        <v>332</v>
      </c>
      <c r="S68" s="142" t="s">
        <v>333</v>
      </c>
      <c r="T68" s="142" t="s">
        <v>334</v>
      </c>
    </row>
    <row r="69" spans="2:20">
      <c r="B69" s="17" t="s">
        <v>351</v>
      </c>
      <c r="C69" s="160">
        <f>IF(DCF!G33&lt;0,0,$C$27*DCF!G33)</f>
        <v>0</v>
      </c>
      <c r="D69" s="160">
        <f>IF(DCF!H33&lt;0,0,$C$27*DCF!H33)</f>
        <v>0</v>
      </c>
      <c r="E69" s="86">
        <f>IF(DCF!I33&lt;0,0,$C$27*DCF!I33)</f>
        <v>0</v>
      </c>
      <c r="F69" s="86">
        <f>IF(DCF!J33&lt;0,0,$C$27*DCF!J33)</f>
        <v>590257.54675219348</v>
      </c>
      <c r="G69" s="86">
        <f>IF(DCF!K33&lt;0,0,$C$27*DCF!K33)</f>
        <v>618589.90899629879</v>
      </c>
      <c r="H69" s="86">
        <f>IF(DCF!L33&lt;0,0,$C$27*DCF!L33)</f>
        <v>648282.22462812101</v>
      </c>
      <c r="I69" s="86">
        <f>IF(DCF!M33&lt;0,0,$C$27*DCF!M33)</f>
        <v>679399.77141027094</v>
      </c>
      <c r="J69" s="86">
        <f>IF(DCF!N33&lt;0,0,$C$27*DCF!N33)</f>
        <v>712010.96043796407</v>
      </c>
      <c r="K69" s="86">
        <f>IF(DCF!O33&lt;0,0,$C$27*DCF!O33)</f>
        <v>746187.48653898621</v>
      </c>
      <c r="L69" s="86">
        <f>IF(DCF!P33&lt;0,0,$C$27*DCF!P33)</f>
        <v>782004.48589285777</v>
      </c>
      <c r="M69" s="86">
        <f>IF(DCF!Q33&lt;0,0,$C$27*DCF!Q33)</f>
        <v>819540.7012157148</v>
      </c>
      <c r="N69" s="86">
        <f>IF(DCF!R33&lt;0,0,$C$27*DCF!R33)</f>
        <v>858878.65487406915</v>
      </c>
      <c r="O69" s="86">
        <f>IF(DCF!S33&lt;0,0,$C$27*DCF!S33)</f>
        <v>900104.83030802466</v>
      </c>
      <c r="P69" s="86">
        <f>IF(DCF!T33&lt;0,0,$C$27*DCF!T33)</f>
        <v>943309.86216280959</v>
      </c>
      <c r="Q69" s="86">
        <f>IF(DCF!U33&lt;0,0,$C$27*DCF!U33)</f>
        <v>988588.73554662464</v>
      </c>
      <c r="R69" s="86">
        <f>IF(DCF!V33&lt;0,0,$C$27*DCF!V33)</f>
        <v>1036040.9948528627</v>
      </c>
      <c r="S69" s="86">
        <f>IF(DCF!W33&lt;0,0,$C$27*DCF!W33)</f>
        <v>1085770.9626058</v>
      </c>
      <c r="T69" s="86">
        <f>IF(DCF!X33&lt;0,0,$C$27*DCF!X33)</f>
        <v>1137887.9688108785</v>
      </c>
    </row>
    <row r="70" spans="2:20">
      <c r="B70" s="108" t="s">
        <v>354</v>
      </c>
      <c r="C70" s="160">
        <v>0</v>
      </c>
      <c r="D70" s="160">
        <v>0</v>
      </c>
      <c r="E70" s="160">
        <v>0</v>
      </c>
      <c r="F70" s="86">
        <f>$C$30*'Hypothetical Development'!C37</f>
        <v>22993.652551358926</v>
      </c>
      <c r="G70" s="86">
        <f>F70*(1+G7)</f>
        <v>23568.493865142897</v>
      </c>
      <c r="H70" s="86">
        <f t="shared" ref="H70:I70" si="2">G70*(1+H7)</f>
        <v>24157.706211771467</v>
      </c>
      <c r="I70" s="86">
        <f t="shared" si="2"/>
        <v>24761.648867065753</v>
      </c>
      <c r="J70" s="86">
        <f>I70*(1+J7)</f>
        <v>25380.690088742394</v>
      </c>
      <c r="K70" s="86">
        <f>J70*(1+K7)</f>
        <v>26015.207340960951</v>
      </c>
      <c r="L70" s="86">
        <f t="shared" ref="L70:S70" si="3">K70*(1+L7)</f>
        <v>26665.587524484974</v>
      </c>
      <c r="M70" s="86">
        <f t="shared" si="3"/>
        <v>27332.227212597096</v>
      </c>
      <c r="N70" s="86">
        <f t="shared" si="3"/>
        <v>28015.532892912022</v>
      </c>
      <c r="O70" s="86">
        <f t="shared" si="3"/>
        <v>28715.921215234819</v>
      </c>
      <c r="P70" s="86">
        <f t="shared" si="3"/>
        <v>29433.819245615687</v>
      </c>
      <c r="Q70" s="86">
        <f t="shared" si="3"/>
        <v>30169.664726756077</v>
      </c>
      <c r="R70" s="86">
        <f t="shared" si="3"/>
        <v>30923.906344924977</v>
      </c>
      <c r="S70" s="86">
        <f t="shared" si="3"/>
        <v>31697.0040035481</v>
      </c>
      <c r="T70" s="86">
        <f>$C$30*'Hypothetical Development'!Q37</f>
        <v>0</v>
      </c>
    </row>
    <row r="71" spans="2:20">
      <c r="B71" s="108" t="s">
        <v>355</v>
      </c>
      <c r="C71" s="160">
        <v>0</v>
      </c>
      <c r="D71" s="160">
        <v>0</v>
      </c>
      <c r="E71" s="86">
        <v>0</v>
      </c>
      <c r="F71" s="86">
        <f>$C$31*'Rent Schedule'!F39</f>
        <v>78020.630363142569</v>
      </c>
      <c r="G71" s="86">
        <f>$C$31*'Rent Schedule'!G39</f>
        <v>81765.620620573405</v>
      </c>
      <c r="H71" s="86">
        <f>$C$31*'Rent Schedule'!H39</f>
        <v>85690.37041036092</v>
      </c>
      <c r="I71" s="86">
        <f>$C$31*'Rent Schedule'!I39</f>
        <v>89803.508190058274</v>
      </c>
      <c r="J71" s="86">
        <f>$C$31*'Rent Schedule'!J39</f>
        <v>94114.076583181057</v>
      </c>
      <c r="K71" s="86">
        <f>$C$31*'Rent Schedule'!K39</f>
        <v>98631.552259173754</v>
      </c>
      <c r="L71" s="86">
        <f>$C$31*'Rent Schedule'!L39</f>
        <v>103365.86676761412</v>
      </c>
      <c r="M71" s="86">
        <f>$C$31*'Rent Schedule'!M39</f>
        <v>108327.42837245959</v>
      </c>
      <c r="N71" s="86">
        <f>$C$31*'Rent Schedule'!N39</f>
        <v>113527.14493433764</v>
      </c>
      <c r="O71" s="86">
        <f>$C$31*'Rent Schedule'!O39</f>
        <v>118976.44789118586</v>
      </c>
      <c r="P71" s="86">
        <f>$C$31*'Rent Schedule'!P39</f>
        <v>124687.31738996277</v>
      </c>
      <c r="Q71" s="86">
        <f>$C$31*'Rent Schedule'!Q39</f>
        <v>130672.308624681</v>
      </c>
      <c r="R71" s="86">
        <f>$C$31*'Rent Schedule'!R39</f>
        <v>136944.57943866571</v>
      </c>
      <c r="S71" s="86">
        <f>$C$31*'Rent Schedule'!S39</f>
        <v>143517.91925172164</v>
      </c>
      <c r="T71" s="86">
        <f>$C$31*'Rent Schedule'!T39</f>
        <v>150406.7793758043</v>
      </c>
    </row>
    <row r="72" spans="2:20">
      <c r="B72" s="17" t="s">
        <v>376</v>
      </c>
      <c r="C72" s="160">
        <v>0</v>
      </c>
      <c r="D72" s="160">
        <v>0</v>
      </c>
      <c r="E72" s="160">
        <v>0</v>
      </c>
      <c r="F72" s="160">
        <f>Assumptions!$D$94*'Expenditure Schedule'!$C$32</f>
        <v>52923.43</v>
      </c>
      <c r="G72" s="160">
        <f t="shared" ref="G72:T72" si="4">F72*(1+G7)</f>
        <v>54246.515749999999</v>
      </c>
      <c r="H72" s="160">
        <f t="shared" si="4"/>
        <v>55602.67864374999</v>
      </c>
      <c r="I72" s="160">
        <f t="shared" si="4"/>
        <v>56992.745609843732</v>
      </c>
      <c r="J72" s="160">
        <f t="shared" si="4"/>
        <v>58417.564250089818</v>
      </c>
      <c r="K72" s="160">
        <f t="shared" si="4"/>
        <v>59878.003356342058</v>
      </c>
      <c r="L72" s="160">
        <f t="shared" si="4"/>
        <v>61374.953440250603</v>
      </c>
      <c r="M72" s="160">
        <f t="shared" si="4"/>
        <v>62909.327276256859</v>
      </c>
      <c r="N72" s="160">
        <f t="shared" si="4"/>
        <v>64482.060458163272</v>
      </c>
      <c r="O72" s="160">
        <f t="shared" si="4"/>
        <v>66094.111969617355</v>
      </c>
      <c r="P72" s="160">
        <f t="shared" si="4"/>
        <v>67746.464768857782</v>
      </c>
      <c r="Q72" s="160">
        <f t="shared" si="4"/>
        <v>69440.126388079225</v>
      </c>
      <c r="R72" s="160">
        <f t="shared" si="4"/>
        <v>71176.129547781195</v>
      </c>
      <c r="S72" s="160">
        <f t="shared" si="4"/>
        <v>72955.532786475713</v>
      </c>
      <c r="T72" s="160">
        <f t="shared" si="4"/>
        <v>74779.421106137597</v>
      </c>
    </row>
    <row r="73" spans="2:20">
      <c r="B73" s="17" t="s">
        <v>352</v>
      </c>
      <c r="C73" s="160">
        <v>0</v>
      </c>
      <c r="D73" s="160">
        <f>$D28+$C$28*(1+'Rent Schedule'!D7)</f>
        <v>74812.5</v>
      </c>
      <c r="E73" s="86">
        <f>D73*(1+'Rent Schedule'!E7)</f>
        <v>76832.4375</v>
      </c>
      <c r="F73" s="86">
        <f>E73*(1+'Rent Schedule'!F7)</f>
        <v>78830.080875</v>
      </c>
      <c r="G73" s="86">
        <f>F73*(1+'Rent Schedule'!G7)</f>
        <v>80800.832896874999</v>
      </c>
      <c r="H73" s="86">
        <f>G73*(1+'Rent Schedule'!H7)</f>
        <v>82820.853719296865</v>
      </c>
      <c r="I73" s="86">
        <f>H73*(1+'Rent Schedule'!I7)</f>
        <v>84891.375062279272</v>
      </c>
      <c r="J73" s="86">
        <f>I73*(1+'Rent Schedule'!J7)</f>
        <v>87013.659438836243</v>
      </c>
      <c r="K73" s="86">
        <f>J73*(1+'Rent Schedule'!K7)</f>
        <v>89189.000924807144</v>
      </c>
      <c r="L73" s="86">
        <f>K73*(1+'Rent Schedule'!L7)</f>
        <v>91418.72594792732</v>
      </c>
      <c r="M73" s="86">
        <f>L73*(1+'Rent Schedule'!M7)</f>
        <v>93704.194096625492</v>
      </c>
      <c r="N73" s="86">
        <f>M73*(1+'Rent Schedule'!N7)</f>
        <v>96046.798949041127</v>
      </c>
      <c r="O73" s="86">
        <f>N73*(1+'Rent Schedule'!O7)</f>
        <v>98447.968922767148</v>
      </c>
      <c r="P73" s="86">
        <f>O73*(1+'Rent Schedule'!P7)</f>
        <v>100909.16814583632</v>
      </c>
      <c r="Q73" s="86">
        <f>P73*(1+'Rent Schedule'!Q7)</f>
        <v>103431.89734948221</v>
      </c>
      <c r="R73" s="86">
        <f>Q73*(1+'Rent Schedule'!R7)</f>
        <v>106017.69478321925</v>
      </c>
      <c r="S73" s="86">
        <f>R73*(1+'Rent Schedule'!S7)</f>
        <v>108668.13715279973</v>
      </c>
      <c r="T73" s="86">
        <f>S73*(1+'Rent Schedule'!T7)</f>
        <v>111384.8405816197</v>
      </c>
    </row>
    <row r="74" spans="2:20">
      <c r="B74" s="17" t="s">
        <v>349</v>
      </c>
      <c r="C74" s="160">
        <v>0</v>
      </c>
      <c r="D74" s="160">
        <f>C25</f>
        <v>306850</v>
      </c>
      <c r="E74" s="86">
        <f t="shared" ref="E74:T75" si="5">$C$74</f>
        <v>0</v>
      </c>
      <c r="F74" s="86">
        <f t="shared" si="5"/>
        <v>0</v>
      </c>
      <c r="G74" s="86">
        <f t="shared" si="5"/>
        <v>0</v>
      </c>
      <c r="H74" s="86">
        <f t="shared" si="5"/>
        <v>0</v>
      </c>
      <c r="I74" s="86">
        <f t="shared" si="5"/>
        <v>0</v>
      </c>
      <c r="J74" s="86">
        <f t="shared" si="5"/>
        <v>0</v>
      </c>
      <c r="K74" s="86">
        <f t="shared" si="5"/>
        <v>0</v>
      </c>
      <c r="L74" s="86">
        <f t="shared" si="5"/>
        <v>0</v>
      </c>
      <c r="M74" s="86">
        <f t="shared" si="5"/>
        <v>0</v>
      </c>
      <c r="N74" s="86">
        <f t="shared" si="5"/>
        <v>0</v>
      </c>
      <c r="O74" s="86">
        <f t="shared" si="5"/>
        <v>0</v>
      </c>
      <c r="P74" s="86">
        <f t="shared" si="5"/>
        <v>0</v>
      </c>
      <c r="Q74" s="86">
        <f t="shared" si="5"/>
        <v>0</v>
      </c>
      <c r="R74" s="86">
        <f t="shared" si="5"/>
        <v>0</v>
      </c>
      <c r="S74" s="86">
        <f t="shared" si="5"/>
        <v>0</v>
      </c>
      <c r="T74" s="86">
        <f t="shared" si="5"/>
        <v>0</v>
      </c>
    </row>
    <row r="75" spans="2:20">
      <c r="B75" s="17" t="s">
        <v>350</v>
      </c>
      <c r="C75" s="160">
        <v>0</v>
      </c>
      <c r="D75" s="160">
        <f>C26</f>
        <v>224.32</v>
      </c>
      <c r="E75" s="86">
        <f t="shared" si="5"/>
        <v>0</v>
      </c>
      <c r="F75" s="86">
        <f t="shared" si="5"/>
        <v>0</v>
      </c>
      <c r="G75" s="86">
        <f t="shared" si="5"/>
        <v>0</v>
      </c>
      <c r="H75" s="86">
        <f t="shared" si="5"/>
        <v>0</v>
      </c>
      <c r="I75" s="86">
        <f t="shared" si="5"/>
        <v>0</v>
      </c>
      <c r="J75" s="86">
        <f t="shared" si="5"/>
        <v>0</v>
      </c>
      <c r="K75" s="86">
        <f t="shared" si="5"/>
        <v>0</v>
      </c>
      <c r="L75" s="86">
        <f t="shared" si="5"/>
        <v>0</v>
      </c>
      <c r="M75" s="86">
        <f t="shared" si="5"/>
        <v>0</v>
      </c>
      <c r="N75" s="86">
        <f t="shared" si="5"/>
        <v>0</v>
      </c>
      <c r="O75" s="86">
        <f t="shared" si="5"/>
        <v>0</v>
      </c>
      <c r="P75" s="86">
        <f t="shared" si="5"/>
        <v>0</v>
      </c>
      <c r="Q75" s="86">
        <f t="shared" si="5"/>
        <v>0</v>
      </c>
      <c r="R75" s="86">
        <f t="shared" si="5"/>
        <v>0</v>
      </c>
      <c r="S75" s="86">
        <f t="shared" si="5"/>
        <v>0</v>
      </c>
      <c r="T75" s="86">
        <f t="shared" si="5"/>
        <v>0</v>
      </c>
    </row>
    <row r="76" spans="2:20">
      <c r="B76" s="17" t="s">
        <v>377</v>
      </c>
      <c r="C76" s="160">
        <v>0</v>
      </c>
      <c r="D76" s="160">
        <v>0</v>
      </c>
      <c r="E76" s="86">
        <v>0</v>
      </c>
      <c r="F76" s="86">
        <f>Assumptions!$I$183*Assumptions!D94*C14</f>
        <v>1446325.0926062986</v>
      </c>
      <c r="G76" s="86">
        <f t="shared" ref="G76:T76" si="6">F76*(1+G7)</f>
        <v>1482483.219921456</v>
      </c>
      <c r="H76" s="86">
        <f t="shared" si="6"/>
        <v>1519545.3004194922</v>
      </c>
      <c r="I76" s="86">
        <f t="shared" si="6"/>
        <v>1557533.9329299794</v>
      </c>
      <c r="J76" s="86">
        <f t="shared" si="6"/>
        <v>1596472.2812532287</v>
      </c>
      <c r="K76" s="86">
        <f t="shared" si="6"/>
        <v>1636384.0882845593</v>
      </c>
      <c r="L76" s="86">
        <f t="shared" si="6"/>
        <v>1677293.6904916731</v>
      </c>
      <c r="M76" s="86">
        <f t="shared" si="6"/>
        <v>1719226.0327539647</v>
      </c>
      <c r="N76" s="86">
        <f t="shared" si="6"/>
        <v>1762206.6835728136</v>
      </c>
      <c r="O76" s="86">
        <f t="shared" si="6"/>
        <v>1806261.8506621339</v>
      </c>
      <c r="P76" s="86">
        <f t="shared" si="6"/>
        <v>1851418.3969286871</v>
      </c>
      <c r="Q76" s="86">
        <f t="shared" si="6"/>
        <v>1897703.8568519042</v>
      </c>
      <c r="R76" s="86">
        <f t="shared" si="6"/>
        <v>1945146.4532732016</v>
      </c>
      <c r="S76" s="86">
        <f t="shared" si="6"/>
        <v>1993775.1146050314</v>
      </c>
      <c r="T76" s="86">
        <f t="shared" si="6"/>
        <v>2043619.4924701571</v>
      </c>
    </row>
    <row r="77" spans="2:20">
      <c r="B77" s="92" t="s">
        <v>45</v>
      </c>
      <c r="C77" s="161">
        <f>SUM(C69:C76)</f>
        <v>0</v>
      </c>
      <c r="D77" s="161">
        <f>SUM(D69:D76)</f>
        <v>381886.82</v>
      </c>
      <c r="E77" s="161">
        <f t="shared" ref="E77:T77" si="7">SUM(E69:E76)</f>
        <v>76832.4375</v>
      </c>
      <c r="F77" s="161">
        <f>SUM(F69:F76)</f>
        <v>2269350.4331479939</v>
      </c>
      <c r="G77" s="161">
        <f t="shared" si="7"/>
        <v>2341454.5920503461</v>
      </c>
      <c r="H77" s="161">
        <f t="shared" si="7"/>
        <v>2416099.1340327924</v>
      </c>
      <c r="I77" s="161">
        <f t="shared" si="7"/>
        <v>2493382.9820694975</v>
      </c>
      <c r="J77" s="161">
        <f t="shared" si="7"/>
        <v>2573409.2320520421</v>
      </c>
      <c r="K77" s="161">
        <f t="shared" si="7"/>
        <v>2656285.3387048296</v>
      </c>
      <c r="L77" s="161">
        <f t="shared" si="7"/>
        <v>2742123.3100648075</v>
      </c>
      <c r="M77" s="161">
        <f t="shared" si="7"/>
        <v>2831039.9109276189</v>
      </c>
      <c r="N77" s="161">
        <f t="shared" si="7"/>
        <v>2923156.875681337</v>
      </c>
      <c r="O77" s="161">
        <f t="shared" si="7"/>
        <v>3018601.1309689637</v>
      </c>
      <c r="P77" s="161">
        <f t="shared" si="7"/>
        <v>3117505.0286417692</v>
      </c>
      <c r="Q77" s="161">
        <f t="shared" si="7"/>
        <v>3220006.5894875275</v>
      </c>
      <c r="R77" s="161">
        <f t="shared" si="7"/>
        <v>3326249.7582406551</v>
      </c>
      <c r="S77" s="161">
        <f t="shared" si="7"/>
        <v>3436384.6704053767</v>
      </c>
      <c r="T77" s="161">
        <f t="shared" si="7"/>
        <v>3518078.5023445971</v>
      </c>
    </row>
    <row r="78" spans="2:20">
      <c r="B78" s="33"/>
      <c r="C78" s="23"/>
      <c r="D78" s="23"/>
      <c r="E78" s="36"/>
      <c r="F78" s="36"/>
      <c r="G78" s="36"/>
      <c r="H78" s="36"/>
      <c r="I78" s="36"/>
      <c r="J78" s="36"/>
      <c r="K78" s="36"/>
      <c r="L78" s="36"/>
      <c r="M78" s="36"/>
      <c r="N78" s="36"/>
      <c r="O78" s="36"/>
      <c r="P78" s="36"/>
      <c r="Q78" s="36"/>
      <c r="R78" s="36"/>
      <c r="S78" s="36"/>
      <c r="T78" s="36"/>
    </row>
    <row r="79" spans="2:20">
      <c r="B79" s="16" t="s">
        <v>378</v>
      </c>
      <c r="C79" s="107"/>
      <c r="D79" s="107"/>
      <c r="E79" s="251"/>
      <c r="F79" s="251"/>
      <c r="G79" s="281"/>
      <c r="H79" s="281"/>
      <c r="I79" s="281"/>
      <c r="J79" s="281"/>
      <c r="K79" s="281"/>
      <c r="L79" s="281"/>
      <c r="M79" s="281"/>
      <c r="N79" s="281"/>
      <c r="O79" s="281"/>
      <c r="P79" s="281"/>
      <c r="Q79" s="281"/>
      <c r="R79" s="281"/>
      <c r="S79" s="281"/>
      <c r="T79" s="281"/>
    </row>
    <row r="80" spans="2:20">
      <c r="B80" s="21" t="s">
        <v>341</v>
      </c>
      <c r="C80" s="54" t="s">
        <v>100</v>
      </c>
      <c r="D80" s="54" t="s">
        <v>101</v>
      </c>
      <c r="E80" s="27" t="s">
        <v>102</v>
      </c>
      <c r="F80" s="27" t="s">
        <v>320</v>
      </c>
      <c r="G80" s="27" t="s">
        <v>321</v>
      </c>
      <c r="H80" s="27" t="s">
        <v>322</v>
      </c>
      <c r="I80" s="27" t="s">
        <v>323</v>
      </c>
      <c r="J80" s="142" t="s">
        <v>324</v>
      </c>
      <c r="K80" s="142" t="s">
        <v>325</v>
      </c>
      <c r="L80" s="142" t="s">
        <v>326</v>
      </c>
      <c r="M80" s="142" t="s">
        <v>327</v>
      </c>
      <c r="N80" s="142" t="s">
        <v>328</v>
      </c>
      <c r="O80" s="142" t="s">
        <v>329</v>
      </c>
      <c r="P80" s="142" t="s">
        <v>330</v>
      </c>
      <c r="Q80" s="142" t="s">
        <v>331</v>
      </c>
      <c r="R80" s="142" t="s">
        <v>332</v>
      </c>
      <c r="S80" s="142" t="s">
        <v>333</v>
      </c>
      <c r="T80" s="142" t="s">
        <v>334</v>
      </c>
    </row>
    <row r="81" spans="2:20">
      <c r="B81" s="17" t="s">
        <v>379</v>
      </c>
      <c r="C81" s="160">
        <f t="shared" ref="C81:T81" si="8">C77*$C$29</f>
        <v>0</v>
      </c>
      <c r="D81" s="160">
        <f t="shared" si="8"/>
        <v>343698.13800000004</v>
      </c>
      <c r="E81" s="86">
        <f t="shared" si="8"/>
        <v>69149.193750000006</v>
      </c>
      <c r="F81" s="86">
        <f t="shared" si="8"/>
        <v>2042415.3898331944</v>
      </c>
      <c r="G81" s="86">
        <f t="shared" si="8"/>
        <v>2107309.1328453114</v>
      </c>
      <c r="H81" s="86">
        <f t="shared" si="8"/>
        <v>2174489.2206295133</v>
      </c>
      <c r="I81" s="86">
        <f t="shared" si="8"/>
        <v>2244044.6838625479</v>
      </c>
      <c r="J81" s="86">
        <f t="shared" si="8"/>
        <v>2316068.3088468378</v>
      </c>
      <c r="K81" s="86">
        <f t="shared" si="8"/>
        <v>2390656.8048343468</v>
      </c>
      <c r="L81" s="86">
        <f t="shared" si="8"/>
        <v>2467910.9790583267</v>
      </c>
      <c r="M81" s="86">
        <f t="shared" si="8"/>
        <v>2547935.9198348569</v>
      </c>
      <c r="N81" s="86">
        <f t="shared" si="8"/>
        <v>2630841.1881132033</v>
      </c>
      <c r="O81" s="86">
        <f t="shared" si="8"/>
        <v>2716741.0178720676</v>
      </c>
      <c r="P81" s="86">
        <f t="shared" si="8"/>
        <v>2805754.5257775923</v>
      </c>
      <c r="Q81" s="86">
        <f t="shared" si="8"/>
        <v>2898005.9305387749</v>
      </c>
      <c r="R81" s="86">
        <f t="shared" si="8"/>
        <v>2993624.7824165896</v>
      </c>
      <c r="S81" s="86">
        <f t="shared" si="8"/>
        <v>3092746.2033648393</v>
      </c>
      <c r="T81" s="86">
        <f t="shared" si="8"/>
        <v>3166270.6521101375</v>
      </c>
    </row>
    <row r="82" spans="2:20">
      <c r="B82" s="17" t="s">
        <v>376</v>
      </c>
      <c r="E82" s="20"/>
      <c r="F82" s="20"/>
      <c r="G82" s="20"/>
      <c r="H82" s="20"/>
      <c r="I82" s="20"/>
      <c r="J82" s="20"/>
      <c r="K82" s="20"/>
      <c r="L82" s="20"/>
      <c r="M82" s="20"/>
      <c r="N82" s="20"/>
      <c r="O82" s="20"/>
      <c r="P82" s="20"/>
      <c r="Q82" s="20"/>
      <c r="R82" s="20"/>
      <c r="S82" s="20"/>
      <c r="T82" s="20"/>
    </row>
    <row r="83" spans="2:20">
      <c r="B83" s="213" t="s">
        <v>45</v>
      </c>
      <c r="C83" s="165">
        <f>SUM(C81:C82)</f>
        <v>0</v>
      </c>
      <c r="D83" s="165">
        <f t="shared" ref="D83:T83" si="9">SUM(D81:D82)</f>
        <v>343698.13800000004</v>
      </c>
      <c r="E83" s="164">
        <f t="shared" si="9"/>
        <v>69149.193750000006</v>
      </c>
      <c r="F83" s="164">
        <f t="shared" si="9"/>
        <v>2042415.3898331944</v>
      </c>
      <c r="G83" s="164">
        <f t="shared" si="9"/>
        <v>2107309.1328453114</v>
      </c>
      <c r="H83" s="164">
        <f t="shared" si="9"/>
        <v>2174489.2206295133</v>
      </c>
      <c r="I83" s="164">
        <f t="shared" si="9"/>
        <v>2244044.6838625479</v>
      </c>
      <c r="J83" s="164">
        <f t="shared" si="9"/>
        <v>2316068.3088468378</v>
      </c>
      <c r="K83" s="164">
        <f t="shared" si="9"/>
        <v>2390656.8048343468</v>
      </c>
      <c r="L83" s="164">
        <f t="shared" si="9"/>
        <v>2467910.9790583267</v>
      </c>
      <c r="M83" s="164">
        <f t="shared" si="9"/>
        <v>2547935.9198348569</v>
      </c>
      <c r="N83" s="164">
        <f t="shared" si="9"/>
        <v>2630841.1881132033</v>
      </c>
      <c r="O83" s="164">
        <f t="shared" si="9"/>
        <v>2716741.0178720676</v>
      </c>
      <c r="P83" s="164">
        <f t="shared" si="9"/>
        <v>2805754.5257775923</v>
      </c>
      <c r="Q83" s="164">
        <f t="shared" si="9"/>
        <v>2898005.9305387749</v>
      </c>
      <c r="R83" s="164">
        <f t="shared" si="9"/>
        <v>2993624.7824165896</v>
      </c>
      <c r="S83" s="164">
        <f t="shared" si="9"/>
        <v>3092746.2033648393</v>
      </c>
      <c r="T83" s="164">
        <f t="shared" si="9"/>
        <v>3166270.6521101375</v>
      </c>
    </row>
    <row r="84" spans="2:20">
      <c r="E84" s="20"/>
      <c r="F84" s="20"/>
      <c r="G84" s="20"/>
      <c r="H84" s="20"/>
      <c r="I84" s="20"/>
      <c r="J84" s="20"/>
      <c r="K84" s="20"/>
      <c r="L84" s="20"/>
      <c r="M84" s="20"/>
      <c r="N84" s="20"/>
      <c r="O84" s="20"/>
      <c r="P84" s="20"/>
      <c r="Q84" s="20"/>
      <c r="R84" s="20"/>
      <c r="S84" s="20"/>
      <c r="T84" s="20"/>
    </row>
    <row r="85" spans="2:20">
      <c r="B85" s="16" t="s">
        <v>380</v>
      </c>
      <c r="C85" s="16"/>
      <c r="D85" s="53"/>
      <c r="E85" s="282"/>
      <c r="F85" s="282"/>
      <c r="G85" s="282"/>
      <c r="H85" s="282"/>
      <c r="I85" s="282"/>
      <c r="J85" s="282"/>
      <c r="K85" s="282"/>
      <c r="L85" s="282"/>
      <c r="M85" s="282"/>
      <c r="N85" s="282"/>
      <c r="O85" s="282"/>
      <c r="P85" s="282"/>
      <c r="Q85" s="282"/>
      <c r="R85" s="282"/>
      <c r="S85" s="282"/>
      <c r="T85" s="282"/>
    </row>
    <row r="86" spans="2:20">
      <c r="B86" s="18" t="s">
        <v>341</v>
      </c>
      <c r="C86" s="54" t="s">
        <v>100</v>
      </c>
      <c r="D86" s="54" t="s">
        <v>101</v>
      </c>
      <c r="E86" s="27" t="s">
        <v>102</v>
      </c>
      <c r="F86" s="27" t="s">
        <v>320</v>
      </c>
      <c r="G86" s="27" t="s">
        <v>321</v>
      </c>
      <c r="H86" s="27" t="s">
        <v>322</v>
      </c>
      <c r="I86" s="27" t="s">
        <v>323</v>
      </c>
      <c r="J86" s="142" t="s">
        <v>324</v>
      </c>
      <c r="K86" s="142" t="s">
        <v>325</v>
      </c>
      <c r="L86" s="142" t="s">
        <v>326</v>
      </c>
      <c r="M86" s="142" t="s">
        <v>327</v>
      </c>
      <c r="N86" s="142" t="s">
        <v>328</v>
      </c>
      <c r="O86" s="142" t="s">
        <v>329</v>
      </c>
      <c r="P86" s="142" t="s">
        <v>330</v>
      </c>
      <c r="Q86" s="142" t="s">
        <v>331</v>
      </c>
      <c r="R86" s="142" t="s">
        <v>332</v>
      </c>
      <c r="S86" s="142" t="s">
        <v>333</v>
      </c>
      <c r="T86" s="142" t="s">
        <v>334</v>
      </c>
    </row>
    <row r="87" spans="2:20">
      <c r="B87" s="17" t="s">
        <v>381</v>
      </c>
      <c r="C87" s="160">
        <f>DCF!G60</f>
        <v>0</v>
      </c>
      <c r="D87" s="160">
        <f>DCF!H60</f>
        <v>-40052586.338568807</v>
      </c>
      <c r="E87" s="86">
        <f>DCF!I60</f>
        <v>-39827819.319981612</v>
      </c>
      <c r="F87" s="86">
        <f>DCF!J60</f>
        <v>5066331.2035364965</v>
      </c>
      <c r="G87" s="86">
        <f>DCF!K60</f>
        <v>6101012.3073478937</v>
      </c>
      <c r="H87" s="86">
        <f>DCF!L60</f>
        <v>6747895.6158197932</v>
      </c>
      <c r="I87" s="86">
        <f>DCF!M60</f>
        <v>7388099.0955741275</v>
      </c>
      <c r="J87" s="86">
        <f>DCF!N60</f>
        <v>8025404.7831848208</v>
      </c>
      <c r="K87" s="86">
        <f>DCF!O60</f>
        <v>8663332.2170573417</v>
      </c>
      <c r="L87" s="86">
        <f>DCF!P60</f>
        <v>9305173.9476640522</v>
      </c>
      <c r="M87" s="86">
        <f>DCF!Q60</f>
        <v>9954027.5409538783</v>
      </c>
      <c r="N87" s="86">
        <f>DCF!R60</f>
        <v>10612824.471133683</v>
      </c>
      <c r="O87" s="86">
        <f>DCF!S60</f>
        <v>11284356.256883716</v>
      </c>
      <c r="P87" s="86">
        <f>DCF!T60</f>
        <v>11971298.157536743</v>
      </c>
      <c r="Q87" s="86">
        <f>DCF!U60</f>
        <v>12676230.712322546</v>
      </c>
      <c r="R87" s="86">
        <f>DCF!V60</f>
        <v>13401659.376014078</v>
      </c>
      <c r="S87" s="86">
        <f>DCF!W60</f>
        <v>14150032.477813898</v>
      </c>
      <c r="T87" s="86">
        <f>DCF!X60</f>
        <v>309793078.68425012</v>
      </c>
    </row>
    <row r="88" spans="2:20">
      <c r="B88" s="17" t="s">
        <v>382</v>
      </c>
      <c r="C88" s="160">
        <v>0</v>
      </c>
      <c r="D88" s="160">
        <v>0</v>
      </c>
      <c r="E88" s="86">
        <v>0</v>
      </c>
      <c r="F88" s="86">
        <f>-F87*Assumptions!$C$17</f>
        <v>-1519899.3610609488</v>
      </c>
      <c r="G88" s="86">
        <f>-G87*Assumptions!$C$17</f>
        <v>-1830303.6922043681</v>
      </c>
      <c r="H88" s="86">
        <f>-H87*Assumptions!$C$17</f>
        <v>-2024368.6847459378</v>
      </c>
      <c r="I88" s="86">
        <f>-I87*Assumptions!$C$17</f>
        <v>-2216429.7286722381</v>
      </c>
      <c r="J88" s="86">
        <f>-J87*Assumptions!$C$17</f>
        <v>-2407621.434955446</v>
      </c>
      <c r="K88" s="86">
        <f>-K87*Assumptions!$C$17</f>
        <v>-2598999.6651172023</v>
      </c>
      <c r="L88" s="86">
        <f>-L87*Assumptions!$C$17</f>
        <v>-2791552.1842992157</v>
      </c>
      <c r="M88" s="86">
        <f>-M87*Assumptions!$C$17</f>
        <v>-2986208.2622861634</v>
      </c>
      <c r="N88" s="86">
        <f>-N87*Assumptions!$C$17</f>
        <v>-3183847.3413401046</v>
      </c>
      <c r="O88" s="86">
        <f>-O87*Assumptions!$C$17</f>
        <v>-3385306.8770651147</v>
      </c>
      <c r="P88" s="86">
        <f>-P87*Assumptions!$C$17</f>
        <v>-3591389.4472610229</v>
      </c>
      <c r="Q88" s="86">
        <f>-Q87*Assumptions!$C$17</f>
        <v>-3802869.2136967639</v>
      </c>
      <c r="R88" s="86">
        <f>-R87*Assumptions!$C$17</f>
        <v>-4020497.812804223</v>
      </c>
      <c r="S88" s="86">
        <f>-S87*Assumptions!$C$17</f>
        <v>-4245009.7433441691</v>
      </c>
      <c r="T88" s="86">
        <f>-T87*Assumptions!$C$17</f>
        <v>-92937923.605275035</v>
      </c>
    </row>
    <row r="89" spans="2:20">
      <c r="B89" s="17" t="s">
        <v>383</v>
      </c>
      <c r="C89" s="160">
        <v>0</v>
      </c>
      <c r="D89" s="160">
        <v>0</v>
      </c>
      <c r="E89" s="86">
        <v>0</v>
      </c>
      <c r="F89" s="86">
        <f>-F88</f>
        <v>1519899.3610609488</v>
      </c>
      <c r="G89" s="86">
        <f t="shared" ref="G89:K89" si="10">-G88</f>
        <v>1830303.6922043681</v>
      </c>
      <c r="H89" s="86">
        <f t="shared" si="10"/>
        <v>2024368.6847459378</v>
      </c>
      <c r="I89" s="86">
        <f t="shared" si="10"/>
        <v>2216429.7286722381</v>
      </c>
      <c r="J89" s="86">
        <f t="shared" si="10"/>
        <v>2407621.434955446</v>
      </c>
      <c r="K89" s="86">
        <f t="shared" si="10"/>
        <v>2598999.6651172023</v>
      </c>
      <c r="L89" s="86">
        <f>-L88</f>
        <v>2791552.1842992157</v>
      </c>
      <c r="M89" s="86">
        <f>-M88</f>
        <v>2986208.2622861634</v>
      </c>
      <c r="N89" s="86">
        <f t="shared" ref="N89" si="11">-N88</f>
        <v>3183847.3413401046</v>
      </c>
      <c r="O89" s="86">
        <f>N96</f>
        <v>2404891.3428835007</v>
      </c>
      <c r="P89" s="86">
        <f t="shared" ref="P89:T89" si="12">O96</f>
        <v>0</v>
      </c>
      <c r="Q89" s="86">
        <f t="shared" si="12"/>
        <v>0</v>
      </c>
      <c r="R89" s="86">
        <f t="shared" si="12"/>
        <v>0</v>
      </c>
      <c r="S89" s="86">
        <f t="shared" si="12"/>
        <v>0</v>
      </c>
      <c r="T89" s="86">
        <f t="shared" si="12"/>
        <v>0</v>
      </c>
    </row>
    <row r="90" spans="2:20">
      <c r="B90" s="88" t="s">
        <v>384</v>
      </c>
      <c r="C90" s="96">
        <f>C88+C89</f>
        <v>0</v>
      </c>
      <c r="D90" s="96">
        <f t="shared" ref="D90:T90" si="13">D88+D89</f>
        <v>0</v>
      </c>
      <c r="E90" s="98">
        <f t="shared" si="13"/>
        <v>0</v>
      </c>
      <c r="F90" s="98">
        <f t="shared" si="13"/>
        <v>0</v>
      </c>
      <c r="G90" s="98">
        <f t="shared" si="13"/>
        <v>0</v>
      </c>
      <c r="H90" s="98">
        <f t="shared" si="13"/>
        <v>0</v>
      </c>
      <c r="I90" s="98">
        <f t="shared" si="13"/>
        <v>0</v>
      </c>
      <c r="J90" s="98">
        <f t="shared" si="13"/>
        <v>0</v>
      </c>
      <c r="K90" s="98">
        <f t="shared" si="13"/>
        <v>0</v>
      </c>
      <c r="L90" s="98">
        <f t="shared" si="13"/>
        <v>0</v>
      </c>
      <c r="M90" s="98">
        <f>M88+M89</f>
        <v>0</v>
      </c>
      <c r="N90" s="98">
        <f>N88+N89</f>
        <v>0</v>
      </c>
      <c r="O90" s="98">
        <f t="shared" si="13"/>
        <v>-980415.53418161394</v>
      </c>
      <c r="P90" s="98">
        <f t="shared" si="13"/>
        <v>-3591389.4472610229</v>
      </c>
      <c r="Q90" s="98">
        <f t="shared" si="13"/>
        <v>-3802869.2136967639</v>
      </c>
      <c r="R90" s="98">
        <f t="shared" si="13"/>
        <v>-4020497.812804223</v>
      </c>
      <c r="S90" s="98">
        <f t="shared" si="13"/>
        <v>-4245009.7433441691</v>
      </c>
      <c r="T90" s="98">
        <f t="shared" si="13"/>
        <v>-92937923.605275035</v>
      </c>
    </row>
    <row r="91" spans="2:20">
      <c r="C91" s="160"/>
      <c r="D91" s="160"/>
      <c r="E91" s="86"/>
      <c r="F91" s="86"/>
      <c r="G91" s="86"/>
      <c r="H91" s="86"/>
      <c r="I91" s="86"/>
      <c r="J91" s="86"/>
      <c r="K91" s="86"/>
      <c r="L91" s="86"/>
      <c r="M91" s="86"/>
      <c r="N91" s="86"/>
      <c r="O91" s="86"/>
      <c r="P91" s="86"/>
      <c r="Q91" s="86"/>
      <c r="R91" s="86"/>
      <c r="S91" s="86"/>
      <c r="T91" s="86"/>
    </row>
    <row r="92" spans="2:20">
      <c r="B92" s="37" t="s">
        <v>385</v>
      </c>
      <c r="C92" s="160"/>
      <c r="D92" s="160"/>
      <c r="E92" s="86"/>
      <c r="F92" s="86"/>
      <c r="G92" s="86"/>
      <c r="H92" s="86"/>
      <c r="I92" s="86"/>
      <c r="J92" s="86"/>
      <c r="K92" s="86"/>
      <c r="L92" s="86"/>
      <c r="M92" s="86"/>
      <c r="N92" s="86"/>
      <c r="O92" s="86"/>
      <c r="P92" s="86"/>
      <c r="Q92" s="86"/>
      <c r="R92" s="86"/>
      <c r="S92" s="86"/>
      <c r="T92" s="86"/>
    </row>
    <row r="93" spans="2:20">
      <c r="B93" s="17" t="s">
        <v>386</v>
      </c>
      <c r="C93" s="160">
        <v>0</v>
      </c>
      <c r="D93" s="160">
        <f>C96</f>
        <v>0</v>
      </c>
      <c r="E93" s="86">
        <f>D96</f>
        <v>12015775.901570642</v>
      </c>
      <c r="F93" s="86">
        <f>E96</f>
        <v>23964121.697565123</v>
      </c>
      <c r="G93" s="86">
        <f t="shared" ref="G93:T93" si="14">F96</f>
        <v>22444222.336504176</v>
      </c>
      <c r="H93" s="86">
        <f t="shared" si="14"/>
        <v>20613918.644299809</v>
      </c>
      <c r="I93" s="86">
        <f t="shared" si="14"/>
        <v>18589549.959553871</v>
      </c>
      <c r="J93" s="86">
        <f t="shared" si="14"/>
        <v>16373120.230881633</v>
      </c>
      <c r="K93" s="86">
        <f t="shared" si="14"/>
        <v>13965498.795926187</v>
      </c>
      <c r="L93" s="86">
        <f t="shared" si="14"/>
        <v>11366499.130808985</v>
      </c>
      <c r="M93" s="86">
        <f>L96</f>
        <v>8574946.9465097692</v>
      </c>
      <c r="N93" s="86">
        <f t="shared" si="14"/>
        <v>5588738.6842236053</v>
      </c>
      <c r="O93" s="86">
        <f t="shared" si="14"/>
        <v>2404891.3428835007</v>
      </c>
      <c r="P93" s="86">
        <f t="shared" si="14"/>
        <v>0</v>
      </c>
      <c r="Q93" s="86">
        <f t="shared" si="14"/>
        <v>0</v>
      </c>
      <c r="R93" s="86">
        <f t="shared" si="14"/>
        <v>0</v>
      </c>
      <c r="S93" s="86">
        <f t="shared" si="14"/>
        <v>0</v>
      </c>
      <c r="T93" s="86">
        <f t="shared" si="14"/>
        <v>0</v>
      </c>
    </row>
    <row r="94" spans="2:20">
      <c r="B94" s="17" t="s">
        <v>387</v>
      </c>
      <c r="C94" s="160">
        <v>0</v>
      </c>
      <c r="D94" s="160">
        <f>-D87*Assumptions!$C$17</f>
        <v>12015775.901570642</v>
      </c>
      <c r="E94" s="86">
        <f>-E87*Assumptions!$C$17</f>
        <v>11948345.795994483</v>
      </c>
      <c r="F94" s="86">
        <v>0</v>
      </c>
      <c r="G94" s="86">
        <v>0</v>
      </c>
      <c r="H94" s="86">
        <v>0</v>
      </c>
      <c r="I94" s="86">
        <v>0</v>
      </c>
      <c r="J94" s="86">
        <v>0</v>
      </c>
      <c r="K94" s="86">
        <v>0</v>
      </c>
      <c r="L94" s="86">
        <v>0</v>
      </c>
      <c r="M94" s="86">
        <v>0</v>
      </c>
      <c r="N94" s="86">
        <v>0</v>
      </c>
      <c r="O94" s="86">
        <v>0</v>
      </c>
      <c r="P94" s="86">
        <v>0</v>
      </c>
      <c r="Q94" s="86">
        <v>0</v>
      </c>
      <c r="R94" s="86">
        <v>0</v>
      </c>
      <c r="S94" s="86">
        <v>0</v>
      </c>
      <c r="T94" s="86">
        <v>0</v>
      </c>
    </row>
    <row r="95" spans="2:20">
      <c r="B95" s="17" t="s">
        <v>383</v>
      </c>
      <c r="C95" s="160">
        <v>0</v>
      </c>
      <c r="D95" s="160">
        <f t="shared" ref="D95:E95" si="15">D89</f>
        <v>0</v>
      </c>
      <c r="E95" s="86">
        <f t="shared" si="15"/>
        <v>0</v>
      </c>
      <c r="F95" s="86">
        <f>-F89</f>
        <v>-1519899.3610609488</v>
      </c>
      <c r="G95" s="86">
        <f t="shared" ref="G95:T95" si="16">-G89</f>
        <v>-1830303.6922043681</v>
      </c>
      <c r="H95" s="86">
        <f t="shared" si="16"/>
        <v>-2024368.6847459378</v>
      </c>
      <c r="I95" s="86">
        <f t="shared" si="16"/>
        <v>-2216429.7286722381</v>
      </c>
      <c r="J95" s="86">
        <f t="shared" si="16"/>
        <v>-2407621.434955446</v>
      </c>
      <c r="K95" s="86">
        <f t="shared" si="16"/>
        <v>-2598999.6651172023</v>
      </c>
      <c r="L95" s="86">
        <f>-L89</f>
        <v>-2791552.1842992157</v>
      </c>
      <c r="M95" s="86">
        <f>-M89</f>
        <v>-2986208.2622861634</v>
      </c>
      <c r="N95" s="86">
        <f t="shared" si="16"/>
        <v>-3183847.3413401046</v>
      </c>
      <c r="O95" s="86">
        <f>-O89</f>
        <v>-2404891.3428835007</v>
      </c>
      <c r="P95" s="86">
        <f t="shared" si="16"/>
        <v>0</v>
      </c>
      <c r="Q95" s="86">
        <f t="shared" si="16"/>
        <v>0</v>
      </c>
      <c r="R95" s="86">
        <f t="shared" si="16"/>
        <v>0</v>
      </c>
      <c r="S95" s="86">
        <f t="shared" si="16"/>
        <v>0</v>
      </c>
      <c r="T95" s="86">
        <f t="shared" si="16"/>
        <v>0</v>
      </c>
    </row>
    <row r="96" spans="2:20">
      <c r="B96" s="88" t="s">
        <v>388</v>
      </c>
      <c r="C96" s="96">
        <f>C93+C94+C95</f>
        <v>0</v>
      </c>
      <c r="D96" s="96">
        <f>D93+D94+D95</f>
        <v>12015775.901570642</v>
      </c>
      <c r="E96" s="98">
        <f t="shared" ref="E96:T96" si="17">E93+E94+E95</f>
        <v>23964121.697565123</v>
      </c>
      <c r="F96" s="98">
        <f t="shared" si="17"/>
        <v>22444222.336504176</v>
      </c>
      <c r="G96" s="98">
        <f t="shared" si="17"/>
        <v>20613918.644299809</v>
      </c>
      <c r="H96" s="98">
        <f t="shared" si="17"/>
        <v>18589549.959553871</v>
      </c>
      <c r="I96" s="98">
        <f t="shared" si="17"/>
        <v>16373120.230881633</v>
      </c>
      <c r="J96" s="98">
        <f t="shared" si="17"/>
        <v>13965498.795926187</v>
      </c>
      <c r="K96" s="98">
        <f t="shared" si="17"/>
        <v>11366499.130808985</v>
      </c>
      <c r="L96" s="98">
        <f>L93+L94+L95</f>
        <v>8574946.9465097692</v>
      </c>
      <c r="M96" s="98">
        <f>M93+M94+M95</f>
        <v>5588738.6842236053</v>
      </c>
      <c r="N96" s="98">
        <f t="shared" si="17"/>
        <v>2404891.3428835007</v>
      </c>
      <c r="O96" s="98">
        <f>O93+O94+O95</f>
        <v>0</v>
      </c>
      <c r="P96" s="98">
        <f t="shared" si="17"/>
        <v>0</v>
      </c>
      <c r="Q96" s="98">
        <f t="shared" si="17"/>
        <v>0</v>
      </c>
      <c r="R96" s="98">
        <f t="shared" si="17"/>
        <v>0</v>
      </c>
      <c r="S96" s="98">
        <f t="shared" si="17"/>
        <v>0</v>
      </c>
      <c r="T96" s="98">
        <f t="shared" si="1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0253B-107B-4C44-8A40-C346E939D701}">
  <sheetPr>
    <tabColor rgb="FF00B050"/>
  </sheetPr>
  <dimension ref="B1:AJ41"/>
  <sheetViews>
    <sheetView topLeftCell="A31" zoomScale="91" workbookViewId="0">
      <selection activeCell="F25" sqref="F25"/>
    </sheetView>
  </sheetViews>
  <sheetFormatPr defaultColWidth="10.875" defaultRowHeight="15.95"/>
  <cols>
    <col min="1" max="1" width="10.875" style="17"/>
    <col min="2" max="2" width="39.5" style="17" customWidth="1"/>
    <col min="3" max="3" width="17.625" style="17" bestFit="1" customWidth="1"/>
    <col min="4" max="4" width="17.125" style="17" customWidth="1"/>
    <col min="5" max="5" width="18.5" style="17" customWidth="1"/>
    <col min="6" max="6" width="21.625" style="17" customWidth="1"/>
    <col min="7" max="7" width="20.125" style="17" customWidth="1"/>
    <col min="8" max="8" width="18.375" style="17" customWidth="1"/>
    <col min="9" max="9" width="18" style="17" customWidth="1"/>
    <col min="10" max="10" width="15.625" style="17" customWidth="1"/>
    <col min="11" max="16" width="14" style="17" bestFit="1" customWidth="1"/>
    <col min="17" max="20" width="12.875" style="17" bestFit="1" customWidth="1"/>
    <col min="21" max="21" width="14" style="17" customWidth="1"/>
    <col min="22" max="22" width="13.5" style="17" customWidth="1"/>
    <col min="23" max="25" width="10.875" style="17"/>
    <col min="26" max="26" width="15.125" style="17" customWidth="1"/>
    <col min="27" max="35" width="10.875" style="17"/>
    <col min="36" max="36" width="19.125" style="17" customWidth="1"/>
    <col min="37" max="16384" width="10.875" style="17"/>
  </cols>
  <sheetData>
    <row r="1" spans="2:21" s="15" customFormat="1" ht="27">
      <c r="B1" s="14" t="s">
        <v>389</v>
      </c>
    </row>
    <row r="2" spans="2:21" s="15" customFormat="1">
      <c r="B2" s="16" t="s">
        <v>1</v>
      </c>
    </row>
    <row r="5" spans="2:21">
      <c r="H5" s="100"/>
    </row>
    <row r="6" spans="2:21">
      <c r="B6" s="16" t="s">
        <v>319</v>
      </c>
      <c r="C6" s="43"/>
      <c r="E6" s="110" t="s">
        <v>390</v>
      </c>
      <c r="F6" s="65" t="s">
        <v>88</v>
      </c>
      <c r="G6" s="65" t="s">
        <v>90</v>
      </c>
      <c r="I6" s="111"/>
    </row>
    <row r="7" spans="2:21">
      <c r="B7" s="17" t="s">
        <v>34</v>
      </c>
      <c r="C7" s="158">
        <f>'Development Schedule'!G74</f>
        <v>65647896.628336012</v>
      </c>
      <c r="E7" s="17" t="s">
        <v>391</v>
      </c>
      <c r="F7" s="113">
        <v>6.83E-2</v>
      </c>
      <c r="G7" s="113">
        <v>7.85E-2</v>
      </c>
    </row>
    <row r="8" spans="2:21">
      <c r="B8" s="17" t="s">
        <v>85</v>
      </c>
      <c r="C8" s="106">
        <f>Assumptions!L53</f>
        <v>0.32915442818485152</v>
      </c>
      <c r="E8" s="17" t="s">
        <v>392</v>
      </c>
      <c r="F8" s="113">
        <v>6.8599999999999994E-2</v>
      </c>
      <c r="G8" s="113">
        <v>9.0200000000000002E-2</v>
      </c>
    </row>
    <row r="9" spans="2:21">
      <c r="B9" s="17" t="s">
        <v>393</v>
      </c>
      <c r="C9" s="19">
        <f>C8*C7</f>
        <v>21608295.876238182</v>
      </c>
      <c r="E9" s="17" t="s">
        <v>394</v>
      </c>
      <c r="F9" s="113">
        <v>6.8699999999999997E-2</v>
      </c>
      <c r="G9" s="113" t="s">
        <v>109</v>
      </c>
    </row>
    <row r="10" spans="2:21">
      <c r="B10" s="17" t="s">
        <v>395</v>
      </c>
      <c r="C10" s="19">
        <f>C7-C9</f>
        <v>44039600.75209783</v>
      </c>
      <c r="E10" s="17" t="s">
        <v>396</v>
      </c>
      <c r="F10" s="113">
        <v>6.59E-2</v>
      </c>
      <c r="G10" s="113">
        <v>9.0200000000000002E-2</v>
      </c>
    </row>
    <row r="11" spans="2:21">
      <c r="B11" s="17" t="s">
        <v>397</v>
      </c>
      <c r="C11" s="159">
        <v>15</v>
      </c>
      <c r="E11" s="37" t="s">
        <v>76</v>
      </c>
      <c r="F11" s="114">
        <f>AVERAGE(F7:F10)</f>
        <v>6.7875000000000005E-2</v>
      </c>
      <c r="G11" s="114">
        <f>AVERAGE(G7:G10)</f>
        <v>8.6300000000000002E-2</v>
      </c>
      <c r="H11" s="37"/>
    </row>
    <row r="12" spans="2:21">
      <c r="B12" s="17" t="s">
        <v>398</v>
      </c>
      <c r="C12" s="159">
        <v>2</v>
      </c>
    </row>
    <row r="13" spans="2:21">
      <c r="U13" s="167"/>
    </row>
    <row r="14" spans="2:21">
      <c r="U14" s="37"/>
    </row>
    <row r="15" spans="2:21">
      <c r="B15" s="16" t="s">
        <v>399</v>
      </c>
      <c r="C15" s="75" t="s">
        <v>100</v>
      </c>
      <c r="D15" s="75" t="s">
        <v>101</v>
      </c>
      <c r="E15" s="75" t="s">
        <v>102</v>
      </c>
      <c r="F15" s="75" t="s">
        <v>320</v>
      </c>
      <c r="G15" s="75" t="s">
        <v>321</v>
      </c>
      <c r="H15" s="75" t="s">
        <v>322</v>
      </c>
      <c r="I15" s="75" t="s">
        <v>323</v>
      </c>
      <c r="J15" s="65" t="s">
        <v>324</v>
      </c>
      <c r="K15" s="65" t="s">
        <v>325</v>
      </c>
      <c r="L15" s="65" t="s">
        <v>326</v>
      </c>
      <c r="M15" s="65" t="s">
        <v>327</v>
      </c>
      <c r="N15" s="65" t="s">
        <v>328</v>
      </c>
      <c r="O15" s="65" t="s">
        <v>329</v>
      </c>
      <c r="P15" s="65" t="s">
        <v>330</v>
      </c>
      <c r="Q15" s="65" t="s">
        <v>331</v>
      </c>
      <c r="R15" s="65" t="s">
        <v>332</v>
      </c>
      <c r="S15" s="65" t="s">
        <v>333</v>
      </c>
      <c r="T15" s="65" t="s">
        <v>334</v>
      </c>
    </row>
    <row r="16" spans="2:21">
      <c r="C16" s="115">
        <v>0</v>
      </c>
      <c r="D16" s="115">
        <f>C16+1</f>
        <v>1</v>
      </c>
      <c r="E16" s="115">
        <f t="shared" ref="E16:F16" si="0">D16+1</f>
        <v>2</v>
      </c>
      <c r="F16" s="115">
        <f t="shared" si="0"/>
        <v>3</v>
      </c>
      <c r="G16" s="37"/>
      <c r="H16" s="37"/>
      <c r="I16" s="37"/>
      <c r="J16" s="37"/>
      <c r="K16" s="37"/>
      <c r="L16" s="37"/>
      <c r="M16" s="37"/>
      <c r="N16" s="37"/>
      <c r="O16" s="37"/>
      <c r="P16" s="37"/>
      <c r="Q16" s="37"/>
      <c r="R16" s="37"/>
      <c r="S16" s="37"/>
      <c r="T16" s="37"/>
      <c r="U16" s="115"/>
    </row>
    <row r="17" spans="2:36">
      <c r="B17" s="21" t="s">
        <v>400</v>
      </c>
      <c r="C17" s="78"/>
      <c r="D17" s="78"/>
      <c r="E17" s="78"/>
      <c r="F17" s="78"/>
      <c r="G17" s="78"/>
      <c r="H17" s="78"/>
      <c r="I17" s="78"/>
      <c r="J17" s="78"/>
      <c r="K17" s="78"/>
      <c r="L17" s="78"/>
      <c r="M17" s="78"/>
      <c r="N17" s="78"/>
      <c r="O17" s="78"/>
      <c r="P17" s="78"/>
      <c r="Q17" s="78"/>
      <c r="R17" s="78"/>
      <c r="S17" s="78"/>
      <c r="T17" s="78"/>
      <c r="U17" s="115"/>
    </row>
    <row r="18" spans="2:36">
      <c r="B18" s="17" t="s">
        <v>386</v>
      </c>
      <c r="C18" s="86">
        <v>0</v>
      </c>
      <c r="D18" s="86">
        <f>C22</f>
        <v>0</v>
      </c>
      <c r="E18" s="86">
        <f>D22</f>
        <v>11181258.679829078</v>
      </c>
      <c r="F18" s="86">
        <f>E22</f>
        <v>21564680.660930857</v>
      </c>
      <c r="G18" s="116"/>
      <c r="H18" s="116"/>
      <c r="I18" s="116"/>
      <c r="J18" s="116"/>
      <c r="K18" s="116"/>
      <c r="L18" s="116"/>
      <c r="M18" s="116"/>
      <c r="N18" s="116"/>
      <c r="O18" s="116"/>
      <c r="P18" s="116"/>
      <c r="Q18" s="116"/>
      <c r="R18" s="116"/>
      <c r="S18" s="116"/>
      <c r="T18" s="116"/>
      <c r="U18" s="115"/>
    </row>
    <row r="19" spans="2:36">
      <c r="B19" s="17" t="s">
        <v>401</v>
      </c>
      <c r="C19" s="86">
        <f>$C$9*Assumptions!J61</f>
        <v>0</v>
      </c>
      <c r="D19" s="86">
        <f>$C$8*('Development Schedule'!D74)</f>
        <v>11181258.679829078</v>
      </c>
      <c r="E19" s="86">
        <f>$C$8*('Development Schedule'!E74-('Development Schedule'!D74*$G$11))</f>
        <v>10383421.981101779</v>
      </c>
      <c r="F19" s="86">
        <v>0</v>
      </c>
      <c r="G19" s="116"/>
      <c r="H19" s="116"/>
      <c r="I19" s="116"/>
      <c r="J19" s="116"/>
      <c r="K19" s="116"/>
      <c r="L19" s="116"/>
      <c r="M19" s="116"/>
      <c r="N19" s="116"/>
      <c r="O19" s="116"/>
      <c r="P19" s="116"/>
      <c r="Q19" s="116"/>
      <c r="R19" s="116"/>
      <c r="S19" s="116"/>
      <c r="T19" s="116"/>
      <c r="U19" s="115"/>
    </row>
    <row r="20" spans="2:36">
      <c r="B20" s="17" t="s">
        <v>402</v>
      </c>
      <c r="C20" s="86">
        <f>C19*$F$11</f>
        <v>0</v>
      </c>
      <c r="D20" s="86">
        <v>0</v>
      </c>
      <c r="E20" s="86">
        <v>0</v>
      </c>
      <c r="F20" s="86">
        <f>-C8*(D19*(1+G11)^D16+E19*(1+G11)^E16+F18-(D19+E19+F18))</f>
        <v>-932973.00858448714</v>
      </c>
      <c r="G20" s="249"/>
      <c r="H20" s="116"/>
      <c r="I20" s="116"/>
      <c r="J20" s="116"/>
      <c r="K20" s="116"/>
      <c r="L20" s="116"/>
      <c r="M20" s="116"/>
      <c r="N20" s="116"/>
      <c r="O20" s="116"/>
      <c r="P20" s="116"/>
      <c r="Q20" s="116"/>
      <c r="R20" s="116"/>
      <c r="S20" s="116"/>
      <c r="T20" s="116"/>
      <c r="U20" s="115"/>
    </row>
    <row r="21" spans="2:36">
      <c r="B21" s="17" t="s">
        <v>403</v>
      </c>
      <c r="C21" s="86"/>
      <c r="D21" s="86"/>
      <c r="E21" s="86"/>
      <c r="F21" s="86">
        <f>-(F18+F20)</f>
        <v>-20631707.652346369</v>
      </c>
      <c r="G21" s="116"/>
      <c r="H21" s="116"/>
      <c r="I21" s="116"/>
      <c r="J21" s="116"/>
      <c r="K21" s="116"/>
      <c r="L21" s="116"/>
      <c r="M21" s="116"/>
      <c r="N21" s="116"/>
      <c r="O21" s="116"/>
      <c r="P21" s="116"/>
      <c r="Q21" s="116"/>
      <c r="R21" s="116"/>
      <c r="S21" s="116"/>
      <c r="T21" s="116"/>
      <c r="U21" s="115"/>
    </row>
    <row r="22" spans="2:36">
      <c r="B22" s="97" t="s">
        <v>404</v>
      </c>
      <c r="C22" s="89">
        <f>C18+C19-C21</f>
        <v>0</v>
      </c>
      <c r="D22" s="89">
        <f>D18+D19+D20+D21</f>
        <v>11181258.679829078</v>
      </c>
      <c r="E22" s="89">
        <f>E18+E19+E20+E21</f>
        <v>21564680.660930857</v>
      </c>
      <c r="F22" s="89">
        <f>F18+F20+F21</f>
        <v>0</v>
      </c>
      <c r="G22" s="116"/>
      <c r="H22" s="116"/>
      <c r="I22" s="116"/>
      <c r="J22" s="116"/>
      <c r="K22" s="116"/>
      <c r="L22" s="116"/>
      <c r="M22" s="116"/>
      <c r="N22" s="116"/>
      <c r="O22" s="116"/>
      <c r="P22" s="116"/>
      <c r="Q22" s="116"/>
      <c r="R22" s="116"/>
      <c r="S22" s="116"/>
      <c r="T22" s="116"/>
      <c r="U22" s="115"/>
      <c r="V22" s="115"/>
      <c r="W22" s="115"/>
      <c r="X22" s="115"/>
      <c r="Y22" s="115"/>
      <c r="Z22" s="115"/>
      <c r="AA22" s="115"/>
      <c r="AB22" s="115"/>
      <c r="AC22" s="115"/>
      <c r="AD22" s="115"/>
      <c r="AE22" s="115"/>
      <c r="AF22" s="115"/>
      <c r="AG22" s="115"/>
      <c r="AH22" s="115"/>
      <c r="AI22" s="115"/>
      <c r="AJ22" s="115"/>
    </row>
    <row r="23" spans="2:36">
      <c r="B23" s="17" t="s">
        <v>405</v>
      </c>
      <c r="C23" s="263">
        <v>0</v>
      </c>
      <c r="D23" s="263">
        <f>D22/SUM('Development Schedule'!D74:E74)</f>
        <v>0.16335651779834143</v>
      </c>
      <c r="E23" s="263">
        <f>E22/SUM('Development Schedule'!D74:E74)</f>
        <v>0.31505676069885463</v>
      </c>
      <c r="F23" s="263">
        <f>F22/SUM('Development Schedule'!D74:E74)</f>
        <v>0</v>
      </c>
      <c r="G23" s="116"/>
      <c r="H23" s="116"/>
      <c r="I23" s="116"/>
      <c r="J23" s="116"/>
      <c r="K23" s="116"/>
      <c r="L23" s="116"/>
      <c r="M23" s="116"/>
      <c r="N23" s="116"/>
      <c r="O23" s="116"/>
      <c r="P23" s="116"/>
      <c r="Q23" s="116"/>
      <c r="R23" s="116"/>
      <c r="S23" s="116"/>
      <c r="T23" s="116"/>
    </row>
    <row r="24" spans="2:36">
      <c r="E24" s="63"/>
      <c r="G24" s="115">
        <v>1</v>
      </c>
      <c r="H24" s="115">
        <f>G24+1</f>
        <v>2</v>
      </c>
      <c r="I24" s="115">
        <f t="shared" ref="I24:T24" si="1">H24+1</f>
        <v>3</v>
      </c>
      <c r="J24" s="115">
        <f t="shared" si="1"/>
        <v>4</v>
      </c>
      <c r="K24" s="115">
        <f t="shared" si="1"/>
        <v>5</v>
      </c>
      <c r="L24" s="115">
        <f t="shared" si="1"/>
        <v>6</v>
      </c>
      <c r="M24" s="115">
        <f t="shared" si="1"/>
        <v>7</v>
      </c>
      <c r="N24" s="115">
        <f t="shared" si="1"/>
        <v>8</v>
      </c>
      <c r="O24" s="115">
        <f t="shared" si="1"/>
        <v>9</v>
      </c>
      <c r="P24" s="115">
        <f t="shared" si="1"/>
        <v>10</v>
      </c>
      <c r="Q24" s="115">
        <f t="shared" si="1"/>
        <v>11</v>
      </c>
      <c r="R24" s="115">
        <f t="shared" si="1"/>
        <v>12</v>
      </c>
      <c r="S24" s="115">
        <f t="shared" si="1"/>
        <v>13</v>
      </c>
      <c r="T24" s="115">
        <f t="shared" si="1"/>
        <v>14</v>
      </c>
      <c r="U24" s="160"/>
      <c r="V24" s="22"/>
      <c r="W24" s="22"/>
      <c r="X24" s="22"/>
      <c r="Y24" s="22"/>
      <c r="Z24" s="22"/>
      <c r="AA24" s="22"/>
      <c r="AB24" s="22"/>
      <c r="AC24" s="22"/>
      <c r="AD24" s="22"/>
      <c r="AE24" s="22"/>
      <c r="AF24" s="22"/>
      <c r="AG24" s="22"/>
      <c r="AH24" s="22"/>
      <c r="AI24" s="22"/>
      <c r="AJ24" s="22"/>
    </row>
    <row r="25" spans="2:36">
      <c r="B25" s="21" t="s">
        <v>406</v>
      </c>
      <c r="C25" s="78"/>
      <c r="D25" s="78"/>
      <c r="E25" s="78"/>
      <c r="F25" s="78"/>
      <c r="G25" s="78"/>
      <c r="H25" s="78"/>
      <c r="I25" s="78"/>
      <c r="J25" s="78"/>
      <c r="K25" s="78"/>
      <c r="L25" s="78"/>
      <c r="M25" s="78"/>
      <c r="N25" s="78"/>
      <c r="O25" s="78"/>
      <c r="P25" s="78"/>
      <c r="Q25" s="78"/>
      <c r="R25" s="78"/>
      <c r="S25" s="78"/>
      <c r="T25" s="78"/>
      <c r="U25" s="160"/>
      <c r="V25" s="22"/>
    </row>
    <row r="26" spans="2:36">
      <c r="B26" s="17" t="s">
        <v>386</v>
      </c>
      <c r="C26" s="118"/>
      <c r="D26" s="118"/>
      <c r="E26" s="118"/>
      <c r="F26" s="118"/>
      <c r="G26" s="160">
        <v>0</v>
      </c>
      <c r="H26" s="160">
        <f>G31</f>
        <v>18396766.017870672</v>
      </c>
      <c r="I26" s="160">
        <f t="shared" ref="I26:T26" si="2">H31</f>
        <v>16403925.725352719</v>
      </c>
      <c r="J26" s="160">
        <f t="shared" si="2"/>
        <v>14626961.007249596</v>
      </c>
      <c r="K26" s="160">
        <f t="shared" si="2"/>
        <v>13042487.017417884</v>
      </c>
      <c r="L26" s="160">
        <f t="shared" si="2"/>
        <v>11629652.086664056</v>
      </c>
      <c r="M26" s="160">
        <f t="shared" si="2"/>
        <v>10369863.314889912</v>
      </c>
      <c r="N26" s="160">
        <f t="shared" si="2"/>
        <v>9246541.8886271697</v>
      </c>
      <c r="O26" s="160">
        <f t="shared" si="2"/>
        <v>8244904.9039413091</v>
      </c>
      <c r="P26" s="160">
        <f t="shared" si="2"/>
        <v>7351770.8234952018</v>
      </c>
      <c r="Q26" s="160">
        <f t="shared" si="2"/>
        <v>6555386.0075885793</v>
      </c>
      <c r="R26" s="160">
        <f t="shared" si="2"/>
        <v>5845270.0363227231</v>
      </c>
      <c r="S26" s="160">
        <f t="shared" si="2"/>
        <v>5212077.7873309031</v>
      </c>
      <c r="T26" s="160">
        <f t="shared" si="2"/>
        <v>4647476.4540182417</v>
      </c>
      <c r="U26" s="160"/>
    </row>
    <row r="27" spans="2:36">
      <c r="B27" s="17" t="s">
        <v>401</v>
      </c>
      <c r="C27" s="118"/>
      <c r="D27" s="118"/>
      <c r="E27" s="118"/>
      <c r="F27" s="118"/>
      <c r="G27" s="160">
        <f>F18+F20</f>
        <v>20631707.652346369</v>
      </c>
      <c r="H27" s="160">
        <v>0</v>
      </c>
      <c r="I27" s="160">
        <v>0</v>
      </c>
      <c r="J27" s="160">
        <v>0</v>
      </c>
      <c r="K27" s="160">
        <v>0</v>
      </c>
      <c r="L27" s="160">
        <v>0</v>
      </c>
      <c r="M27" s="160">
        <v>0</v>
      </c>
      <c r="N27" s="160">
        <v>0</v>
      </c>
      <c r="O27" s="160">
        <v>0</v>
      </c>
      <c r="P27" s="160">
        <v>0</v>
      </c>
      <c r="Q27" s="160">
        <v>0</v>
      </c>
      <c r="R27" s="160">
        <v>0</v>
      </c>
      <c r="S27" s="160">
        <v>0</v>
      </c>
      <c r="T27" s="160">
        <v>0</v>
      </c>
      <c r="U27" s="160"/>
      <c r="V27" s="22"/>
      <c r="W27" s="22"/>
      <c r="X27" s="22"/>
      <c r="Y27" s="22"/>
      <c r="Z27" s="22"/>
      <c r="AA27" s="22"/>
      <c r="AB27" s="22"/>
      <c r="AC27" s="22"/>
      <c r="AD27" s="22"/>
      <c r="AE27" s="22"/>
      <c r="AF27" s="22"/>
      <c r="AG27" s="22"/>
      <c r="AH27" s="22"/>
      <c r="AI27" s="22"/>
      <c r="AJ27" s="22"/>
    </row>
    <row r="28" spans="2:36">
      <c r="B28" s="17" t="s">
        <v>403</v>
      </c>
      <c r="C28" s="118"/>
      <c r="D28" s="118"/>
      <c r="E28" s="118"/>
      <c r="F28" s="118"/>
      <c r="G28" s="160"/>
      <c r="H28" s="160"/>
      <c r="I28" s="160"/>
      <c r="J28" s="160"/>
      <c r="K28" s="160"/>
      <c r="L28" s="160"/>
      <c r="M28" s="160"/>
      <c r="N28" s="160"/>
      <c r="O28" s="160"/>
      <c r="P28" s="160"/>
      <c r="Q28" s="160"/>
      <c r="R28" s="160"/>
      <c r="S28" s="160"/>
      <c r="T28" s="160"/>
      <c r="U28" s="160"/>
      <c r="V28" s="22"/>
      <c r="W28" s="22"/>
      <c r="X28" s="22"/>
      <c r="Y28" s="22"/>
      <c r="Z28" s="22"/>
      <c r="AA28" s="22"/>
      <c r="AB28" s="22"/>
      <c r="AC28" s="22"/>
      <c r="AD28" s="22"/>
      <c r="AE28" s="22"/>
      <c r="AF28" s="22"/>
      <c r="AG28" s="22"/>
      <c r="AH28" s="22"/>
      <c r="AI28" s="22"/>
      <c r="AJ28" s="22"/>
    </row>
    <row r="29" spans="2:36">
      <c r="B29" s="33" t="s">
        <v>407</v>
      </c>
      <c r="C29" s="68"/>
      <c r="D29" s="68"/>
      <c r="E29" s="68"/>
      <c r="F29" s="68"/>
      <c r="G29" s="160">
        <f>IPMT($F$11,G24,$C$11,G27)</f>
        <v>-1400377.1569030099</v>
      </c>
      <c r="H29" s="160">
        <f>IPMT($F$11,H24,$C$11,H26)</f>
        <v>-1198170.647102115</v>
      </c>
      <c r="I29" s="160">
        <f t="shared" ref="I29:T29" si="3">IPMT($F$11,I24,$C$11,I26)</f>
        <v>-1020282.8051824612</v>
      </c>
      <c r="J29" s="160">
        <f t="shared" si="3"/>
        <v>-863963.87516430381</v>
      </c>
      <c r="K29" s="160">
        <f t="shared" si="3"/>
        <v>-726767.48752095166</v>
      </c>
      <c r="L29" s="160">
        <f t="shared" si="3"/>
        <v>-606517.53090979217</v>
      </c>
      <c r="M29" s="160">
        <f t="shared" si="3"/>
        <v>-501278.62515055737</v>
      </c>
      <c r="N29" s="160">
        <f t="shared" si="3"/>
        <v>-409329.80474092811</v>
      </c>
      <c r="O29" s="160">
        <f t="shared" si="3"/>
        <v>-329141.06455225765</v>
      </c>
      <c r="P29" s="160">
        <f t="shared" si="3"/>
        <v>-259352.45711162512</v>
      </c>
      <c r="Q29" s="160">
        <f t="shared" si="3"/>
        <v>-198755.46454780881</v>
      </c>
      <c r="R29" s="160">
        <f t="shared" si="3"/>
        <v>-146276.39830141948</v>
      </c>
      <c r="S29" s="160">
        <f t="shared" si="3"/>
        <v>-100961.60646867949</v>
      </c>
      <c r="T29" s="160">
        <f t="shared" si="3"/>
        <v>-61964.292516652764</v>
      </c>
      <c r="U29" s="163"/>
      <c r="V29" s="119"/>
      <c r="W29" s="119"/>
      <c r="X29" s="119"/>
      <c r="Y29" s="119"/>
      <c r="Z29" s="119"/>
      <c r="AA29" s="119"/>
      <c r="AB29" s="119"/>
      <c r="AC29" s="119"/>
      <c r="AD29" s="119"/>
      <c r="AE29" s="119"/>
      <c r="AF29" s="119"/>
      <c r="AG29" s="119"/>
      <c r="AH29" s="119"/>
      <c r="AI29" s="119"/>
      <c r="AJ29" s="119"/>
    </row>
    <row r="30" spans="2:36">
      <c r="B30" s="33" t="s">
        <v>408</v>
      </c>
      <c r="C30" s="68"/>
      <c r="D30" s="68"/>
      <c r="E30" s="68"/>
      <c r="F30" s="68"/>
      <c r="G30" s="160">
        <f>PPMT(F11,G24,$C$11,G27)</f>
        <v>-834564.47757268744</v>
      </c>
      <c r="H30" s="160">
        <f>PPMT($F$11,H24,$C$11,H26)</f>
        <v>-794669.64541583892</v>
      </c>
      <c r="I30" s="160">
        <f t="shared" ref="I30:T30" si="4">PPMT($F$11,I24,$C$11,I26)</f>
        <v>-756681.91292066325</v>
      </c>
      <c r="J30" s="160">
        <f t="shared" si="4"/>
        <v>-720510.1146674077</v>
      </c>
      <c r="K30" s="160">
        <f t="shared" si="4"/>
        <v>-686067.44323287555</v>
      </c>
      <c r="L30" s="160">
        <f t="shared" si="4"/>
        <v>-653271.24086435337</v>
      </c>
      <c r="M30" s="160">
        <f t="shared" si="4"/>
        <v>-622042.80111218384</v>
      </c>
      <c r="N30" s="160">
        <f t="shared" si="4"/>
        <v>-592307.17994493223</v>
      </c>
      <c r="O30" s="160">
        <f t="shared" si="4"/>
        <v>-563993.01589384931</v>
      </c>
      <c r="P30" s="160">
        <f t="shared" si="4"/>
        <v>-537032.3587949971</v>
      </c>
      <c r="Q30" s="160">
        <f t="shared" si="4"/>
        <v>-511360.50671804725</v>
      </c>
      <c r="R30" s="160">
        <f t="shared" si="4"/>
        <v>-486915.85069039988</v>
      </c>
      <c r="S30" s="160">
        <f t="shared" si="4"/>
        <v>-463639.72684398218</v>
      </c>
      <c r="T30" s="160">
        <f t="shared" si="4"/>
        <v>-441476.27562990051</v>
      </c>
      <c r="U30" s="144"/>
    </row>
    <row r="31" spans="2:36">
      <c r="B31" s="97" t="s">
        <v>404</v>
      </c>
      <c r="C31" s="39"/>
      <c r="D31" s="39"/>
      <c r="E31" s="39"/>
      <c r="F31" s="39"/>
      <c r="G31" s="161">
        <f>G26+G27+G29+G30</f>
        <v>18396766.017870672</v>
      </c>
      <c r="H31" s="161">
        <f t="shared" ref="H31:T31" si="5">H26+H27+H29+H30</f>
        <v>16403925.725352719</v>
      </c>
      <c r="I31" s="161">
        <f t="shared" si="5"/>
        <v>14626961.007249596</v>
      </c>
      <c r="J31" s="161">
        <f t="shared" si="5"/>
        <v>13042487.017417884</v>
      </c>
      <c r="K31" s="161">
        <f t="shared" si="5"/>
        <v>11629652.086664056</v>
      </c>
      <c r="L31" s="161">
        <f t="shared" si="5"/>
        <v>10369863.314889912</v>
      </c>
      <c r="M31" s="161">
        <f t="shared" si="5"/>
        <v>9246541.8886271697</v>
      </c>
      <c r="N31" s="161">
        <f t="shared" si="5"/>
        <v>8244904.9039413091</v>
      </c>
      <c r="O31" s="161">
        <f t="shared" si="5"/>
        <v>7351770.8234952018</v>
      </c>
      <c r="P31" s="161">
        <f t="shared" si="5"/>
        <v>6555386.0075885793</v>
      </c>
      <c r="Q31" s="161">
        <f t="shared" si="5"/>
        <v>5845270.0363227231</v>
      </c>
      <c r="R31" s="161">
        <f t="shared" si="5"/>
        <v>5212077.7873309031</v>
      </c>
      <c r="S31" s="161">
        <f t="shared" si="5"/>
        <v>4647476.4540182417</v>
      </c>
      <c r="T31" s="161">
        <f t="shared" si="5"/>
        <v>4144035.8858716888</v>
      </c>
    </row>
    <row r="32" spans="2:36">
      <c r="B32" s="17" t="s">
        <v>405</v>
      </c>
      <c r="C32" s="120"/>
      <c r="D32" s="120"/>
      <c r="E32" s="120"/>
      <c r="F32" s="120"/>
      <c r="G32" s="144">
        <f>G31/SUM('Development Schedule'!$D$74:$E$74)</f>
        <v>0.2687740013431254</v>
      </c>
      <c r="H32" s="144">
        <f>H31/SUM('Development Schedule'!$D$74:$E$74)</f>
        <v>0.23965890258405287</v>
      </c>
      <c r="I32" s="144">
        <f>I31/SUM('Development Schedule'!$D$74:$E$74)</f>
        <v>0.21369771369540844</v>
      </c>
      <c r="J32" s="144">
        <f>J31/SUM('Development Schedule'!$D$74:$E$74)</f>
        <v>0.19054878557089519</v>
      </c>
      <c r="K32" s="144">
        <f>K31/SUM('Development Schedule'!$D$74:$E$74)</f>
        <v>0.1699074784407632</v>
      </c>
      <c r="L32" s="144">
        <f>L31/SUM('Development Schedule'!$D$74:$E$74)</f>
        <v>0.15150215281407628</v>
      </c>
      <c r="M32" s="144">
        <f>M31/SUM('Development Schedule'!$D$74:$E$74)</f>
        <v>0.1350905947044706</v>
      </c>
      <c r="N32" s="144">
        <f>N31/SUM('Development Schedule'!$D$74:$E$74)</f>
        <v>0.1204568280953956</v>
      </c>
      <c r="O32" s="144">
        <f>O31/SUM('Development Schedule'!$D$74:$E$74)</f>
        <v>0.10740827269689639</v>
      </c>
      <c r="P32" s="144">
        <f>P31/SUM('Development Schedule'!$D$74:$E$74)</f>
        <v>9.577320959003266E-2</v>
      </c>
      <c r="Q32" s="144">
        <f>Q31/SUM('Development Schedule'!$D$74:$E$74)</f>
        <v>8.5398521406827993E-2</v>
      </c>
      <c r="R32" s="144">
        <f>R31/SUM('Development Schedule'!$D$74:$E$74)</f>
        <v>7.6147677306529868E-2</v>
      </c>
      <c r="S32" s="144">
        <f>S31/SUM('Development Schedule'!$D$74:$E$74)</f>
        <v>6.7898936230478935E-2</v>
      </c>
      <c r="T32" s="144">
        <f>T31/SUM('Development Schedule'!$D$74:$E$74)</f>
        <v>6.0543744790431092E-2</v>
      </c>
    </row>
    <row r="40" spans="2:20">
      <c r="B40" s="33" t="s">
        <v>407</v>
      </c>
      <c r="C40" s="101">
        <f>C20</f>
        <v>0</v>
      </c>
      <c r="D40" s="101">
        <f>D20</f>
        <v>0</v>
      </c>
      <c r="E40" s="101">
        <f t="shared" ref="E40" si="6">E20</f>
        <v>0</v>
      </c>
      <c r="F40" s="101">
        <f>-F20</f>
        <v>932973.00858448714</v>
      </c>
      <c r="G40" s="101">
        <f>-G29</f>
        <v>1400377.1569030099</v>
      </c>
      <c r="H40" s="101">
        <f t="shared" ref="H40:T41" si="7">-H29</f>
        <v>1198170.647102115</v>
      </c>
      <c r="I40" s="101">
        <f t="shared" si="7"/>
        <v>1020282.8051824612</v>
      </c>
      <c r="J40" s="101">
        <f t="shared" si="7"/>
        <v>863963.87516430381</v>
      </c>
      <c r="K40" s="101">
        <f t="shared" si="7"/>
        <v>726767.48752095166</v>
      </c>
      <c r="L40" s="101">
        <f t="shared" si="7"/>
        <v>606517.53090979217</v>
      </c>
      <c r="M40" s="101">
        <f t="shared" si="7"/>
        <v>501278.62515055737</v>
      </c>
      <c r="N40" s="101">
        <f t="shared" si="7"/>
        <v>409329.80474092811</v>
      </c>
      <c r="O40" s="101">
        <f t="shared" si="7"/>
        <v>329141.06455225765</v>
      </c>
      <c r="P40" s="101">
        <f t="shared" si="7"/>
        <v>259352.45711162512</v>
      </c>
      <c r="Q40" s="101">
        <f t="shared" si="7"/>
        <v>198755.46454780881</v>
      </c>
      <c r="R40" s="101">
        <f t="shared" si="7"/>
        <v>146276.39830141948</v>
      </c>
      <c r="S40" s="101">
        <f t="shared" si="7"/>
        <v>100961.60646867949</v>
      </c>
      <c r="T40" s="101">
        <f t="shared" si="7"/>
        <v>61964.292516652764</v>
      </c>
    </row>
    <row r="41" spans="2:20">
      <c r="B41" s="33" t="s">
        <v>408</v>
      </c>
      <c r="C41" s="101">
        <f>C21</f>
        <v>0</v>
      </c>
      <c r="D41" s="101">
        <f t="shared" ref="D41:E41" si="8">D21</f>
        <v>0</v>
      </c>
      <c r="E41" s="101">
        <f t="shared" si="8"/>
        <v>0</v>
      </c>
      <c r="F41" s="101"/>
      <c r="G41" s="101">
        <f>-G30</f>
        <v>834564.47757268744</v>
      </c>
      <c r="H41" s="101">
        <f t="shared" si="7"/>
        <v>794669.64541583892</v>
      </c>
      <c r="I41" s="101">
        <f t="shared" si="7"/>
        <v>756681.91292066325</v>
      </c>
      <c r="J41" s="101">
        <f t="shared" si="7"/>
        <v>720510.1146674077</v>
      </c>
      <c r="K41" s="101">
        <f t="shared" si="7"/>
        <v>686067.44323287555</v>
      </c>
      <c r="L41" s="101">
        <f t="shared" si="7"/>
        <v>653271.24086435337</v>
      </c>
      <c r="M41" s="101">
        <f t="shared" si="7"/>
        <v>622042.80111218384</v>
      </c>
      <c r="N41" s="101">
        <f t="shared" si="7"/>
        <v>592307.17994493223</v>
      </c>
      <c r="O41" s="101">
        <f t="shared" si="7"/>
        <v>563993.01589384931</v>
      </c>
      <c r="P41" s="101">
        <f t="shared" si="7"/>
        <v>537032.3587949971</v>
      </c>
      <c r="Q41" s="101">
        <f t="shared" si="7"/>
        <v>511360.50671804725</v>
      </c>
      <c r="R41" s="101">
        <f t="shared" si="7"/>
        <v>486915.85069039988</v>
      </c>
      <c r="S41" s="101">
        <f t="shared" si="7"/>
        <v>463639.72684398218</v>
      </c>
      <c r="T41" s="101">
        <f t="shared" si="7"/>
        <v>441476.27562990051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FAE81-C711-A745-9D11-133AF4AD4598}">
  <sheetPr>
    <tabColor rgb="FFFF0000"/>
  </sheetPr>
  <dimension ref="B1:Y92"/>
  <sheetViews>
    <sheetView topLeftCell="A42" zoomScale="82" zoomScaleNormal="64" workbookViewId="0">
      <selection activeCell="C69" sqref="C69"/>
    </sheetView>
  </sheetViews>
  <sheetFormatPr defaultColWidth="10.875" defaultRowHeight="15.95"/>
  <cols>
    <col min="1" max="1" width="10.875" style="17"/>
    <col min="2" max="2" width="34" style="17" bestFit="1" customWidth="1"/>
    <col min="3" max="3" width="18.125" style="17" customWidth="1"/>
    <col min="4" max="4" width="7" style="17" customWidth="1"/>
    <col min="5" max="5" width="6.125" style="17" customWidth="1"/>
    <col min="6" max="6" width="2.125" style="17" customWidth="1"/>
    <col min="7" max="9" width="15.375" style="17" bestFit="1" customWidth="1"/>
    <col min="10" max="13" width="14.125" style="17" bestFit="1" customWidth="1"/>
    <col min="14" max="23" width="14.625" style="17" bestFit="1" customWidth="1"/>
    <col min="24" max="24" width="15.625" style="17" bestFit="1" customWidth="1"/>
    <col min="25" max="25" width="17.5" style="17" customWidth="1"/>
    <col min="26" max="16384" width="10.875" style="17"/>
  </cols>
  <sheetData>
    <row r="1" spans="2:24" s="15" customFormat="1" ht="27">
      <c r="B1" s="14" t="s">
        <v>409</v>
      </c>
    </row>
    <row r="2" spans="2:24" s="15" customFormat="1">
      <c r="B2" s="16" t="s">
        <v>1</v>
      </c>
    </row>
    <row r="6" spans="2:24">
      <c r="B6" s="37" t="s">
        <v>166</v>
      </c>
      <c r="C6" s="64">
        <f>Cover!C5</f>
        <v>45428</v>
      </c>
    </row>
    <row r="8" spans="2:24">
      <c r="B8" s="16" t="s">
        <v>319</v>
      </c>
      <c r="C8" s="15"/>
      <c r="D8" s="15"/>
      <c r="E8" s="15"/>
      <c r="F8" s="15"/>
      <c r="G8" s="43" t="s">
        <v>100</v>
      </c>
      <c r="H8" s="43" t="s">
        <v>101</v>
      </c>
      <c r="I8" s="43" t="s">
        <v>102</v>
      </c>
      <c r="J8" s="43" t="s">
        <v>320</v>
      </c>
      <c r="K8" s="43" t="s">
        <v>321</v>
      </c>
      <c r="L8" s="43" t="s">
        <v>322</v>
      </c>
      <c r="M8" s="43" t="s">
        <v>323</v>
      </c>
      <c r="N8" s="43" t="s">
        <v>324</v>
      </c>
      <c r="O8" s="43" t="s">
        <v>325</v>
      </c>
      <c r="P8" s="43" t="s">
        <v>326</v>
      </c>
      <c r="Q8" s="43" t="s">
        <v>327</v>
      </c>
      <c r="R8" s="65" t="s">
        <v>328</v>
      </c>
      <c r="S8" s="65" t="s">
        <v>329</v>
      </c>
      <c r="T8" s="65" t="s">
        <v>330</v>
      </c>
      <c r="U8" s="65" t="s">
        <v>331</v>
      </c>
      <c r="V8" s="65" t="s">
        <v>332</v>
      </c>
      <c r="W8" s="65" t="s">
        <v>333</v>
      </c>
      <c r="X8" s="65" t="s">
        <v>334</v>
      </c>
    </row>
    <row r="9" spans="2:24">
      <c r="B9" s="37" t="s">
        <v>335</v>
      </c>
      <c r="G9" s="45">
        <f>Assumptions!F21</f>
        <v>3.5000000000000003E-2</v>
      </c>
      <c r="H9" s="45">
        <f>Assumptions!F22</f>
        <v>2.9000000000000001E-2</v>
      </c>
      <c r="I9" s="45">
        <f>Assumptions!F23</f>
        <v>2.7E-2</v>
      </c>
      <c r="J9" s="45">
        <f>Assumptions!F24</f>
        <v>2.5999999999999999E-2</v>
      </c>
      <c r="K9" s="45">
        <f>Assumptions!F25</f>
        <v>2.5000000000000001E-2</v>
      </c>
      <c r="L9" s="45">
        <f>Assumptions!F26</f>
        <v>2.5000000000000001E-2</v>
      </c>
      <c r="M9" s="45">
        <f>Assumptions!F27</f>
        <v>2.5000000000000001E-2</v>
      </c>
      <c r="N9" s="45">
        <f>Assumptions!F28</f>
        <v>2.5000000000000001E-2</v>
      </c>
      <c r="O9" s="45">
        <f>Assumptions!F29</f>
        <v>2.5000000000000001E-2</v>
      </c>
      <c r="P9" s="45">
        <f>Assumptions!F30</f>
        <v>2.5000000000000001E-2</v>
      </c>
      <c r="Q9" s="45">
        <f>Assumptions!F31</f>
        <v>2.5000000000000001E-2</v>
      </c>
      <c r="R9" s="45">
        <f>Assumptions!F32</f>
        <v>2.5000000000000001E-2</v>
      </c>
      <c r="S9" s="66">
        <f>R9</f>
        <v>2.5000000000000001E-2</v>
      </c>
      <c r="T9" s="66">
        <f t="shared" ref="T9:W9" si="0">S9</f>
        <v>2.5000000000000001E-2</v>
      </c>
      <c r="U9" s="66">
        <f t="shared" si="0"/>
        <v>2.5000000000000001E-2</v>
      </c>
      <c r="V9" s="66">
        <f t="shared" si="0"/>
        <v>2.5000000000000001E-2</v>
      </c>
      <c r="W9" s="66">
        <f t="shared" si="0"/>
        <v>2.5000000000000001E-2</v>
      </c>
      <c r="X9" s="66">
        <f>W9</f>
        <v>2.5000000000000001E-2</v>
      </c>
    </row>
    <row r="10" spans="2:24">
      <c r="C10" s="46"/>
      <c r="D10" s="46"/>
      <c r="E10" s="46"/>
      <c r="F10" s="46"/>
      <c r="G10" s="46"/>
      <c r="H10" s="46"/>
      <c r="I10" s="46"/>
      <c r="J10" s="46"/>
      <c r="K10" s="46"/>
      <c r="L10" s="46"/>
      <c r="M10" s="46"/>
    </row>
    <row r="11" spans="2:24">
      <c r="B11" s="37" t="s">
        <v>336</v>
      </c>
      <c r="C11" s="45">
        <f>Assumptions!F15</f>
        <v>4.8000000000000001E-2</v>
      </c>
      <c r="D11" s="47"/>
      <c r="E11" s="47"/>
      <c r="F11" s="47"/>
      <c r="G11" s="47"/>
      <c r="H11" s="47"/>
      <c r="I11" s="47"/>
      <c r="J11" s="47"/>
      <c r="K11" s="46"/>
      <c r="L11" s="46"/>
      <c r="M11" s="46"/>
    </row>
    <row r="12" spans="2:24">
      <c r="B12" s="37" t="s">
        <v>337</v>
      </c>
      <c r="C12" s="45">
        <f>Assumptions!L55</f>
        <v>7.5299914525066805E-2</v>
      </c>
      <c r="D12" s="47"/>
      <c r="E12" s="47"/>
      <c r="F12" s="47"/>
      <c r="G12" s="47"/>
      <c r="H12" s="47"/>
      <c r="I12" s="47"/>
      <c r="J12" s="47"/>
      <c r="K12" s="46"/>
      <c r="L12" s="46"/>
      <c r="M12" s="46"/>
    </row>
    <row r="13" spans="2:24">
      <c r="B13" s="37" t="s">
        <v>345</v>
      </c>
      <c r="C13" s="45">
        <f>Assumptions!C9</f>
        <v>5.1533333333333334E-2</v>
      </c>
      <c r="D13" s="47"/>
      <c r="E13" s="47"/>
      <c r="F13" s="47"/>
      <c r="G13" s="47"/>
      <c r="H13" s="47"/>
      <c r="I13" s="47"/>
      <c r="J13" s="47"/>
      <c r="K13" s="46"/>
      <c r="L13" s="46"/>
      <c r="M13" s="46"/>
    </row>
    <row r="14" spans="2:24">
      <c r="B14" s="37"/>
      <c r="C14" s="48"/>
      <c r="D14" s="47"/>
      <c r="E14" s="47"/>
      <c r="F14" s="47"/>
      <c r="G14" s="47"/>
      <c r="H14" s="47"/>
      <c r="I14" s="47"/>
      <c r="J14" s="47"/>
    </row>
    <row r="15" spans="2:24">
      <c r="B15" s="37" t="s">
        <v>338</v>
      </c>
      <c r="C15" s="67">
        <f>(1+C11)^3</f>
        <v>1.1510225920000001</v>
      </c>
      <c r="D15" s="47"/>
      <c r="E15" s="47"/>
      <c r="F15" s="47"/>
      <c r="G15" s="47"/>
      <c r="H15" s="47"/>
      <c r="I15" s="47"/>
      <c r="J15" s="47"/>
    </row>
    <row r="16" spans="2:24">
      <c r="B16" s="37" t="s">
        <v>339</v>
      </c>
      <c r="C16" s="67">
        <f>((1+G9)*(1+H9)*(1+I9))</f>
        <v>1.0937704049999997</v>
      </c>
      <c r="D16" s="47"/>
      <c r="E16" s="47"/>
      <c r="F16" s="47"/>
      <c r="G16" s="47"/>
      <c r="H16" s="47"/>
      <c r="I16" s="47"/>
      <c r="J16" s="47"/>
    </row>
    <row r="17" spans="2:25" ht="15.95" customHeight="1"/>
    <row r="18" spans="2:25" ht="15.95" customHeight="1">
      <c r="B18" s="16" t="s">
        <v>410</v>
      </c>
      <c r="C18" s="16" t="s">
        <v>111</v>
      </c>
      <c r="D18" s="16" t="s">
        <v>411</v>
      </c>
      <c r="E18" s="16" t="s">
        <v>112</v>
      </c>
    </row>
    <row r="19" spans="2:25" ht="15.95" customHeight="1">
      <c r="B19" s="37" t="s">
        <v>412</v>
      </c>
      <c r="C19" s="69">
        <f>'Sensitivity Analysis'!E14</f>
        <v>82859140.583076388</v>
      </c>
      <c r="D19" s="69">
        <f>'Sensitivity Analysis'!H14</f>
        <v>82859140.583076388</v>
      </c>
      <c r="E19" s="69">
        <f>'Sensitivity Analysis'!K14</f>
        <v>82859140.583076388</v>
      </c>
    </row>
    <row r="20" spans="2:25" ht="15.95" customHeight="1">
      <c r="B20" s="37" t="s">
        <v>413</v>
      </c>
      <c r="C20" s="69">
        <f>'Sensitivity Analysis'!H11</f>
        <v>82859140.583076388</v>
      </c>
      <c r="D20" s="69">
        <f>'Sensitivity Analysis'!H14</f>
        <v>82859140.583076388</v>
      </c>
      <c r="E20" s="69">
        <f>'Sensitivity Analysis'!H17</f>
        <v>82859140.583076388</v>
      </c>
    </row>
    <row r="21" spans="2:25" ht="15.95" customHeight="1"/>
    <row r="22" spans="2:25" ht="15.95" customHeight="1">
      <c r="B22" s="72" t="s">
        <v>414</v>
      </c>
      <c r="C22" s="73"/>
      <c r="D22" s="53"/>
      <c r="E22" s="74"/>
      <c r="F22" s="53"/>
      <c r="G22" s="75" t="s">
        <v>100</v>
      </c>
      <c r="H22" s="75" t="s">
        <v>101</v>
      </c>
      <c r="I22" s="75" t="s">
        <v>102</v>
      </c>
      <c r="J22" s="75" t="s">
        <v>320</v>
      </c>
      <c r="K22" s="75" t="s">
        <v>321</v>
      </c>
      <c r="L22" s="75" t="s">
        <v>322</v>
      </c>
      <c r="M22" s="75" t="s">
        <v>323</v>
      </c>
      <c r="N22" s="65" t="s">
        <v>324</v>
      </c>
      <c r="O22" s="65" t="s">
        <v>325</v>
      </c>
      <c r="P22" s="65" t="s">
        <v>326</v>
      </c>
      <c r="Q22" s="65" t="s">
        <v>327</v>
      </c>
      <c r="R22" s="65" t="s">
        <v>328</v>
      </c>
      <c r="S22" s="65" t="s">
        <v>329</v>
      </c>
      <c r="T22" s="65" t="s">
        <v>330</v>
      </c>
      <c r="U22" s="65" t="s">
        <v>331</v>
      </c>
      <c r="V22" s="65" t="s">
        <v>332</v>
      </c>
      <c r="W22" s="65" t="s">
        <v>333</v>
      </c>
      <c r="X22" s="65" t="s">
        <v>334</v>
      </c>
    </row>
    <row r="23" spans="2:25" ht="15.95" customHeight="1">
      <c r="B23" s="76"/>
      <c r="C23" s="77"/>
      <c r="D23" s="78"/>
      <c r="E23" s="79"/>
      <c r="F23" s="78"/>
      <c r="G23" s="80">
        <v>45473</v>
      </c>
      <c r="H23" s="80">
        <v>45838</v>
      </c>
      <c r="I23" s="80">
        <v>46203</v>
      </c>
      <c r="J23" s="80">
        <v>46568</v>
      </c>
      <c r="K23" s="80">
        <v>46934</v>
      </c>
      <c r="L23" s="80">
        <v>47299</v>
      </c>
      <c r="M23" s="80">
        <v>47664</v>
      </c>
      <c r="N23" s="80">
        <v>48029</v>
      </c>
      <c r="O23" s="80">
        <v>48395</v>
      </c>
      <c r="P23" s="80">
        <v>48760</v>
      </c>
      <c r="Q23" s="80">
        <v>49125</v>
      </c>
      <c r="R23" s="80">
        <v>49490</v>
      </c>
      <c r="S23" s="81">
        <f>R23+366</f>
        <v>49856</v>
      </c>
      <c r="T23" s="81">
        <f>S23+365</f>
        <v>50221</v>
      </c>
      <c r="U23" s="81">
        <f t="shared" ref="U23:X23" si="1">T23+365</f>
        <v>50586</v>
      </c>
      <c r="V23" s="81">
        <f t="shared" si="1"/>
        <v>50951</v>
      </c>
      <c r="W23" s="81">
        <f>V23+366</f>
        <v>51317</v>
      </c>
      <c r="X23" s="81">
        <f t="shared" si="1"/>
        <v>51682</v>
      </c>
    </row>
    <row r="24" spans="2:25" ht="15.95" customHeight="1">
      <c r="E24" s="82"/>
      <c r="G24" s="20"/>
      <c r="H24" s="20"/>
      <c r="I24" s="20"/>
      <c r="J24" s="20"/>
      <c r="K24" s="20"/>
      <c r="L24" s="20"/>
      <c r="M24" s="20"/>
      <c r="N24" s="20"/>
      <c r="O24" s="20"/>
      <c r="P24" s="20"/>
      <c r="Q24" s="20"/>
      <c r="R24" s="20"/>
      <c r="S24" s="20"/>
      <c r="T24" s="20"/>
      <c r="U24" s="20"/>
      <c r="V24" s="20"/>
      <c r="W24" s="20"/>
      <c r="X24" s="20"/>
    </row>
    <row r="25" spans="2:25" ht="15.95" customHeight="1">
      <c r="B25" s="17" t="s">
        <v>415</v>
      </c>
      <c r="E25" s="82"/>
      <c r="G25" s="83">
        <v>45</v>
      </c>
      <c r="H25" s="83">
        <f>G25+365</f>
        <v>410</v>
      </c>
      <c r="I25" s="83">
        <f t="shared" ref="I25:J25" si="2">H25+365</f>
        <v>775</v>
      </c>
      <c r="J25" s="83">
        <f t="shared" si="2"/>
        <v>1140</v>
      </c>
      <c r="K25" s="83">
        <f>J25+365</f>
        <v>1505</v>
      </c>
      <c r="L25" s="83">
        <f t="shared" ref="L25:M25" si="3">K25+365</f>
        <v>1870</v>
      </c>
      <c r="M25" s="83">
        <f t="shared" si="3"/>
        <v>2235</v>
      </c>
      <c r="N25" s="83">
        <f t="shared" ref="N25" si="4">M25+365</f>
        <v>2600</v>
      </c>
      <c r="O25" s="83">
        <f t="shared" ref="O25" si="5">N25+365</f>
        <v>2965</v>
      </c>
      <c r="P25" s="83">
        <f t="shared" ref="P25" si="6">O25+365</f>
        <v>3330</v>
      </c>
      <c r="Q25" s="83">
        <f t="shared" ref="Q25" si="7">P25+365</f>
        <v>3695</v>
      </c>
      <c r="R25" s="83">
        <f>Q25+365</f>
        <v>4060</v>
      </c>
      <c r="S25" s="83">
        <f t="shared" ref="S25:X25" si="8">R25+365</f>
        <v>4425</v>
      </c>
      <c r="T25" s="83">
        <f t="shared" si="8"/>
        <v>4790</v>
      </c>
      <c r="U25" s="83">
        <f t="shared" si="8"/>
        <v>5155</v>
      </c>
      <c r="V25" s="83">
        <f t="shared" si="8"/>
        <v>5520</v>
      </c>
      <c r="W25" s="83">
        <f t="shared" si="8"/>
        <v>5885</v>
      </c>
      <c r="X25" s="83">
        <f t="shared" si="8"/>
        <v>6250</v>
      </c>
    </row>
    <row r="26" spans="2:25" ht="15.95" customHeight="1">
      <c r="B26" s="17" t="s">
        <v>416</v>
      </c>
      <c r="G26" s="84">
        <f>G25/365</f>
        <v>0.12328767123287671</v>
      </c>
      <c r="H26" s="84">
        <f t="shared" ref="H26:J26" si="9">H25/365</f>
        <v>1.1232876712328768</v>
      </c>
      <c r="I26" s="84">
        <f t="shared" si="9"/>
        <v>2.1232876712328768</v>
      </c>
      <c r="J26" s="84">
        <f t="shared" si="9"/>
        <v>3.1232876712328768</v>
      </c>
      <c r="K26" s="84">
        <f>K25/365</f>
        <v>4.1232876712328768</v>
      </c>
      <c r="L26" s="84">
        <f t="shared" ref="L26:X26" si="10">L25/365</f>
        <v>5.1232876712328768</v>
      </c>
      <c r="M26" s="84">
        <f t="shared" si="10"/>
        <v>6.1232876712328768</v>
      </c>
      <c r="N26" s="84">
        <f t="shared" si="10"/>
        <v>7.1232876712328768</v>
      </c>
      <c r="O26" s="84">
        <f t="shared" si="10"/>
        <v>8.1232876712328768</v>
      </c>
      <c r="P26" s="84">
        <f t="shared" si="10"/>
        <v>9.1232876712328768</v>
      </c>
      <c r="Q26" s="84">
        <f t="shared" si="10"/>
        <v>10.123287671232877</v>
      </c>
      <c r="R26" s="84">
        <f t="shared" si="10"/>
        <v>11.123287671232877</v>
      </c>
      <c r="S26" s="84">
        <f t="shared" si="10"/>
        <v>12.123287671232877</v>
      </c>
      <c r="T26" s="84">
        <f t="shared" si="10"/>
        <v>13.123287671232877</v>
      </c>
      <c r="U26" s="84">
        <f t="shared" si="10"/>
        <v>14.123287671232877</v>
      </c>
      <c r="V26" s="84">
        <f t="shared" si="10"/>
        <v>15.123287671232877</v>
      </c>
      <c r="W26" s="84">
        <f t="shared" si="10"/>
        <v>16.123287671232877</v>
      </c>
      <c r="X26" s="84">
        <f t="shared" si="10"/>
        <v>17.123287671232877</v>
      </c>
    </row>
    <row r="27" spans="2:25" ht="15.95" customHeight="1">
      <c r="S27" s="20"/>
      <c r="T27" s="20"/>
      <c r="U27" s="20"/>
      <c r="V27" s="20"/>
      <c r="W27" s="20"/>
      <c r="X27" s="20"/>
    </row>
    <row r="28" spans="2:25" ht="15.95" customHeight="1" thickBot="1">
      <c r="B28" s="16" t="s">
        <v>417</v>
      </c>
      <c r="C28" s="53"/>
      <c r="D28" s="53"/>
      <c r="E28" s="74"/>
      <c r="F28" s="53"/>
      <c r="G28" s="75" t="s">
        <v>100</v>
      </c>
      <c r="H28" s="75" t="s">
        <v>101</v>
      </c>
      <c r="I28" s="75" t="s">
        <v>102</v>
      </c>
      <c r="J28" s="75" t="s">
        <v>320</v>
      </c>
      <c r="K28" s="75" t="s">
        <v>321</v>
      </c>
      <c r="L28" s="75" t="s">
        <v>322</v>
      </c>
      <c r="M28" s="75" t="s">
        <v>323</v>
      </c>
      <c r="N28" s="65" t="s">
        <v>324</v>
      </c>
      <c r="O28" s="65" t="s">
        <v>325</v>
      </c>
      <c r="P28" s="65" t="s">
        <v>326</v>
      </c>
      <c r="Q28" s="65" t="s">
        <v>327</v>
      </c>
      <c r="R28" s="65" t="s">
        <v>328</v>
      </c>
      <c r="S28" s="65" t="s">
        <v>329</v>
      </c>
      <c r="T28" s="65" t="s">
        <v>330</v>
      </c>
      <c r="U28" s="65" t="s">
        <v>331</v>
      </c>
      <c r="V28" s="65" t="s">
        <v>332</v>
      </c>
      <c r="W28" s="65" t="s">
        <v>333</v>
      </c>
      <c r="X28" s="65" t="s">
        <v>334</v>
      </c>
    </row>
    <row r="29" spans="2:25" ht="15.95" customHeight="1" thickBot="1">
      <c r="B29" s="103"/>
      <c r="C29" s="103"/>
      <c r="D29" s="103"/>
      <c r="E29" s="104"/>
      <c r="F29" s="103"/>
      <c r="G29" s="332" t="s">
        <v>418</v>
      </c>
      <c r="H29" s="333"/>
      <c r="I29" s="334"/>
      <c r="J29" s="332" t="s">
        <v>419</v>
      </c>
      <c r="K29" s="333"/>
      <c r="L29" s="333"/>
      <c r="M29" s="333"/>
      <c r="N29" s="333"/>
      <c r="O29" s="333"/>
      <c r="P29" s="333"/>
      <c r="Q29" s="333"/>
      <c r="R29" s="333"/>
      <c r="S29" s="333"/>
      <c r="T29" s="333"/>
      <c r="U29" s="333"/>
      <c r="V29" s="333"/>
      <c r="W29" s="333"/>
      <c r="X29" s="334"/>
    </row>
    <row r="30" spans="2:25" ht="15.95" customHeight="1">
      <c r="B30" s="85" t="s">
        <v>420</v>
      </c>
      <c r="E30" s="82"/>
      <c r="G30" s="101"/>
      <c r="H30" s="101"/>
      <c r="I30" s="101"/>
      <c r="J30" s="101"/>
      <c r="K30" s="101"/>
      <c r="L30" s="101"/>
      <c r="M30" s="101"/>
      <c r="N30" s="101"/>
      <c r="O30" s="101"/>
      <c r="P30" s="101"/>
      <c r="Q30" s="101"/>
      <c r="R30" s="101"/>
      <c r="S30" s="101"/>
      <c r="T30" s="101"/>
      <c r="U30" s="101"/>
      <c r="V30" s="101"/>
      <c r="W30" s="101"/>
      <c r="X30" s="101"/>
    </row>
    <row r="31" spans="2:25" ht="15.95" customHeight="1">
      <c r="B31" s="33" t="s">
        <v>421</v>
      </c>
      <c r="E31" s="82"/>
      <c r="G31" s="86">
        <f>'Rent Schedule'!C21</f>
        <v>0</v>
      </c>
      <c r="H31" s="86">
        <f>'Rent Schedule'!D21</f>
        <v>0</v>
      </c>
      <c r="I31" s="86">
        <f>'Rent Schedule'!E21</f>
        <v>0</v>
      </c>
      <c r="J31" s="86">
        <f>'Rent Schedule'!F21</f>
        <v>630187.63157422084</v>
      </c>
      <c r="K31" s="86">
        <f>'Rent Schedule'!G21</f>
        <v>660436.63788978336</v>
      </c>
      <c r="L31" s="86">
        <f>'Rent Schedule'!H21</f>
        <v>692137.59650849318</v>
      </c>
      <c r="M31" s="86">
        <f>'Rent Schedule'!I21</f>
        <v>725360.20114090084</v>
      </c>
      <c r="N31" s="86">
        <f>'Rent Schedule'!J21</f>
        <v>760177.49079566402</v>
      </c>
      <c r="O31" s="86">
        <f>'Rent Schedule'!K21</f>
        <v>796666.01035385602</v>
      </c>
      <c r="P31" s="86">
        <f>'Rent Schedule'!L21</f>
        <v>834905.97885084117</v>
      </c>
      <c r="Q31" s="86">
        <f>'Rent Schedule'!M21</f>
        <v>874981.46583568153</v>
      </c>
      <c r="R31" s="86">
        <f>'Rent Schedule'!N21</f>
        <v>916980.57619579416</v>
      </c>
      <c r="S31" s="86">
        <f>'Rent Schedule'!O21</f>
        <v>960995.64385319245</v>
      </c>
      <c r="T31" s="86">
        <f>'Rent Schedule'!P21</f>
        <v>1007123.4347581457</v>
      </c>
      <c r="U31" s="86">
        <f>'Rent Schedule'!Q21</f>
        <v>1055465.3596265367</v>
      </c>
      <c r="V31" s="86">
        <f>'Rent Schedule'!R21</f>
        <v>1106127.6968886105</v>
      </c>
      <c r="W31" s="86">
        <f>'Rent Schedule'!S21</f>
        <v>1159221.8263392637</v>
      </c>
      <c r="X31" s="86">
        <f>'Rent Schedule'!T21</f>
        <v>1214864.4740035485</v>
      </c>
      <c r="Y31" s="86"/>
    </row>
    <row r="32" spans="2:25" ht="15.95" customHeight="1">
      <c r="B32" s="33" t="s">
        <v>422</v>
      </c>
      <c r="G32" s="86">
        <f>'Rent Schedule'!C39</f>
        <v>0</v>
      </c>
      <c r="H32" s="86">
        <f>'Rent Schedule'!D39</f>
        <v>0</v>
      </c>
      <c r="I32" s="86">
        <f>'Rent Schedule'!E39</f>
        <v>0</v>
      </c>
      <c r="J32" s="86">
        <f>'Rent Schedule'!F39</f>
        <v>7802063.0363142565</v>
      </c>
      <c r="K32" s="86">
        <f>'Rent Schedule'!G39</f>
        <v>8176562.0620573405</v>
      </c>
      <c r="L32" s="86">
        <f>'Rent Schedule'!H39</f>
        <v>8569037.0410360917</v>
      </c>
      <c r="M32" s="86">
        <f>'Rent Schedule'!I39</f>
        <v>8980350.8190058265</v>
      </c>
      <c r="N32" s="86">
        <f>'Rent Schedule'!J39</f>
        <v>9411407.6583181061</v>
      </c>
      <c r="O32" s="86">
        <f>'Rent Schedule'!K39</f>
        <v>9863155.2259173747</v>
      </c>
      <c r="P32" s="86">
        <f>'Rent Schedule'!L39</f>
        <v>10336586.676761411</v>
      </c>
      <c r="Q32" s="86">
        <f>'Rent Schedule'!M39</f>
        <v>10832742.837245958</v>
      </c>
      <c r="R32" s="86">
        <f>'Rent Schedule'!N39</f>
        <v>11352714.493433764</v>
      </c>
      <c r="S32" s="86">
        <f>'Rent Schedule'!O39</f>
        <v>11897644.789118586</v>
      </c>
      <c r="T32" s="86">
        <f>'Rent Schedule'!P39</f>
        <v>12468731.738996277</v>
      </c>
      <c r="U32" s="86">
        <f>'Rent Schedule'!Q39</f>
        <v>13067230.862468099</v>
      </c>
      <c r="V32" s="86">
        <f>'Rent Schedule'!R39</f>
        <v>13694457.94386657</v>
      </c>
      <c r="W32" s="86">
        <f>'Rent Schedule'!S39</f>
        <v>14351791.925172165</v>
      </c>
      <c r="X32" s="86">
        <f>'Rent Schedule'!T39</f>
        <v>15040677.937580429</v>
      </c>
    </row>
    <row r="33" spans="2:25" ht="15.95" customHeight="1">
      <c r="B33" s="87" t="s">
        <v>423</v>
      </c>
      <c r="C33" s="88"/>
      <c r="D33" s="88"/>
      <c r="E33" s="88"/>
      <c r="F33" s="88"/>
      <c r="G33" s="164">
        <f t="shared" ref="G33:X33" si="11">G31+G32</f>
        <v>0</v>
      </c>
      <c r="H33" s="164">
        <f t="shared" si="11"/>
        <v>0</v>
      </c>
      <c r="I33" s="164">
        <f t="shared" si="11"/>
        <v>0</v>
      </c>
      <c r="J33" s="89">
        <f t="shared" si="11"/>
        <v>8432250.6678884774</v>
      </c>
      <c r="K33" s="89">
        <f t="shared" si="11"/>
        <v>8836998.6999471243</v>
      </c>
      <c r="L33" s="89">
        <f t="shared" si="11"/>
        <v>9261174.6375445854</v>
      </c>
      <c r="M33" s="89">
        <f t="shared" si="11"/>
        <v>9705711.0201467276</v>
      </c>
      <c r="N33" s="89">
        <f t="shared" si="11"/>
        <v>10171585.149113771</v>
      </c>
      <c r="O33" s="89">
        <f t="shared" si="11"/>
        <v>10659821.236271231</v>
      </c>
      <c r="P33" s="89">
        <f t="shared" si="11"/>
        <v>11171492.655612253</v>
      </c>
      <c r="Q33" s="89">
        <f t="shared" si="11"/>
        <v>11707724.303081639</v>
      </c>
      <c r="R33" s="89">
        <f t="shared" si="11"/>
        <v>12269695.069629557</v>
      </c>
      <c r="S33" s="89">
        <f t="shared" si="11"/>
        <v>12858640.432971779</v>
      </c>
      <c r="T33" s="89">
        <f t="shared" si="11"/>
        <v>13475855.173754422</v>
      </c>
      <c r="U33" s="89">
        <f t="shared" si="11"/>
        <v>14122696.222094636</v>
      </c>
      <c r="V33" s="89">
        <f t="shared" si="11"/>
        <v>14800585.64075518</v>
      </c>
      <c r="W33" s="89">
        <f t="shared" si="11"/>
        <v>15511013.751511429</v>
      </c>
      <c r="X33" s="89">
        <f t="shared" si="11"/>
        <v>16255542.411583977</v>
      </c>
      <c r="Y33" s="101">
        <f>SUM(G33:X33)</f>
        <v>179240787.07190681</v>
      </c>
    </row>
    <row r="34" spans="2:25" ht="15.95" customHeight="1">
      <c r="G34" s="90"/>
      <c r="H34" s="90"/>
      <c r="I34" s="90"/>
      <c r="J34" s="90"/>
      <c r="K34" s="90"/>
      <c r="L34" s="90"/>
      <c r="M34" s="90"/>
      <c r="N34" s="90"/>
      <c r="O34" s="90"/>
      <c r="P34" s="90"/>
      <c r="Q34" s="90"/>
      <c r="R34" s="90"/>
      <c r="S34" s="90"/>
      <c r="T34" s="90"/>
      <c r="U34" s="90"/>
      <c r="V34" s="90"/>
      <c r="W34" s="90"/>
      <c r="X34" s="90"/>
    </row>
    <row r="35" spans="2:25" ht="15.95" customHeight="1">
      <c r="B35" s="85" t="s">
        <v>424</v>
      </c>
      <c r="G35" s="90"/>
      <c r="H35" s="90"/>
      <c r="I35" s="90"/>
      <c r="J35" s="101"/>
      <c r="K35" s="90"/>
      <c r="L35" s="90"/>
      <c r="M35" s="90"/>
      <c r="N35" s="90"/>
      <c r="O35" s="90"/>
      <c r="P35" s="90"/>
      <c r="Q35" s="90"/>
      <c r="R35" s="90"/>
      <c r="S35" s="90"/>
      <c r="T35" s="90"/>
      <c r="U35" s="90"/>
      <c r="V35" s="90"/>
      <c r="W35" s="90"/>
      <c r="X35" s="90"/>
    </row>
    <row r="36" spans="2:25" ht="15.95" customHeight="1">
      <c r="B36" s="33" t="s">
        <v>425</v>
      </c>
      <c r="G36" s="86">
        <f>-'Expenditure Schedule'!C61</f>
        <v>0</v>
      </c>
      <c r="H36" s="86">
        <f>-'Expenditure Schedule'!D61</f>
        <v>0</v>
      </c>
      <c r="I36" s="86">
        <f>-'Expenditure Schedule'!E61</f>
        <v>-5341015.1898734178</v>
      </c>
      <c r="J36" s="86">
        <f>-'Expenditure Schedule'!F61</f>
        <v>-1950515.7590785641</v>
      </c>
      <c r="K36" s="86">
        <f>-'Expenditure Schedule'!G61</f>
        <v>0</v>
      </c>
      <c r="L36" s="86">
        <f>-'Expenditure Schedule'!H61</f>
        <v>0</v>
      </c>
      <c r="M36" s="86">
        <f>-'Expenditure Schedule'!I61</f>
        <v>0</v>
      </c>
      <c r="N36" s="86">
        <f>-'Expenditure Schedule'!J61</f>
        <v>0</v>
      </c>
      <c r="O36" s="86">
        <f>-'Expenditure Schedule'!K61</f>
        <v>0</v>
      </c>
      <c r="P36" s="86">
        <f>-'Expenditure Schedule'!L61</f>
        <v>0</v>
      </c>
      <c r="Q36" s="86">
        <f>-'Expenditure Schedule'!M61</f>
        <v>0</v>
      </c>
      <c r="R36" s="86">
        <f>-'Expenditure Schedule'!N61</f>
        <v>0</v>
      </c>
      <c r="S36" s="86">
        <f>-'Expenditure Schedule'!O61</f>
        <v>0</v>
      </c>
      <c r="T36" s="86">
        <f>-'Expenditure Schedule'!P61</f>
        <v>0</v>
      </c>
      <c r="U36" s="86">
        <f>-'Expenditure Schedule'!Q61</f>
        <v>0</v>
      </c>
      <c r="V36" s="86">
        <f>-'Expenditure Schedule'!R61</f>
        <v>0</v>
      </c>
      <c r="W36" s="86">
        <f>-'Expenditure Schedule'!S61</f>
        <v>0</v>
      </c>
      <c r="X36" s="86">
        <f>-'Expenditure Schedule'!T61</f>
        <v>0</v>
      </c>
    </row>
    <row r="37" spans="2:25" ht="15.95" customHeight="1">
      <c r="B37" s="33" t="s">
        <v>374</v>
      </c>
      <c r="G37" s="86">
        <f>-'Expenditure Schedule'!C65</f>
        <v>0</v>
      </c>
      <c r="H37" s="86">
        <f>-'Expenditure Schedule'!D65</f>
        <v>0</v>
      </c>
      <c r="I37" s="86">
        <f>-'Expenditure Schedule'!E65</f>
        <v>0</v>
      </c>
      <c r="J37" s="86">
        <f>-'Expenditure Schedule'!F65</f>
        <v>-202488.45158060393</v>
      </c>
      <c r="K37" s="86">
        <f>-'Expenditure Schedule'!G65</f>
        <v>-212207.8972564729</v>
      </c>
      <c r="L37" s="86">
        <f>-'Expenditure Schedule'!H65</f>
        <v>-222393.87632478357</v>
      </c>
      <c r="M37" s="86">
        <f>-'Expenditure Schedule'!I65</f>
        <v>-233068.78238837325</v>
      </c>
      <c r="N37" s="86">
        <f>-'Expenditure Schedule'!J65</f>
        <v>-244256.08394301517</v>
      </c>
      <c r="O37" s="86">
        <f>-'Expenditure Schedule'!K65</f>
        <v>-255980.37597227987</v>
      </c>
      <c r="P37" s="86">
        <f>-'Expenditure Schedule'!L65</f>
        <v>-268267.4340189494</v>
      </c>
      <c r="Q37" s="86">
        <f>-'Expenditure Schedule'!M65</f>
        <v>-281144.27085185895</v>
      </c>
      <c r="R37" s="86">
        <f>-'Expenditure Schedule'!N65</f>
        <v>-294639.19585274818</v>
      </c>
      <c r="S37" s="86">
        <f>-'Expenditure Schedule'!O65</f>
        <v>-308781.87725368008</v>
      </c>
      <c r="T37" s="86">
        <f>-'Expenditure Schedule'!P65</f>
        <v>-323603.40736185672</v>
      </c>
      <c r="U37" s="86">
        <f>-'Expenditure Schedule'!Q65</f>
        <v>-339136.37091522588</v>
      </c>
      <c r="V37" s="86">
        <f>-'Expenditure Schedule'!R65</f>
        <v>-355414.91671915672</v>
      </c>
      <c r="W37" s="86">
        <f>-'Expenditure Schedule'!S65</f>
        <v>-372474.83272167627</v>
      </c>
      <c r="X37" s="86">
        <f>-'Expenditure Schedule'!T65</f>
        <v>-390353.62469231675</v>
      </c>
    </row>
    <row r="38" spans="2:25" ht="15.95" customHeight="1">
      <c r="B38" s="33" t="s">
        <v>426</v>
      </c>
      <c r="G38" s="86">
        <f>-'Expenditure Schedule'!C77</f>
        <v>0</v>
      </c>
      <c r="H38" s="86">
        <f>-'Expenditure Schedule'!D77</f>
        <v>-381886.82</v>
      </c>
      <c r="I38" s="86">
        <f>-'Expenditure Schedule'!E77</f>
        <v>-76832.4375</v>
      </c>
      <c r="J38" s="86">
        <f>-'Expenditure Schedule'!F77</f>
        <v>-2269350.4331479939</v>
      </c>
      <c r="K38" s="86">
        <f>-'Expenditure Schedule'!G77</f>
        <v>-2341454.5920503461</v>
      </c>
      <c r="L38" s="86">
        <f>-'Expenditure Schedule'!H77</f>
        <v>-2416099.1340327924</v>
      </c>
      <c r="M38" s="86">
        <f>-'Expenditure Schedule'!I77</f>
        <v>-2493382.9820694975</v>
      </c>
      <c r="N38" s="86">
        <f>-'Expenditure Schedule'!J77</f>
        <v>-2573409.2320520421</v>
      </c>
      <c r="O38" s="86">
        <f>-'Expenditure Schedule'!K77</f>
        <v>-2656285.3387048296</v>
      </c>
      <c r="P38" s="86">
        <f>-'Expenditure Schedule'!L77</f>
        <v>-2742123.3100648075</v>
      </c>
      <c r="Q38" s="86">
        <f>-'Expenditure Schedule'!M77</f>
        <v>-2831039.9109276189</v>
      </c>
      <c r="R38" s="86">
        <f>-'Expenditure Schedule'!N77</f>
        <v>-2923156.875681337</v>
      </c>
      <c r="S38" s="86">
        <f>-'Expenditure Schedule'!O77</f>
        <v>-3018601.1309689637</v>
      </c>
      <c r="T38" s="86">
        <f>-'Expenditure Schedule'!P77</f>
        <v>-3117505.0286417692</v>
      </c>
      <c r="U38" s="86">
        <f>-'Expenditure Schedule'!Q77</f>
        <v>-3220006.5894875275</v>
      </c>
      <c r="V38" s="86">
        <f>-'Expenditure Schedule'!R77</f>
        <v>-3326249.7582406551</v>
      </c>
      <c r="W38" s="86">
        <f>-'Expenditure Schedule'!S77</f>
        <v>-3436384.6704053767</v>
      </c>
      <c r="X38" s="86">
        <f>-'Expenditure Schedule'!T77</f>
        <v>-3518078.5023445971</v>
      </c>
    </row>
    <row r="39" spans="2:25" ht="15.95" customHeight="1">
      <c r="B39" s="33" t="s">
        <v>427</v>
      </c>
      <c r="G39" s="86">
        <f>'Expenditure Schedule'!C83</f>
        <v>0</v>
      </c>
      <c r="H39" s="86">
        <f>'Expenditure Schedule'!D83</f>
        <v>343698.13800000004</v>
      </c>
      <c r="I39" s="86">
        <f>'Expenditure Schedule'!E83</f>
        <v>69149.193750000006</v>
      </c>
      <c r="J39" s="86">
        <f>'Expenditure Schedule'!F83</f>
        <v>2042415.3898331944</v>
      </c>
      <c r="K39" s="86">
        <f>'Expenditure Schedule'!G83</f>
        <v>2107309.1328453114</v>
      </c>
      <c r="L39" s="86">
        <f>'Expenditure Schedule'!H83</f>
        <v>2174489.2206295133</v>
      </c>
      <c r="M39" s="86">
        <f>'Expenditure Schedule'!I83</f>
        <v>2244044.6838625479</v>
      </c>
      <c r="N39" s="86">
        <f>'Expenditure Schedule'!J83</f>
        <v>2316068.3088468378</v>
      </c>
      <c r="O39" s="86">
        <f>'Expenditure Schedule'!K83</f>
        <v>2390656.8048343468</v>
      </c>
      <c r="P39" s="86">
        <f>'Expenditure Schedule'!L83</f>
        <v>2467910.9790583267</v>
      </c>
      <c r="Q39" s="86">
        <f>'Expenditure Schedule'!M83</f>
        <v>2547935.9198348569</v>
      </c>
      <c r="R39" s="86">
        <f>'Expenditure Schedule'!N83</f>
        <v>2630841.1881132033</v>
      </c>
      <c r="S39" s="86">
        <f>'Expenditure Schedule'!O83</f>
        <v>2716741.0178720676</v>
      </c>
      <c r="T39" s="86">
        <f>'Expenditure Schedule'!P83</f>
        <v>2805754.5257775923</v>
      </c>
      <c r="U39" s="86">
        <f>'Expenditure Schedule'!Q83</f>
        <v>2898005.9305387749</v>
      </c>
      <c r="V39" s="86">
        <f>'Expenditure Schedule'!R83</f>
        <v>2993624.7824165896</v>
      </c>
      <c r="W39" s="86">
        <f>'Expenditure Schedule'!S83</f>
        <v>3092746.2033648393</v>
      </c>
      <c r="X39" s="86">
        <f>'Expenditure Schedule'!T83</f>
        <v>3166270.6521101375</v>
      </c>
    </row>
    <row r="40" spans="2:25" ht="15.95" customHeight="1">
      <c r="B40" s="91" t="s">
        <v>428</v>
      </c>
      <c r="G40" s="86">
        <f>G39*Assumptions!$C$78</f>
        <v>0</v>
      </c>
      <c r="H40" s="86">
        <f>H39*Assumptions!$C$78</f>
        <v>334778.07372330409</v>
      </c>
      <c r="I40" s="86">
        <f>I39*Assumptions!$C$78</f>
        <v>67354.551345124069</v>
      </c>
      <c r="J40" s="86">
        <f>J39*Assumptions!$C$78</f>
        <v>1989408.1880396686</v>
      </c>
      <c r="K40" s="86">
        <f>K39*Assumptions!$C$78</f>
        <v>2052617.7311832851</v>
      </c>
      <c r="L40" s="86">
        <f>L39*Assumptions!$C$78</f>
        <v>2118054.2811507382</v>
      </c>
      <c r="M40" s="86">
        <f>M39*Assumptions!$C$78</f>
        <v>2185804.5579883954</v>
      </c>
      <c r="N40" s="86">
        <f>N39*Assumptions!$C$78</f>
        <v>2255958.9398978204</v>
      </c>
      <c r="O40" s="86">
        <f>O39*Assumptions!$C$78</f>
        <v>2328611.6262170481</v>
      </c>
      <c r="P40" s="86">
        <f>P39*Assumptions!$C$78</f>
        <v>2403860.807909701</v>
      </c>
      <c r="Q40" s="86">
        <f>Q39*Assumptions!$C$78</f>
        <v>2481808.8459144584</v>
      </c>
      <c r="R40" s="86">
        <f>R39*Assumptions!$C$78</f>
        <v>2562562.4577240706</v>
      </c>
      <c r="S40" s="86">
        <f>S39*Assumptions!$C$78</f>
        <v>2646232.9125806876</v>
      </c>
      <c r="T40" s="86">
        <f>T39*Assumptions!$C$78</f>
        <v>2732936.2356925681</v>
      </c>
      <c r="U40" s="86">
        <f>U39*Assumptions!$C$78</f>
        <v>2822793.4218965201</v>
      </c>
      <c r="V40" s="86">
        <f>V39*Assumptions!$C$78</f>
        <v>2915930.6592105282</v>
      </c>
      <c r="W40" s="86">
        <f>W39*Assumptions!$C$78</f>
        <v>3012479.5627421844</v>
      </c>
      <c r="X40" s="86">
        <f>X39*Assumptions!$C$78</f>
        <v>3084095.8172431579</v>
      </c>
    </row>
    <row r="41" spans="2:25" ht="15.95" customHeight="1">
      <c r="B41" s="33" t="s">
        <v>429</v>
      </c>
      <c r="G41" s="86">
        <f t="shared" ref="G41" si="12">G38-G40</f>
        <v>0</v>
      </c>
      <c r="H41" s="86">
        <f>H38+H40</f>
        <v>-47108.746276695922</v>
      </c>
      <c r="I41" s="86">
        <f t="shared" ref="I41:X41" si="13">I38+I40</f>
        <v>-9477.8861548759305</v>
      </c>
      <c r="J41" s="86">
        <f t="shared" si="13"/>
        <v>-279942.24510832527</v>
      </c>
      <c r="K41" s="86">
        <f t="shared" si="13"/>
        <v>-288836.86086706095</v>
      </c>
      <c r="L41" s="86">
        <f t="shared" si="13"/>
        <v>-298044.85288205417</v>
      </c>
      <c r="M41" s="86">
        <f t="shared" si="13"/>
        <v>-307578.42408110201</v>
      </c>
      <c r="N41" s="86">
        <f t="shared" si="13"/>
        <v>-317450.2921542218</v>
      </c>
      <c r="O41" s="86">
        <f t="shared" si="13"/>
        <v>-327673.71248778142</v>
      </c>
      <c r="P41" s="86">
        <f t="shared" si="13"/>
        <v>-338262.50215510651</v>
      </c>
      <c r="Q41" s="86">
        <f t="shared" si="13"/>
        <v>-349231.06501316046</v>
      </c>
      <c r="R41" s="86">
        <f t="shared" si="13"/>
        <v>-360594.41795726633</v>
      </c>
      <c r="S41" s="86">
        <f t="shared" si="13"/>
        <v>-372368.21838827617</v>
      </c>
      <c r="T41" s="86">
        <f t="shared" si="13"/>
        <v>-384568.79294920107</v>
      </c>
      <c r="U41" s="86">
        <f t="shared" si="13"/>
        <v>-397213.16759100743</v>
      </c>
      <c r="V41" s="86">
        <f t="shared" si="13"/>
        <v>-410319.09903012682</v>
      </c>
      <c r="W41" s="86">
        <f t="shared" si="13"/>
        <v>-423905.10766319232</v>
      </c>
      <c r="X41" s="86">
        <f t="shared" si="13"/>
        <v>-433982.68510143925</v>
      </c>
    </row>
    <row r="42" spans="2:25" ht="15.95" customHeight="1">
      <c r="B42" s="87" t="s">
        <v>430</v>
      </c>
      <c r="C42" s="88"/>
      <c r="D42" s="88"/>
      <c r="E42" s="88"/>
      <c r="F42" s="88"/>
      <c r="G42" s="164">
        <f>G37+G41+G36</f>
        <v>0</v>
      </c>
      <c r="H42" s="164">
        <f>H37+H41+H36</f>
        <v>-47108.746276695922</v>
      </c>
      <c r="I42" s="164">
        <f t="shared" ref="I42:X42" si="14">I37+I41+I36</f>
        <v>-5350493.0760282939</v>
      </c>
      <c r="J42" s="164">
        <f t="shared" si="14"/>
        <v>-2432946.4557674932</v>
      </c>
      <c r="K42" s="164">
        <f t="shared" si="14"/>
        <v>-501044.75812353386</v>
      </c>
      <c r="L42" s="164">
        <f t="shared" si="14"/>
        <v>-520438.72920683771</v>
      </c>
      <c r="M42" s="164">
        <f t="shared" si="14"/>
        <v>-540647.20646947529</v>
      </c>
      <c r="N42" s="164">
        <f t="shared" si="14"/>
        <v>-561706.37609723699</v>
      </c>
      <c r="O42" s="164">
        <f t="shared" si="14"/>
        <v>-583654.08846006123</v>
      </c>
      <c r="P42" s="164">
        <f t="shared" si="14"/>
        <v>-606529.93617405591</v>
      </c>
      <c r="Q42" s="164">
        <f t="shared" si="14"/>
        <v>-630375.33586501935</v>
      </c>
      <c r="R42" s="164">
        <f t="shared" si="14"/>
        <v>-655233.61381001445</v>
      </c>
      <c r="S42" s="164">
        <f t="shared" si="14"/>
        <v>-681150.0956419562</v>
      </c>
      <c r="T42" s="164">
        <f t="shared" si="14"/>
        <v>-708172.20031105774</v>
      </c>
      <c r="U42" s="164">
        <f t="shared" si="14"/>
        <v>-736349.53850623337</v>
      </c>
      <c r="V42" s="164">
        <f t="shared" si="14"/>
        <v>-765734.0157492836</v>
      </c>
      <c r="W42" s="164">
        <f t="shared" si="14"/>
        <v>-796379.94038486853</v>
      </c>
      <c r="X42" s="164">
        <f t="shared" si="14"/>
        <v>-824336.30979375599</v>
      </c>
    </row>
    <row r="43" spans="2:25" ht="15.95" customHeight="1">
      <c r="G43" s="101"/>
      <c r="H43" s="101"/>
      <c r="I43" s="101"/>
      <c r="J43" s="101"/>
      <c r="K43" s="101"/>
      <c r="L43" s="101"/>
      <c r="M43" s="101"/>
      <c r="N43" s="101"/>
      <c r="O43" s="101"/>
      <c r="P43" s="101"/>
      <c r="Q43" s="101"/>
      <c r="R43" s="101"/>
      <c r="S43" s="101"/>
      <c r="T43" s="101"/>
      <c r="U43" s="101"/>
      <c r="V43" s="101"/>
      <c r="W43" s="101"/>
      <c r="X43" s="101"/>
    </row>
    <row r="44" spans="2:25" ht="15.95" customHeight="1">
      <c r="B44" s="92" t="s">
        <v>431</v>
      </c>
      <c r="C44" s="88"/>
      <c r="D44" s="88"/>
      <c r="E44" s="88"/>
      <c r="F44" s="88"/>
      <c r="G44" s="89">
        <f t="shared" ref="G44:W44" si="15">G33+G42</f>
        <v>0</v>
      </c>
      <c r="H44" s="89">
        <f>H33+H42</f>
        <v>-47108.746276695922</v>
      </c>
      <c r="I44" s="89">
        <f t="shared" si="15"/>
        <v>-5350493.0760282939</v>
      </c>
      <c r="J44" s="89">
        <f t="shared" si="15"/>
        <v>5999304.2121209837</v>
      </c>
      <c r="K44" s="89">
        <f t="shared" si="15"/>
        <v>8335953.9418235905</v>
      </c>
      <c r="L44" s="89">
        <f t="shared" si="15"/>
        <v>8740735.9083377477</v>
      </c>
      <c r="M44" s="89">
        <f t="shared" si="15"/>
        <v>9165063.8136772513</v>
      </c>
      <c r="N44" s="89">
        <f t="shared" si="15"/>
        <v>9609878.7730165329</v>
      </c>
      <c r="O44" s="89">
        <f t="shared" si="15"/>
        <v>10076167.147811169</v>
      </c>
      <c r="P44" s="89">
        <f t="shared" si="15"/>
        <v>10564962.719438197</v>
      </c>
      <c r="Q44" s="89">
        <f t="shared" si="15"/>
        <v>11077348.96721662</v>
      </c>
      <c r="R44" s="89">
        <f t="shared" si="15"/>
        <v>11614461.455819543</v>
      </c>
      <c r="S44" s="89">
        <f t="shared" si="15"/>
        <v>12177490.337329824</v>
      </c>
      <c r="T44" s="89">
        <f t="shared" si="15"/>
        <v>12767682.973443365</v>
      </c>
      <c r="U44" s="89">
        <f t="shared" si="15"/>
        <v>13386346.683588402</v>
      </c>
      <c r="V44" s="89">
        <f t="shared" si="15"/>
        <v>14034851.625005897</v>
      </c>
      <c r="W44" s="89">
        <f t="shared" si="15"/>
        <v>14714633.81112656</v>
      </c>
      <c r="X44" s="89">
        <f>X33+X42</f>
        <v>15431206.101790221</v>
      </c>
      <c r="Y44" s="101">
        <f>SUM(G44:X44)</f>
        <v>162298486.64924091</v>
      </c>
    </row>
    <row r="45" spans="2:25">
      <c r="G45" s="101"/>
      <c r="H45" s="101"/>
      <c r="I45" s="101"/>
      <c r="J45" s="101"/>
      <c r="K45" s="101"/>
      <c r="L45" s="101"/>
      <c r="M45" s="101"/>
      <c r="N45" s="101"/>
      <c r="O45" s="101"/>
      <c r="P45" s="101"/>
      <c r="Q45" s="101"/>
      <c r="R45" s="101"/>
      <c r="S45" s="101"/>
      <c r="T45" s="101"/>
      <c r="U45" s="101"/>
      <c r="V45" s="101"/>
      <c r="W45" s="101"/>
      <c r="X45" s="101"/>
    </row>
    <row r="46" spans="2:25">
      <c r="B46" s="85" t="s">
        <v>432</v>
      </c>
      <c r="G46" s="162"/>
      <c r="H46" s="93"/>
      <c r="I46" s="93"/>
      <c r="J46" s="93"/>
      <c r="K46" s="93"/>
      <c r="L46" s="93"/>
      <c r="M46" s="93"/>
      <c r="N46" s="94"/>
      <c r="O46" s="94"/>
      <c r="P46" s="94"/>
      <c r="Q46" s="94"/>
      <c r="R46" s="101"/>
      <c r="S46" s="101"/>
      <c r="T46" s="101"/>
      <c r="U46" s="101"/>
      <c r="V46" s="101"/>
      <c r="W46" s="101"/>
      <c r="X46" s="101"/>
    </row>
    <row r="47" spans="2:25" ht="15.95" customHeight="1">
      <c r="B47" s="33" t="s">
        <v>433</v>
      </c>
      <c r="G47" s="86">
        <v>0</v>
      </c>
      <c r="H47" s="162">
        <f>-'Hypothetical Development'!C37</f>
        <v>-5748413.1378397318</v>
      </c>
      <c r="I47" s="86">
        <v>0</v>
      </c>
      <c r="J47" s="86">
        <v>0</v>
      </c>
      <c r="K47" s="86">
        <v>0</v>
      </c>
      <c r="L47" s="86">
        <v>0</v>
      </c>
      <c r="M47" s="86">
        <v>0</v>
      </c>
      <c r="N47" s="86">
        <v>0</v>
      </c>
      <c r="O47" s="86">
        <v>0</v>
      </c>
      <c r="P47" s="86">
        <v>0</v>
      </c>
      <c r="Q47" s="86">
        <v>0</v>
      </c>
      <c r="R47" s="86">
        <v>0</v>
      </c>
      <c r="S47" s="86">
        <v>0</v>
      </c>
      <c r="T47" s="86">
        <v>0</v>
      </c>
      <c r="U47" s="86">
        <v>0</v>
      </c>
      <c r="V47" s="86">
        <v>0</v>
      </c>
      <c r="W47" s="86">
        <v>0</v>
      </c>
      <c r="X47" s="86">
        <v>0</v>
      </c>
    </row>
    <row r="48" spans="2:25" ht="15.95" customHeight="1">
      <c r="B48" s="33" t="s">
        <v>434</v>
      </c>
      <c r="G48" s="86">
        <v>0</v>
      </c>
      <c r="H48" s="86">
        <f>0.05*H47</f>
        <v>-287420.65689198661</v>
      </c>
      <c r="I48" s="86">
        <v>0</v>
      </c>
      <c r="J48" s="86">
        <v>0</v>
      </c>
      <c r="K48" s="86">
        <v>0</v>
      </c>
      <c r="L48" s="86">
        <v>0</v>
      </c>
      <c r="M48" s="86">
        <v>0</v>
      </c>
      <c r="N48" s="86">
        <v>0</v>
      </c>
      <c r="O48" s="86">
        <v>0</v>
      </c>
      <c r="P48" s="86">
        <v>0</v>
      </c>
      <c r="Q48" s="86">
        <v>0</v>
      </c>
      <c r="R48" s="86">
        <v>0</v>
      </c>
      <c r="S48" s="86">
        <v>0</v>
      </c>
      <c r="T48" s="86">
        <v>0</v>
      </c>
      <c r="U48" s="86">
        <v>0</v>
      </c>
      <c r="V48" s="86">
        <v>0</v>
      </c>
      <c r="W48" s="86">
        <v>0</v>
      </c>
      <c r="X48" s="86">
        <v>0</v>
      </c>
    </row>
    <row r="49" spans="2:24" ht="15.95" customHeight="1">
      <c r="B49" s="33" t="s">
        <v>34</v>
      </c>
      <c r="G49" s="86">
        <f>-'Development Schedule'!C74</f>
        <v>0</v>
      </c>
      <c r="H49" s="86">
        <f>-'Development Schedule'!D74</f>
        <v>-33969643.797560386</v>
      </c>
      <c r="I49" s="86">
        <f>-'Development Schedule'!E74</f>
        <v>-34477326.243953317</v>
      </c>
      <c r="J49" s="86">
        <v>0</v>
      </c>
      <c r="K49" s="86">
        <v>0</v>
      </c>
      <c r="L49" s="86">
        <v>0</v>
      </c>
      <c r="M49" s="86">
        <v>0</v>
      </c>
      <c r="N49" s="86">
        <v>0</v>
      </c>
      <c r="O49" s="86">
        <v>0</v>
      </c>
      <c r="P49" s="86">
        <v>0</v>
      </c>
      <c r="Q49" s="86">
        <v>0</v>
      </c>
      <c r="R49" s="86">
        <v>0</v>
      </c>
      <c r="S49" s="86">
        <v>0</v>
      </c>
      <c r="T49" s="86">
        <v>0</v>
      </c>
      <c r="U49" s="86">
        <v>0</v>
      </c>
      <c r="V49" s="86">
        <v>0</v>
      </c>
      <c r="W49" s="86">
        <v>0</v>
      </c>
      <c r="X49" s="86">
        <v>0</v>
      </c>
    </row>
    <row r="50" spans="2:24" ht="15.95" customHeight="1">
      <c r="B50" s="87" t="s">
        <v>435</v>
      </c>
      <c r="C50" s="88"/>
      <c r="D50" s="88"/>
      <c r="E50" s="88"/>
      <c r="F50" s="88"/>
      <c r="G50" s="164">
        <f t="shared" ref="G50:X50" si="16">SUM(G47:G49)</f>
        <v>0</v>
      </c>
      <c r="H50" s="164">
        <f t="shared" si="16"/>
        <v>-40005477.592292108</v>
      </c>
      <c r="I50" s="164">
        <f t="shared" si="16"/>
        <v>-34477326.243953317</v>
      </c>
      <c r="J50" s="89">
        <f t="shared" si="16"/>
        <v>0</v>
      </c>
      <c r="K50" s="89">
        <f t="shared" si="16"/>
        <v>0</v>
      </c>
      <c r="L50" s="89">
        <f t="shared" si="16"/>
        <v>0</v>
      </c>
      <c r="M50" s="89">
        <f t="shared" si="16"/>
        <v>0</v>
      </c>
      <c r="N50" s="89">
        <f t="shared" si="16"/>
        <v>0</v>
      </c>
      <c r="O50" s="89">
        <f t="shared" si="16"/>
        <v>0</v>
      </c>
      <c r="P50" s="89">
        <f t="shared" si="16"/>
        <v>0</v>
      </c>
      <c r="Q50" s="89">
        <f t="shared" si="16"/>
        <v>0</v>
      </c>
      <c r="R50" s="89">
        <f t="shared" si="16"/>
        <v>0</v>
      </c>
      <c r="S50" s="89">
        <f t="shared" si="16"/>
        <v>0</v>
      </c>
      <c r="T50" s="89">
        <f t="shared" si="16"/>
        <v>0</v>
      </c>
      <c r="U50" s="89">
        <f t="shared" si="16"/>
        <v>0</v>
      </c>
      <c r="V50" s="89">
        <f t="shared" si="16"/>
        <v>0</v>
      </c>
      <c r="W50" s="89">
        <f t="shared" si="16"/>
        <v>0</v>
      </c>
      <c r="X50" s="89">
        <f t="shared" si="16"/>
        <v>0</v>
      </c>
    </row>
    <row r="51" spans="2:24" ht="15.95" customHeight="1">
      <c r="G51" s="101"/>
      <c r="H51" s="101"/>
      <c r="I51" s="101"/>
      <c r="J51" s="101"/>
      <c r="K51" s="101"/>
      <c r="L51" s="101"/>
      <c r="M51" s="101"/>
      <c r="N51" s="101"/>
      <c r="O51" s="101"/>
      <c r="P51" s="101"/>
      <c r="Q51" s="101"/>
      <c r="R51" s="101"/>
      <c r="S51" s="101"/>
      <c r="T51" s="101"/>
      <c r="U51" s="101"/>
      <c r="V51" s="101"/>
      <c r="W51" s="101"/>
      <c r="X51" s="101"/>
    </row>
    <row r="52" spans="2:24" ht="15.95" customHeight="1">
      <c r="B52" s="37" t="s">
        <v>436</v>
      </c>
      <c r="G52" s="101"/>
      <c r="H52" s="101"/>
      <c r="I52" s="101"/>
      <c r="J52" s="101"/>
      <c r="K52" s="101"/>
      <c r="L52" s="101"/>
      <c r="M52" s="101"/>
      <c r="N52" s="101"/>
      <c r="O52" s="101"/>
      <c r="P52" s="101"/>
      <c r="Q52" s="101"/>
      <c r="R52" s="101"/>
      <c r="S52" s="101"/>
      <c r="T52" s="101"/>
      <c r="U52" s="101"/>
      <c r="V52" s="101"/>
      <c r="W52" s="101"/>
      <c r="X52" s="101"/>
    </row>
    <row r="53" spans="2:24">
      <c r="B53" s="33" t="s">
        <v>437</v>
      </c>
      <c r="G53" s="86">
        <f>-'Debt &amp; Equity Schedule'!D30</f>
        <v>0</v>
      </c>
      <c r="H53" s="86">
        <f>-'Debt &amp; Equity Schedule'!E30</f>
        <v>0</v>
      </c>
      <c r="I53" s="86">
        <f>-'Debt &amp; Equity Schedule'!F30</f>
        <v>0</v>
      </c>
      <c r="J53" s="86">
        <f>'Debt &amp; Equity Schedule'!F30</f>
        <v>0</v>
      </c>
      <c r="K53" s="86">
        <f>'Debt &amp; Equity Schedule'!G30</f>
        <v>-834564.47757268744</v>
      </c>
      <c r="L53" s="86">
        <f>'Debt &amp; Equity Schedule'!H30</f>
        <v>-794669.64541583892</v>
      </c>
      <c r="M53" s="86">
        <f>'Debt &amp; Equity Schedule'!I30</f>
        <v>-756681.91292066325</v>
      </c>
      <c r="N53" s="86">
        <f>'Debt &amp; Equity Schedule'!J30</f>
        <v>-720510.1146674077</v>
      </c>
      <c r="O53" s="86">
        <f>'Debt &amp; Equity Schedule'!K30</f>
        <v>-686067.44323287555</v>
      </c>
      <c r="P53" s="86">
        <f>'Debt &amp; Equity Schedule'!L30</f>
        <v>-653271.24086435337</v>
      </c>
      <c r="Q53" s="86">
        <f>'Debt &amp; Equity Schedule'!M30</f>
        <v>-622042.80111218384</v>
      </c>
      <c r="R53" s="86">
        <f>'Debt &amp; Equity Schedule'!N30</f>
        <v>-592307.17994493223</v>
      </c>
      <c r="S53" s="86">
        <f>'Debt &amp; Equity Schedule'!O30</f>
        <v>-563993.01589384931</v>
      </c>
      <c r="T53" s="86">
        <f>'Debt &amp; Equity Schedule'!P30</f>
        <v>-537032.3587949971</v>
      </c>
      <c r="U53" s="86">
        <f>'Debt &amp; Equity Schedule'!Q30</f>
        <v>-511360.50671804725</v>
      </c>
      <c r="V53" s="86">
        <f>'Debt &amp; Equity Schedule'!R30</f>
        <v>-486915.85069039988</v>
      </c>
      <c r="W53" s="86">
        <f>'Debt &amp; Equity Schedule'!S30</f>
        <v>-463639.72684398218</v>
      </c>
      <c r="X53" s="86">
        <f>'Debt &amp; Equity Schedule'!T30</f>
        <v>-441476.27562990051</v>
      </c>
    </row>
    <row r="54" spans="2:24" ht="15.95" customHeight="1">
      <c r="B54" s="33" t="s">
        <v>438</v>
      </c>
      <c r="G54" s="86">
        <f>'Debt &amp; Equity Schedule'!C20</f>
        <v>0</v>
      </c>
      <c r="H54" s="86">
        <f>'Debt &amp; Equity Schedule'!D20</f>
        <v>0</v>
      </c>
      <c r="I54" s="86">
        <f>'Debt &amp; Equity Schedule'!E20</f>
        <v>0</v>
      </c>
      <c r="J54" s="86">
        <f>'Debt &amp; Equity Schedule'!F20</f>
        <v>-932973.00858448714</v>
      </c>
      <c r="K54" s="86">
        <f>'Debt &amp; Equity Schedule'!G29</f>
        <v>-1400377.1569030099</v>
      </c>
      <c r="L54" s="86">
        <f>'Debt &amp; Equity Schedule'!H29</f>
        <v>-1198170.647102115</v>
      </c>
      <c r="M54" s="86">
        <f>'Debt &amp; Equity Schedule'!I29</f>
        <v>-1020282.8051824612</v>
      </c>
      <c r="N54" s="86">
        <f>'Debt &amp; Equity Schedule'!J29</f>
        <v>-863963.87516430381</v>
      </c>
      <c r="O54" s="86">
        <f>'Debt &amp; Equity Schedule'!K29</f>
        <v>-726767.48752095166</v>
      </c>
      <c r="P54" s="86">
        <f>'Debt &amp; Equity Schedule'!L29</f>
        <v>-606517.53090979217</v>
      </c>
      <c r="Q54" s="86">
        <f>'Debt &amp; Equity Schedule'!M29</f>
        <v>-501278.62515055737</v>
      </c>
      <c r="R54" s="86">
        <f>'Debt &amp; Equity Schedule'!N29</f>
        <v>-409329.80474092811</v>
      </c>
      <c r="S54" s="86">
        <f>'Debt &amp; Equity Schedule'!O29</f>
        <v>-329141.06455225765</v>
      </c>
      <c r="T54" s="86">
        <f>'Debt &amp; Equity Schedule'!P29</f>
        <v>-259352.45711162512</v>
      </c>
      <c r="U54" s="86">
        <f>'Debt &amp; Equity Schedule'!Q29</f>
        <v>-198755.46454780881</v>
      </c>
      <c r="V54" s="86">
        <f>'Debt &amp; Equity Schedule'!R29</f>
        <v>-146276.39830141948</v>
      </c>
      <c r="W54" s="86">
        <f>'Debt &amp; Equity Schedule'!S29</f>
        <v>-100961.60646867949</v>
      </c>
      <c r="X54" s="86">
        <f>'Debt &amp; Equity Schedule'!T29</f>
        <v>-61964.292516652764</v>
      </c>
    </row>
    <row r="55" spans="2:24" ht="15.95" customHeight="1">
      <c r="B55" s="33" t="s">
        <v>439</v>
      </c>
      <c r="G55" s="101"/>
      <c r="H55" s="101"/>
      <c r="I55" s="101"/>
      <c r="J55" s="101"/>
      <c r="K55" s="101"/>
      <c r="L55" s="101"/>
      <c r="M55" s="101"/>
      <c r="N55" s="101"/>
      <c r="O55" s="101"/>
      <c r="P55" s="101"/>
      <c r="Q55" s="101"/>
      <c r="R55" s="101"/>
      <c r="S55" s="101"/>
      <c r="T55" s="101"/>
      <c r="U55" s="101"/>
      <c r="V55" s="101"/>
      <c r="W55" s="101"/>
      <c r="X55" s="160">
        <f>-'Debt &amp; Equity Schedule'!T31</f>
        <v>-4144035.8858716888</v>
      </c>
    </row>
    <row r="56" spans="2:24" ht="15.95" customHeight="1">
      <c r="B56" s="95" t="s">
        <v>440</v>
      </c>
      <c r="C56" s="88"/>
      <c r="D56" s="88"/>
      <c r="E56" s="88"/>
      <c r="F56" s="88"/>
      <c r="G56" s="165">
        <f>SUM(G53:G54)</f>
        <v>0</v>
      </c>
      <c r="H56" s="165">
        <f>SUM(H53:H54)</f>
        <v>0</v>
      </c>
      <c r="I56" s="165">
        <f>SUM(I53:I54)</f>
        <v>0</v>
      </c>
      <c r="J56" s="161">
        <f t="shared" ref="J56:W56" si="17">SUM(J53:J55)</f>
        <v>-932973.00858448714</v>
      </c>
      <c r="K56" s="161">
        <f t="shared" si="17"/>
        <v>-2234941.6344756973</v>
      </c>
      <c r="L56" s="161">
        <f t="shared" si="17"/>
        <v>-1992840.292517954</v>
      </c>
      <c r="M56" s="161">
        <f t="shared" si="17"/>
        <v>-1776964.7181031243</v>
      </c>
      <c r="N56" s="161">
        <f t="shared" si="17"/>
        <v>-1584473.9898317116</v>
      </c>
      <c r="O56" s="161">
        <f t="shared" si="17"/>
        <v>-1412834.9307538271</v>
      </c>
      <c r="P56" s="161">
        <f t="shared" si="17"/>
        <v>-1259788.7717741455</v>
      </c>
      <c r="Q56" s="161">
        <f t="shared" si="17"/>
        <v>-1123321.4262627412</v>
      </c>
      <c r="R56" s="161">
        <f t="shared" si="17"/>
        <v>-1001636.9846858603</v>
      </c>
      <c r="S56" s="161">
        <f t="shared" si="17"/>
        <v>-893134.08044610696</v>
      </c>
      <c r="T56" s="161">
        <f t="shared" si="17"/>
        <v>-796384.81590662221</v>
      </c>
      <c r="U56" s="161">
        <f t="shared" si="17"/>
        <v>-710115.97126585606</v>
      </c>
      <c r="V56" s="161">
        <f t="shared" si="17"/>
        <v>-633192.24899181933</v>
      </c>
      <c r="W56" s="161">
        <f t="shared" si="17"/>
        <v>-564601.33331266162</v>
      </c>
      <c r="X56" s="161">
        <f>SUM(X53:X55)</f>
        <v>-4647476.4540182417</v>
      </c>
    </row>
    <row r="57" spans="2:24" ht="15.95" customHeight="1">
      <c r="G57" s="101"/>
      <c r="H57" s="101"/>
      <c r="I57" s="101"/>
      <c r="J57" s="101"/>
      <c r="K57" s="101"/>
      <c r="L57" s="101"/>
      <c r="M57" s="101"/>
      <c r="N57" s="101"/>
      <c r="O57" s="101"/>
      <c r="P57" s="101"/>
      <c r="Q57" s="101"/>
      <c r="R57" s="101"/>
      <c r="S57" s="101"/>
      <c r="T57" s="101"/>
      <c r="U57" s="101"/>
      <c r="V57" s="101"/>
      <c r="W57" s="101"/>
      <c r="X57" s="101"/>
    </row>
    <row r="58" spans="2:24" ht="15.95" customHeight="1">
      <c r="B58" s="56" t="s">
        <v>441</v>
      </c>
      <c r="G58" s="93"/>
      <c r="H58" s="86"/>
      <c r="I58" s="86"/>
      <c r="J58" s="86"/>
      <c r="K58" s="86"/>
      <c r="L58" s="86"/>
      <c r="M58" s="86"/>
      <c r="N58" s="86"/>
      <c r="O58" s="86"/>
      <c r="P58" s="86"/>
      <c r="Q58" s="90"/>
      <c r="R58" s="90"/>
      <c r="S58" s="101"/>
      <c r="T58" s="101"/>
      <c r="U58" s="101"/>
      <c r="V58" s="101"/>
      <c r="W58" s="101"/>
      <c r="X58" s="86">
        <f>X44/$C$13</f>
        <v>299441256.82645965</v>
      </c>
    </row>
    <row r="59" spans="2:24" ht="15.95" customHeight="1">
      <c r="B59" s="33" t="s">
        <v>442</v>
      </c>
      <c r="G59" s="93"/>
      <c r="H59" s="86"/>
      <c r="I59" s="86"/>
      <c r="J59" s="86"/>
      <c r="K59" s="86"/>
      <c r="L59" s="86"/>
      <c r="M59" s="86"/>
      <c r="N59" s="86"/>
      <c r="O59" s="86"/>
      <c r="P59" s="86"/>
      <c r="Q59" s="90"/>
      <c r="R59" s="90"/>
      <c r="S59" s="101"/>
      <c r="T59" s="101"/>
      <c r="U59" s="101"/>
      <c r="V59" s="101"/>
      <c r="W59" s="101"/>
      <c r="X59" s="86">
        <f>'Hypothetical Development'!I8</f>
        <v>-431907.78998148337</v>
      </c>
    </row>
    <row r="60" spans="2:24" ht="15.95" customHeight="1">
      <c r="B60" s="97" t="s">
        <v>443</v>
      </c>
      <c r="C60" s="88"/>
      <c r="D60" s="88"/>
      <c r="E60" s="88"/>
      <c r="F60" s="88"/>
      <c r="G60" s="164">
        <f>G44+G50+G56</f>
        <v>0</v>
      </c>
      <c r="H60" s="164">
        <f>H50+H56+H44</f>
        <v>-40052586.338568807</v>
      </c>
      <c r="I60" s="164">
        <f t="shared" ref="I60:W60" si="18">I44+I50+I56</f>
        <v>-39827819.319981612</v>
      </c>
      <c r="J60" s="89">
        <f t="shared" si="18"/>
        <v>5066331.2035364965</v>
      </c>
      <c r="K60" s="89">
        <f t="shared" si="18"/>
        <v>6101012.3073478937</v>
      </c>
      <c r="L60" s="89">
        <f t="shared" si="18"/>
        <v>6747895.6158197932</v>
      </c>
      <c r="M60" s="89">
        <f t="shared" si="18"/>
        <v>7388099.0955741275</v>
      </c>
      <c r="N60" s="89">
        <f t="shared" si="18"/>
        <v>8025404.7831848208</v>
      </c>
      <c r="O60" s="89">
        <f t="shared" si="18"/>
        <v>8663332.2170573417</v>
      </c>
      <c r="P60" s="89">
        <f t="shared" si="18"/>
        <v>9305173.9476640522</v>
      </c>
      <c r="Q60" s="89">
        <f t="shared" si="18"/>
        <v>9954027.5409538783</v>
      </c>
      <c r="R60" s="89">
        <f t="shared" si="18"/>
        <v>10612824.471133683</v>
      </c>
      <c r="S60" s="89">
        <f t="shared" si="18"/>
        <v>11284356.256883716</v>
      </c>
      <c r="T60" s="89">
        <f t="shared" si="18"/>
        <v>11971298.157536743</v>
      </c>
      <c r="U60" s="89">
        <f t="shared" si="18"/>
        <v>12676230.712322546</v>
      </c>
      <c r="V60" s="89">
        <f t="shared" si="18"/>
        <v>13401659.376014078</v>
      </c>
      <c r="W60" s="89">
        <f t="shared" si="18"/>
        <v>14150032.477813898</v>
      </c>
      <c r="X60" s="89">
        <f>X44+X50+X56+X58+X59</f>
        <v>309793078.68425012</v>
      </c>
    </row>
    <row r="61" spans="2:24" ht="15.95" customHeight="1">
      <c r="B61" s="37" t="s">
        <v>444</v>
      </c>
      <c r="G61" s="263">
        <f>IF(G60=0,0,G60/G60-1)</f>
        <v>0</v>
      </c>
      <c r="H61" s="263">
        <f>IF(G60=0,0,H60/G60-1)</f>
        <v>0</v>
      </c>
      <c r="I61" s="263">
        <f>IF(I60=0,0,I60/H60-1)</f>
        <v>-5.6117978671144098E-3</v>
      </c>
      <c r="J61" s="263">
        <f>IF(I60=0,0,-(J60/I60-1))</f>
        <v>1.1272058397883391</v>
      </c>
      <c r="K61" s="263">
        <f>IF(K60=0,0,K60/J60-1)</f>
        <v>0.20422689758007717</v>
      </c>
      <c r="L61" s="263">
        <f t="shared" ref="L61:Q61" si="19">IF(L60=0,0,L60/K60-1)</f>
        <v>0.10602884830978154</v>
      </c>
      <c r="M61" s="263">
        <f t="shared" si="19"/>
        <v>9.4874538108360662E-2</v>
      </c>
      <c r="N61" s="263">
        <f t="shared" si="19"/>
        <v>8.6261117963682077E-2</v>
      </c>
      <c r="O61" s="263">
        <f t="shared" si="19"/>
        <v>7.9488505702433043E-2</v>
      </c>
      <c r="P61" s="263">
        <f t="shared" si="19"/>
        <v>7.4087165830138746E-2</v>
      </c>
      <c r="Q61" s="263">
        <f t="shared" si="19"/>
        <v>6.9730409870813137E-2</v>
      </c>
      <c r="R61" s="263">
        <f>IF(R60=0,0,R60/Q60-1)</f>
        <v>6.6183956942987621E-2</v>
      </c>
      <c r="S61" s="263">
        <f t="shared" ref="S61:X61" si="20">IF(S60=0,0,S60/R60-1)</f>
        <v>6.327550102958579E-2</v>
      </c>
      <c r="T61" s="263">
        <f t="shared" si="20"/>
        <v>6.0875594940028366E-2</v>
      </c>
      <c r="U61" s="263">
        <f t="shared" si="20"/>
        <v>5.8885222430284268E-2</v>
      </c>
      <c r="V61" s="263">
        <f t="shared" si="20"/>
        <v>5.7227474014522661E-2</v>
      </c>
      <c r="W61" s="263">
        <f t="shared" si="20"/>
        <v>5.5841823822148307E-2</v>
      </c>
      <c r="X61" s="263">
        <f t="shared" si="20"/>
        <v>20.89345354294985</v>
      </c>
    </row>
    <row r="62" spans="2:24">
      <c r="G62" s="93"/>
      <c r="H62" s="93"/>
      <c r="I62" s="93"/>
      <c r="J62" s="93"/>
      <c r="K62" s="93"/>
      <c r="L62" s="93"/>
      <c r="M62" s="93"/>
      <c r="N62" s="93"/>
      <c r="O62" s="93"/>
      <c r="P62" s="93"/>
      <c r="Q62" s="93"/>
    </row>
    <row r="63" spans="2:24">
      <c r="B63" s="17" t="s">
        <v>445</v>
      </c>
      <c r="G63" s="86">
        <f t="shared" ref="G63:X63" si="21">G26</f>
        <v>0.12328767123287671</v>
      </c>
      <c r="H63" s="86">
        <f t="shared" si="21"/>
        <v>1.1232876712328768</v>
      </c>
      <c r="I63" s="86">
        <f t="shared" si="21"/>
        <v>2.1232876712328768</v>
      </c>
      <c r="J63" s="86">
        <f t="shared" si="21"/>
        <v>3.1232876712328768</v>
      </c>
      <c r="K63" s="86">
        <f t="shared" si="21"/>
        <v>4.1232876712328768</v>
      </c>
      <c r="L63" s="86">
        <f t="shared" si="21"/>
        <v>5.1232876712328768</v>
      </c>
      <c r="M63" s="86">
        <f t="shared" si="21"/>
        <v>6.1232876712328768</v>
      </c>
      <c r="N63" s="86">
        <f t="shared" si="21"/>
        <v>7.1232876712328768</v>
      </c>
      <c r="O63" s="86">
        <f t="shared" si="21"/>
        <v>8.1232876712328768</v>
      </c>
      <c r="P63" s="86">
        <f t="shared" si="21"/>
        <v>9.1232876712328768</v>
      </c>
      <c r="Q63" s="86">
        <f t="shared" si="21"/>
        <v>10.123287671232877</v>
      </c>
      <c r="R63" s="86">
        <f t="shared" si="21"/>
        <v>11.123287671232877</v>
      </c>
      <c r="S63" s="86">
        <f t="shared" si="21"/>
        <v>12.123287671232877</v>
      </c>
      <c r="T63" s="86">
        <f t="shared" si="21"/>
        <v>13.123287671232877</v>
      </c>
      <c r="U63" s="86">
        <f t="shared" si="21"/>
        <v>14.123287671232877</v>
      </c>
      <c r="V63" s="86">
        <f t="shared" si="21"/>
        <v>15.123287671232877</v>
      </c>
      <c r="W63" s="86">
        <f t="shared" si="21"/>
        <v>16.123287671232877</v>
      </c>
      <c r="X63" s="86">
        <f t="shared" si="21"/>
        <v>17.123287671232877</v>
      </c>
    </row>
    <row r="64" spans="2:24">
      <c r="B64" s="97" t="s">
        <v>446</v>
      </c>
      <c r="C64" s="97"/>
      <c r="D64" s="97"/>
      <c r="E64" s="97"/>
      <c r="F64" s="97"/>
      <c r="G64" s="164">
        <f t="shared" ref="G64:X64" si="22">G60/(1+$C$12)^G63</f>
        <v>0</v>
      </c>
      <c r="H64" s="164">
        <f t="shared" si="22"/>
        <v>-36915923.865743652</v>
      </c>
      <c r="I64" s="164">
        <f t="shared" si="22"/>
        <v>-34138158.728622854</v>
      </c>
      <c r="J64" s="89">
        <f t="shared" si="22"/>
        <v>4038476.2346234294</v>
      </c>
      <c r="K64" s="89">
        <f t="shared" si="22"/>
        <v>4522683.9891635422</v>
      </c>
      <c r="L64" s="89">
        <f t="shared" si="22"/>
        <v>4651929.1001831759</v>
      </c>
      <c r="M64" s="89">
        <f t="shared" si="22"/>
        <v>4736612.2289012456</v>
      </c>
      <c r="N64" s="89">
        <f t="shared" si="22"/>
        <v>4784895.4748584917</v>
      </c>
      <c r="O64" s="89">
        <f t="shared" si="22"/>
        <v>4803533.968826442</v>
      </c>
      <c r="P64" s="89">
        <f t="shared" si="22"/>
        <v>4798116.4295213176</v>
      </c>
      <c r="Q64" s="89">
        <f t="shared" si="22"/>
        <v>4773264.6356869685</v>
      </c>
      <c r="R64" s="89">
        <f t="shared" si="22"/>
        <v>4732798.8294879794</v>
      </c>
      <c r="S64" s="89">
        <f t="shared" si="22"/>
        <v>4679874.8690672936</v>
      </c>
      <c r="T64" s="89">
        <f t="shared" si="22"/>
        <v>4617097.9546292108</v>
      </c>
      <c r="U64" s="89">
        <f t="shared" si="22"/>
        <v>4546616.9285703907</v>
      </c>
      <c r="V64" s="89">
        <f t="shared" si="22"/>
        <v>4470202.467027247</v>
      </c>
      <c r="W64" s="89">
        <f t="shared" si="22"/>
        <v>4389311.9137138072</v>
      </c>
      <c r="X64" s="89">
        <f t="shared" si="22"/>
        <v>89367808.153182358</v>
      </c>
    </row>
    <row r="65" spans="2:24">
      <c r="B65" s="56" t="s">
        <v>447</v>
      </c>
      <c r="G65" s="93"/>
      <c r="H65" s="86"/>
      <c r="I65" s="86"/>
      <c r="J65" s="86"/>
      <c r="K65" s="86"/>
      <c r="L65" s="86"/>
      <c r="M65" s="86"/>
      <c r="N65" s="86"/>
      <c r="O65" s="86"/>
      <c r="P65" s="86"/>
      <c r="Q65" s="90"/>
      <c r="R65" s="90"/>
      <c r="S65" s="101"/>
      <c r="T65" s="101"/>
      <c r="U65" s="101"/>
      <c r="V65" s="101"/>
      <c r="W65" s="101"/>
      <c r="X65" s="86">
        <f>X58/(1+$C$12)^X63</f>
        <v>86381557.996296674</v>
      </c>
    </row>
    <row r="66" spans="2:24">
      <c r="H66" s="99"/>
      <c r="I66" s="99"/>
      <c r="J66" s="99"/>
      <c r="K66" s="99"/>
      <c r="L66" s="99"/>
      <c r="M66" s="99"/>
      <c r="N66" s="99"/>
      <c r="O66" s="99"/>
      <c r="P66" s="99"/>
      <c r="Q66" s="99"/>
    </row>
    <row r="67" spans="2:24">
      <c r="B67" s="16" t="s">
        <v>448</v>
      </c>
      <c r="C67" s="15"/>
      <c r="E67" s="100"/>
      <c r="H67" s="312"/>
    </row>
    <row r="68" spans="2:24">
      <c r="B68" s="17" t="s">
        <v>449</v>
      </c>
      <c r="C68" s="38">
        <f>SUM(G64:X64)</f>
        <v>82859140.583076388</v>
      </c>
      <c r="J68" s="23"/>
      <c r="K68" s="23"/>
      <c r="L68" s="23"/>
      <c r="M68" s="23"/>
    </row>
    <row r="69" spans="2:24">
      <c r="B69" s="17" t="s">
        <v>450</v>
      </c>
      <c r="C69" s="166">
        <f>IRR(H60:X60,1)</f>
        <v>0.14910339926937688</v>
      </c>
      <c r="G69" s="101"/>
      <c r="P69" s="101"/>
    </row>
    <row r="70" spans="2:24">
      <c r="B70" s="17" t="s">
        <v>451</v>
      </c>
      <c r="C70" s="166">
        <f>(SUM(G60:X60)/-('Hypothetical Development'!I19+'Hypothetical Development'!I24))/17</f>
        <v>0.32300814926097005</v>
      </c>
      <c r="G70" s="101"/>
    </row>
    <row r="71" spans="2:24">
      <c r="B71" s="17" t="s">
        <v>452</v>
      </c>
      <c r="C71" s="166">
        <f>(SUM(G64:X64)/((1-'Debt &amp; Equity Schedule'!C8)*-('Hypothetical Development'!I19+'Hypothetical Development'!I24)))/17</f>
        <v>0.10922670034527721</v>
      </c>
      <c r="D71" s="69"/>
      <c r="E71" s="69"/>
    </row>
    <row r="72" spans="2:24">
      <c r="B72" s="17" t="s">
        <v>453</v>
      </c>
      <c r="C72" s="166">
        <f>(SUM(G64:X64)/-('Hypothetical Development'!I19+'Hypothetical Development'!I24))/17</f>
        <v>7.3274248250609353E-2</v>
      </c>
      <c r="D72" s="69"/>
      <c r="E72" s="69"/>
    </row>
    <row r="85" spans="2:2">
      <c r="B85" s="37"/>
    </row>
    <row r="92" spans="2:2">
      <c r="B92" s="37"/>
    </row>
  </sheetData>
  <mergeCells count="2">
    <mergeCell ref="G29:I29"/>
    <mergeCell ref="J29:X29"/>
  </mergeCells>
  <phoneticPr fontId="2" type="noConversion"/>
  <pageMargins left="0.7" right="0.7" top="0.75" bottom="0.75" header="0.3" footer="0.3"/>
  <pageSetup paperSize="9" orientation="portrait" horizontalDpi="0" verticalDpi="0"/>
  <ignoredErrors>
    <ignoredError sqref="I61:J61" formula="1"/>
  </ignoredError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C0962-7DA1-8441-B90D-5BF575160F95}">
  <sheetPr>
    <tabColor rgb="FFFF0000"/>
  </sheetPr>
  <dimension ref="B1:I37"/>
  <sheetViews>
    <sheetView topLeftCell="A10" zoomScale="111" workbookViewId="0">
      <selection activeCell="C28" sqref="C28"/>
    </sheetView>
  </sheetViews>
  <sheetFormatPr defaultColWidth="10.875" defaultRowHeight="15.95"/>
  <cols>
    <col min="1" max="1" width="10.875" style="17"/>
    <col min="2" max="2" width="39.625" style="17" customWidth="1"/>
    <col min="3" max="3" width="14.875" style="17" customWidth="1"/>
    <col min="4" max="4" width="19.125" style="17" customWidth="1"/>
    <col min="5" max="5" width="20" style="17" customWidth="1"/>
    <col min="6" max="6" width="11" style="17" bestFit="1" customWidth="1"/>
    <col min="7" max="7" width="10.875" style="17"/>
    <col min="8" max="8" width="40.5" style="17" customWidth="1"/>
    <col min="9" max="9" width="20.625" style="17" customWidth="1"/>
    <col min="10" max="10" width="41.125" style="17" customWidth="1"/>
    <col min="11" max="16384" width="10.875" style="17"/>
  </cols>
  <sheetData>
    <row r="1" spans="2:9" s="15" customFormat="1" ht="27">
      <c r="B1" s="14" t="s">
        <v>454</v>
      </c>
    </row>
    <row r="2" spans="2:9" s="15" customFormat="1">
      <c r="B2" s="16" t="s">
        <v>1</v>
      </c>
    </row>
    <row r="6" spans="2:9">
      <c r="B6" s="16" t="s">
        <v>319</v>
      </c>
      <c r="C6" s="53"/>
      <c r="H6" s="16" t="s">
        <v>455</v>
      </c>
      <c r="I6" s="65" t="s">
        <v>456</v>
      </c>
    </row>
    <row r="7" spans="2:9">
      <c r="B7" s="17" t="s">
        <v>457</v>
      </c>
      <c r="C7" s="112">
        <f>DCF!X65</f>
        <v>86381557.996296674</v>
      </c>
      <c r="H7" s="17" t="s">
        <v>458</v>
      </c>
      <c r="I7" s="160">
        <f>C7</f>
        <v>86381557.996296674</v>
      </c>
    </row>
    <row r="8" spans="2:9">
      <c r="B8" s="122" t="s">
        <v>459</v>
      </c>
      <c r="C8" s="123">
        <v>5.0000000000000001E-3</v>
      </c>
      <c r="H8" s="124" t="s">
        <v>460</v>
      </c>
      <c r="I8" s="160">
        <f>-I7*C8</f>
        <v>-431907.78998148337</v>
      </c>
    </row>
    <row r="9" spans="2:9">
      <c r="B9" s="17" t="s">
        <v>461</v>
      </c>
      <c r="C9" s="47">
        <v>0.17</v>
      </c>
      <c r="D9" s="283">
        <f>C9</f>
        <v>0.17</v>
      </c>
      <c r="H9" s="17" t="s">
        <v>462</v>
      </c>
      <c r="I9" s="160">
        <f>I7+I8</f>
        <v>85949650.20631519</v>
      </c>
    </row>
    <row r="10" spans="2:9">
      <c r="B10" s="122" t="s">
        <v>463</v>
      </c>
      <c r="C10" s="125">
        <f>'Development Schedule'!G45</f>
        <v>182639.444636</v>
      </c>
      <c r="H10" s="124" t="s">
        <v>464</v>
      </c>
      <c r="I10" s="160">
        <f>-I9*(C9/(1+C9))</f>
        <v>-12488410.713738106</v>
      </c>
    </row>
    <row r="11" spans="2:9">
      <c r="B11" s="17" t="s">
        <v>465</v>
      </c>
      <c r="C11" s="57">
        <f>'Expenditure Schedule'!C28</f>
        <v>62500</v>
      </c>
      <c r="H11" s="97" t="s">
        <v>462</v>
      </c>
      <c r="I11" s="161">
        <f>I9+I10</f>
        <v>73461239.492577076</v>
      </c>
    </row>
    <row r="12" spans="2:9">
      <c r="B12" s="30" t="s">
        <v>350</v>
      </c>
      <c r="C12" s="126">
        <f>'Expenditure Schedule'!C26</f>
        <v>224.32</v>
      </c>
      <c r="I12" s="101"/>
    </row>
    <row r="13" spans="2:9">
      <c r="B13" s="17" t="s">
        <v>466</v>
      </c>
      <c r="C13" s="127">
        <v>24</v>
      </c>
      <c r="H13" s="17" t="s">
        <v>304</v>
      </c>
      <c r="I13" s="101">
        <f>-'Development Schedule'!G27</f>
        <v>-61397428.213000007</v>
      </c>
    </row>
    <row r="14" spans="2:9">
      <c r="B14" s="30" t="s">
        <v>467</v>
      </c>
      <c r="C14" s="128">
        <v>6</v>
      </c>
      <c r="H14" s="17" t="s">
        <v>159</v>
      </c>
      <c r="I14" s="101">
        <f>-('Development Schedule'!G45)</f>
        <v>-182639.444636</v>
      </c>
    </row>
    <row r="15" spans="2:9">
      <c r="B15" s="17" t="s">
        <v>468</v>
      </c>
      <c r="C15" s="127">
        <v>6</v>
      </c>
      <c r="H15" s="17" t="s">
        <v>311</v>
      </c>
      <c r="I15" s="101">
        <f>-SUM('Development Schedule'!G49)</f>
        <v>-1841922.8463900001</v>
      </c>
    </row>
    <row r="16" spans="2:9">
      <c r="B16" s="30" t="s">
        <v>84</v>
      </c>
      <c r="C16" s="129">
        <f>Assumptions!L52</f>
        <v>7.050147058823529E-2</v>
      </c>
      <c r="H16" s="17" t="s">
        <v>195</v>
      </c>
      <c r="I16" s="101">
        <f>-SUM('Development Schedule'!G53)</f>
        <v>-1841922.8463900001</v>
      </c>
    </row>
    <row r="17" spans="2:9">
      <c r="B17" s="17" t="s">
        <v>469</v>
      </c>
      <c r="C17" s="47">
        <v>0.02</v>
      </c>
      <c r="H17" s="17" t="s">
        <v>315</v>
      </c>
      <c r="I17" s="101">
        <f>-SUM('Development Schedule'!G63)</f>
        <v>-194038.84940000004</v>
      </c>
    </row>
    <row r="18" spans="2:9">
      <c r="H18" s="17" t="s">
        <v>316</v>
      </c>
      <c r="I18" s="101">
        <f>-SUM('Development Schedule'!G72)</f>
        <v>-189944.42852000004</v>
      </c>
    </row>
    <row r="19" spans="2:9">
      <c r="B19" s="16" t="s">
        <v>470</v>
      </c>
      <c r="C19" s="65" t="s">
        <v>166</v>
      </c>
      <c r="D19" s="65" t="s">
        <v>471</v>
      </c>
      <c r="E19" s="65" t="s">
        <v>472</v>
      </c>
      <c r="F19" s="65" t="s">
        <v>473</v>
      </c>
      <c r="H19" s="92" t="s">
        <v>47</v>
      </c>
      <c r="I19" s="205">
        <f>SUM(I13:I18)</f>
        <v>-65647896.628336012</v>
      </c>
    </row>
    <row r="20" spans="2:9" ht="17.100000000000001">
      <c r="B20" s="132" t="s">
        <v>474</v>
      </c>
      <c r="C20" s="133">
        <v>45239</v>
      </c>
      <c r="D20" s="23">
        <v>750000</v>
      </c>
      <c r="E20" s="17">
        <v>247</v>
      </c>
      <c r="F20" s="17">
        <f>D20/E20</f>
        <v>3036.4372469635628</v>
      </c>
      <c r="I20" s="101"/>
    </row>
    <row r="21" spans="2:9">
      <c r="B21" s="122" t="s">
        <v>475</v>
      </c>
      <c r="C21" s="134">
        <v>45215</v>
      </c>
      <c r="D21" s="135">
        <v>833000</v>
      </c>
      <c r="E21" s="30">
        <v>366</v>
      </c>
      <c r="F21" s="30">
        <f t="shared" ref="F21:F24" si="0">D21/E21</f>
        <v>2275.9562841530055</v>
      </c>
      <c r="H21" s="56" t="s">
        <v>350</v>
      </c>
      <c r="I21" s="101">
        <f>C12</f>
        <v>224.32</v>
      </c>
    </row>
    <row r="22" spans="2:9" ht="17.100000000000001">
      <c r="B22" s="132" t="s">
        <v>476</v>
      </c>
      <c r="C22" s="133">
        <v>45388</v>
      </c>
      <c r="D22" s="23">
        <v>770000</v>
      </c>
      <c r="E22" s="17">
        <v>301</v>
      </c>
      <c r="F22" s="17">
        <f t="shared" si="0"/>
        <v>2558.1395348837209</v>
      </c>
      <c r="H22" s="56" t="s">
        <v>477</v>
      </c>
      <c r="I22" s="168">
        <f>'Debt &amp; Equity Schedule'!F20</f>
        <v>-932973.00858448714</v>
      </c>
    </row>
    <row r="23" spans="2:9" ht="17.100000000000001">
      <c r="B23" s="136" t="s">
        <v>478</v>
      </c>
      <c r="C23" s="134">
        <v>45114</v>
      </c>
      <c r="D23" s="135">
        <v>690000</v>
      </c>
      <c r="E23" s="30">
        <v>380</v>
      </c>
      <c r="F23" s="30">
        <f t="shared" si="0"/>
        <v>1815.7894736842106</v>
      </c>
      <c r="H23" s="56" t="s">
        <v>479</v>
      </c>
      <c r="I23" s="168">
        <f>C11</f>
        <v>62500</v>
      </c>
    </row>
    <row r="24" spans="2:9" ht="17.100000000000001">
      <c r="B24" s="132" t="s">
        <v>480</v>
      </c>
      <c r="C24" s="133">
        <v>45414</v>
      </c>
      <c r="D24" s="17">
        <v>878000</v>
      </c>
      <c r="E24" s="17">
        <v>384</v>
      </c>
      <c r="F24" s="17">
        <f t="shared" si="0"/>
        <v>2286.4583333333335</v>
      </c>
      <c r="H24" s="92" t="s">
        <v>481</v>
      </c>
      <c r="I24" s="205">
        <f>SUM(I21:I23)</f>
        <v>-870248.68858448719</v>
      </c>
    </row>
    <row r="25" spans="2:9">
      <c r="B25" s="137" t="s">
        <v>76</v>
      </c>
      <c r="C25" s="138" t="s">
        <v>109</v>
      </c>
      <c r="D25" s="139">
        <f>AVERAGE(D20:D24)</f>
        <v>784200</v>
      </c>
      <c r="E25" s="139">
        <f>AVERAGE(E20:E24)</f>
        <v>335.6</v>
      </c>
      <c r="F25" s="139">
        <f>AVERAGE(F20:F24)</f>
        <v>2394.5561746035664</v>
      </c>
      <c r="I25" s="101"/>
    </row>
    <row r="26" spans="2:9">
      <c r="B26" s="17" t="s">
        <v>482</v>
      </c>
      <c r="E26" s="22">
        <v>2456</v>
      </c>
      <c r="H26" s="97" t="s">
        <v>32</v>
      </c>
      <c r="I26" s="161">
        <f>I11+I19+I24</f>
        <v>6943094.1756565766</v>
      </c>
    </row>
    <row r="27" spans="2:9">
      <c r="B27" s="17" t="s">
        <v>483</v>
      </c>
    </row>
    <row r="28" spans="2:9">
      <c r="H28" s="17" t="s">
        <v>484</v>
      </c>
      <c r="I28" s="101">
        <f>-(I26*(C13+C15+0.5*C14)/12*C16/(1+C16))</f>
        <v>-1257467.1768133242</v>
      </c>
    </row>
    <row r="29" spans="2:9">
      <c r="B29" s="140" t="s">
        <v>485</v>
      </c>
      <c r="C29" s="109">
        <f>E26*F25</f>
        <v>5881029.9648263594</v>
      </c>
      <c r="H29" s="97" t="s">
        <v>486</v>
      </c>
      <c r="I29" s="161">
        <f>I26+I28</f>
        <v>5685626.9988432527</v>
      </c>
    </row>
    <row r="30" spans="2:9">
      <c r="I30" s="101"/>
    </row>
    <row r="31" spans="2:9">
      <c r="H31" s="17" t="s">
        <v>487</v>
      </c>
      <c r="I31" s="101">
        <f>-(I26*C17/(1+C17))</f>
        <v>-136139.10148346229</v>
      </c>
    </row>
    <row r="32" spans="2:9">
      <c r="C32" s="29" t="s">
        <v>488</v>
      </c>
      <c r="D32" s="29" t="s">
        <v>489</v>
      </c>
      <c r="H32" s="97" t="s">
        <v>490</v>
      </c>
      <c r="I32" s="161">
        <f>I29+I31</f>
        <v>5549487.8973597903</v>
      </c>
    </row>
    <row r="33" spans="2:9">
      <c r="B33" s="78" t="s">
        <v>485</v>
      </c>
      <c r="C33" s="22">
        <f>C29</f>
        <v>5881029.9648263594</v>
      </c>
      <c r="D33" s="130">
        <v>0.6</v>
      </c>
      <c r="I33" s="101"/>
    </row>
    <row r="34" spans="2:9">
      <c r="B34" s="78" t="s">
        <v>491</v>
      </c>
      <c r="C34" s="22">
        <f>I32</f>
        <v>5549487.8973597903</v>
      </c>
      <c r="D34" s="130">
        <v>0.4</v>
      </c>
      <c r="H34" s="16" t="s">
        <v>492</v>
      </c>
      <c r="I34" s="206"/>
    </row>
    <row r="35" spans="2:9">
      <c r="H35" s="17" t="s">
        <v>493</v>
      </c>
      <c r="I35" s="101">
        <f>I7</f>
        <v>86381557.996296674</v>
      </c>
    </row>
    <row r="36" spans="2:9">
      <c r="H36" s="71" t="s">
        <v>494</v>
      </c>
      <c r="I36" s="101">
        <f>(I8+I10+I19+I24+I28+I31)</f>
        <v>-80832070.098936871</v>
      </c>
    </row>
    <row r="37" spans="2:9">
      <c r="B37" s="131" t="s">
        <v>495</v>
      </c>
      <c r="C37" s="109">
        <f>C33*D33+C34*D34</f>
        <v>5748413.1378397318</v>
      </c>
      <c r="H37" s="97" t="s">
        <v>496</v>
      </c>
      <c r="I37" s="161">
        <f>I35+I36</f>
        <v>5549487.8973598033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AEAB-5F59-624D-8524-6E193C855CA4}">
  <sheetPr>
    <tabColor rgb="FFFF0000"/>
  </sheetPr>
  <dimension ref="B1:W80"/>
  <sheetViews>
    <sheetView zoomScale="65" workbookViewId="0">
      <selection activeCell="P51" sqref="P51"/>
    </sheetView>
  </sheetViews>
  <sheetFormatPr defaultColWidth="10.875" defaultRowHeight="15.95"/>
  <cols>
    <col min="1" max="3" width="10.875" style="17"/>
    <col min="4" max="4" width="7.625" style="17" customWidth="1"/>
    <col min="5" max="5" width="16.875" style="17" customWidth="1"/>
    <col min="6" max="6" width="18" style="17" customWidth="1"/>
    <col min="7" max="7" width="17.625" style="17" customWidth="1"/>
    <col min="8" max="8" width="20" style="17" customWidth="1"/>
    <col min="9" max="9" width="15.875" style="17" customWidth="1"/>
    <col min="10" max="11" width="15.125" style="17" bestFit="1" customWidth="1"/>
    <col min="12" max="21" width="16.375" style="17" bestFit="1" customWidth="1"/>
    <col min="22" max="22" width="21.5" style="17" customWidth="1"/>
    <col min="23" max="23" width="14.5" style="17" bestFit="1" customWidth="1"/>
    <col min="24" max="16384" width="10.875" style="17"/>
  </cols>
  <sheetData>
    <row r="1" spans="2:23" s="15" customFormat="1" ht="27">
      <c r="B1" s="14" t="s">
        <v>497</v>
      </c>
    </row>
    <row r="2" spans="2:23" s="15" customFormat="1">
      <c r="B2" s="16" t="s">
        <v>1</v>
      </c>
    </row>
    <row r="4" spans="2:23">
      <c r="B4" s="16" t="s">
        <v>498</v>
      </c>
      <c r="C4" s="53"/>
      <c r="D4" s="15"/>
      <c r="E4" s="15"/>
      <c r="F4" s="15"/>
      <c r="G4" s="15"/>
      <c r="H4" s="15"/>
      <c r="I4" s="15"/>
      <c r="J4" s="15"/>
      <c r="K4" s="15"/>
      <c r="L4" s="15"/>
      <c r="M4" s="15"/>
      <c r="N4" s="15"/>
      <c r="O4" s="15"/>
      <c r="P4" s="15"/>
      <c r="Q4" s="15"/>
      <c r="R4" s="15"/>
      <c r="S4" s="15"/>
      <c r="T4" s="15"/>
      <c r="U4" s="15"/>
      <c r="V4" s="15"/>
    </row>
    <row r="5" spans="2:23">
      <c r="B5" s="142" t="s">
        <v>341</v>
      </c>
      <c r="C5" s="142"/>
      <c r="D5" s="142"/>
      <c r="E5" s="142" t="s">
        <v>100</v>
      </c>
      <c r="F5" s="142" t="s">
        <v>101</v>
      </c>
      <c r="G5" s="142" t="s">
        <v>102</v>
      </c>
      <c r="H5" s="142" t="s">
        <v>320</v>
      </c>
      <c r="I5" s="142" t="s">
        <v>321</v>
      </c>
      <c r="J5" s="142" t="s">
        <v>322</v>
      </c>
      <c r="K5" s="142" t="s">
        <v>323</v>
      </c>
      <c r="L5" s="142" t="s">
        <v>324</v>
      </c>
      <c r="M5" s="142" t="s">
        <v>325</v>
      </c>
      <c r="N5" s="142" t="s">
        <v>326</v>
      </c>
      <c r="O5" s="142" t="s">
        <v>327</v>
      </c>
      <c r="P5" s="142" t="s">
        <v>328</v>
      </c>
      <c r="Q5" s="142" t="s">
        <v>329</v>
      </c>
      <c r="R5" s="142" t="s">
        <v>330</v>
      </c>
      <c r="S5" s="142" t="s">
        <v>331</v>
      </c>
      <c r="T5" s="142" t="s">
        <v>332</v>
      </c>
      <c r="U5" s="142" t="s">
        <v>333</v>
      </c>
      <c r="V5" s="142" t="s">
        <v>334</v>
      </c>
      <c r="W5" s="115"/>
    </row>
    <row r="6" spans="2:23">
      <c r="B6" s="37" t="s">
        <v>499</v>
      </c>
      <c r="E6" s="101"/>
      <c r="F6" s="101"/>
      <c r="G6" s="101"/>
      <c r="H6" s="101"/>
      <c r="I6" s="101"/>
      <c r="J6" s="101"/>
      <c r="K6" s="101"/>
      <c r="L6" s="101"/>
      <c r="M6" s="101"/>
      <c r="N6" s="101"/>
      <c r="O6" s="101"/>
      <c r="P6" s="101"/>
      <c r="Q6" s="101"/>
      <c r="R6" s="101"/>
      <c r="S6" s="101"/>
      <c r="T6" s="101"/>
      <c r="U6" s="101"/>
      <c r="V6" s="101"/>
    </row>
    <row r="7" spans="2:23">
      <c r="B7" s="17" t="s">
        <v>500</v>
      </c>
      <c r="E7" s="168">
        <f>DCF!G31</f>
        <v>0</v>
      </c>
      <c r="F7" s="168">
        <f>DCF!H31</f>
        <v>0</v>
      </c>
      <c r="G7" s="168">
        <f>DCF!I31</f>
        <v>0</v>
      </c>
      <c r="H7" s="168">
        <f>DCF!J31</f>
        <v>630187.63157422084</v>
      </c>
      <c r="I7" s="168">
        <f>DCF!K31</f>
        <v>660436.63788978336</v>
      </c>
      <c r="J7" s="168">
        <f>DCF!L31</f>
        <v>692137.59650849318</v>
      </c>
      <c r="K7" s="168">
        <f>DCF!M31</f>
        <v>725360.20114090084</v>
      </c>
      <c r="L7" s="168">
        <f>DCF!N31</f>
        <v>760177.49079566402</v>
      </c>
      <c r="M7" s="168">
        <f>DCF!O31</f>
        <v>796666.01035385602</v>
      </c>
      <c r="N7" s="168">
        <f>DCF!P31</f>
        <v>834905.97885084117</v>
      </c>
      <c r="O7" s="168">
        <f>DCF!Q31</f>
        <v>874981.46583568153</v>
      </c>
      <c r="P7" s="168">
        <f>DCF!R31</f>
        <v>916980.57619579416</v>
      </c>
      <c r="Q7" s="168">
        <f>DCF!S31</f>
        <v>960995.64385319245</v>
      </c>
      <c r="R7" s="168">
        <f>DCF!T31</f>
        <v>1007123.4347581457</v>
      </c>
      <c r="S7" s="168">
        <f>DCF!U31</f>
        <v>1055465.3596265367</v>
      </c>
      <c r="T7" s="168">
        <f>DCF!V31</f>
        <v>1106127.6968886105</v>
      </c>
      <c r="U7" s="168">
        <f>DCF!W31</f>
        <v>1159221.8263392637</v>
      </c>
      <c r="V7" s="168">
        <f>DCF!X31</f>
        <v>1214864.4740035485</v>
      </c>
    </row>
    <row r="8" spans="2:23">
      <c r="B8" s="17" t="s">
        <v>501</v>
      </c>
      <c r="E8" s="168">
        <f>DCF!G32</f>
        <v>0</v>
      </c>
      <c r="F8" s="168">
        <f>DCF!H32</f>
        <v>0</v>
      </c>
      <c r="G8" s="168">
        <f>DCF!I32</f>
        <v>0</v>
      </c>
      <c r="H8" s="168">
        <f>DCF!J32</f>
        <v>7802063.0363142565</v>
      </c>
      <c r="I8" s="168">
        <f>DCF!K32</f>
        <v>8176562.0620573405</v>
      </c>
      <c r="J8" s="168">
        <f>DCF!L32</f>
        <v>8569037.0410360917</v>
      </c>
      <c r="K8" s="168">
        <f>DCF!M32</f>
        <v>8980350.8190058265</v>
      </c>
      <c r="L8" s="168">
        <f>DCF!N32</f>
        <v>9411407.6583181061</v>
      </c>
      <c r="M8" s="168">
        <f>DCF!O32</f>
        <v>9863155.2259173747</v>
      </c>
      <c r="N8" s="168">
        <f>DCF!P32</f>
        <v>10336586.676761411</v>
      </c>
      <c r="O8" s="168">
        <f>DCF!Q32</f>
        <v>10832742.837245958</v>
      </c>
      <c r="P8" s="168">
        <f>DCF!R32</f>
        <v>11352714.493433764</v>
      </c>
      <c r="Q8" s="168">
        <f>DCF!S32</f>
        <v>11897644.789118586</v>
      </c>
      <c r="R8" s="168">
        <f>DCF!T32</f>
        <v>12468731.738996277</v>
      </c>
      <c r="S8" s="168">
        <f>DCF!U32</f>
        <v>13067230.862468099</v>
      </c>
      <c r="T8" s="168">
        <f>DCF!V32</f>
        <v>13694457.94386657</v>
      </c>
      <c r="U8" s="168">
        <f>DCF!W32</f>
        <v>14351791.925172165</v>
      </c>
      <c r="V8" s="168">
        <f>DCF!X32</f>
        <v>15040677.937580429</v>
      </c>
    </row>
    <row r="9" spans="2:23" ht="15.75" customHeight="1">
      <c r="E9" s="101"/>
      <c r="F9" s="101"/>
      <c r="G9" s="101"/>
      <c r="H9" s="101"/>
      <c r="I9" s="101"/>
      <c r="J9" s="101"/>
      <c r="K9" s="101"/>
      <c r="L9" s="101"/>
      <c r="M9" s="101"/>
      <c r="N9" s="101"/>
      <c r="O9" s="101"/>
      <c r="P9" s="101"/>
      <c r="Q9" s="101"/>
      <c r="R9" s="101"/>
      <c r="S9" s="101"/>
      <c r="T9" s="101"/>
      <c r="U9" s="101"/>
      <c r="V9" s="101"/>
    </row>
    <row r="10" spans="2:23">
      <c r="B10" s="37" t="s">
        <v>502</v>
      </c>
      <c r="E10" s="101"/>
      <c r="F10" s="101"/>
      <c r="G10" s="101"/>
      <c r="H10" s="101"/>
      <c r="I10" s="101"/>
      <c r="J10" s="101"/>
      <c r="K10" s="101"/>
      <c r="L10" s="101"/>
      <c r="M10" s="101"/>
      <c r="N10" s="101"/>
      <c r="O10" s="101"/>
      <c r="P10" s="101"/>
      <c r="Q10" s="101"/>
      <c r="R10" s="101"/>
      <c r="S10" s="101"/>
      <c r="T10" s="101"/>
      <c r="U10" s="101"/>
      <c r="V10" s="101"/>
    </row>
    <row r="11" spans="2:23">
      <c r="B11" s="17" t="s">
        <v>503</v>
      </c>
      <c r="E11" s="168">
        <f>DCF!G58</f>
        <v>0</v>
      </c>
      <c r="F11" s="168">
        <f>DCF!H58</f>
        <v>0</v>
      </c>
      <c r="G11" s="168">
        <f>DCF!I58</f>
        <v>0</v>
      </c>
      <c r="H11" s="168">
        <f>DCF!J58</f>
        <v>0</v>
      </c>
      <c r="I11" s="168">
        <f>DCF!K58</f>
        <v>0</v>
      </c>
      <c r="J11" s="168">
        <f>DCF!L58</f>
        <v>0</v>
      </c>
      <c r="K11" s="168">
        <f>DCF!M58</f>
        <v>0</v>
      </c>
      <c r="L11" s="168">
        <f>DCF!N58</f>
        <v>0</v>
      </c>
      <c r="M11" s="168">
        <f>DCF!O58</f>
        <v>0</v>
      </c>
      <c r="N11" s="168">
        <f>DCF!P58</f>
        <v>0</v>
      </c>
      <c r="O11" s="168">
        <f>DCF!Q58</f>
        <v>0</v>
      </c>
      <c r="P11" s="168">
        <f>DCF!R58</f>
        <v>0</v>
      </c>
      <c r="Q11" s="168">
        <f>DCF!S58</f>
        <v>0</v>
      </c>
      <c r="R11" s="168">
        <f>DCF!T58</f>
        <v>0</v>
      </c>
      <c r="S11" s="168">
        <f>DCF!U58</f>
        <v>0</v>
      </c>
      <c r="T11" s="168">
        <f>DCF!V58</f>
        <v>0</v>
      </c>
      <c r="U11" s="168">
        <f>DCF!W58</f>
        <v>0</v>
      </c>
      <c r="V11" s="168">
        <f>DCF!X58</f>
        <v>299441256.82645965</v>
      </c>
    </row>
    <row r="12" spans="2:23">
      <c r="E12" s="101"/>
      <c r="F12" s="101"/>
      <c r="G12" s="101"/>
      <c r="H12" s="101"/>
      <c r="I12" s="101"/>
      <c r="J12" s="101"/>
      <c r="K12" s="101"/>
      <c r="L12" s="101"/>
      <c r="M12" s="101"/>
      <c r="N12" s="101"/>
      <c r="O12" s="101"/>
      <c r="P12" s="101"/>
      <c r="Q12" s="101"/>
      <c r="R12" s="101"/>
      <c r="S12" s="101"/>
      <c r="T12" s="101"/>
      <c r="U12" s="101"/>
      <c r="V12" s="101"/>
    </row>
    <row r="13" spans="2:23">
      <c r="B13" s="154" t="s">
        <v>45</v>
      </c>
      <c r="C13" s="154"/>
      <c r="D13" s="154"/>
      <c r="E13" s="286">
        <f>E7+E8+E11</f>
        <v>0</v>
      </c>
      <c r="F13" s="286">
        <f t="shared" ref="F13:V13" si="0">F7+F8+F11</f>
        <v>0</v>
      </c>
      <c r="G13" s="286">
        <f t="shared" si="0"/>
        <v>0</v>
      </c>
      <c r="H13" s="286">
        <f t="shared" si="0"/>
        <v>8432250.6678884774</v>
      </c>
      <c r="I13" s="286">
        <f t="shared" si="0"/>
        <v>8836998.6999471243</v>
      </c>
      <c r="J13" s="286">
        <f t="shared" si="0"/>
        <v>9261174.6375445854</v>
      </c>
      <c r="K13" s="286">
        <f t="shared" si="0"/>
        <v>9705711.0201467276</v>
      </c>
      <c r="L13" s="286">
        <f t="shared" si="0"/>
        <v>10171585.149113771</v>
      </c>
      <c r="M13" s="286">
        <f t="shared" si="0"/>
        <v>10659821.236271231</v>
      </c>
      <c r="N13" s="286">
        <f t="shared" si="0"/>
        <v>11171492.655612253</v>
      </c>
      <c r="O13" s="286">
        <f t="shared" si="0"/>
        <v>11707724.303081639</v>
      </c>
      <c r="P13" s="286">
        <f t="shared" si="0"/>
        <v>12269695.069629557</v>
      </c>
      <c r="Q13" s="286">
        <f t="shared" si="0"/>
        <v>12858640.432971779</v>
      </c>
      <c r="R13" s="286">
        <f t="shared" si="0"/>
        <v>13475855.173754422</v>
      </c>
      <c r="S13" s="286">
        <f t="shared" si="0"/>
        <v>14122696.222094636</v>
      </c>
      <c r="T13" s="286">
        <f t="shared" si="0"/>
        <v>14800585.64075518</v>
      </c>
      <c r="U13" s="286">
        <f t="shared" si="0"/>
        <v>15511013.751511429</v>
      </c>
      <c r="V13" s="286">
        <f t="shared" si="0"/>
        <v>315696799.23804361</v>
      </c>
    </row>
    <row r="14" spans="2:23">
      <c r="E14" s="101"/>
      <c r="F14" s="101"/>
      <c r="G14" s="101"/>
      <c r="H14" s="101"/>
      <c r="I14" s="101"/>
      <c r="J14" s="101"/>
      <c r="K14" s="101"/>
      <c r="L14" s="101"/>
      <c r="M14" s="101"/>
      <c r="N14" s="101"/>
      <c r="O14" s="101"/>
      <c r="P14" s="101"/>
      <c r="Q14" s="101"/>
      <c r="R14" s="101"/>
      <c r="S14" s="101"/>
      <c r="T14" s="101"/>
      <c r="U14" s="101"/>
      <c r="V14" s="101"/>
    </row>
    <row r="15" spans="2:23">
      <c r="B15" s="37" t="s">
        <v>504</v>
      </c>
      <c r="E15" s="168"/>
      <c r="F15" s="168"/>
      <c r="G15" s="168"/>
      <c r="H15" s="168"/>
      <c r="I15" s="168"/>
      <c r="J15" s="168"/>
      <c r="K15" s="168"/>
      <c r="L15" s="168"/>
      <c r="M15" s="168"/>
      <c r="N15" s="168"/>
      <c r="O15" s="168"/>
      <c r="P15" s="168"/>
      <c r="Q15" s="168"/>
      <c r="R15" s="168"/>
      <c r="S15" s="168"/>
      <c r="T15" s="168"/>
      <c r="U15" s="168"/>
      <c r="V15" s="168"/>
    </row>
    <row r="16" spans="2:23">
      <c r="B16" s="17" t="s">
        <v>351</v>
      </c>
      <c r="E16" s="168">
        <f>-'Expenditure Schedule'!C69</f>
        <v>0</v>
      </c>
      <c r="F16" s="168">
        <f>-'Expenditure Schedule'!D69</f>
        <v>0</v>
      </c>
      <c r="G16" s="168">
        <f>-'Expenditure Schedule'!E69</f>
        <v>0</v>
      </c>
      <c r="H16" s="168">
        <f>-'Expenditure Schedule'!F69</f>
        <v>-590257.54675219348</v>
      </c>
      <c r="I16" s="168">
        <f>-'Expenditure Schedule'!G69</f>
        <v>-618589.90899629879</v>
      </c>
      <c r="J16" s="168">
        <f>-'Expenditure Schedule'!H69</f>
        <v>-648282.22462812101</v>
      </c>
      <c r="K16" s="168">
        <f>-'Expenditure Schedule'!I69</f>
        <v>-679399.77141027094</v>
      </c>
      <c r="L16" s="168">
        <f>-'Expenditure Schedule'!J69</f>
        <v>-712010.96043796407</v>
      </c>
      <c r="M16" s="168">
        <f>-'Expenditure Schedule'!K69</f>
        <v>-746187.48653898621</v>
      </c>
      <c r="N16" s="168">
        <f>-'Expenditure Schedule'!L69</f>
        <v>-782004.48589285777</v>
      </c>
      <c r="O16" s="168">
        <f>-'Expenditure Schedule'!M69</f>
        <v>-819540.7012157148</v>
      </c>
      <c r="P16" s="168">
        <f>-'Expenditure Schedule'!N69</f>
        <v>-858878.65487406915</v>
      </c>
      <c r="Q16" s="168">
        <f>-'Expenditure Schedule'!O69</f>
        <v>-900104.83030802466</v>
      </c>
      <c r="R16" s="168">
        <f>-'Expenditure Schedule'!P69</f>
        <v>-943309.86216280959</v>
      </c>
      <c r="S16" s="168">
        <f>-'Expenditure Schedule'!Q69</f>
        <v>-988588.73554662464</v>
      </c>
      <c r="T16" s="168">
        <f>-'Expenditure Schedule'!R69</f>
        <v>-1036040.9948528627</v>
      </c>
      <c r="U16" s="168">
        <f>-'Expenditure Schedule'!S69</f>
        <v>-1085770.9626058</v>
      </c>
      <c r="V16" s="168">
        <f>-'Expenditure Schedule'!T69</f>
        <v>-1137887.9688108785</v>
      </c>
    </row>
    <row r="17" spans="2:23">
      <c r="B17" s="108" t="s">
        <v>354</v>
      </c>
      <c r="E17" s="168">
        <f>-'Expenditure Schedule'!C70</f>
        <v>0</v>
      </c>
      <c r="F17" s="168">
        <f>-'Expenditure Schedule'!D70</f>
        <v>0</v>
      </c>
      <c r="G17" s="168">
        <f>-'Expenditure Schedule'!E70</f>
        <v>0</v>
      </c>
      <c r="H17" s="168">
        <f>-'Expenditure Schedule'!F70</f>
        <v>-22993.652551358926</v>
      </c>
      <c r="I17" s="168">
        <f>-'Expenditure Schedule'!G70</f>
        <v>-23568.493865142897</v>
      </c>
      <c r="J17" s="168">
        <f>-'Expenditure Schedule'!H70</f>
        <v>-24157.706211771467</v>
      </c>
      <c r="K17" s="168">
        <f>-'Expenditure Schedule'!I70</f>
        <v>-24761.648867065753</v>
      </c>
      <c r="L17" s="168">
        <f>-'Expenditure Schedule'!J70</f>
        <v>-25380.690088742394</v>
      </c>
      <c r="M17" s="168">
        <f>-'Expenditure Schedule'!K70</f>
        <v>-26015.207340960951</v>
      </c>
      <c r="N17" s="168">
        <f>-'Expenditure Schedule'!L70</f>
        <v>-26665.587524484974</v>
      </c>
      <c r="O17" s="168">
        <f>-'Expenditure Schedule'!M70</f>
        <v>-27332.227212597096</v>
      </c>
      <c r="P17" s="168">
        <f>-'Expenditure Schedule'!N70</f>
        <v>-28015.532892912022</v>
      </c>
      <c r="Q17" s="168">
        <f>-'Expenditure Schedule'!O70</f>
        <v>-28715.921215234819</v>
      </c>
      <c r="R17" s="168">
        <f>-'Expenditure Schedule'!P70</f>
        <v>-29433.819245615687</v>
      </c>
      <c r="S17" s="168">
        <f>-'Expenditure Schedule'!Q70</f>
        <v>-30169.664726756077</v>
      </c>
      <c r="T17" s="168">
        <f>-'Expenditure Schedule'!R70</f>
        <v>-30923.906344924977</v>
      </c>
      <c r="U17" s="168">
        <f>-'Expenditure Schedule'!S70</f>
        <v>-31697.0040035481</v>
      </c>
      <c r="V17" s="168">
        <f>-'Expenditure Schedule'!T70</f>
        <v>0</v>
      </c>
    </row>
    <row r="18" spans="2:23">
      <c r="B18" s="108" t="s">
        <v>355</v>
      </c>
      <c r="E18" s="168">
        <f>-'Expenditure Schedule'!C71</f>
        <v>0</v>
      </c>
      <c r="F18" s="168">
        <f>-'Expenditure Schedule'!D71</f>
        <v>0</v>
      </c>
      <c r="G18" s="168">
        <f>-'Expenditure Schedule'!E71</f>
        <v>0</v>
      </c>
      <c r="H18" s="168">
        <f>-'Expenditure Schedule'!F71</f>
        <v>-78020.630363142569</v>
      </c>
      <c r="I18" s="168">
        <f>-'Expenditure Schedule'!G71</f>
        <v>-81765.620620573405</v>
      </c>
      <c r="J18" s="168">
        <f>-'Expenditure Schedule'!H71</f>
        <v>-85690.37041036092</v>
      </c>
      <c r="K18" s="168">
        <f>-'Expenditure Schedule'!I71</f>
        <v>-89803.508190058274</v>
      </c>
      <c r="L18" s="168">
        <f>-'Expenditure Schedule'!J71</f>
        <v>-94114.076583181057</v>
      </c>
      <c r="M18" s="168">
        <f>-'Expenditure Schedule'!K71</f>
        <v>-98631.552259173754</v>
      </c>
      <c r="N18" s="168">
        <f>-'Expenditure Schedule'!L71</f>
        <v>-103365.86676761412</v>
      </c>
      <c r="O18" s="168">
        <f>-'Expenditure Schedule'!M71</f>
        <v>-108327.42837245959</v>
      </c>
      <c r="P18" s="168">
        <f>-'Expenditure Schedule'!N71</f>
        <v>-113527.14493433764</v>
      </c>
      <c r="Q18" s="168">
        <f>-'Expenditure Schedule'!O71</f>
        <v>-118976.44789118586</v>
      </c>
      <c r="R18" s="168">
        <f>-'Expenditure Schedule'!P71</f>
        <v>-124687.31738996277</v>
      </c>
      <c r="S18" s="168">
        <f>-'Expenditure Schedule'!Q71</f>
        <v>-130672.308624681</v>
      </c>
      <c r="T18" s="168">
        <f>-'Expenditure Schedule'!R71</f>
        <v>-136944.57943866571</v>
      </c>
      <c r="U18" s="168">
        <f>-'Expenditure Schedule'!S71</f>
        <v>-143517.91925172164</v>
      </c>
      <c r="V18" s="168">
        <f>-'Expenditure Schedule'!T71</f>
        <v>-150406.7793758043</v>
      </c>
    </row>
    <row r="19" spans="2:23">
      <c r="B19" s="17" t="s">
        <v>376</v>
      </c>
      <c r="E19" s="168">
        <f>-'Expenditure Schedule'!C72</f>
        <v>0</v>
      </c>
      <c r="F19" s="168">
        <f>-'Expenditure Schedule'!D72</f>
        <v>0</v>
      </c>
      <c r="G19" s="168">
        <f>-'Expenditure Schedule'!E72</f>
        <v>0</v>
      </c>
      <c r="H19" s="168">
        <f>-'Expenditure Schedule'!F72</f>
        <v>-52923.43</v>
      </c>
      <c r="I19" s="168">
        <f>-'Expenditure Schedule'!G72</f>
        <v>-54246.515749999999</v>
      </c>
      <c r="J19" s="168">
        <f>-'Expenditure Schedule'!H72</f>
        <v>-55602.67864374999</v>
      </c>
      <c r="K19" s="168">
        <f>-'Expenditure Schedule'!I72</f>
        <v>-56992.745609843732</v>
      </c>
      <c r="L19" s="168">
        <f>-'Expenditure Schedule'!J72</f>
        <v>-58417.564250089818</v>
      </c>
      <c r="M19" s="168">
        <f>-'Expenditure Schedule'!K72</f>
        <v>-59878.003356342058</v>
      </c>
      <c r="N19" s="168">
        <f>-'Expenditure Schedule'!L72</f>
        <v>-61374.953440250603</v>
      </c>
      <c r="O19" s="168">
        <f>-'Expenditure Schedule'!M72</f>
        <v>-62909.327276256859</v>
      </c>
      <c r="P19" s="168">
        <f>-'Expenditure Schedule'!N72</f>
        <v>-64482.060458163272</v>
      </c>
      <c r="Q19" s="168">
        <f>-'Expenditure Schedule'!O72</f>
        <v>-66094.111969617355</v>
      </c>
      <c r="R19" s="168">
        <f>-'Expenditure Schedule'!P72</f>
        <v>-67746.464768857782</v>
      </c>
      <c r="S19" s="168">
        <f>-'Expenditure Schedule'!Q72</f>
        <v>-69440.126388079225</v>
      </c>
      <c r="T19" s="168">
        <f>-'Expenditure Schedule'!R72</f>
        <v>-71176.129547781195</v>
      </c>
      <c r="U19" s="168">
        <f>-'Expenditure Schedule'!S72</f>
        <v>-72955.532786475713</v>
      </c>
      <c r="V19" s="168">
        <f>-'Expenditure Schedule'!T72</f>
        <v>-74779.421106137597</v>
      </c>
    </row>
    <row r="20" spans="2:23">
      <c r="B20" s="17" t="s">
        <v>352</v>
      </c>
      <c r="E20" s="168">
        <f>-'Expenditure Schedule'!C73</f>
        <v>0</v>
      </c>
      <c r="F20" s="168">
        <f>-'Expenditure Schedule'!D73</f>
        <v>-74812.5</v>
      </c>
      <c r="G20" s="168">
        <f>-'Expenditure Schedule'!E73</f>
        <v>-76832.4375</v>
      </c>
      <c r="H20" s="168">
        <f>-'Expenditure Schedule'!F73</f>
        <v>-78830.080875</v>
      </c>
      <c r="I20" s="168">
        <f>-'Expenditure Schedule'!G73</f>
        <v>-80800.832896874999</v>
      </c>
      <c r="J20" s="168">
        <f>-'Expenditure Schedule'!H73</f>
        <v>-82820.853719296865</v>
      </c>
      <c r="K20" s="168">
        <f>-'Expenditure Schedule'!I73</f>
        <v>-84891.375062279272</v>
      </c>
      <c r="L20" s="168">
        <f>-'Expenditure Schedule'!J73</f>
        <v>-87013.659438836243</v>
      </c>
      <c r="M20" s="168">
        <f>-'Expenditure Schedule'!K73</f>
        <v>-89189.000924807144</v>
      </c>
      <c r="N20" s="168">
        <f>-'Expenditure Schedule'!L73</f>
        <v>-91418.72594792732</v>
      </c>
      <c r="O20" s="168">
        <f>-'Expenditure Schedule'!M73</f>
        <v>-93704.194096625492</v>
      </c>
      <c r="P20" s="168">
        <f>-'Expenditure Schedule'!N73</f>
        <v>-96046.798949041127</v>
      </c>
      <c r="Q20" s="168">
        <f>-'Expenditure Schedule'!O73</f>
        <v>-98447.968922767148</v>
      </c>
      <c r="R20" s="168">
        <f>-'Expenditure Schedule'!P73</f>
        <v>-100909.16814583632</v>
      </c>
      <c r="S20" s="168">
        <f>-'Expenditure Schedule'!Q73</f>
        <v>-103431.89734948221</v>
      </c>
      <c r="T20" s="168">
        <f>-'Expenditure Schedule'!R73</f>
        <v>-106017.69478321925</v>
      </c>
      <c r="U20" s="168">
        <f>-'Expenditure Schedule'!S73</f>
        <v>-108668.13715279973</v>
      </c>
      <c r="V20" s="168">
        <f>-'Expenditure Schedule'!T73</f>
        <v>-111384.8405816197</v>
      </c>
    </row>
    <row r="21" spans="2:23">
      <c r="B21" s="17" t="s">
        <v>349</v>
      </c>
      <c r="E21" s="168">
        <f>-'Expenditure Schedule'!C74</f>
        <v>0</v>
      </c>
      <c r="F21" s="168">
        <f>-'Expenditure Schedule'!D74</f>
        <v>-306850</v>
      </c>
      <c r="G21" s="168">
        <f>-'Expenditure Schedule'!E74</f>
        <v>0</v>
      </c>
      <c r="H21" s="168">
        <f>-'Expenditure Schedule'!F74</f>
        <v>0</v>
      </c>
      <c r="I21" s="168">
        <f>-'Expenditure Schedule'!G74</f>
        <v>0</v>
      </c>
      <c r="J21" s="168">
        <f>-'Expenditure Schedule'!H74</f>
        <v>0</v>
      </c>
      <c r="K21" s="168">
        <f>-'Expenditure Schedule'!I74</f>
        <v>0</v>
      </c>
      <c r="L21" s="168">
        <f>-'Expenditure Schedule'!J74</f>
        <v>0</v>
      </c>
      <c r="M21" s="168">
        <f>-'Expenditure Schedule'!K74</f>
        <v>0</v>
      </c>
      <c r="N21" s="168">
        <f>-'Expenditure Schedule'!L74</f>
        <v>0</v>
      </c>
      <c r="O21" s="168">
        <f>-'Expenditure Schedule'!M74</f>
        <v>0</v>
      </c>
      <c r="P21" s="168">
        <f>-'Expenditure Schedule'!N74</f>
        <v>0</v>
      </c>
      <c r="Q21" s="168">
        <f>-'Expenditure Schedule'!O74</f>
        <v>0</v>
      </c>
      <c r="R21" s="168">
        <f>-'Expenditure Schedule'!P74</f>
        <v>0</v>
      </c>
      <c r="S21" s="168">
        <f>-'Expenditure Schedule'!Q74</f>
        <v>0</v>
      </c>
      <c r="T21" s="168">
        <f>-'Expenditure Schedule'!R74</f>
        <v>0</v>
      </c>
      <c r="U21" s="168">
        <f>-'Expenditure Schedule'!S74</f>
        <v>0</v>
      </c>
      <c r="V21" s="168">
        <f>-'Expenditure Schedule'!T74</f>
        <v>0</v>
      </c>
    </row>
    <row r="22" spans="2:23">
      <c r="B22" s="17" t="s">
        <v>350</v>
      </c>
      <c r="E22" s="168">
        <f>-'Expenditure Schedule'!C75</f>
        <v>0</v>
      </c>
      <c r="F22" s="168">
        <f>-'Expenditure Schedule'!D75</f>
        <v>-224.32</v>
      </c>
      <c r="G22" s="168">
        <f>-'Expenditure Schedule'!E75</f>
        <v>0</v>
      </c>
      <c r="H22" s="168">
        <f>-'Expenditure Schedule'!F75</f>
        <v>0</v>
      </c>
      <c r="I22" s="168">
        <f>-'Expenditure Schedule'!G75</f>
        <v>0</v>
      </c>
      <c r="J22" s="168">
        <f>-'Expenditure Schedule'!H75</f>
        <v>0</v>
      </c>
      <c r="K22" s="168">
        <f>-'Expenditure Schedule'!I75</f>
        <v>0</v>
      </c>
      <c r="L22" s="168">
        <f>-'Expenditure Schedule'!J75</f>
        <v>0</v>
      </c>
      <c r="M22" s="168">
        <f>-'Expenditure Schedule'!K75</f>
        <v>0</v>
      </c>
      <c r="N22" s="168">
        <f>-'Expenditure Schedule'!L75</f>
        <v>0</v>
      </c>
      <c r="O22" s="168">
        <f>-'Expenditure Schedule'!M75</f>
        <v>0</v>
      </c>
      <c r="P22" s="168">
        <f>-'Expenditure Schedule'!N75</f>
        <v>0</v>
      </c>
      <c r="Q22" s="168">
        <f>-'Expenditure Schedule'!O75</f>
        <v>0</v>
      </c>
      <c r="R22" s="168">
        <f>-'Expenditure Schedule'!P75</f>
        <v>0</v>
      </c>
      <c r="S22" s="168">
        <f>-'Expenditure Schedule'!Q75</f>
        <v>0</v>
      </c>
      <c r="T22" s="168">
        <f>-'Expenditure Schedule'!R75</f>
        <v>0</v>
      </c>
      <c r="U22" s="168">
        <f>-'Expenditure Schedule'!S75</f>
        <v>0</v>
      </c>
      <c r="V22" s="168">
        <f>-'Expenditure Schedule'!T75</f>
        <v>0</v>
      </c>
    </row>
    <row r="23" spans="2:23">
      <c r="B23" s="17" t="s">
        <v>377</v>
      </c>
      <c r="E23" s="168">
        <f>-'Expenditure Schedule'!C76</f>
        <v>0</v>
      </c>
      <c r="F23" s="168">
        <f>-'Expenditure Schedule'!D76</f>
        <v>0</v>
      </c>
      <c r="G23" s="168">
        <f>-'Expenditure Schedule'!E76</f>
        <v>0</v>
      </c>
      <c r="H23" s="168">
        <f>-'Expenditure Schedule'!F76</f>
        <v>-1446325.0926062986</v>
      </c>
      <c r="I23" s="168">
        <f>-'Expenditure Schedule'!G76</f>
        <v>-1482483.219921456</v>
      </c>
      <c r="J23" s="168">
        <f>-'Expenditure Schedule'!H76</f>
        <v>-1519545.3004194922</v>
      </c>
      <c r="K23" s="168">
        <f>-'Expenditure Schedule'!I76</f>
        <v>-1557533.9329299794</v>
      </c>
      <c r="L23" s="168">
        <f>-'Expenditure Schedule'!J76</f>
        <v>-1596472.2812532287</v>
      </c>
      <c r="M23" s="168">
        <f>-'Expenditure Schedule'!K76</f>
        <v>-1636384.0882845593</v>
      </c>
      <c r="N23" s="168">
        <f>-'Expenditure Schedule'!L76</f>
        <v>-1677293.6904916731</v>
      </c>
      <c r="O23" s="168">
        <f>-'Expenditure Schedule'!M76</f>
        <v>-1719226.0327539647</v>
      </c>
      <c r="P23" s="168">
        <f>-'Expenditure Schedule'!N76</f>
        <v>-1762206.6835728136</v>
      </c>
      <c r="Q23" s="168">
        <f>-'Expenditure Schedule'!O76</f>
        <v>-1806261.8506621339</v>
      </c>
      <c r="R23" s="168">
        <f>-'Expenditure Schedule'!P76</f>
        <v>-1851418.3969286871</v>
      </c>
      <c r="S23" s="168">
        <f>-'Expenditure Schedule'!Q76</f>
        <v>-1897703.8568519042</v>
      </c>
      <c r="T23" s="168">
        <f>-'Expenditure Schedule'!R76</f>
        <v>-1945146.4532732016</v>
      </c>
      <c r="U23" s="168">
        <f>-'Expenditure Schedule'!S76</f>
        <v>-1993775.1146050314</v>
      </c>
      <c r="V23" s="168">
        <f>-'Expenditure Schedule'!T76</f>
        <v>-2043619.4924701571</v>
      </c>
    </row>
    <row r="24" spans="2:23">
      <c r="B24" s="17" t="s">
        <v>505</v>
      </c>
      <c r="E24" s="284">
        <f>-'Expenditure Schedule'!C61</f>
        <v>0</v>
      </c>
      <c r="F24" s="284">
        <f>-'Expenditure Schedule'!D61</f>
        <v>0</v>
      </c>
      <c r="G24" s="284">
        <f>-'Expenditure Schedule'!E61</f>
        <v>-5341015.1898734178</v>
      </c>
      <c r="H24" s="284">
        <f>-'Expenditure Schedule'!F61</f>
        <v>-1950515.7590785641</v>
      </c>
      <c r="I24" s="284">
        <f>-'Expenditure Schedule'!G61</f>
        <v>0</v>
      </c>
      <c r="J24" s="284">
        <f>-'Expenditure Schedule'!H61</f>
        <v>0</v>
      </c>
      <c r="K24" s="284">
        <f>-'Expenditure Schedule'!I61</f>
        <v>0</v>
      </c>
      <c r="L24" s="284">
        <f>-'Expenditure Schedule'!J61</f>
        <v>0</v>
      </c>
      <c r="M24" s="284">
        <f>-'Expenditure Schedule'!K61</f>
        <v>0</v>
      </c>
      <c r="N24" s="284">
        <f>-'Expenditure Schedule'!L61</f>
        <v>0</v>
      </c>
      <c r="O24" s="284">
        <f>-'Expenditure Schedule'!M61</f>
        <v>0</v>
      </c>
      <c r="P24" s="284">
        <f>-'Expenditure Schedule'!N61</f>
        <v>0</v>
      </c>
      <c r="Q24" s="284">
        <f>-'Expenditure Schedule'!O61</f>
        <v>0</v>
      </c>
      <c r="R24" s="284">
        <f>-'Expenditure Schedule'!P61</f>
        <v>0</v>
      </c>
      <c r="S24" s="284">
        <f>-'Expenditure Schedule'!Q61</f>
        <v>0</v>
      </c>
      <c r="T24" s="284">
        <f>-'Expenditure Schedule'!R61</f>
        <v>0</v>
      </c>
      <c r="U24" s="284">
        <f>-'Expenditure Schedule'!S61</f>
        <v>0</v>
      </c>
      <c r="V24" s="284">
        <f>-'Expenditure Schedule'!T61</f>
        <v>0</v>
      </c>
    </row>
    <row r="25" spans="2:23">
      <c r="B25" s="17" t="s">
        <v>506</v>
      </c>
      <c r="E25" s="168">
        <f>DCF!G50</f>
        <v>0</v>
      </c>
      <c r="F25" s="168">
        <f>DCF!H50</f>
        <v>-40005477.592292108</v>
      </c>
      <c r="G25" s="168">
        <f>DCF!I50</f>
        <v>-34477326.243953317</v>
      </c>
      <c r="H25" s="168">
        <f>DCF!J50</f>
        <v>0</v>
      </c>
      <c r="I25" s="168">
        <f>DCF!K50</f>
        <v>0</v>
      </c>
      <c r="J25" s="168">
        <f>DCF!L50</f>
        <v>0</v>
      </c>
      <c r="K25" s="168">
        <f>DCF!M50</f>
        <v>0</v>
      </c>
      <c r="L25" s="168">
        <f>DCF!N50</f>
        <v>0</v>
      </c>
      <c r="M25" s="168">
        <f>DCF!O50</f>
        <v>0</v>
      </c>
      <c r="N25" s="168">
        <f>DCF!P50</f>
        <v>0</v>
      </c>
      <c r="O25" s="168">
        <f>DCF!Q50</f>
        <v>0</v>
      </c>
      <c r="P25" s="168">
        <f>DCF!R50</f>
        <v>0</v>
      </c>
      <c r="Q25" s="168">
        <f>DCF!S50</f>
        <v>0</v>
      </c>
      <c r="R25" s="168">
        <f>DCF!T50</f>
        <v>0</v>
      </c>
      <c r="S25" s="168">
        <f>DCF!U50</f>
        <v>0</v>
      </c>
      <c r="T25" s="168">
        <f>DCF!V50</f>
        <v>0</v>
      </c>
      <c r="U25" s="168">
        <f>DCF!W50</f>
        <v>0</v>
      </c>
      <c r="V25" s="168">
        <f>DCF!X50</f>
        <v>0</v>
      </c>
    </row>
    <row r="27" spans="2:23">
      <c r="B27" s="154" t="s">
        <v>45</v>
      </c>
      <c r="C27" s="154"/>
      <c r="D27" s="154"/>
      <c r="E27" s="285">
        <f t="shared" ref="E27:V27" si="1">SUM(E16:E25)</f>
        <v>0</v>
      </c>
      <c r="F27" s="285">
        <f t="shared" si="1"/>
        <v>-40387364.412292108</v>
      </c>
      <c r="G27" s="285">
        <f t="shared" si="1"/>
        <v>-39895173.871326737</v>
      </c>
      <c r="H27" s="285">
        <f t="shared" si="1"/>
        <v>-4219866.192226558</v>
      </c>
      <c r="I27" s="285">
        <f t="shared" si="1"/>
        <v>-2341454.5920503461</v>
      </c>
      <c r="J27" s="285">
        <f t="shared" si="1"/>
        <v>-2416099.1340327924</v>
      </c>
      <c r="K27" s="285">
        <f t="shared" si="1"/>
        <v>-2493382.9820694975</v>
      </c>
      <c r="L27" s="285">
        <f t="shared" si="1"/>
        <v>-2573409.2320520421</v>
      </c>
      <c r="M27" s="285">
        <f t="shared" si="1"/>
        <v>-2656285.3387048296</v>
      </c>
      <c r="N27" s="285">
        <f t="shared" si="1"/>
        <v>-2742123.3100648075</v>
      </c>
      <c r="O27" s="285">
        <f t="shared" si="1"/>
        <v>-2831039.9109276189</v>
      </c>
      <c r="P27" s="285">
        <f t="shared" si="1"/>
        <v>-2923156.875681337</v>
      </c>
      <c r="Q27" s="285">
        <f t="shared" si="1"/>
        <v>-3018601.1309689637</v>
      </c>
      <c r="R27" s="285">
        <f t="shared" si="1"/>
        <v>-3117505.0286417692</v>
      </c>
      <c r="S27" s="285">
        <f t="shared" si="1"/>
        <v>-3220006.5894875275</v>
      </c>
      <c r="T27" s="285">
        <f t="shared" si="1"/>
        <v>-3326249.7582406551</v>
      </c>
      <c r="U27" s="285">
        <f t="shared" si="1"/>
        <v>-3436384.6704053767</v>
      </c>
      <c r="V27" s="285">
        <f t="shared" si="1"/>
        <v>-3518078.5023445971</v>
      </c>
    </row>
    <row r="28" spans="2:23">
      <c r="E28" s="168"/>
      <c r="F28" s="168"/>
      <c r="G28" s="168"/>
      <c r="H28" s="168"/>
      <c r="I28" s="168"/>
      <c r="J28" s="168"/>
      <c r="K28" s="168"/>
      <c r="L28" s="168"/>
      <c r="M28" s="168"/>
      <c r="N28" s="168"/>
      <c r="O28" s="168"/>
      <c r="P28" s="168"/>
      <c r="Q28" s="168"/>
      <c r="R28" s="168"/>
      <c r="S28" s="168"/>
      <c r="T28" s="168"/>
      <c r="U28" s="168"/>
      <c r="V28" s="168"/>
    </row>
    <row r="29" spans="2:23">
      <c r="B29" s="154" t="s">
        <v>507</v>
      </c>
      <c r="C29" s="154"/>
      <c r="D29" s="154"/>
      <c r="E29" s="165">
        <f t="shared" ref="E29:V29" si="2">E13+E27</f>
        <v>0</v>
      </c>
      <c r="F29" s="165">
        <f t="shared" si="2"/>
        <v>-40387364.412292108</v>
      </c>
      <c r="G29" s="165">
        <f t="shared" si="2"/>
        <v>-39895173.871326737</v>
      </c>
      <c r="H29" s="165">
        <f t="shared" si="2"/>
        <v>4212384.4756619195</v>
      </c>
      <c r="I29" s="165">
        <f t="shared" si="2"/>
        <v>6495544.1078967787</v>
      </c>
      <c r="J29" s="165">
        <f t="shared" si="2"/>
        <v>6845075.503511793</v>
      </c>
      <c r="K29" s="165">
        <f t="shared" si="2"/>
        <v>7212328.0380772296</v>
      </c>
      <c r="L29" s="165">
        <f t="shared" si="2"/>
        <v>7598175.9170617284</v>
      </c>
      <c r="M29" s="165">
        <f t="shared" si="2"/>
        <v>8003535.8975664005</v>
      </c>
      <c r="N29" s="165">
        <f t="shared" si="2"/>
        <v>8429369.3455474451</v>
      </c>
      <c r="O29" s="165">
        <f t="shared" si="2"/>
        <v>8876684.3921540193</v>
      </c>
      <c r="P29" s="165">
        <f t="shared" si="2"/>
        <v>9346538.1939482205</v>
      </c>
      <c r="Q29" s="165">
        <f t="shared" si="2"/>
        <v>9840039.3020028155</v>
      </c>
      <c r="R29" s="165">
        <f t="shared" si="2"/>
        <v>10358350.145112652</v>
      </c>
      <c r="S29" s="165">
        <f t="shared" si="2"/>
        <v>10902689.63260711</v>
      </c>
      <c r="T29" s="165">
        <f t="shared" si="2"/>
        <v>11474335.882514525</v>
      </c>
      <c r="U29" s="165">
        <f t="shared" si="2"/>
        <v>12074629.081106052</v>
      </c>
      <c r="V29" s="165">
        <f t="shared" si="2"/>
        <v>312178720.735699</v>
      </c>
      <c r="W29" s="101">
        <f>SUM(E29:V29)</f>
        <v>353565862.36684883</v>
      </c>
    </row>
    <row r="30" spans="2:23">
      <c r="E30" s="160"/>
      <c r="F30" s="169"/>
      <c r="G30" s="169"/>
      <c r="H30" s="169"/>
      <c r="I30" s="169"/>
      <c r="J30" s="169"/>
      <c r="K30" s="169"/>
      <c r="L30" s="169"/>
      <c r="M30" s="169"/>
      <c r="N30" s="169"/>
      <c r="O30" s="169"/>
      <c r="P30" s="169"/>
      <c r="Q30" s="169"/>
      <c r="R30" s="169"/>
      <c r="S30" s="169"/>
      <c r="T30" s="169"/>
      <c r="U30" s="169"/>
      <c r="V30" s="169"/>
    </row>
    <row r="31" spans="2:23">
      <c r="B31" s="17" t="s">
        <v>508</v>
      </c>
      <c r="E31" s="168">
        <f>'Financial Statements'!E53</f>
        <v>0</v>
      </c>
      <c r="F31" s="168">
        <f>'Financial Statements'!F53</f>
        <v>0</v>
      </c>
      <c r="G31" s="168">
        <f>'Financial Statements'!G53</f>
        <v>0</v>
      </c>
      <c r="H31" s="168">
        <f>'Financial Statements'!H53</f>
        <v>-932973.00858448714</v>
      </c>
      <c r="I31" s="168">
        <f>'Financial Statements'!I53</f>
        <v>-1400377.1569030099</v>
      </c>
      <c r="J31" s="168">
        <f>'Financial Statements'!J53</f>
        <v>-1198170.647102115</v>
      </c>
      <c r="K31" s="168">
        <f>'Financial Statements'!K53</f>
        <v>-1020282.8051824612</v>
      </c>
      <c r="L31" s="168">
        <f>'Financial Statements'!L53</f>
        <v>-863963.87516430381</v>
      </c>
      <c r="M31" s="168">
        <f>'Financial Statements'!M53</f>
        <v>-726767.48752095166</v>
      </c>
      <c r="N31" s="168">
        <f>'Financial Statements'!N53</f>
        <v>-606517.53090979217</v>
      </c>
      <c r="O31" s="168">
        <f>'Financial Statements'!O53</f>
        <v>-501278.62515055737</v>
      </c>
      <c r="P31" s="168">
        <f>'Financial Statements'!P53</f>
        <v>-409329.80474092811</v>
      </c>
      <c r="Q31" s="168">
        <f>'Financial Statements'!Q53</f>
        <v>-329141.06455225765</v>
      </c>
      <c r="R31" s="168">
        <f>'Financial Statements'!R53</f>
        <v>-259352.45711162512</v>
      </c>
      <c r="S31" s="168">
        <f>'Financial Statements'!S53</f>
        <v>-198755.46454780881</v>
      </c>
      <c r="T31" s="168">
        <f>'Financial Statements'!T53</f>
        <v>-146276.39830141948</v>
      </c>
      <c r="U31" s="168">
        <f>'Financial Statements'!U53</f>
        <v>-100961.60646867949</v>
      </c>
      <c r="V31" s="168">
        <f>'Financial Statements'!V53</f>
        <v>-61964.292516652764</v>
      </c>
    </row>
    <row r="32" spans="2:23">
      <c r="B32" s="155" t="s">
        <v>509</v>
      </c>
      <c r="C32" s="155"/>
      <c r="D32" s="155"/>
      <c r="E32" s="170">
        <f>E29+E31</f>
        <v>0</v>
      </c>
      <c r="F32" s="170">
        <f>F29+F31</f>
        <v>-40387364.412292108</v>
      </c>
      <c r="G32" s="170">
        <f t="shared" ref="G32:V32" si="3">G29+G31</f>
        <v>-39895173.871326737</v>
      </c>
      <c r="H32" s="170">
        <f t="shared" si="3"/>
        <v>3279411.4670774322</v>
      </c>
      <c r="I32" s="170">
        <f t="shared" si="3"/>
        <v>5095166.9509937689</v>
      </c>
      <c r="J32" s="170">
        <f t="shared" si="3"/>
        <v>5646904.8564096782</v>
      </c>
      <c r="K32" s="170">
        <f t="shared" si="3"/>
        <v>6192045.2328947689</v>
      </c>
      <c r="L32" s="170">
        <f t="shared" si="3"/>
        <v>6734212.0418974245</v>
      </c>
      <c r="M32" s="170">
        <f t="shared" si="3"/>
        <v>7276768.4100454487</v>
      </c>
      <c r="N32" s="170">
        <f t="shared" si="3"/>
        <v>7822851.8146376526</v>
      </c>
      <c r="O32" s="170">
        <f t="shared" si="3"/>
        <v>8375405.7670034617</v>
      </c>
      <c r="P32" s="170">
        <f t="shared" si="3"/>
        <v>8937208.3892072923</v>
      </c>
      <c r="Q32" s="170">
        <f t="shared" si="3"/>
        <v>9510898.2374505587</v>
      </c>
      <c r="R32" s="170">
        <f t="shared" si="3"/>
        <v>10098997.688001027</v>
      </c>
      <c r="S32" s="170">
        <f t="shared" si="3"/>
        <v>10703934.168059301</v>
      </c>
      <c r="T32" s="170">
        <f t="shared" si="3"/>
        <v>11328059.484213106</v>
      </c>
      <c r="U32" s="170">
        <f t="shared" si="3"/>
        <v>11973667.474637372</v>
      </c>
      <c r="V32" s="170">
        <f t="shared" si="3"/>
        <v>312116756.44318235</v>
      </c>
    </row>
    <row r="33" spans="2:23">
      <c r="B33" s="17" t="s">
        <v>510</v>
      </c>
      <c r="E33" s="168">
        <f>'Expenditure Schedule'!C90</f>
        <v>0</v>
      </c>
      <c r="F33" s="168">
        <f>'Expenditure Schedule'!D90</f>
        <v>0</v>
      </c>
      <c r="G33" s="168">
        <f>'Expenditure Schedule'!E90</f>
        <v>0</v>
      </c>
      <c r="H33" s="168">
        <f>'Expenditure Schedule'!F90</f>
        <v>0</v>
      </c>
      <c r="I33" s="168">
        <f>'Expenditure Schedule'!G90</f>
        <v>0</v>
      </c>
      <c r="J33" s="168">
        <f>'Expenditure Schedule'!H90</f>
        <v>0</v>
      </c>
      <c r="K33" s="168">
        <f>'Expenditure Schedule'!I90</f>
        <v>0</v>
      </c>
      <c r="L33" s="168">
        <f>'Expenditure Schedule'!J90</f>
        <v>0</v>
      </c>
      <c r="M33" s="168">
        <f>'Expenditure Schedule'!K90</f>
        <v>0</v>
      </c>
      <c r="N33" s="168">
        <f>'Expenditure Schedule'!L90</f>
        <v>0</v>
      </c>
      <c r="O33" s="168">
        <f>'Expenditure Schedule'!M90</f>
        <v>0</v>
      </c>
      <c r="P33" s="168">
        <f>'Expenditure Schedule'!N90</f>
        <v>0</v>
      </c>
      <c r="Q33" s="168">
        <f>'Expenditure Schedule'!O90</f>
        <v>-980415.53418161394</v>
      </c>
      <c r="R33" s="168">
        <f>'Expenditure Schedule'!P90</f>
        <v>-3591389.4472610229</v>
      </c>
      <c r="S33" s="168">
        <f>'Expenditure Schedule'!Q90</f>
        <v>-3802869.2136967639</v>
      </c>
      <c r="T33" s="168">
        <f>'Expenditure Schedule'!R90</f>
        <v>-4020497.812804223</v>
      </c>
      <c r="U33" s="168">
        <f>'Expenditure Schedule'!S90</f>
        <v>-4245009.7433441691</v>
      </c>
      <c r="V33" s="168">
        <f>'Expenditure Schedule'!T90</f>
        <v>-92937923.605275035</v>
      </c>
    </row>
    <row r="34" spans="2:23">
      <c r="E34" s="101"/>
      <c r="F34" s="101"/>
      <c r="G34" s="101"/>
      <c r="H34" s="101"/>
      <c r="I34" s="101"/>
      <c r="J34" s="101"/>
      <c r="K34" s="101"/>
      <c r="L34" s="101"/>
      <c r="M34" s="101"/>
      <c r="N34" s="101"/>
      <c r="O34" s="101"/>
      <c r="P34" s="101"/>
      <c r="Q34" s="101"/>
      <c r="R34" s="101"/>
      <c r="S34" s="101"/>
      <c r="T34" s="101"/>
      <c r="U34" s="101"/>
      <c r="V34" s="101"/>
    </row>
    <row r="35" spans="2:23">
      <c r="B35" s="154" t="s">
        <v>511</v>
      </c>
      <c r="C35" s="155"/>
      <c r="D35" s="155"/>
      <c r="E35" s="171">
        <f>E32+E33</f>
        <v>0</v>
      </c>
      <c r="F35" s="171">
        <f t="shared" ref="F35:V35" si="4">F32+F33</f>
        <v>-40387364.412292108</v>
      </c>
      <c r="G35" s="171">
        <f t="shared" si="4"/>
        <v>-39895173.871326737</v>
      </c>
      <c r="H35" s="171">
        <f t="shared" si="4"/>
        <v>3279411.4670774322</v>
      </c>
      <c r="I35" s="171">
        <f t="shared" si="4"/>
        <v>5095166.9509937689</v>
      </c>
      <c r="J35" s="171">
        <f t="shared" si="4"/>
        <v>5646904.8564096782</v>
      </c>
      <c r="K35" s="171">
        <f t="shared" si="4"/>
        <v>6192045.2328947689</v>
      </c>
      <c r="L35" s="171">
        <f t="shared" si="4"/>
        <v>6734212.0418974245</v>
      </c>
      <c r="M35" s="171">
        <f t="shared" si="4"/>
        <v>7276768.4100454487</v>
      </c>
      <c r="N35" s="171">
        <f t="shared" si="4"/>
        <v>7822851.8146376526</v>
      </c>
      <c r="O35" s="171">
        <f t="shared" si="4"/>
        <v>8375405.7670034617</v>
      </c>
      <c r="P35" s="171">
        <f t="shared" si="4"/>
        <v>8937208.3892072923</v>
      </c>
      <c r="Q35" s="171">
        <f t="shared" si="4"/>
        <v>8530482.7032689452</v>
      </c>
      <c r="R35" s="171">
        <f t="shared" si="4"/>
        <v>6507608.2407400049</v>
      </c>
      <c r="S35" s="171">
        <f t="shared" si="4"/>
        <v>6901064.9543625368</v>
      </c>
      <c r="T35" s="171">
        <f t="shared" si="4"/>
        <v>7307561.6714088833</v>
      </c>
      <c r="U35" s="171">
        <f t="shared" si="4"/>
        <v>7728657.7312932033</v>
      </c>
      <c r="V35" s="171">
        <f t="shared" si="4"/>
        <v>219178832.83790731</v>
      </c>
      <c r="W35" s="101">
        <f>SUM(E35:V35)</f>
        <v>235231644.78552899</v>
      </c>
    </row>
    <row r="38" spans="2:23">
      <c r="B38" s="16" t="s">
        <v>512</v>
      </c>
      <c r="C38" s="53"/>
      <c r="D38" s="15"/>
      <c r="E38" s="15"/>
      <c r="F38" s="15"/>
      <c r="G38" s="15"/>
      <c r="H38" s="15"/>
      <c r="I38" s="15"/>
      <c r="J38" s="15"/>
      <c r="K38" s="15"/>
      <c r="L38" s="15"/>
      <c r="M38" s="15"/>
      <c r="N38" s="15"/>
      <c r="O38" s="15"/>
      <c r="P38" s="15"/>
      <c r="Q38" s="15"/>
      <c r="R38" s="15"/>
      <c r="S38" s="15"/>
      <c r="T38" s="15"/>
      <c r="U38" s="15"/>
      <c r="V38" s="15"/>
    </row>
    <row r="39" spans="2:23">
      <c r="B39" s="142" t="s">
        <v>341</v>
      </c>
      <c r="C39" s="142"/>
      <c r="D39" s="142"/>
      <c r="E39" s="142" t="s">
        <v>100</v>
      </c>
      <c r="F39" s="142" t="s">
        <v>101</v>
      </c>
      <c r="G39" s="142" t="s">
        <v>102</v>
      </c>
      <c r="H39" s="142" t="s">
        <v>320</v>
      </c>
      <c r="I39" s="142" t="s">
        <v>321</v>
      </c>
      <c r="J39" s="142" t="s">
        <v>322</v>
      </c>
      <c r="K39" s="142" t="s">
        <v>323</v>
      </c>
      <c r="L39" s="142" t="s">
        <v>324</v>
      </c>
      <c r="M39" s="142" t="s">
        <v>325</v>
      </c>
      <c r="N39" s="142" t="s">
        <v>326</v>
      </c>
      <c r="O39" s="142" t="s">
        <v>327</v>
      </c>
      <c r="P39" s="142" t="s">
        <v>328</v>
      </c>
      <c r="Q39" s="142" t="s">
        <v>329</v>
      </c>
      <c r="R39" s="142" t="s">
        <v>330</v>
      </c>
      <c r="S39" s="142" t="s">
        <v>331</v>
      </c>
      <c r="T39" s="142" t="s">
        <v>332</v>
      </c>
      <c r="U39" s="142" t="s">
        <v>333</v>
      </c>
      <c r="V39" s="142" t="s">
        <v>334</v>
      </c>
    </row>
    <row r="40" spans="2:23">
      <c r="B40" s="37" t="s">
        <v>513</v>
      </c>
      <c r="E40" s="101"/>
      <c r="F40" s="101"/>
      <c r="G40" s="101"/>
      <c r="H40" s="101"/>
      <c r="I40" s="101"/>
      <c r="J40" s="101"/>
      <c r="K40" s="101"/>
      <c r="L40" s="101"/>
      <c r="M40" s="101"/>
      <c r="N40" s="101"/>
      <c r="O40" s="101"/>
      <c r="P40" s="101"/>
      <c r="Q40" s="101"/>
      <c r="R40" s="101"/>
      <c r="S40" s="101"/>
      <c r="T40" s="101"/>
      <c r="U40" s="101"/>
      <c r="V40" s="101"/>
    </row>
    <row r="41" spans="2:23">
      <c r="B41" s="17" t="s">
        <v>514</v>
      </c>
      <c r="E41" s="168">
        <f>DCF!G44</f>
        <v>0</v>
      </c>
      <c r="F41" s="168">
        <f>DCF!H44</f>
        <v>-47108.746276695922</v>
      </c>
      <c r="G41" s="168">
        <f>DCF!I44</f>
        <v>-5350493.0760282939</v>
      </c>
      <c r="H41" s="168">
        <f>DCF!J44</f>
        <v>5999304.2121209837</v>
      </c>
      <c r="I41" s="168">
        <f>DCF!K44</f>
        <v>8335953.9418235905</v>
      </c>
      <c r="J41" s="168">
        <f>DCF!L44</f>
        <v>8740735.9083377477</v>
      </c>
      <c r="K41" s="168">
        <f>DCF!M44</f>
        <v>9165063.8136772513</v>
      </c>
      <c r="L41" s="168">
        <f>DCF!N44</f>
        <v>9609878.7730165329</v>
      </c>
      <c r="M41" s="168">
        <f>DCF!O44</f>
        <v>10076167.147811169</v>
      </c>
      <c r="N41" s="168">
        <f>DCF!P44</f>
        <v>10564962.719438197</v>
      </c>
      <c r="O41" s="168">
        <f>DCF!Q44</f>
        <v>11077348.96721662</v>
      </c>
      <c r="P41" s="168">
        <f>DCF!R44</f>
        <v>11614461.455819543</v>
      </c>
      <c r="Q41" s="168">
        <f>DCF!S44</f>
        <v>12177490.337329824</v>
      </c>
      <c r="R41" s="168">
        <f>DCF!T44</f>
        <v>12767682.973443365</v>
      </c>
      <c r="S41" s="168">
        <f>DCF!U44</f>
        <v>13386346.683588402</v>
      </c>
      <c r="T41" s="168">
        <f>DCF!V44</f>
        <v>14034851.625005897</v>
      </c>
      <c r="U41" s="168">
        <f>DCF!W44</f>
        <v>14714633.81112656</v>
      </c>
      <c r="V41" s="168">
        <f>DCF!X44</f>
        <v>15431206.101790221</v>
      </c>
    </row>
    <row r="42" spans="2:23">
      <c r="B42" s="17" t="s">
        <v>34</v>
      </c>
      <c r="E42" s="168">
        <f>DCF!H49</f>
        <v>-33969643.797560386</v>
      </c>
      <c r="F42" s="168">
        <f>DCF!I49</f>
        <v>-34477326.243953317</v>
      </c>
      <c r="G42" s="168">
        <f>DCF!J49</f>
        <v>0</v>
      </c>
      <c r="H42" s="168">
        <f>DCF!K49</f>
        <v>0</v>
      </c>
      <c r="I42" s="168">
        <f>DCF!L49</f>
        <v>0</v>
      </c>
      <c r="J42" s="168">
        <f>DCF!M49</f>
        <v>0</v>
      </c>
      <c r="K42" s="168">
        <f>DCF!N49</f>
        <v>0</v>
      </c>
      <c r="L42" s="168">
        <f>DCF!O49</f>
        <v>0</v>
      </c>
      <c r="M42" s="168">
        <f>DCF!P49</f>
        <v>0</v>
      </c>
      <c r="N42" s="168">
        <f>DCF!Q49</f>
        <v>0</v>
      </c>
      <c r="O42" s="168">
        <f>DCF!R49</f>
        <v>0</v>
      </c>
      <c r="P42" s="168">
        <f>DCF!S49</f>
        <v>0</v>
      </c>
      <c r="Q42" s="168">
        <f>DCF!T49</f>
        <v>0</v>
      </c>
      <c r="R42" s="168">
        <f>DCF!U49</f>
        <v>0</v>
      </c>
      <c r="S42" s="168">
        <f>DCF!V49</f>
        <v>0</v>
      </c>
      <c r="T42" s="168">
        <f>DCF!W49</f>
        <v>0</v>
      </c>
      <c r="U42" s="168">
        <f>DCF!X49</f>
        <v>0</v>
      </c>
      <c r="V42" s="168">
        <f>DCF!Y49</f>
        <v>0</v>
      </c>
    </row>
    <row r="43" spans="2:23">
      <c r="B43" s="17" t="s">
        <v>515</v>
      </c>
      <c r="E43" s="152">
        <f>DCF!G58</f>
        <v>0</v>
      </c>
      <c r="F43" s="152">
        <f>DCF!H58</f>
        <v>0</v>
      </c>
      <c r="G43" s="152">
        <f>DCF!I58</f>
        <v>0</v>
      </c>
      <c r="H43" s="152">
        <f>DCF!J58</f>
        <v>0</v>
      </c>
      <c r="I43" s="152">
        <f>DCF!K58</f>
        <v>0</v>
      </c>
      <c r="J43" s="152">
        <f>DCF!L58</f>
        <v>0</v>
      </c>
      <c r="K43" s="152">
        <f>DCF!M58</f>
        <v>0</v>
      </c>
      <c r="L43" s="152">
        <f>DCF!N58</f>
        <v>0</v>
      </c>
      <c r="M43" s="152">
        <f>DCF!O58</f>
        <v>0</v>
      </c>
      <c r="N43" s="152">
        <f>DCF!P58</f>
        <v>0</v>
      </c>
      <c r="O43" s="152">
        <f>DCF!Q58</f>
        <v>0</v>
      </c>
      <c r="P43" s="152">
        <f>DCF!R58</f>
        <v>0</v>
      </c>
      <c r="Q43" s="152">
        <f>DCF!S58</f>
        <v>0</v>
      </c>
      <c r="R43" s="152">
        <f>DCF!T58</f>
        <v>0</v>
      </c>
      <c r="S43" s="152">
        <f>DCF!U58</f>
        <v>0</v>
      </c>
      <c r="T43" s="152">
        <f>DCF!V58</f>
        <v>0</v>
      </c>
      <c r="U43" s="152">
        <f>DCF!W58</f>
        <v>0</v>
      </c>
      <c r="V43" s="153">
        <f>DCF!X58</f>
        <v>299441256.82645965</v>
      </c>
    </row>
    <row r="44" spans="2:23">
      <c r="B44" s="17" t="s">
        <v>516</v>
      </c>
      <c r="E44" s="168">
        <f>'Expenditure Schedule'!C$90</f>
        <v>0</v>
      </c>
      <c r="F44" s="168">
        <f>'Expenditure Schedule'!D$90</f>
        <v>0</v>
      </c>
      <c r="G44" s="168">
        <f>'Expenditure Schedule'!E$90</f>
        <v>0</v>
      </c>
      <c r="H44" s="168">
        <f>'Expenditure Schedule'!F$90</f>
        <v>0</v>
      </c>
      <c r="I44" s="168">
        <f>'Expenditure Schedule'!G$90</f>
        <v>0</v>
      </c>
      <c r="J44" s="168">
        <f>'Expenditure Schedule'!H$90</f>
        <v>0</v>
      </c>
      <c r="K44" s="168">
        <f>'Expenditure Schedule'!I$90</f>
        <v>0</v>
      </c>
      <c r="L44" s="168">
        <f>'Expenditure Schedule'!J$90</f>
        <v>0</v>
      </c>
      <c r="M44" s="168">
        <f>'Expenditure Schedule'!K$90</f>
        <v>0</v>
      </c>
      <c r="N44" s="168">
        <f>'Expenditure Schedule'!L$90</f>
        <v>0</v>
      </c>
      <c r="O44" s="168">
        <f>'Expenditure Schedule'!M$90</f>
        <v>0</v>
      </c>
      <c r="P44" s="168">
        <f>'Expenditure Schedule'!N$90</f>
        <v>0</v>
      </c>
      <c r="Q44" s="168">
        <f>'Expenditure Schedule'!O$90</f>
        <v>-980415.53418161394</v>
      </c>
      <c r="R44" s="168">
        <f>'Expenditure Schedule'!P$90</f>
        <v>-3591389.4472610229</v>
      </c>
      <c r="S44" s="168">
        <f>'Expenditure Schedule'!Q$90</f>
        <v>-3802869.2136967639</v>
      </c>
      <c r="T44" s="168">
        <f>'Expenditure Schedule'!R$90</f>
        <v>-4020497.812804223</v>
      </c>
      <c r="U44" s="168">
        <f>'Expenditure Schedule'!S$90</f>
        <v>-4245009.7433441691</v>
      </c>
      <c r="V44" s="168">
        <f>'Expenditure Schedule'!T$90</f>
        <v>-92937923.605275035</v>
      </c>
    </row>
    <row r="45" spans="2:23">
      <c r="B45" s="17" t="s">
        <v>517</v>
      </c>
      <c r="E45" s="160">
        <f>E41+E42+E43+E44</f>
        <v>-33969643.797560386</v>
      </c>
      <c r="F45" s="160">
        <f t="shared" ref="F45:U45" si="5">F41+F42+F43+F44</f>
        <v>-34524434.990230016</v>
      </c>
      <c r="G45" s="160">
        <f t="shared" si="5"/>
        <v>-5350493.0760282939</v>
      </c>
      <c r="H45" s="160">
        <f t="shared" si="5"/>
        <v>5999304.2121209837</v>
      </c>
      <c r="I45" s="160">
        <f t="shared" si="5"/>
        <v>8335953.9418235905</v>
      </c>
      <c r="J45" s="160">
        <f t="shared" si="5"/>
        <v>8740735.9083377477</v>
      </c>
      <c r="K45" s="160">
        <f t="shared" si="5"/>
        <v>9165063.8136772513</v>
      </c>
      <c r="L45" s="160">
        <f t="shared" si="5"/>
        <v>9609878.7730165329</v>
      </c>
      <c r="M45" s="160">
        <f t="shared" si="5"/>
        <v>10076167.147811169</v>
      </c>
      <c r="N45" s="160">
        <f t="shared" si="5"/>
        <v>10564962.719438197</v>
      </c>
      <c r="O45" s="160">
        <f t="shared" si="5"/>
        <v>11077348.96721662</v>
      </c>
      <c r="P45" s="160">
        <f t="shared" si="5"/>
        <v>11614461.455819543</v>
      </c>
      <c r="Q45" s="160">
        <f t="shared" si="5"/>
        <v>11197074.80314821</v>
      </c>
      <c r="R45" s="160">
        <f t="shared" si="5"/>
        <v>9176293.5261823423</v>
      </c>
      <c r="S45" s="160">
        <f t="shared" si="5"/>
        <v>9583477.4698916376</v>
      </c>
      <c r="T45" s="160">
        <f t="shared" si="5"/>
        <v>10014353.812201675</v>
      </c>
      <c r="U45" s="160">
        <f t="shared" si="5"/>
        <v>10469624.067782391</v>
      </c>
      <c r="V45" s="160">
        <f>V41+V42+V43+V44</f>
        <v>221934539.32297486</v>
      </c>
    </row>
    <row r="46" spans="2:23">
      <c r="B46" s="154" t="s">
        <v>518</v>
      </c>
      <c r="C46" s="155"/>
      <c r="D46" s="155"/>
      <c r="E46" s="157">
        <f>IRR(E45:V45,1)</f>
        <v>0.13656542611659384</v>
      </c>
    </row>
    <row r="47" spans="2:23">
      <c r="B47" s="17" t="s">
        <v>519</v>
      </c>
      <c r="E47" s="99">
        <f>(SUM(E41:V41)+SUM(E43:V43))/(SUM(E41:V41)+SUM(E43:V43)-SUM(E45:V45))</f>
        <v>2.593678123394799</v>
      </c>
      <c r="F47" s="144"/>
      <c r="G47" s="144"/>
      <c r="H47" s="144"/>
      <c r="I47" s="144"/>
      <c r="J47" s="144"/>
      <c r="K47" s="144"/>
      <c r="L47" s="144"/>
      <c r="M47" s="144"/>
      <c r="N47" s="144"/>
      <c r="O47" s="144"/>
      <c r="P47" s="144"/>
      <c r="Q47" s="144"/>
      <c r="R47" s="144"/>
      <c r="S47" s="144"/>
      <c r="T47" s="144"/>
      <c r="U47" s="144"/>
      <c r="V47" s="144"/>
    </row>
    <row r="48" spans="2:23">
      <c r="B48" s="143"/>
      <c r="C48" s="143"/>
      <c r="D48" s="143"/>
      <c r="E48" s="143"/>
      <c r="F48" s="143"/>
      <c r="G48" s="143"/>
      <c r="H48" s="143"/>
      <c r="I48" s="143"/>
      <c r="J48" s="143"/>
      <c r="K48" s="143"/>
      <c r="L48" s="143"/>
      <c r="M48" s="143"/>
      <c r="N48" s="143"/>
      <c r="O48" s="143"/>
      <c r="P48" s="143"/>
      <c r="Q48" s="143"/>
      <c r="R48" s="143"/>
      <c r="S48" s="143"/>
      <c r="T48" s="143"/>
      <c r="U48" s="143"/>
      <c r="V48" s="143"/>
    </row>
    <row r="49" spans="2:22">
      <c r="B49" s="37" t="s">
        <v>520</v>
      </c>
    </row>
    <row r="50" spans="2:22">
      <c r="B50" s="17" t="s">
        <v>521</v>
      </c>
      <c r="E50" s="160">
        <f t="shared" ref="E50:V50" si="6">E$45</f>
        <v>-33969643.797560386</v>
      </c>
      <c r="F50" s="160">
        <f t="shared" si="6"/>
        <v>-34524434.990230016</v>
      </c>
      <c r="G50" s="160">
        <f t="shared" si="6"/>
        <v>-5350493.0760282939</v>
      </c>
      <c r="H50" s="160">
        <f t="shared" si="6"/>
        <v>5999304.2121209837</v>
      </c>
      <c r="I50" s="160">
        <f t="shared" si="6"/>
        <v>8335953.9418235905</v>
      </c>
      <c r="J50" s="160">
        <f t="shared" si="6"/>
        <v>8740735.9083377477</v>
      </c>
      <c r="K50" s="160">
        <f t="shared" si="6"/>
        <v>9165063.8136772513</v>
      </c>
      <c r="L50" s="160">
        <f t="shared" si="6"/>
        <v>9609878.7730165329</v>
      </c>
      <c r="M50" s="160">
        <f t="shared" si="6"/>
        <v>10076167.147811169</v>
      </c>
      <c r="N50" s="160">
        <f t="shared" si="6"/>
        <v>10564962.719438197</v>
      </c>
      <c r="O50" s="160">
        <f t="shared" si="6"/>
        <v>11077348.96721662</v>
      </c>
      <c r="P50" s="160">
        <f t="shared" si="6"/>
        <v>11614461.455819543</v>
      </c>
      <c r="Q50" s="160">
        <f t="shared" si="6"/>
        <v>11197074.80314821</v>
      </c>
      <c r="R50" s="160">
        <f t="shared" si="6"/>
        <v>9176293.5261823423</v>
      </c>
      <c r="S50" s="160">
        <f t="shared" si="6"/>
        <v>9583477.4698916376</v>
      </c>
      <c r="T50" s="160">
        <f t="shared" si="6"/>
        <v>10014353.812201675</v>
      </c>
      <c r="U50" s="160">
        <f t="shared" si="6"/>
        <v>10469624.067782391</v>
      </c>
      <c r="V50" s="160">
        <f t="shared" si="6"/>
        <v>221934539.32297486</v>
      </c>
    </row>
    <row r="51" spans="2:22">
      <c r="B51" s="17" t="s">
        <v>522</v>
      </c>
      <c r="E51" s="168">
        <f>'Debt &amp; Equity Schedule'!C$19</f>
        <v>0</v>
      </c>
      <c r="F51" s="168">
        <f>'Debt &amp; Equity Schedule'!D$19</f>
        <v>11181258.679829078</v>
      </c>
      <c r="G51" s="168">
        <f>'Debt &amp; Equity Schedule'!E$19</f>
        <v>10383421.981101779</v>
      </c>
      <c r="H51" s="168">
        <f>'Debt &amp; Equity Schedule'!F$19</f>
        <v>0</v>
      </c>
      <c r="I51" s="168">
        <f>'Debt &amp; Equity Schedule'!G$27</f>
        <v>20631707.652346369</v>
      </c>
      <c r="J51" s="168">
        <f>'Debt &amp; Equity Schedule'!H$27</f>
        <v>0</v>
      </c>
      <c r="K51" s="168">
        <f>'Debt &amp; Equity Schedule'!I$27</f>
        <v>0</v>
      </c>
      <c r="L51" s="168">
        <f>'Debt &amp; Equity Schedule'!J$27</f>
        <v>0</v>
      </c>
      <c r="M51" s="168">
        <f>'Debt &amp; Equity Schedule'!K$27</f>
        <v>0</v>
      </c>
      <c r="N51" s="168">
        <f>'Debt &amp; Equity Schedule'!L$27</f>
        <v>0</v>
      </c>
      <c r="O51" s="168">
        <f>'Debt &amp; Equity Schedule'!M$27</f>
        <v>0</v>
      </c>
      <c r="P51" s="168">
        <f>'Debt &amp; Equity Schedule'!N$27</f>
        <v>0</v>
      </c>
      <c r="Q51" s="168">
        <f>'Debt &amp; Equity Schedule'!O$27</f>
        <v>0</v>
      </c>
      <c r="R51" s="168">
        <f>'Debt &amp; Equity Schedule'!P$27</f>
        <v>0</v>
      </c>
      <c r="S51" s="168">
        <f>'Debt &amp; Equity Schedule'!Q$27</f>
        <v>0</v>
      </c>
      <c r="T51" s="168">
        <f>'Debt &amp; Equity Schedule'!R$27</f>
        <v>0</v>
      </c>
      <c r="U51" s="168">
        <f>'Debt &amp; Equity Schedule'!S$27</f>
        <v>0</v>
      </c>
      <c r="V51" s="168">
        <f>DCF!X55</f>
        <v>-4144035.8858716888</v>
      </c>
    </row>
    <row r="52" spans="2:22">
      <c r="B52" s="17" t="s">
        <v>523</v>
      </c>
      <c r="E52" s="172">
        <f>'Debt &amp; Equity Schedule'!C21</f>
        <v>0</v>
      </c>
      <c r="F52" s="172">
        <f>'Debt &amp; Equity Schedule'!D21</f>
        <v>0</v>
      </c>
      <c r="G52" s="172">
        <f>'Debt &amp; Equity Schedule'!E21</f>
        <v>0</v>
      </c>
      <c r="H52" s="172">
        <f>'Debt &amp; Equity Schedule'!F21</f>
        <v>-20631707.652346369</v>
      </c>
      <c r="I52" s="172">
        <f>('Debt &amp; Equity Schedule'!G30)</f>
        <v>-834564.47757268744</v>
      </c>
      <c r="J52" s="172">
        <f>('Debt &amp; Equity Schedule'!H30)</f>
        <v>-794669.64541583892</v>
      </c>
      <c r="K52" s="172">
        <f>('Debt &amp; Equity Schedule'!I30)</f>
        <v>-756681.91292066325</v>
      </c>
      <c r="L52" s="172">
        <f>('Debt &amp; Equity Schedule'!J30)</f>
        <v>-720510.1146674077</v>
      </c>
      <c r="M52" s="172">
        <f>('Debt &amp; Equity Schedule'!K30)</f>
        <v>-686067.44323287555</v>
      </c>
      <c r="N52" s="172">
        <f>('Debt &amp; Equity Schedule'!L30)</f>
        <v>-653271.24086435337</v>
      </c>
      <c r="O52" s="172">
        <f>('Debt &amp; Equity Schedule'!M30)</f>
        <v>-622042.80111218384</v>
      </c>
      <c r="P52" s="172">
        <f>('Debt &amp; Equity Schedule'!N30)</f>
        <v>-592307.17994493223</v>
      </c>
      <c r="Q52" s="172">
        <f>('Debt &amp; Equity Schedule'!O30)</f>
        <v>-563993.01589384931</v>
      </c>
      <c r="R52" s="172">
        <f>('Debt &amp; Equity Schedule'!P30)</f>
        <v>-537032.3587949971</v>
      </c>
      <c r="S52" s="172">
        <f>('Debt &amp; Equity Schedule'!Q30)</f>
        <v>-511360.50671804725</v>
      </c>
      <c r="T52" s="172">
        <f>('Debt &amp; Equity Schedule'!R30)</f>
        <v>-486915.85069039988</v>
      </c>
      <c r="U52" s="172">
        <f>('Debt &amp; Equity Schedule'!S30)</f>
        <v>-463639.72684398218</v>
      </c>
      <c r="V52" s="172">
        <f>('Debt &amp; Equity Schedule'!T30)</f>
        <v>-441476.27562990051</v>
      </c>
    </row>
    <row r="53" spans="2:22">
      <c r="B53" s="17" t="s">
        <v>524</v>
      </c>
      <c r="E53" s="168">
        <f>'Debt &amp; Equity Schedule'!C$20</f>
        <v>0</v>
      </c>
      <c r="F53" s="168">
        <f>'Debt &amp; Equity Schedule'!D$20</f>
        <v>0</v>
      </c>
      <c r="G53" s="168">
        <f>'Debt &amp; Equity Schedule'!E$20</f>
        <v>0</v>
      </c>
      <c r="H53" s="168">
        <f>'Debt &amp; Equity Schedule'!F$20</f>
        <v>-932973.00858448714</v>
      </c>
      <c r="I53" s="168">
        <f>'Debt &amp; Equity Schedule'!G29</f>
        <v>-1400377.1569030099</v>
      </c>
      <c r="J53" s="168">
        <f>'Debt &amp; Equity Schedule'!H29</f>
        <v>-1198170.647102115</v>
      </c>
      <c r="K53" s="168">
        <f>'Debt &amp; Equity Schedule'!I29</f>
        <v>-1020282.8051824612</v>
      </c>
      <c r="L53" s="168">
        <f>'Debt &amp; Equity Schedule'!J29</f>
        <v>-863963.87516430381</v>
      </c>
      <c r="M53" s="168">
        <f>'Debt &amp; Equity Schedule'!K29</f>
        <v>-726767.48752095166</v>
      </c>
      <c r="N53" s="168">
        <f>'Debt &amp; Equity Schedule'!L29</f>
        <v>-606517.53090979217</v>
      </c>
      <c r="O53" s="168">
        <f>'Debt &amp; Equity Schedule'!M29</f>
        <v>-501278.62515055737</v>
      </c>
      <c r="P53" s="168">
        <f>'Debt &amp; Equity Schedule'!N29</f>
        <v>-409329.80474092811</v>
      </c>
      <c r="Q53" s="168">
        <f>'Debt &amp; Equity Schedule'!O29</f>
        <v>-329141.06455225765</v>
      </c>
      <c r="R53" s="168">
        <f>'Debt &amp; Equity Schedule'!P29</f>
        <v>-259352.45711162512</v>
      </c>
      <c r="S53" s="168">
        <f>'Debt &amp; Equity Schedule'!Q29</f>
        <v>-198755.46454780881</v>
      </c>
      <c r="T53" s="168">
        <f>'Debt &amp; Equity Schedule'!R29</f>
        <v>-146276.39830141948</v>
      </c>
      <c r="U53" s="168">
        <f>'Debt &amp; Equity Schedule'!S29</f>
        <v>-100961.60646867949</v>
      </c>
      <c r="V53" s="168">
        <f>'Debt &amp; Equity Schedule'!T29</f>
        <v>-61964.292516652764</v>
      </c>
    </row>
    <row r="54" spans="2:22">
      <c r="B54" s="17" t="s">
        <v>517</v>
      </c>
      <c r="E54" s="160">
        <f t="shared" ref="E54:V54" si="7">E50+E51+E52+E53</f>
        <v>-33969643.797560386</v>
      </c>
      <c r="F54" s="160">
        <f t="shared" si="7"/>
        <v>-23343176.31040094</v>
      </c>
      <c r="G54" s="160">
        <f t="shared" si="7"/>
        <v>5032928.9050734853</v>
      </c>
      <c r="H54" s="160">
        <f t="shared" si="7"/>
        <v>-15565376.448809871</v>
      </c>
      <c r="I54" s="160">
        <f t="shared" si="7"/>
        <v>26732719.959694263</v>
      </c>
      <c r="J54" s="160">
        <f t="shared" si="7"/>
        <v>6747895.6158197941</v>
      </c>
      <c r="K54" s="160">
        <f t="shared" si="7"/>
        <v>7388099.0955741275</v>
      </c>
      <c r="L54" s="160">
        <f t="shared" si="7"/>
        <v>8025404.7831848208</v>
      </c>
      <c r="M54" s="160">
        <f t="shared" si="7"/>
        <v>8663332.2170573417</v>
      </c>
      <c r="N54" s="160">
        <f t="shared" si="7"/>
        <v>9305173.9476640522</v>
      </c>
      <c r="O54" s="160">
        <f t="shared" si="7"/>
        <v>9954027.5409538783</v>
      </c>
      <c r="P54" s="160">
        <f t="shared" si="7"/>
        <v>10612824.471133683</v>
      </c>
      <c r="Q54" s="160">
        <f t="shared" si="7"/>
        <v>10303940.722702105</v>
      </c>
      <c r="R54" s="160">
        <f t="shared" si="7"/>
        <v>8379908.7102757208</v>
      </c>
      <c r="S54" s="160">
        <f t="shared" si="7"/>
        <v>8873361.4986257814</v>
      </c>
      <c r="T54" s="160">
        <f t="shared" si="7"/>
        <v>9381161.5632098559</v>
      </c>
      <c r="U54" s="160">
        <f t="shared" si="7"/>
        <v>9905022.7344697285</v>
      </c>
      <c r="V54" s="160">
        <f t="shared" si="7"/>
        <v>217287062.86895663</v>
      </c>
    </row>
    <row r="55" spans="2:22">
      <c r="B55" s="154" t="s">
        <v>518</v>
      </c>
      <c r="C55" s="155"/>
      <c r="D55" s="155"/>
      <c r="E55" s="156">
        <f>IRR(E54:V54,1)</f>
        <v>0.15253810878281082</v>
      </c>
    </row>
    <row r="56" spans="2:22">
      <c r="B56" s="17" t="s">
        <v>519</v>
      </c>
      <c r="E56" s="99">
        <f>SUM(E51:V51)/-(SUM(E52:V52)+SUM(E53:V53))</f>
        <v>1.0000000000000002</v>
      </c>
      <c r="F56" s="70"/>
      <c r="G56" s="70"/>
      <c r="H56" s="70"/>
      <c r="I56" s="70"/>
      <c r="J56" s="70"/>
      <c r="K56" s="70"/>
      <c r="L56" s="70"/>
      <c r="M56" s="70"/>
      <c r="N56" s="70"/>
      <c r="O56" s="70"/>
      <c r="P56" s="70"/>
      <c r="Q56" s="70"/>
      <c r="R56" s="70"/>
      <c r="S56" s="70"/>
      <c r="T56" s="70"/>
      <c r="U56" s="70"/>
      <c r="V56" s="70"/>
    </row>
    <row r="78" spans="6:6">
      <c r="F78" s="121"/>
    </row>
    <row r="80" spans="6:6">
      <c r="F80" s="12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5895A-F84F-3244-93A0-8C04ED780666}">
  <sheetPr>
    <tabColor rgb="FFFF0000"/>
  </sheetPr>
  <dimension ref="B1:N51"/>
  <sheetViews>
    <sheetView topLeftCell="A15" zoomScale="91" workbookViewId="0">
      <selection activeCell="H10" sqref="H10"/>
    </sheetView>
  </sheetViews>
  <sheetFormatPr defaultColWidth="10.875" defaultRowHeight="15.95"/>
  <cols>
    <col min="1" max="1" width="10.875" style="17"/>
    <col min="2" max="2" width="27.375" style="17" customWidth="1"/>
    <col min="3" max="3" width="23" style="17" customWidth="1"/>
    <col min="4" max="4" width="22.125" style="17" customWidth="1"/>
    <col min="5" max="11" width="14.375" style="17" bestFit="1" customWidth="1"/>
    <col min="12" max="12" width="10.875" style="17"/>
    <col min="13" max="13" width="26.5" style="17" customWidth="1"/>
    <col min="14" max="14" width="16.125" style="17" customWidth="1"/>
    <col min="15" max="16384" width="10.875" style="17"/>
  </cols>
  <sheetData>
    <row r="1" spans="2:14" s="15" customFormat="1" ht="27">
      <c r="B1" s="14" t="s">
        <v>525</v>
      </c>
    </row>
    <row r="2" spans="2:14" s="15" customFormat="1">
      <c r="B2" s="16" t="s">
        <v>1</v>
      </c>
    </row>
    <row r="5" spans="2:14" ht="17.100000000000001" thickBot="1">
      <c r="B5" s="16" t="s">
        <v>526</v>
      </c>
      <c r="C5" s="16" t="s">
        <v>527</v>
      </c>
      <c r="D5" s="65" t="s">
        <v>528</v>
      </c>
      <c r="M5" s="335" t="s">
        <v>529</v>
      </c>
      <c r="N5" s="335"/>
    </row>
    <row r="6" spans="2:14" ht="17.100000000000001" thickBot="1">
      <c r="B6" s="17" t="s">
        <v>50</v>
      </c>
      <c r="C6" s="290">
        <v>0</v>
      </c>
      <c r="M6" s="17" t="s">
        <v>530</v>
      </c>
      <c r="N6" s="23">
        <f>-SUM(DCF!G54:X54,DCF!G50:X50,DCF!G36:X36)</f>
        <v>90530447.009954453</v>
      </c>
    </row>
    <row r="7" spans="2:14">
      <c r="B7" s="17" t="s">
        <v>25</v>
      </c>
      <c r="C7" s="203">
        <f>C6</f>
        <v>0</v>
      </c>
      <c r="M7" s="17" t="s">
        <v>531</v>
      </c>
      <c r="N7" s="101">
        <f>SUM(DCF!G64:X64)</f>
        <v>82859140.583076388</v>
      </c>
    </row>
    <row r="8" spans="2:14">
      <c r="C8" s="23"/>
      <c r="M8" s="17" t="s">
        <v>532</v>
      </c>
      <c r="N8" s="23">
        <f>N6-N7</f>
        <v>7671306.4268780649</v>
      </c>
    </row>
    <row r="9" spans="2:14">
      <c r="B9" s="145" t="s">
        <v>533</v>
      </c>
      <c r="C9" s="145"/>
      <c r="D9" s="146" t="s">
        <v>534</v>
      </c>
      <c r="E9" s="146" t="s">
        <v>534</v>
      </c>
      <c r="F9" s="146" t="s">
        <v>534</v>
      </c>
      <c r="G9" s="146" t="s">
        <v>534</v>
      </c>
      <c r="H9" s="146" t="s">
        <v>534</v>
      </c>
      <c r="I9" s="146" t="s">
        <v>534</v>
      </c>
      <c r="J9" s="146" t="s">
        <v>534</v>
      </c>
      <c r="K9" s="146" t="s">
        <v>534</v>
      </c>
      <c r="M9" s="88" t="s">
        <v>535</v>
      </c>
      <c r="N9" s="151">
        <f>(N8-N6)/N6</f>
        <v>-0.91526269139006289</v>
      </c>
    </row>
    <row r="10" spans="2:14">
      <c r="B10" s="147" t="s">
        <v>536</v>
      </c>
      <c r="C10" s="147"/>
      <c r="D10" s="148">
        <f>DCF!C68</f>
        <v>82859140.583076388</v>
      </c>
      <c r="E10" s="149">
        <f t="shared" ref="E10:F10" si="0">F10-0.005</f>
        <v>6.0299914525066799E-2</v>
      </c>
      <c r="F10" s="149">
        <f t="shared" si="0"/>
        <v>6.5299914525066796E-2</v>
      </c>
      <c r="G10" s="149">
        <f>H10-0.005</f>
        <v>7.0299914525066801E-2</v>
      </c>
      <c r="H10" s="149">
        <v>7.5299914525066805E-2</v>
      </c>
      <c r="I10" s="149">
        <f>H10+0.005</f>
        <v>8.0299914525066809E-2</v>
      </c>
      <c r="J10" s="149">
        <f t="shared" ref="J10:K10" si="1">I10+0.005</f>
        <v>8.5299914525066814E-2</v>
      </c>
      <c r="K10" s="149">
        <f t="shared" si="1"/>
        <v>9.0299914525066818E-2</v>
      </c>
    </row>
    <row r="11" spans="2:14">
      <c r="B11" s="147" t="s">
        <v>537</v>
      </c>
      <c r="C11" s="147"/>
      <c r="D11" s="149">
        <f t="shared" ref="D11:D12" si="2">D12-0.005</f>
        <v>3.6533333333333341E-2</v>
      </c>
      <c r="E11" s="173">
        <f t="dataTable" ref="E11:K17" dt2D="1" dtr="1" r1="D6" r2="D7" ca="1"/>
        <v>82859140.583076388</v>
      </c>
      <c r="F11" s="174">
        <v>82859140.583076388</v>
      </c>
      <c r="G11" s="175">
        <v>82859140.583076388</v>
      </c>
      <c r="H11" s="176">
        <v>82859140.583076388</v>
      </c>
      <c r="I11" s="177">
        <v>82859140.583076388</v>
      </c>
      <c r="J11" s="178">
        <v>82859140.583076388</v>
      </c>
      <c r="K11" s="179">
        <v>82859140.583076388</v>
      </c>
    </row>
    <row r="12" spans="2:14">
      <c r="B12" s="147" t="s">
        <v>534</v>
      </c>
      <c r="C12" s="147" t="s">
        <v>534</v>
      </c>
      <c r="D12" s="149">
        <f t="shared" si="2"/>
        <v>4.1533333333333339E-2</v>
      </c>
      <c r="E12" s="180">
        <v>82859140.583076388</v>
      </c>
      <c r="F12" s="173">
        <v>82859140.583076388</v>
      </c>
      <c r="G12" s="181">
        <v>82859140.583076388</v>
      </c>
      <c r="H12" s="175">
        <v>82859140.583076388</v>
      </c>
      <c r="I12" s="176">
        <v>82859140.583076388</v>
      </c>
      <c r="J12" s="182">
        <v>82859140.583076388</v>
      </c>
      <c r="K12" s="183">
        <v>82859140.583076388</v>
      </c>
    </row>
    <row r="13" spans="2:14">
      <c r="B13" s="147" t="s">
        <v>534</v>
      </c>
      <c r="C13" s="147" t="s">
        <v>534</v>
      </c>
      <c r="D13" s="149">
        <f>D14-0.005</f>
        <v>4.6533333333333336E-2</v>
      </c>
      <c r="E13" s="184">
        <v>82859140.583076388</v>
      </c>
      <c r="F13" s="180">
        <v>82859140.583076388</v>
      </c>
      <c r="G13" s="173">
        <v>82859140.583076388</v>
      </c>
      <c r="H13" s="181">
        <v>82859140.583076388</v>
      </c>
      <c r="I13" s="175">
        <v>82859140.583076388</v>
      </c>
      <c r="J13" s="176">
        <v>82859140.583076388</v>
      </c>
      <c r="K13" s="182">
        <v>82859140.583076388</v>
      </c>
    </row>
    <row r="14" spans="2:14">
      <c r="B14" s="147" t="s">
        <v>534</v>
      </c>
      <c r="C14" s="147" t="s">
        <v>534</v>
      </c>
      <c r="D14" s="149">
        <v>5.1533333333333334E-2</v>
      </c>
      <c r="E14" s="185">
        <v>82859140.583076388</v>
      </c>
      <c r="F14" s="184">
        <v>82859140.583076388</v>
      </c>
      <c r="G14" s="180">
        <v>82859140.583076388</v>
      </c>
      <c r="H14" s="173">
        <v>82859140.583076388</v>
      </c>
      <c r="I14" s="181">
        <v>82859140.583076388</v>
      </c>
      <c r="J14" s="186">
        <v>82859140.583076388</v>
      </c>
      <c r="K14" s="176">
        <v>82859140.583076388</v>
      </c>
    </row>
    <row r="15" spans="2:14">
      <c r="B15" s="147" t="s">
        <v>534</v>
      </c>
      <c r="C15" s="147" t="s">
        <v>534</v>
      </c>
      <c r="D15" s="149">
        <f>D14+0.005</f>
        <v>5.6533333333333331E-2</v>
      </c>
      <c r="E15" s="185">
        <v>82859140.583076388</v>
      </c>
      <c r="F15" s="185">
        <v>82859140.583076388</v>
      </c>
      <c r="G15" s="184">
        <v>82859140.583076388</v>
      </c>
      <c r="H15" s="180">
        <v>82859140.583076388</v>
      </c>
      <c r="I15" s="173">
        <v>82859140.583076388</v>
      </c>
      <c r="J15" s="181">
        <v>82859140.583076388</v>
      </c>
      <c r="K15" s="186">
        <v>82859140.583076388</v>
      </c>
    </row>
    <row r="16" spans="2:14">
      <c r="B16" s="147" t="s">
        <v>534</v>
      </c>
      <c r="C16" s="147" t="s">
        <v>534</v>
      </c>
      <c r="D16" s="149">
        <f t="shared" ref="D16:D17" si="3">D15+0.005</f>
        <v>6.1533333333333329E-2</v>
      </c>
      <c r="E16" s="185">
        <v>82859140.583076388</v>
      </c>
      <c r="F16" s="185">
        <v>82859140.583076388</v>
      </c>
      <c r="G16" s="185">
        <v>82859140.583076388</v>
      </c>
      <c r="H16" s="184">
        <v>82859140.583076388</v>
      </c>
      <c r="I16" s="180">
        <v>82859140.583076388</v>
      </c>
      <c r="J16" s="180">
        <v>82859140.583076388</v>
      </c>
      <c r="K16" s="181">
        <v>82859140.583076388</v>
      </c>
    </row>
    <row r="17" spans="2:11">
      <c r="B17" s="147" t="s">
        <v>534</v>
      </c>
      <c r="C17" s="147" t="s">
        <v>534</v>
      </c>
      <c r="D17" s="149">
        <f t="shared" si="3"/>
        <v>6.6533333333333333E-2</v>
      </c>
      <c r="E17" s="187">
        <v>82859140.583076388</v>
      </c>
      <c r="F17" s="185">
        <v>82859140.583076388</v>
      </c>
      <c r="G17" s="185">
        <v>82859140.583076388</v>
      </c>
      <c r="H17" s="185">
        <v>82859140.583076388</v>
      </c>
      <c r="I17" s="184">
        <v>82859140.583076388</v>
      </c>
      <c r="J17" s="180">
        <v>82859140.583076388</v>
      </c>
      <c r="K17" s="180">
        <v>82859140.583076388</v>
      </c>
    </row>
    <row r="19" spans="2:11">
      <c r="B19" s="145" t="s">
        <v>538</v>
      </c>
      <c r="C19" s="145"/>
      <c r="D19" s="146" t="s">
        <v>534</v>
      </c>
      <c r="E19" s="146" t="s">
        <v>534</v>
      </c>
      <c r="F19" s="146" t="s">
        <v>534</v>
      </c>
      <c r="G19" s="146" t="s">
        <v>534</v>
      </c>
      <c r="H19" s="146" t="s">
        <v>534</v>
      </c>
      <c r="I19" s="146" t="s">
        <v>534</v>
      </c>
      <c r="J19" s="146" t="s">
        <v>534</v>
      </c>
      <c r="K19" s="146" t="s">
        <v>534</v>
      </c>
    </row>
    <row r="20" spans="2:11">
      <c r="B20" s="147" t="s">
        <v>536</v>
      </c>
      <c r="C20" s="147"/>
      <c r="D20" s="150">
        <f>DCF!C69</f>
        <v>0.14910339926937688</v>
      </c>
      <c r="E20" s="149">
        <f t="shared" ref="E20" si="4">F20-0.005</f>
        <v>6.0299914525066799E-2</v>
      </c>
      <c r="F20" s="149">
        <f t="shared" ref="F20" si="5">G20-0.005</f>
        <v>6.5299914525066796E-2</v>
      </c>
      <c r="G20" s="149">
        <f>H20-0.005</f>
        <v>7.0299914525066801E-2</v>
      </c>
      <c r="H20" s="149">
        <v>7.5299914525066805E-2</v>
      </c>
      <c r="I20" s="149">
        <f>H20+0.005</f>
        <v>8.0299914525066809E-2</v>
      </c>
      <c r="J20" s="149">
        <f t="shared" ref="J20" si="6">I20+0.005</f>
        <v>8.5299914525066814E-2</v>
      </c>
      <c r="K20" s="149">
        <f t="shared" ref="K20" si="7">J20+0.005</f>
        <v>9.0299914525066818E-2</v>
      </c>
    </row>
    <row r="21" spans="2:11">
      <c r="B21" s="147" t="s">
        <v>537</v>
      </c>
      <c r="C21" s="147"/>
      <c r="D21" s="149">
        <f t="shared" ref="D21:D22" si="8">D22-0.005</f>
        <v>3.6533333333333341E-2</v>
      </c>
      <c r="E21" s="188">
        <f t="dataTable" ref="E21:K27" dt2D="1" dtr="1" r1="D6" r2="D7"/>
        <v>0.14910339926937688</v>
      </c>
      <c r="F21" s="189">
        <v>0.14910339926937688</v>
      </c>
      <c r="G21" s="190">
        <v>0.14910339926937688</v>
      </c>
      <c r="H21" s="191">
        <v>0.14910339926937688</v>
      </c>
      <c r="I21" s="192">
        <v>0.14910339926937688</v>
      </c>
      <c r="J21" s="193">
        <v>0.14910339926937688</v>
      </c>
      <c r="K21" s="194">
        <v>0.14910339926937688</v>
      </c>
    </row>
    <row r="22" spans="2:11">
      <c r="B22" s="147" t="s">
        <v>534</v>
      </c>
      <c r="C22" s="147" t="s">
        <v>534</v>
      </c>
      <c r="D22" s="149">
        <f t="shared" si="8"/>
        <v>4.1533333333333339E-2</v>
      </c>
      <c r="E22" s="195">
        <v>0.14910339926937688</v>
      </c>
      <c r="F22" s="188">
        <v>0.14910339926937688</v>
      </c>
      <c r="G22" s="196">
        <v>0.14910339926937688</v>
      </c>
      <c r="H22" s="190">
        <v>0.14910339926937688</v>
      </c>
      <c r="I22" s="191">
        <v>0.14910339926937688</v>
      </c>
      <c r="J22" s="197">
        <v>0.14910339926937688</v>
      </c>
      <c r="K22" s="198">
        <v>0.14910339926937688</v>
      </c>
    </row>
    <row r="23" spans="2:11">
      <c r="B23" s="147" t="s">
        <v>534</v>
      </c>
      <c r="C23" s="147" t="s">
        <v>534</v>
      </c>
      <c r="D23" s="149">
        <f>D24-0.005</f>
        <v>4.6533333333333336E-2</v>
      </c>
      <c r="E23" s="199">
        <v>0.14910339926937688</v>
      </c>
      <c r="F23" s="195">
        <v>0.14910339926937688</v>
      </c>
      <c r="G23" s="188">
        <v>0.14910339926937688</v>
      </c>
      <c r="H23" s="196">
        <v>0.14910339926937688</v>
      </c>
      <c r="I23" s="190">
        <v>0.14910339926937688</v>
      </c>
      <c r="J23" s="191">
        <v>0.14910339926937688</v>
      </c>
      <c r="K23" s="197">
        <v>0.14910339926937688</v>
      </c>
    </row>
    <row r="24" spans="2:11">
      <c r="B24" s="147" t="s">
        <v>534</v>
      </c>
      <c r="C24" s="147" t="s">
        <v>534</v>
      </c>
      <c r="D24" s="149">
        <v>5.1533333333333334E-2</v>
      </c>
      <c r="E24" s="200">
        <v>0.14910339926937688</v>
      </c>
      <c r="F24" s="199">
        <v>0.14910339926937688</v>
      </c>
      <c r="G24" s="195">
        <v>0.14910339926937688</v>
      </c>
      <c r="H24" s="188">
        <v>0.14910339926937688</v>
      </c>
      <c r="I24" s="196">
        <v>0.14910339926937688</v>
      </c>
      <c r="J24" s="201">
        <v>0.14910339926937688</v>
      </c>
      <c r="K24" s="191">
        <v>0.14910339926937688</v>
      </c>
    </row>
    <row r="25" spans="2:11">
      <c r="B25" s="147" t="s">
        <v>534</v>
      </c>
      <c r="C25" s="147" t="s">
        <v>534</v>
      </c>
      <c r="D25" s="149">
        <f>D24+0.005</f>
        <v>5.6533333333333331E-2</v>
      </c>
      <c r="E25" s="200">
        <v>0.14910339926937688</v>
      </c>
      <c r="F25" s="200">
        <v>0.14910339926937688</v>
      </c>
      <c r="G25" s="199">
        <v>0.14910339926937688</v>
      </c>
      <c r="H25" s="195">
        <v>0.14910339926937688</v>
      </c>
      <c r="I25" s="188">
        <v>0.14910339926937688</v>
      </c>
      <c r="J25" s="196">
        <v>0.14910339926937688</v>
      </c>
      <c r="K25" s="201">
        <v>0.14910339926937688</v>
      </c>
    </row>
    <row r="26" spans="2:11">
      <c r="B26" s="147" t="s">
        <v>534</v>
      </c>
      <c r="C26" s="147" t="s">
        <v>534</v>
      </c>
      <c r="D26" s="149">
        <f t="shared" ref="D26:D27" si="9">D25+0.005</f>
        <v>6.1533333333333329E-2</v>
      </c>
      <c r="E26" s="200">
        <v>0.14910339926937688</v>
      </c>
      <c r="F26" s="200">
        <v>0.14910339926937688</v>
      </c>
      <c r="G26" s="200">
        <v>0.14910339926937688</v>
      </c>
      <c r="H26" s="199">
        <v>0.14910339926937688</v>
      </c>
      <c r="I26" s="195">
        <v>0.14910339926937688</v>
      </c>
      <c r="J26" s="195">
        <v>0.14910339926937688</v>
      </c>
      <c r="K26" s="196">
        <v>0.14910339926937688</v>
      </c>
    </row>
    <row r="27" spans="2:11">
      <c r="B27" s="147" t="s">
        <v>534</v>
      </c>
      <c r="C27" s="147" t="s">
        <v>534</v>
      </c>
      <c r="D27" s="149">
        <f t="shared" si="9"/>
        <v>6.6533333333333333E-2</v>
      </c>
      <c r="E27" s="202">
        <v>0.14910339926937688</v>
      </c>
      <c r="F27" s="200">
        <v>0.14910339926937688</v>
      </c>
      <c r="G27" s="200">
        <v>0.14910339926937688</v>
      </c>
      <c r="H27" s="200">
        <v>0.14910339926937688</v>
      </c>
      <c r="I27" s="199">
        <v>0.14910339926937688</v>
      </c>
      <c r="J27" s="195">
        <v>0.14910339926937688</v>
      </c>
      <c r="K27" s="195">
        <v>0.14910339926937688</v>
      </c>
    </row>
    <row r="29" spans="2:11">
      <c r="B29" s="145" t="s">
        <v>539</v>
      </c>
      <c r="C29" s="145"/>
      <c r="D29" s="146" t="s">
        <v>534</v>
      </c>
      <c r="E29" s="146" t="s">
        <v>534</v>
      </c>
      <c r="F29" s="146" t="s">
        <v>534</v>
      </c>
      <c r="G29" s="146" t="s">
        <v>534</v>
      </c>
      <c r="H29" s="146" t="s">
        <v>534</v>
      </c>
      <c r="I29" s="146" t="s">
        <v>534</v>
      </c>
      <c r="J29" s="146" t="s">
        <v>534</v>
      </c>
      <c r="K29" s="146" t="s">
        <v>534</v>
      </c>
    </row>
    <row r="30" spans="2:11">
      <c r="B30" s="147" t="s">
        <v>540</v>
      </c>
      <c r="C30" s="147"/>
      <c r="D30" s="150">
        <f>DCF!C71</f>
        <v>0.10922670034527721</v>
      </c>
      <c r="E30" s="149">
        <f t="shared" ref="E30" si="10">F30-0.005</f>
        <v>6.0299914525066799E-2</v>
      </c>
      <c r="F30" s="149">
        <f t="shared" ref="F30" si="11">G30-0.005</f>
        <v>6.5299914525066796E-2</v>
      </c>
      <c r="G30" s="149">
        <f>H30-0.005</f>
        <v>7.0299914525066801E-2</v>
      </c>
      <c r="H30" s="149">
        <v>7.5299914525066805E-2</v>
      </c>
      <c r="I30" s="149">
        <f>H30+0.005</f>
        <v>8.0299914525066809E-2</v>
      </c>
      <c r="J30" s="149">
        <f t="shared" ref="J30" si="12">I30+0.005</f>
        <v>8.5299914525066814E-2</v>
      </c>
      <c r="K30" s="149">
        <f t="shared" ref="K30" si="13">J30+0.005</f>
        <v>9.0299914525066818E-2</v>
      </c>
    </row>
    <row r="31" spans="2:11">
      <c r="B31" s="147" t="s">
        <v>541</v>
      </c>
      <c r="C31" s="147"/>
      <c r="D31" s="149">
        <f t="shared" ref="D31:D32" si="14">D32-0.005</f>
        <v>3.6533333333333341E-2</v>
      </c>
      <c r="E31" s="188">
        <f t="dataTable" ref="E31:K37" dt2D="1" dtr="1" r1="D6" r2="D7" ca="1"/>
        <v>0.10922670034527721</v>
      </c>
      <c r="F31" s="189">
        <v>0.10922670034527721</v>
      </c>
      <c r="G31" s="190">
        <v>0.10922670034527721</v>
      </c>
      <c r="H31" s="191">
        <v>0.10922670034527721</v>
      </c>
      <c r="I31" s="192">
        <v>0.10922670034527721</v>
      </c>
      <c r="J31" s="193">
        <v>0.10922670034527721</v>
      </c>
      <c r="K31" s="194">
        <v>0.10922670034527721</v>
      </c>
    </row>
    <row r="32" spans="2:11">
      <c r="B32" s="147" t="s">
        <v>534</v>
      </c>
      <c r="C32" s="147" t="s">
        <v>534</v>
      </c>
      <c r="D32" s="149">
        <f t="shared" si="14"/>
        <v>4.1533333333333339E-2</v>
      </c>
      <c r="E32" s="195">
        <v>0.10922670034527721</v>
      </c>
      <c r="F32" s="188">
        <v>0.10922670034527721</v>
      </c>
      <c r="G32" s="196">
        <v>0.10922670034527721</v>
      </c>
      <c r="H32" s="190">
        <v>0.10922670034527721</v>
      </c>
      <c r="I32" s="191">
        <v>0.10922670034527721</v>
      </c>
      <c r="J32" s="197">
        <v>0.10922670034527721</v>
      </c>
      <c r="K32" s="198">
        <v>0.10922670034527721</v>
      </c>
    </row>
    <row r="33" spans="2:11">
      <c r="B33" s="147" t="s">
        <v>534</v>
      </c>
      <c r="C33" s="147" t="s">
        <v>534</v>
      </c>
      <c r="D33" s="149">
        <f>D34-0.005</f>
        <v>4.6533333333333336E-2</v>
      </c>
      <c r="E33" s="199">
        <v>0.10922670034527721</v>
      </c>
      <c r="F33" s="195">
        <v>0.10922670034527721</v>
      </c>
      <c r="G33" s="188">
        <v>0.10922670034527721</v>
      </c>
      <c r="H33" s="196">
        <v>0.10922670034527721</v>
      </c>
      <c r="I33" s="190">
        <v>0.10922670034527721</v>
      </c>
      <c r="J33" s="191">
        <v>0.10922670034527721</v>
      </c>
      <c r="K33" s="197">
        <v>0.10922670034527721</v>
      </c>
    </row>
    <row r="34" spans="2:11">
      <c r="B34" s="147" t="s">
        <v>534</v>
      </c>
      <c r="C34" s="147" t="s">
        <v>534</v>
      </c>
      <c r="D34" s="149">
        <v>5.1533333333333334E-2</v>
      </c>
      <c r="E34" s="200">
        <v>0.10922670034527721</v>
      </c>
      <c r="F34" s="199">
        <v>0.10922670034527721</v>
      </c>
      <c r="G34" s="195">
        <v>0.10922670034527721</v>
      </c>
      <c r="H34" s="188">
        <v>0.10922670034527721</v>
      </c>
      <c r="I34" s="196">
        <v>0.10922670034527721</v>
      </c>
      <c r="J34" s="201">
        <v>0.10922670034527721</v>
      </c>
      <c r="K34" s="191">
        <v>0.10922670034527721</v>
      </c>
    </row>
    <row r="35" spans="2:11">
      <c r="B35" s="147" t="s">
        <v>534</v>
      </c>
      <c r="C35" s="147" t="s">
        <v>534</v>
      </c>
      <c r="D35" s="149">
        <f>D34+0.005</f>
        <v>5.6533333333333331E-2</v>
      </c>
      <c r="E35" s="200">
        <v>0.10922670034527721</v>
      </c>
      <c r="F35" s="200">
        <v>0.10922670034527721</v>
      </c>
      <c r="G35" s="199">
        <v>0.10922670034527721</v>
      </c>
      <c r="H35" s="195">
        <v>0.10922670034527721</v>
      </c>
      <c r="I35" s="188">
        <v>0.10922670034527721</v>
      </c>
      <c r="J35" s="196">
        <v>0.10922670034527721</v>
      </c>
      <c r="K35" s="201">
        <v>0.10922670034527721</v>
      </c>
    </row>
    <row r="36" spans="2:11">
      <c r="B36" s="147" t="s">
        <v>534</v>
      </c>
      <c r="C36" s="147" t="s">
        <v>534</v>
      </c>
      <c r="D36" s="149">
        <f t="shared" ref="D36:D37" si="15">D35+0.005</f>
        <v>6.1533333333333329E-2</v>
      </c>
      <c r="E36" s="200">
        <v>0.10922670034527721</v>
      </c>
      <c r="F36" s="200">
        <v>0.10922670034527721</v>
      </c>
      <c r="G36" s="200">
        <v>0.10922670034527721</v>
      </c>
      <c r="H36" s="199">
        <v>0.10922670034527721</v>
      </c>
      <c r="I36" s="195">
        <v>0.10922670034527721</v>
      </c>
      <c r="J36" s="195">
        <v>0.10922670034527721</v>
      </c>
      <c r="K36" s="196">
        <v>0.10922670034527721</v>
      </c>
    </row>
    <row r="37" spans="2:11">
      <c r="B37" s="147" t="s">
        <v>534</v>
      </c>
      <c r="C37" s="147" t="s">
        <v>534</v>
      </c>
      <c r="D37" s="149">
        <f t="shared" si="15"/>
        <v>6.6533333333333333E-2</v>
      </c>
      <c r="E37" s="202">
        <v>0.10922670034527721</v>
      </c>
      <c r="F37" s="200">
        <v>0.10922670034527721</v>
      </c>
      <c r="G37" s="200">
        <v>0.10922670034527721</v>
      </c>
      <c r="H37" s="200">
        <v>0.10922670034527721</v>
      </c>
      <c r="I37" s="199">
        <v>0.10922670034527721</v>
      </c>
      <c r="J37" s="195">
        <v>0.10922670034527721</v>
      </c>
      <c r="K37" s="195">
        <v>0.10922670034527721</v>
      </c>
    </row>
    <row r="39" spans="2:11">
      <c r="B39" s="315" t="s">
        <v>542</v>
      </c>
      <c r="C39" s="318" t="s">
        <v>412</v>
      </c>
      <c r="D39" s="318" t="s">
        <v>413</v>
      </c>
      <c r="E39" s="313" t="s">
        <v>534</v>
      </c>
      <c r="F39" s="313" t="s">
        <v>534</v>
      </c>
      <c r="G39" s="313" t="s">
        <v>534</v>
      </c>
      <c r="H39" s="313" t="s">
        <v>534</v>
      </c>
      <c r="I39" s="313" t="s">
        <v>534</v>
      </c>
      <c r="J39" s="313" t="s">
        <v>534</v>
      </c>
      <c r="K39" s="313" t="s">
        <v>534</v>
      </c>
    </row>
    <row r="40" spans="2:11">
      <c r="B40" s="316" t="s">
        <v>449</v>
      </c>
      <c r="C40" s="319"/>
      <c r="D40" s="319"/>
      <c r="E40" s="69"/>
    </row>
    <row r="41" spans="2:11">
      <c r="B41" s="317" t="s">
        <v>111</v>
      </c>
      <c r="C41" s="319">
        <f>E14</f>
        <v>82859140.583076388</v>
      </c>
      <c r="D41" s="319">
        <f>H11</f>
        <v>82859140.583076388</v>
      </c>
      <c r="E41" s="69"/>
    </row>
    <row r="42" spans="2:11">
      <c r="B42" s="317" t="s">
        <v>411</v>
      </c>
      <c r="C42" s="319">
        <f>H14</f>
        <v>82859140.583076388</v>
      </c>
      <c r="D42" s="319">
        <f>H14</f>
        <v>82859140.583076388</v>
      </c>
    </row>
    <row r="43" spans="2:11">
      <c r="B43" s="317" t="s">
        <v>112</v>
      </c>
      <c r="C43" s="319">
        <f>K14</f>
        <v>82859140.583076388</v>
      </c>
      <c r="D43" s="319">
        <f>H17</f>
        <v>82859140.583076388</v>
      </c>
    </row>
    <row r="44" spans="2:11">
      <c r="B44" s="37" t="s">
        <v>450</v>
      </c>
      <c r="C44" s="314"/>
      <c r="D44" s="314"/>
    </row>
    <row r="45" spans="2:11">
      <c r="B45" s="33" t="s">
        <v>111</v>
      </c>
      <c r="C45" s="225">
        <f>E24</f>
        <v>0.14910339926937688</v>
      </c>
      <c r="D45" s="225">
        <f>H21</f>
        <v>0.14910339926937688</v>
      </c>
    </row>
    <row r="46" spans="2:11">
      <c r="B46" s="33" t="s">
        <v>411</v>
      </c>
      <c r="C46" s="225">
        <f>H24</f>
        <v>0.14910339926937688</v>
      </c>
      <c r="D46" s="225">
        <f>H24</f>
        <v>0.14910339926937688</v>
      </c>
    </row>
    <row r="47" spans="2:11">
      <c r="B47" s="33" t="s">
        <v>112</v>
      </c>
      <c r="C47" s="225">
        <f>K24</f>
        <v>0.14910339926937688</v>
      </c>
      <c r="D47" s="225">
        <f>H27</f>
        <v>0.14910339926937688</v>
      </c>
    </row>
    <row r="48" spans="2:11">
      <c r="B48" s="37" t="s">
        <v>86</v>
      </c>
      <c r="C48" s="225"/>
      <c r="D48" s="225"/>
    </row>
    <row r="49" spans="2:4">
      <c r="B49" s="33" t="s">
        <v>111</v>
      </c>
      <c r="C49" s="225">
        <f>E34</f>
        <v>0.10922670034527721</v>
      </c>
      <c r="D49" s="225">
        <f>H31</f>
        <v>0.10922670034527721</v>
      </c>
    </row>
    <row r="50" spans="2:4">
      <c r="B50" s="33" t="s">
        <v>411</v>
      </c>
      <c r="C50" s="225">
        <f>H34</f>
        <v>0.10922670034527721</v>
      </c>
      <c r="D50" s="225">
        <f>H34</f>
        <v>0.10922670034527721</v>
      </c>
    </row>
    <row r="51" spans="2:4">
      <c r="B51" s="33" t="s">
        <v>112</v>
      </c>
      <c r="C51" s="225">
        <f>K34</f>
        <v>0.10922670034527721</v>
      </c>
      <c r="D51" s="225">
        <f>H37</f>
        <v>0.10922670034527721</v>
      </c>
    </row>
  </sheetData>
  <mergeCells count="1">
    <mergeCell ref="M5:N5"/>
  </mergeCells>
  <pageMargins left="0.7" right="0.7" top="0.75" bottom="0.75" header="0.3" footer="0.3"/>
  <ignoredErrors>
    <ignoredError sqref="D10 D20 D30" evalError="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0FA79-58D4-4D42-BBC0-0E4D61BFA15A}">
  <sheetPr>
    <tabColor rgb="FF00B050"/>
  </sheetPr>
  <dimension ref="B2:BJ183"/>
  <sheetViews>
    <sheetView tabSelected="1" zoomScale="82" workbookViewId="0">
      <selection activeCell="R59" sqref="R59"/>
    </sheetView>
  </sheetViews>
  <sheetFormatPr defaultColWidth="11" defaultRowHeight="15.95"/>
  <cols>
    <col min="3" max="3" width="18.625" customWidth="1"/>
    <col min="4" max="4" width="21.625" customWidth="1"/>
    <col min="8" max="8" width="20.625" customWidth="1"/>
    <col min="9" max="9" width="17.5" customWidth="1"/>
    <col min="13" max="13" width="24.875" customWidth="1"/>
  </cols>
  <sheetData>
    <row r="2" spans="2:62">
      <c r="B2" s="291" t="s">
        <v>543</v>
      </c>
      <c r="C2" s="292"/>
      <c r="D2" s="292"/>
      <c r="E2" s="292"/>
      <c r="F2" s="292"/>
      <c r="G2" s="292"/>
      <c r="H2" s="292"/>
      <c r="I2" s="292"/>
    </row>
    <row r="3" spans="2:62">
      <c r="B3" s="292"/>
      <c r="C3" s="292"/>
      <c r="D3" s="292"/>
      <c r="E3" s="292"/>
      <c r="F3" s="292"/>
      <c r="G3" s="292"/>
      <c r="H3" s="292"/>
      <c r="I3" s="292"/>
    </row>
    <row r="4" spans="2:62">
      <c r="B4" s="291" t="s">
        <v>544</v>
      </c>
      <c r="C4" s="293" t="s">
        <v>545</v>
      </c>
      <c r="D4" s="293" t="s">
        <v>546</v>
      </c>
      <c r="E4" s="293" t="s">
        <v>547</v>
      </c>
      <c r="F4" s="293" t="s">
        <v>548</v>
      </c>
      <c r="G4" s="293" t="s">
        <v>549</v>
      </c>
      <c r="H4" s="293" t="s">
        <v>550</v>
      </c>
      <c r="I4" s="293" t="s">
        <v>551</v>
      </c>
    </row>
    <row r="5" spans="2:62">
      <c r="B5" s="292"/>
      <c r="C5" s="293" t="s">
        <v>552</v>
      </c>
      <c r="D5" s="292"/>
      <c r="E5" s="292"/>
      <c r="F5" s="292"/>
      <c r="G5" s="292"/>
      <c r="H5" s="292"/>
      <c r="I5" s="292"/>
    </row>
    <row r="6" spans="2:62">
      <c r="B6" s="294">
        <v>29738</v>
      </c>
      <c r="C6" s="296">
        <v>6191</v>
      </c>
      <c r="D6" s="296">
        <v>4630</v>
      </c>
      <c r="E6" s="296">
        <v>21885</v>
      </c>
      <c r="F6" s="296">
        <v>13327</v>
      </c>
      <c r="G6" s="296">
        <v>8558</v>
      </c>
      <c r="H6" s="293" t="s">
        <v>553</v>
      </c>
      <c r="I6" s="296">
        <v>2345208</v>
      </c>
      <c r="L6" s="297" t="s">
        <v>554</v>
      </c>
      <c r="M6" s="297" t="s">
        <v>555</v>
      </c>
      <c r="N6" s="298"/>
      <c r="O6" s="298"/>
      <c r="P6" s="298"/>
      <c r="Q6" s="298"/>
      <c r="R6" s="298"/>
      <c r="S6" s="298"/>
      <c r="T6" s="298"/>
      <c r="U6" s="298"/>
      <c r="V6" s="298"/>
      <c r="W6" s="298"/>
      <c r="X6" s="298"/>
      <c r="Y6" s="298"/>
      <c r="Z6" s="298"/>
      <c r="AA6" s="298"/>
      <c r="AB6" s="298"/>
      <c r="AC6" s="298"/>
      <c r="AD6" s="298"/>
      <c r="AE6" s="298"/>
      <c r="AF6" s="298"/>
      <c r="AG6" s="298"/>
      <c r="AH6" s="298"/>
      <c r="AI6" s="298"/>
      <c r="AJ6" s="298"/>
      <c r="AK6" s="298"/>
      <c r="AL6" s="298"/>
      <c r="AM6" s="298"/>
      <c r="AN6" s="298"/>
      <c r="AO6" s="298"/>
      <c r="AP6" s="298"/>
      <c r="AQ6" s="298"/>
      <c r="AR6" s="298"/>
      <c r="AS6" s="298"/>
      <c r="AT6" s="298"/>
      <c r="AU6" s="298"/>
      <c r="AV6" s="298"/>
      <c r="AW6" s="298"/>
      <c r="AX6" s="298"/>
      <c r="AY6" s="298"/>
      <c r="AZ6" s="298"/>
      <c r="BA6" s="298"/>
      <c r="BB6" s="298"/>
      <c r="BC6" s="298"/>
      <c r="BD6" s="298"/>
      <c r="BE6" s="298"/>
      <c r="BF6" s="298"/>
      <c r="BG6" s="298"/>
      <c r="BH6" s="298"/>
      <c r="BI6" s="298"/>
      <c r="BJ6" s="298"/>
    </row>
    <row r="7" spans="2:62">
      <c r="B7" s="294">
        <v>29830</v>
      </c>
      <c r="C7" s="296">
        <v>4920</v>
      </c>
      <c r="D7" s="296">
        <v>4541</v>
      </c>
      <c r="E7" s="296">
        <v>22662</v>
      </c>
      <c r="F7" s="296">
        <v>10922</v>
      </c>
      <c r="G7" s="296">
        <v>11740</v>
      </c>
      <c r="H7" s="296">
        <v>22269</v>
      </c>
      <c r="I7" s="296">
        <v>2367477</v>
      </c>
      <c r="L7" s="299"/>
      <c r="M7" s="299"/>
      <c r="N7" s="300" t="s">
        <v>556</v>
      </c>
      <c r="O7" s="300" t="s">
        <v>557</v>
      </c>
      <c r="P7" s="300" t="s">
        <v>558</v>
      </c>
      <c r="Q7" s="300" t="s">
        <v>559</v>
      </c>
      <c r="R7" s="300" t="s">
        <v>556</v>
      </c>
      <c r="S7" s="300" t="s">
        <v>557</v>
      </c>
      <c r="T7" s="300" t="s">
        <v>558</v>
      </c>
      <c r="U7" s="300" t="s">
        <v>559</v>
      </c>
      <c r="V7" s="300" t="s">
        <v>556</v>
      </c>
      <c r="W7" s="300" t="s">
        <v>557</v>
      </c>
      <c r="X7" s="300" t="s">
        <v>558</v>
      </c>
      <c r="Y7" s="300" t="s">
        <v>559</v>
      </c>
      <c r="Z7" s="300" t="s">
        <v>556</v>
      </c>
      <c r="AA7" s="300" t="s">
        <v>557</v>
      </c>
      <c r="AB7" s="300" t="s">
        <v>558</v>
      </c>
      <c r="AC7" s="300" t="s">
        <v>559</v>
      </c>
      <c r="AD7" s="300" t="s">
        <v>556</v>
      </c>
      <c r="AE7" s="300" t="s">
        <v>557</v>
      </c>
      <c r="AF7" s="300" t="s">
        <v>558</v>
      </c>
      <c r="AG7" s="300" t="s">
        <v>559</v>
      </c>
      <c r="AH7" s="300" t="s">
        <v>556</v>
      </c>
      <c r="AI7" s="300" t="s">
        <v>557</v>
      </c>
      <c r="AJ7" s="300" t="s">
        <v>558</v>
      </c>
      <c r="AK7" s="300" t="s">
        <v>559</v>
      </c>
      <c r="AL7" s="300" t="s">
        <v>556</v>
      </c>
      <c r="AM7" s="300" t="s">
        <v>557</v>
      </c>
      <c r="AN7" s="300" t="s">
        <v>558</v>
      </c>
      <c r="AO7" s="300" t="s">
        <v>559</v>
      </c>
      <c r="AP7" s="300" t="s">
        <v>556</v>
      </c>
      <c r="AQ7" s="300" t="s">
        <v>557</v>
      </c>
      <c r="AR7" s="300" t="s">
        <v>558</v>
      </c>
      <c r="AS7" s="300" t="s">
        <v>559</v>
      </c>
      <c r="AT7" s="300" t="s">
        <v>556</v>
      </c>
      <c r="AU7" s="300" t="s">
        <v>557</v>
      </c>
      <c r="AV7" s="300" t="s">
        <v>558</v>
      </c>
      <c r="AW7" s="300" t="s">
        <v>559</v>
      </c>
      <c r="AX7" s="300" t="s">
        <v>556</v>
      </c>
      <c r="AY7" s="300" t="s">
        <v>557</v>
      </c>
      <c r="AZ7" s="300" t="s">
        <v>558</v>
      </c>
      <c r="BA7" s="300" t="s">
        <v>559</v>
      </c>
      <c r="BB7" s="300" t="s">
        <v>556</v>
      </c>
      <c r="BC7" s="300" t="s">
        <v>557</v>
      </c>
      <c r="BD7" s="300" t="s">
        <v>558</v>
      </c>
      <c r="BE7" s="300" t="s">
        <v>559</v>
      </c>
      <c r="BF7" s="300" t="s">
        <v>556</v>
      </c>
      <c r="BG7" s="300" t="s">
        <v>557</v>
      </c>
      <c r="BH7" s="300" t="s">
        <v>558</v>
      </c>
      <c r="BI7" s="300" t="s">
        <v>559</v>
      </c>
      <c r="BJ7" s="300" t="s">
        <v>556</v>
      </c>
    </row>
    <row r="8" spans="2:62">
      <c r="B8" s="294">
        <v>29921</v>
      </c>
      <c r="C8" s="296">
        <v>4756</v>
      </c>
      <c r="D8" s="296">
        <v>4514</v>
      </c>
      <c r="E8" s="296">
        <v>20492</v>
      </c>
      <c r="F8" s="296">
        <v>10364</v>
      </c>
      <c r="G8" s="296">
        <v>10128</v>
      </c>
      <c r="H8" s="296">
        <v>20466</v>
      </c>
      <c r="I8" s="296">
        <v>2387943</v>
      </c>
      <c r="L8" s="299"/>
      <c r="M8" s="299"/>
      <c r="N8" s="300">
        <v>2012</v>
      </c>
      <c r="O8" s="300">
        <v>2012</v>
      </c>
      <c r="P8" s="300">
        <v>2012</v>
      </c>
      <c r="Q8" s="300">
        <v>2012</v>
      </c>
      <c r="R8" s="300">
        <v>2013</v>
      </c>
      <c r="S8" s="300">
        <v>2013</v>
      </c>
      <c r="T8" s="300">
        <v>2013</v>
      </c>
      <c r="U8" s="300">
        <v>2013</v>
      </c>
      <c r="V8" s="300">
        <v>2014</v>
      </c>
      <c r="W8" s="300">
        <v>2014</v>
      </c>
      <c r="X8" s="300">
        <v>2014</v>
      </c>
      <c r="Y8" s="300">
        <v>2014</v>
      </c>
      <c r="Z8" s="300">
        <v>2015</v>
      </c>
      <c r="AA8" s="300">
        <v>2015</v>
      </c>
      <c r="AB8" s="300">
        <v>2015</v>
      </c>
      <c r="AC8" s="300">
        <v>2015</v>
      </c>
      <c r="AD8" s="300">
        <v>2016</v>
      </c>
      <c r="AE8" s="300">
        <v>2016</v>
      </c>
      <c r="AF8" s="300">
        <v>2016</v>
      </c>
      <c r="AG8" s="300">
        <v>2016</v>
      </c>
      <c r="AH8" s="300">
        <v>2017</v>
      </c>
      <c r="AI8" s="300">
        <v>2017</v>
      </c>
      <c r="AJ8" s="300">
        <v>2017</v>
      </c>
      <c r="AK8" s="300">
        <v>2017</v>
      </c>
      <c r="AL8" s="300">
        <v>2018</v>
      </c>
      <c r="AM8" s="300">
        <v>2018</v>
      </c>
      <c r="AN8" s="300">
        <v>2018</v>
      </c>
      <c r="AO8" s="300">
        <v>2018</v>
      </c>
      <c r="AP8" s="300">
        <v>2019</v>
      </c>
      <c r="AQ8" s="300">
        <v>2019</v>
      </c>
      <c r="AR8" s="300">
        <v>2019</v>
      </c>
      <c r="AS8" s="300">
        <v>2019</v>
      </c>
      <c r="AT8" s="300">
        <v>2020</v>
      </c>
      <c r="AU8" s="300">
        <v>2020</v>
      </c>
      <c r="AV8" s="300">
        <v>2020</v>
      </c>
      <c r="AW8" s="300">
        <v>2020</v>
      </c>
      <c r="AX8" s="300">
        <v>2021</v>
      </c>
      <c r="AY8" s="300">
        <v>2021</v>
      </c>
      <c r="AZ8" s="300">
        <v>2021</v>
      </c>
      <c r="BA8" s="300">
        <v>2021</v>
      </c>
      <c r="BB8" s="300">
        <v>2022</v>
      </c>
      <c r="BC8" s="300">
        <v>2022</v>
      </c>
      <c r="BD8" s="300">
        <v>2022</v>
      </c>
      <c r="BE8" s="300">
        <v>2022</v>
      </c>
      <c r="BF8" s="300">
        <v>2023</v>
      </c>
      <c r="BG8" s="300">
        <v>2023</v>
      </c>
      <c r="BH8" s="300">
        <v>2023</v>
      </c>
      <c r="BI8" s="300">
        <v>2023</v>
      </c>
      <c r="BJ8" s="300">
        <v>2024</v>
      </c>
    </row>
    <row r="9" spans="2:62">
      <c r="B9" s="294">
        <v>30011</v>
      </c>
      <c r="C9" s="296">
        <v>6331</v>
      </c>
      <c r="D9" s="296">
        <v>4008</v>
      </c>
      <c r="E9" s="296">
        <v>19383</v>
      </c>
      <c r="F9" s="296">
        <v>12378</v>
      </c>
      <c r="G9" s="296">
        <v>7005</v>
      </c>
      <c r="H9" s="296">
        <v>18412</v>
      </c>
      <c r="I9" s="296">
        <v>2406355</v>
      </c>
      <c r="N9" s="301"/>
      <c r="O9" s="301"/>
      <c r="P9" s="301"/>
      <c r="Q9" s="301"/>
      <c r="R9" s="301"/>
      <c r="S9" s="301"/>
      <c r="T9" s="301"/>
      <c r="U9" s="301"/>
      <c r="V9" s="301"/>
      <c r="W9" s="301"/>
      <c r="X9" s="301"/>
      <c r="Y9" s="301"/>
      <c r="Z9" s="301"/>
      <c r="AA9" s="301"/>
      <c r="AB9" s="301"/>
      <c r="AC9" s="301"/>
      <c r="AD9" s="301"/>
      <c r="AE9" s="301"/>
      <c r="AF9" s="301"/>
      <c r="AG9" s="301"/>
      <c r="AH9" s="301"/>
      <c r="AI9" s="301"/>
      <c r="AJ9" s="301"/>
      <c r="AK9" s="301"/>
      <c r="AL9" s="301"/>
      <c r="AM9" s="301"/>
      <c r="AN9" s="301"/>
      <c r="AO9" s="301"/>
      <c r="AP9" s="301"/>
      <c r="AQ9" s="301"/>
      <c r="AR9" s="301"/>
      <c r="AS9" s="301"/>
      <c r="AT9" s="301"/>
      <c r="AU9" s="301"/>
      <c r="AV9" s="301"/>
      <c r="AW9" s="301"/>
      <c r="AX9" s="301"/>
      <c r="AY9" s="301"/>
      <c r="AZ9" s="301"/>
      <c r="BA9" s="301"/>
      <c r="BB9" s="301"/>
      <c r="BC9" s="301"/>
      <c r="BD9" s="301"/>
      <c r="BE9" s="301"/>
      <c r="BF9" s="301"/>
      <c r="BG9" s="301"/>
      <c r="BH9" s="301"/>
      <c r="BI9" s="301"/>
      <c r="BJ9" s="301"/>
    </row>
    <row r="10" spans="2:62">
      <c r="B10" s="294">
        <v>30103</v>
      </c>
      <c r="C10" s="296">
        <v>6081</v>
      </c>
      <c r="D10" s="296">
        <v>4502</v>
      </c>
      <c r="E10" s="296">
        <v>21692</v>
      </c>
      <c r="F10" s="296">
        <v>15112</v>
      </c>
      <c r="G10" s="296">
        <v>6580</v>
      </c>
      <c r="H10" s="296">
        <v>18231</v>
      </c>
      <c r="I10" s="296">
        <v>2424586</v>
      </c>
      <c r="L10" s="302" t="s">
        <v>560</v>
      </c>
      <c r="M10" s="302" t="s">
        <v>561</v>
      </c>
      <c r="N10" s="303">
        <v>275</v>
      </c>
      <c r="O10" s="303">
        <v>270</v>
      </c>
      <c r="P10" s="303">
        <v>270</v>
      </c>
      <c r="Q10" s="303">
        <v>265</v>
      </c>
      <c r="R10" s="303">
        <v>275</v>
      </c>
      <c r="S10" s="303">
        <v>271</v>
      </c>
      <c r="T10" s="303">
        <v>280</v>
      </c>
      <c r="U10" s="303">
        <v>275</v>
      </c>
      <c r="V10" s="303">
        <v>285</v>
      </c>
      <c r="W10" s="303">
        <v>280</v>
      </c>
      <c r="X10" s="303">
        <v>285</v>
      </c>
      <c r="Y10" s="303">
        <v>285</v>
      </c>
      <c r="Z10" s="303">
        <v>295</v>
      </c>
      <c r="AA10" s="303">
        <v>280</v>
      </c>
      <c r="AB10" s="303">
        <v>285</v>
      </c>
      <c r="AC10" s="303">
        <v>290</v>
      </c>
      <c r="AD10" s="303">
        <v>300</v>
      </c>
      <c r="AE10" s="303">
        <v>290</v>
      </c>
      <c r="AF10" s="303">
        <v>290</v>
      </c>
      <c r="AG10" s="303">
        <v>300</v>
      </c>
      <c r="AH10" s="303">
        <v>320</v>
      </c>
      <c r="AI10" s="303">
        <v>300</v>
      </c>
      <c r="AJ10" s="303">
        <v>310</v>
      </c>
      <c r="AK10" s="303">
        <v>310</v>
      </c>
      <c r="AL10" s="303">
        <v>320</v>
      </c>
      <c r="AM10" s="303">
        <v>300</v>
      </c>
      <c r="AN10" s="303">
        <v>310</v>
      </c>
      <c r="AO10" s="303">
        <v>320</v>
      </c>
      <c r="AP10" s="303">
        <v>320</v>
      </c>
      <c r="AQ10" s="303">
        <v>310</v>
      </c>
      <c r="AR10" s="303">
        <v>329</v>
      </c>
      <c r="AS10" s="303">
        <v>320</v>
      </c>
      <c r="AT10" s="303">
        <v>335</v>
      </c>
      <c r="AU10" s="303">
        <v>310</v>
      </c>
      <c r="AV10" s="303">
        <v>330</v>
      </c>
      <c r="AW10" s="303">
        <v>330</v>
      </c>
      <c r="AX10" s="303">
        <v>335</v>
      </c>
      <c r="AY10" s="303">
        <v>330</v>
      </c>
      <c r="AZ10" s="303">
        <v>340</v>
      </c>
      <c r="BA10" s="303">
        <v>350</v>
      </c>
      <c r="BB10" s="303">
        <v>360</v>
      </c>
      <c r="BC10" s="303">
        <v>350</v>
      </c>
      <c r="BD10" s="303">
        <v>370</v>
      </c>
      <c r="BE10" s="303">
        <v>380</v>
      </c>
      <c r="BF10" s="303">
        <v>400</v>
      </c>
      <c r="BG10" s="303">
        <v>410</v>
      </c>
      <c r="BH10" s="303">
        <v>440</v>
      </c>
      <c r="BI10" s="303">
        <v>430</v>
      </c>
      <c r="BJ10" s="303">
        <v>469</v>
      </c>
    </row>
    <row r="11" spans="2:62">
      <c r="B11" s="294">
        <v>30195</v>
      </c>
      <c r="C11" s="296">
        <v>4827</v>
      </c>
      <c r="D11" s="296">
        <v>4244</v>
      </c>
      <c r="E11" s="296">
        <v>19773</v>
      </c>
      <c r="F11" s="296">
        <v>11589</v>
      </c>
      <c r="G11" s="296">
        <v>8184</v>
      </c>
      <c r="H11" s="296">
        <v>18326</v>
      </c>
      <c r="I11" s="296">
        <v>2442912</v>
      </c>
      <c r="L11" s="304" t="s">
        <v>560</v>
      </c>
      <c r="M11" s="304" t="s">
        <v>562</v>
      </c>
      <c r="N11" s="305">
        <v>330</v>
      </c>
      <c r="O11" s="305">
        <v>320</v>
      </c>
      <c r="P11" s="305">
        <v>330</v>
      </c>
      <c r="Q11" s="305">
        <v>325</v>
      </c>
      <c r="R11" s="305">
        <v>340</v>
      </c>
      <c r="S11" s="305">
        <v>325</v>
      </c>
      <c r="T11" s="305">
        <v>330</v>
      </c>
      <c r="U11" s="305">
        <v>325</v>
      </c>
      <c r="V11" s="305">
        <v>340</v>
      </c>
      <c r="W11" s="305">
        <v>325</v>
      </c>
      <c r="X11" s="305">
        <v>330</v>
      </c>
      <c r="Y11" s="305">
        <v>330</v>
      </c>
      <c r="Z11" s="305">
        <v>345</v>
      </c>
      <c r="AA11" s="305">
        <v>330</v>
      </c>
      <c r="AB11" s="305">
        <v>340</v>
      </c>
      <c r="AC11" s="305">
        <v>340</v>
      </c>
      <c r="AD11" s="305">
        <v>350</v>
      </c>
      <c r="AE11" s="305">
        <v>340</v>
      </c>
      <c r="AF11" s="305">
        <v>350</v>
      </c>
      <c r="AG11" s="305">
        <v>350</v>
      </c>
      <c r="AH11" s="305">
        <v>360</v>
      </c>
      <c r="AI11" s="305">
        <v>350</v>
      </c>
      <c r="AJ11" s="305">
        <v>350</v>
      </c>
      <c r="AK11" s="305">
        <v>350</v>
      </c>
      <c r="AL11" s="305">
        <v>370</v>
      </c>
      <c r="AM11" s="305">
        <v>350</v>
      </c>
      <c r="AN11" s="305">
        <v>360</v>
      </c>
      <c r="AO11" s="305">
        <v>365</v>
      </c>
      <c r="AP11" s="305">
        <v>385</v>
      </c>
      <c r="AQ11" s="305">
        <v>355</v>
      </c>
      <c r="AR11" s="305">
        <v>370</v>
      </c>
      <c r="AS11" s="305">
        <v>375</v>
      </c>
      <c r="AT11" s="305">
        <v>390</v>
      </c>
      <c r="AU11" s="305">
        <v>360</v>
      </c>
      <c r="AV11" s="305">
        <v>390</v>
      </c>
      <c r="AW11" s="305">
        <v>400</v>
      </c>
      <c r="AX11" s="305">
        <v>400</v>
      </c>
      <c r="AY11" s="305">
        <v>380</v>
      </c>
      <c r="AZ11" s="305">
        <v>420</v>
      </c>
      <c r="BA11" s="305">
        <v>420</v>
      </c>
      <c r="BB11" s="305">
        <v>440</v>
      </c>
      <c r="BC11" s="305">
        <v>450</v>
      </c>
      <c r="BD11" s="305">
        <v>465</v>
      </c>
      <c r="BE11" s="305">
        <v>480</v>
      </c>
      <c r="BF11" s="305">
        <v>500</v>
      </c>
      <c r="BG11" s="305">
        <v>520</v>
      </c>
      <c r="BH11" s="305">
        <v>550</v>
      </c>
      <c r="BI11" s="305">
        <v>550</v>
      </c>
      <c r="BJ11" s="305">
        <v>580</v>
      </c>
    </row>
    <row r="12" spans="2:62">
      <c r="B12" s="294">
        <v>30286</v>
      </c>
      <c r="C12" s="296">
        <v>5350</v>
      </c>
      <c r="D12" s="296">
        <v>1412</v>
      </c>
      <c r="E12" s="296">
        <v>16568</v>
      </c>
      <c r="F12" s="296">
        <v>10838</v>
      </c>
      <c r="G12" s="296">
        <v>5730</v>
      </c>
      <c r="H12" s="296">
        <v>13563</v>
      </c>
      <c r="I12" s="296">
        <v>2456475</v>
      </c>
      <c r="L12" s="302" t="s">
        <v>560</v>
      </c>
      <c r="M12" s="302" t="s">
        <v>563</v>
      </c>
      <c r="N12" s="303">
        <v>380</v>
      </c>
      <c r="O12" s="303">
        <v>375</v>
      </c>
      <c r="P12" s="303">
        <v>390</v>
      </c>
      <c r="Q12" s="303">
        <v>380</v>
      </c>
      <c r="R12" s="303">
        <v>395</v>
      </c>
      <c r="S12" s="303">
        <v>380</v>
      </c>
      <c r="T12" s="303">
        <v>380</v>
      </c>
      <c r="U12" s="303">
        <v>375</v>
      </c>
      <c r="V12" s="303">
        <v>395</v>
      </c>
      <c r="W12" s="303">
        <v>370</v>
      </c>
      <c r="X12" s="303">
        <v>370</v>
      </c>
      <c r="Y12" s="303">
        <v>370</v>
      </c>
      <c r="Z12" s="303">
        <v>390</v>
      </c>
      <c r="AA12" s="303">
        <v>365</v>
      </c>
      <c r="AB12" s="303">
        <v>365</v>
      </c>
      <c r="AC12" s="303">
        <v>360</v>
      </c>
      <c r="AD12" s="303">
        <v>385</v>
      </c>
      <c r="AE12" s="303">
        <v>360</v>
      </c>
      <c r="AF12" s="303">
        <v>380</v>
      </c>
      <c r="AG12" s="303">
        <v>375</v>
      </c>
      <c r="AH12" s="303">
        <v>390</v>
      </c>
      <c r="AI12" s="303">
        <v>370</v>
      </c>
      <c r="AJ12" s="303">
        <v>380</v>
      </c>
      <c r="AK12" s="303">
        <v>380</v>
      </c>
      <c r="AL12" s="303">
        <v>400</v>
      </c>
      <c r="AM12" s="303">
        <v>380</v>
      </c>
      <c r="AN12" s="303">
        <v>385</v>
      </c>
      <c r="AO12" s="303">
        <v>385</v>
      </c>
      <c r="AP12" s="303">
        <v>410</v>
      </c>
      <c r="AQ12" s="303">
        <v>380</v>
      </c>
      <c r="AR12" s="303">
        <v>390</v>
      </c>
      <c r="AS12" s="303">
        <v>390</v>
      </c>
      <c r="AT12" s="303">
        <v>420</v>
      </c>
      <c r="AU12" s="303">
        <v>395</v>
      </c>
      <c r="AV12" s="303">
        <v>410</v>
      </c>
      <c r="AW12" s="303">
        <v>420</v>
      </c>
      <c r="AX12" s="303">
        <v>445</v>
      </c>
      <c r="AY12" s="303">
        <v>425</v>
      </c>
      <c r="AZ12" s="303">
        <v>450</v>
      </c>
      <c r="BA12" s="303">
        <v>460</v>
      </c>
      <c r="BB12" s="303">
        <v>490</v>
      </c>
      <c r="BC12" s="303">
        <v>500</v>
      </c>
      <c r="BD12" s="303">
        <v>510</v>
      </c>
      <c r="BE12" s="303">
        <v>520</v>
      </c>
      <c r="BF12" s="303">
        <v>550</v>
      </c>
      <c r="BG12" s="303">
        <v>550</v>
      </c>
      <c r="BH12" s="303">
        <v>580</v>
      </c>
      <c r="BI12" s="303">
        <v>580</v>
      </c>
      <c r="BJ12" s="303">
        <v>615</v>
      </c>
    </row>
    <row r="13" spans="2:62">
      <c r="B13" s="294">
        <v>30376</v>
      </c>
      <c r="C13" s="296">
        <v>6857</v>
      </c>
      <c r="D13" s="296">
        <v>1876</v>
      </c>
      <c r="E13" s="296">
        <v>14644</v>
      </c>
      <c r="F13" s="296">
        <v>11214</v>
      </c>
      <c r="G13" s="296">
        <v>3430</v>
      </c>
      <c r="H13" s="296">
        <v>13234</v>
      </c>
      <c r="I13" s="296">
        <v>2469709</v>
      </c>
      <c r="L13" s="304" t="s">
        <v>560</v>
      </c>
      <c r="M13" s="304" t="s">
        <v>564</v>
      </c>
      <c r="N13" s="305">
        <v>290</v>
      </c>
      <c r="O13" s="305">
        <v>285</v>
      </c>
      <c r="P13" s="305">
        <v>290</v>
      </c>
      <c r="Q13" s="305">
        <v>295</v>
      </c>
      <c r="R13" s="305">
        <v>300</v>
      </c>
      <c r="S13" s="305">
        <v>295</v>
      </c>
      <c r="T13" s="305">
        <v>295</v>
      </c>
      <c r="U13" s="305">
        <v>300</v>
      </c>
      <c r="V13" s="305">
        <v>300</v>
      </c>
      <c r="W13" s="305">
        <v>290</v>
      </c>
      <c r="X13" s="305">
        <v>290</v>
      </c>
      <c r="Y13" s="305">
        <v>290</v>
      </c>
      <c r="Z13" s="305">
        <v>300</v>
      </c>
      <c r="AA13" s="305">
        <v>297</v>
      </c>
      <c r="AB13" s="305">
        <v>290</v>
      </c>
      <c r="AC13" s="305">
        <v>290</v>
      </c>
      <c r="AD13" s="305">
        <v>295</v>
      </c>
      <c r="AE13" s="305">
        <v>285</v>
      </c>
      <c r="AF13" s="305">
        <v>290</v>
      </c>
      <c r="AG13" s="305">
        <v>295</v>
      </c>
      <c r="AH13" s="305">
        <v>300</v>
      </c>
      <c r="AI13" s="305">
        <v>290</v>
      </c>
      <c r="AJ13" s="305">
        <v>295</v>
      </c>
      <c r="AK13" s="305">
        <v>295</v>
      </c>
      <c r="AL13" s="305">
        <v>300</v>
      </c>
      <c r="AM13" s="305">
        <v>300</v>
      </c>
      <c r="AN13" s="305">
        <v>300</v>
      </c>
      <c r="AO13" s="305">
        <v>300</v>
      </c>
      <c r="AP13" s="305">
        <v>310</v>
      </c>
      <c r="AQ13" s="305">
        <v>305</v>
      </c>
      <c r="AR13" s="305">
        <v>300</v>
      </c>
      <c r="AS13" s="305">
        <v>300</v>
      </c>
      <c r="AT13" s="305">
        <v>315</v>
      </c>
      <c r="AU13" s="305">
        <v>300</v>
      </c>
      <c r="AV13" s="305">
        <v>310</v>
      </c>
      <c r="AW13" s="305">
        <v>320</v>
      </c>
      <c r="AX13" s="305">
        <v>330</v>
      </c>
      <c r="AY13" s="305">
        <v>340</v>
      </c>
      <c r="AZ13" s="305">
        <v>340</v>
      </c>
      <c r="BA13" s="305">
        <v>355</v>
      </c>
      <c r="BB13" s="305">
        <v>370</v>
      </c>
      <c r="BC13" s="305">
        <v>380</v>
      </c>
      <c r="BD13" s="305">
        <v>390</v>
      </c>
      <c r="BE13" s="305">
        <v>400</v>
      </c>
      <c r="BF13" s="305">
        <v>420</v>
      </c>
      <c r="BG13" s="305">
        <v>420</v>
      </c>
      <c r="BH13" s="305">
        <v>430</v>
      </c>
      <c r="BI13" s="305">
        <v>450</v>
      </c>
      <c r="BJ13" s="305">
        <v>450</v>
      </c>
    </row>
    <row r="14" spans="2:62">
      <c r="B14" s="294">
        <v>30468</v>
      </c>
      <c r="C14" s="296">
        <v>6926</v>
      </c>
      <c r="D14" s="296">
        <v>1089</v>
      </c>
      <c r="E14" s="296">
        <v>17770</v>
      </c>
      <c r="F14" s="296">
        <v>14283</v>
      </c>
      <c r="G14" s="296">
        <v>3487</v>
      </c>
      <c r="H14" s="296">
        <v>12573</v>
      </c>
      <c r="I14" s="296">
        <v>2482282</v>
      </c>
      <c r="L14" s="302" t="s">
        <v>560</v>
      </c>
      <c r="M14" s="302" t="s">
        <v>565</v>
      </c>
      <c r="N14" s="303">
        <v>350</v>
      </c>
      <c r="O14" s="303">
        <v>350</v>
      </c>
      <c r="P14" s="303">
        <v>350</v>
      </c>
      <c r="Q14" s="303">
        <v>350</v>
      </c>
      <c r="R14" s="303">
        <v>350</v>
      </c>
      <c r="S14" s="303">
        <v>350</v>
      </c>
      <c r="T14" s="303">
        <v>350</v>
      </c>
      <c r="U14" s="303">
        <v>350</v>
      </c>
      <c r="V14" s="303">
        <v>350</v>
      </c>
      <c r="W14" s="303">
        <v>350</v>
      </c>
      <c r="X14" s="303">
        <v>350</v>
      </c>
      <c r="Y14" s="303">
        <v>350</v>
      </c>
      <c r="Z14" s="303">
        <v>350</v>
      </c>
      <c r="AA14" s="303">
        <v>350</v>
      </c>
      <c r="AB14" s="303">
        <v>350</v>
      </c>
      <c r="AC14" s="303">
        <v>350</v>
      </c>
      <c r="AD14" s="303">
        <v>350</v>
      </c>
      <c r="AE14" s="303">
        <v>345</v>
      </c>
      <c r="AF14" s="303">
        <v>350</v>
      </c>
      <c r="AG14" s="303">
        <v>350</v>
      </c>
      <c r="AH14" s="303">
        <v>350</v>
      </c>
      <c r="AI14" s="303">
        <v>350</v>
      </c>
      <c r="AJ14" s="303">
        <v>350</v>
      </c>
      <c r="AK14" s="303">
        <v>350</v>
      </c>
      <c r="AL14" s="303">
        <v>350</v>
      </c>
      <c r="AM14" s="303">
        <v>350</v>
      </c>
      <c r="AN14" s="303">
        <v>350</v>
      </c>
      <c r="AO14" s="303">
        <v>360</v>
      </c>
      <c r="AP14" s="303">
        <v>360</v>
      </c>
      <c r="AQ14" s="303">
        <v>360</v>
      </c>
      <c r="AR14" s="303">
        <v>360</v>
      </c>
      <c r="AS14" s="303">
        <v>370</v>
      </c>
      <c r="AT14" s="303">
        <v>370</v>
      </c>
      <c r="AU14" s="303">
        <v>360</v>
      </c>
      <c r="AV14" s="303">
        <v>380</v>
      </c>
      <c r="AW14" s="303">
        <v>390</v>
      </c>
      <c r="AX14" s="303">
        <v>400</v>
      </c>
      <c r="AY14" s="303">
        <v>380</v>
      </c>
      <c r="AZ14" s="303">
        <v>410</v>
      </c>
      <c r="BA14" s="303">
        <v>430</v>
      </c>
      <c r="BB14" s="303">
        <v>450</v>
      </c>
      <c r="BC14" s="303">
        <v>450</v>
      </c>
      <c r="BD14" s="303">
        <v>480</v>
      </c>
      <c r="BE14" s="303">
        <v>490</v>
      </c>
      <c r="BF14" s="303">
        <v>500</v>
      </c>
      <c r="BG14" s="303">
        <v>500</v>
      </c>
      <c r="BH14" s="303">
        <v>520</v>
      </c>
      <c r="BI14" s="303">
        <v>540</v>
      </c>
      <c r="BJ14" s="303">
        <v>550</v>
      </c>
    </row>
    <row r="15" spans="2:62">
      <c r="B15" s="294">
        <v>30560</v>
      </c>
      <c r="C15" s="296">
        <v>5906</v>
      </c>
      <c r="D15" s="296">
        <v>1187</v>
      </c>
      <c r="E15" s="296">
        <v>15529</v>
      </c>
      <c r="F15" s="296">
        <v>12597</v>
      </c>
      <c r="G15" s="296">
        <v>2932</v>
      </c>
      <c r="H15" s="296">
        <v>11091</v>
      </c>
      <c r="I15" s="296">
        <v>2493373</v>
      </c>
      <c r="L15" s="304" t="s">
        <v>560</v>
      </c>
      <c r="M15" s="304" t="s">
        <v>566</v>
      </c>
      <c r="N15" s="305">
        <v>410</v>
      </c>
      <c r="O15" s="305">
        <v>410</v>
      </c>
      <c r="P15" s="305">
        <v>410</v>
      </c>
      <c r="Q15" s="305">
        <v>420</v>
      </c>
      <c r="R15" s="305">
        <v>420</v>
      </c>
      <c r="S15" s="305">
        <v>420</v>
      </c>
      <c r="T15" s="305">
        <v>420</v>
      </c>
      <c r="U15" s="305">
        <v>420</v>
      </c>
      <c r="V15" s="305">
        <v>420</v>
      </c>
      <c r="W15" s="305">
        <v>410</v>
      </c>
      <c r="X15" s="305">
        <v>410</v>
      </c>
      <c r="Y15" s="305">
        <v>410</v>
      </c>
      <c r="Z15" s="305">
        <v>410</v>
      </c>
      <c r="AA15" s="305">
        <v>410</v>
      </c>
      <c r="AB15" s="305">
        <v>410</v>
      </c>
      <c r="AC15" s="305">
        <v>415</v>
      </c>
      <c r="AD15" s="305">
        <v>415</v>
      </c>
      <c r="AE15" s="305">
        <v>410</v>
      </c>
      <c r="AF15" s="305">
        <v>410</v>
      </c>
      <c r="AG15" s="305">
        <v>415</v>
      </c>
      <c r="AH15" s="305">
        <v>420</v>
      </c>
      <c r="AI15" s="305">
        <v>420</v>
      </c>
      <c r="AJ15" s="305">
        <v>410</v>
      </c>
      <c r="AK15" s="305">
        <v>420</v>
      </c>
      <c r="AL15" s="305">
        <v>420</v>
      </c>
      <c r="AM15" s="305">
        <v>420</v>
      </c>
      <c r="AN15" s="305">
        <v>420</v>
      </c>
      <c r="AO15" s="305">
        <v>430</v>
      </c>
      <c r="AP15" s="305">
        <v>430</v>
      </c>
      <c r="AQ15" s="305">
        <v>430</v>
      </c>
      <c r="AR15" s="305">
        <v>430</v>
      </c>
      <c r="AS15" s="305">
        <v>440</v>
      </c>
      <c r="AT15" s="305">
        <v>440</v>
      </c>
      <c r="AU15" s="305">
        <v>435</v>
      </c>
      <c r="AV15" s="305">
        <v>450</v>
      </c>
      <c r="AW15" s="305">
        <v>455</v>
      </c>
      <c r="AX15" s="305">
        <v>465</v>
      </c>
      <c r="AY15" s="305">
        <v>475</v>
      </c>
      <c r="AZ15" s="305">
        <v>490</v>
      </c>
      <c r="BA15" s="305">
        <v>510</v>
      </c>
      <c r="BB15" s="305">
        <v>530</v>
      </c>
      <c r="BC15" s="305">
        <v>550</v>
      </c>
      <c r="BD15" s="305">
        <v>575</v>
      </c>
      <c r="BE15" s="305">
        <v>590</v>
      </c>
      <c r="BF15" s="305">
        <v>600</v>
      </c>
      <c r="BG15" s="305">
        <v>600</v>
      </c>
      <c r="BH15" s="305">
        <v>620</v>
      </c>
      <c r="BI15" s="305">
        <v>630</v>
      </c>
      <c r="BJ15" s="305">
        <v>650</v>
      </c>
    </row>
    <row r="16" spans="2:62">
      <c r="B16" s="294">
        <v>30651</v>
      </c>
      <c r="C16" s="296">
        <v>5340</v>
      </c>
      <c r="D16" s="293">
        <v>426</v>
      </c>
      <c r="E16" s="296">
        <v>13103</v>
      </c>
      <c r="F16" s="296">
        <v>10023</v>
      </c>
      <c r="G16" s="296">
        <v>3080</v>
      </c>
      <c r="H16" s="296">
        <v>9912</v>
      </c>
      <c r="I16" s="296">
        <v>2503285</v>
      </c>
      <c r="L16" s="302" t="s">
        <v>560</v>
      </c>
      <c r="M16" s="302" t="s">
        <v>567</v>
      </c>
      <c r="N16" s="303">
        <v>310</v>
      </c>
      <c r="O16" s="303">
        <v>310</v>
      </c>
      <c r="P16" s="303">
        <v>305</v>
      </c>
      <c r="Q16" s="303">
        <v>310</v>
      </c>
      <c r="R16" s="303">
        <v>320</v>
      </c>
      <c r="S16" s="303">
        <v>310</v>
      </c>
      <c r="T16" s="303">
        <v>315</v>
      </c>
      <c r="U16" s="303">
        <v>320</v>
      </c>
      <c r="V16" s="303">
        <v>320</v>
      </c>
      <c r="W16" s="303">
        <v>315</v>
      </c>
      <c r="X16" s="303">
        <v>320</v>
      </c>
      <c r="Y16" s="303">
        <v>330</v>
      </c>
      <c r="Z16" s="303">
        <v>330</v>
      </c>
      <c r="AA16" s="303">
        <v>330</v>
      </c>
      <c r="AB16" s="303">
        <v>330</v>
      </c>
      <c r="AC16" s="303">
        <v>325</v>
      </c>
      <c r="AD16" s="303">
        <v>330</v>
      </c>
      <c r="AE16" s="303">
        <v>325</v>
      </c>
      <c r="AF16" s="303">
        <v>335</v>
      </c>
      <c r="AG16" s="303">
        <v>330</v>
      </c>
      <c r="AH16" s="303">
        <v>340</v>
      </c>
      <c r="AI16" s="303">
        <v>330</v>
      </c>
      <c r="AJ16" s="303">
        <v>330</v>
      </c>
      <c r="AK16" s="303">
        <v>340</v>
      </c>
      <c r="AL16" s="303">
        <v>340</v>
      </c>
      <c r="AM16" s="303">
        <v>335</v>
      </c>
      <c r="AN16" s="303">
        <v>345</v>
      </c>
      <c r="AO16" s="303">
        <v>350</v>
      </c>
      <c r="AP16" s="303">
        <v>345</v>
      </c>
      <c r="AQ16" s="303">
        <v>340</v>
      </c>
      <c r="AR16" s="303">
        <v>345</v>
      </c>
      <c r="AS16" s="303">
        <v>350</v>
      </c>
      <c r="AT16" s="303">
        <v>350</v>
      </c>
      <c r="AU16" s="303">
        <v>350</v>
      </c>
      <c r="AV16" s="303">
        <v>350</v>
      </c>
      <c r="AW16" s="303">
        <v>355</v>
      </c>
      <c r="AX16" s="303">
        <v>360</v>
      </c>
      <c r="AY16" s="303">
        <v>365</v>
      </c>
      <c r="AZ16" s="303">
        <v>370</v>
      </c>
      <c r="BA16" s="303">
        <v>395</v>
      </c>
      <c r="BB16" s="303">
        <v>400</v>
      </c>
      <c r="BC16" s="303">
        <v>410</v>
      </c>
      <c r="BD16" s="303">
        <v>420</v>
      </c>
      <c r="BE16" s="303">
        <v>440</v>
      </c>
      <c r="BF16" s="303">
        <v>450</v>
      </c>
      <c r="BG16" s="303">
        <v>480</v>
      </c>
      <c r="BH16" s="303">
        <v>480</v>
      </c>
      <c r="BI16" s="303">
        <v>500</v>
      </c>
      <c r="BJ16" s="303">
        <v>520</v>
      </c>
    </row>
    <row r="17" spans="2:62">
      <c r="B17" s="294">
        <v>30742</v>
      </c>
      <c r="C17" s="296">
        <v>6391</v>
      </c>
      <c r="D17" s="293">
        <v>391</v>
      </c>
      <c r="E17" s="296">
        <v>14810</v>
      </c>
      <c r="F17" s="296">
        <v>12500</v>
      </c>
      <c r="G17" s="296">
        <v>2310</v>
      </c>
      <c r="H17" s="296">
        <v>10158</v>
      </c>
      <c r="I17" s="296">
        <v>2513443</v>
      </c>
      <c r="L17" s="304" t="s">
        <v>560</v>
      </c>
      <c r="M17" s="304" t="s">
        <v>568</v>
      </c>
      <c r="N17" s="305">
        <v>370</v>
      </c>
      <c r="O17" s="305">
        <v>365</v>
      </c>
      <c r="P17" s="305">
        <v>360</v>
      </c>
      <c r="Q17" s="305">
        <v>370</v>
      </c>
      <c r="R17" s="305">
        <v>375</v>
      </c>
      <c r="S17" s="305">
        <v>370</v>
      </c>
      <c r="T17" s="305">
        <v>375</v>
      </c>
      <c r="U17" s="305">
        <v>375</v>
      </c>
      <c r="V17" s="305">
        <v>375</v>
      </c>
      <c r="W17" s="305">
        <v>375</v>
      </c>
      <c r="X17" s="305">
        <v>375</v>
      </c>
      <c r="Y17" s="305">
        <v>380</v>
      </c>
      <c r="Z17" s="305">
        <v>380</v>
      </c>
      <c r="AA17" s="305">
        <v>380</v>
      </c>
      <c r="AB17" s="305">
        <v>380</v>
      </c>
      <c r="AC17" s="305">
        <v>385</v>
      </c>
      <c r="AD17" s="305">
        <v>390</v>
      </c>
      <c r="AE17" s="305">
        <v>380</v>
      </c>
      <c r="AF17" s="305">
        <v>385</v>
      </c>
      <c r="AG17" s="305">
        <v>385</v>
      </c>
      <c r="AH17" s="305">
        <v>390</v>
      </c>
      <c r="AI17" s="305">
        <v>385</v>
      </c>
      <c r="AJ17" s="305">
        <v>390</v>
      </c>
      <c r="AK17" s="305">
        <v>390</v>
      </c>
      <c r="AL17" s="305">
        <v>390</v>
      </c>
      <c r="AM17" s="305">
        <v>390</v>
      </c>
      <c r="AN17" s="305">
        <v>395</v>
      </c>
      <c r="AO17" s="305">
        <v>395</v>
      </c>
      <c r="AP17" s="305">
        <v>400</v>
      </c>
      <c r="AQ17" s="305">
        <v>395</v>
      </c>
      <c r="AR17" s="305">
        <v>400</v>
      </c>
      <c r="AS17" s="305">
        <v>400</v>
      </c>
      <c r="AT17" s="305">
        <v>400</v>
      </c>
      <c r="AU17" s="305">
        <v>395</v>
      </c>
      <c r="AV17" s="305">
        <v>400</v>
      </c>
      <c r="AW17" s="305">
        <v>405</v>
      </c>
      <c r="AX17" s="305">
        <v>415</v>
      </c>
      <c r="AY17" s="305">
        <v>420</v>
      </c>
      <c r="AZ17" s="305">
        <v>430</v>
      </c>
      <c r="BA17" s="305">
        <v>440</v>
      </c>
      <c r="BB17" s="305">
        <v>450</v>
      </c>
      <c r="BC17" s="305">
        <v>480</v>
      </c>
      <c r="BD17" s="305">
        <v>500</v>
      </c>
      <c r="BE17" s="305">
        <v>520</v>
      </c>
      <c r="BF17" s="305">
        <v>540</v>
      </c>
      <c r="BG17" s="305">
        <v>550</v>
      </c>
      <c r="BH17" s="305">
        <v>560</v>
      </c>
      <c r="BI17" s="305">
        <v>590</v>
      </c>
      <c r="BJ17" s="305">
        <v>600</v>
      </c>
    </row>
    <row r="18" spans="2:62">
      <c r="B18" s="294">
        <v>30834</v>
      </c>
      <c r="C18" s="296">
        <v>6450</v>
      </c>
      <c r="D18" s="296">
        <v>1263</v>
      </c>
      <c r="E18" s="296">
        <v>15382</v>
      </c>
      <c r="F18" s="296">
        <v>13745</v>
      </c>
      <c r="G18" s="296">
        <v>1637</v>
      </c>
      <c r="H18" s="296">
        <v>10416</v>
      </c>
      <c r="I18" s="296">
        <v>2523859</v>
      </c>
      <c r="L18" s="302" t="s">
        <v>560</v>
      </c>
      <c r="M18" s="302" t="s">
        <v>569</v>
      </c>
      <c r="N18" s="303">
        <v>190</v>
      </c>
      <c r="O18" s="303">
        <v>170</v>
      </c>
      <c r="P18" s="303">
        <v>185</v>
      </c>
      <c r="Q18" s="303">
        <v>170</v>
      </c>
      <c r="R18" s="303">
        <v>195</v>
      </c>
      <c r="S18" s="303">
        <v>180</v>
      </c>
      <c r="T18" s="303">
        <v>190</v>
      </c>
      <c r="U18" s="303">
        <v>175</v>
      </c>
      <c r="V18" s="303">
        <v>200</v>
      </c>
      <c r="W18" s="303">
        <v>180</v>
      </c>
      <c r="X18" s="303">
        <v>195</v>
      </c>
      <c r="Y18" s="303">
        <v>175</v>
      </c>
      <c r="Z18" s="303">
        <v>210</v>
      </c>
      <c r="AA18" s="303">
        <v>185</v>
      </c>
      <c r="AB18" s="303">
        <v>205</v>
      </c>
      <c r="AC18" s="303">
        <v>180</v>
      </c>
      <c r="AD18" s="303">
        <v>210</v>
      </c>
      <c r="AE18" s="303">
        <v>185</v>
      </c>
      <c r="AF18" s="303">
        <v>210</v>
      </c>
      <c r="AG18" s="303">
        <v>200</v>
      </c>
      <c r="AH18" s="303">
        <v>210</v>
      </c>
      <c r="AI18" s="303">
        <v>210</v>
      </c>
      <c r="AJ18" s="303">
        <v>210</v>
      </c>
      <c r="AK18" s="303">
        <v>199</v>
      </c>
      <c r="AL18" s="303">
        <v>220</v>
      </c>
      <c r="AM18" s="303">
        <v>215</v>
      </c>
      <c r="AN18" s="303">
        <v>219</v>
      </c>
      <c r="AO18" s="303">
        <v>215</v>
      </c>
      <c r="AP18" s="303">
        <v>230</v>
      </c>
      <c r="AQ18" s="303">
        <v>220</v>
      </c>
      <c r="AR18" s="303">
        <v>235</v>
      </c>
      <c r="AS18" s="303">
        <v>239</v>
      </c>
      <c r="AT18" s="303">
        <v>249</v>
      </c>
      <c r="AU18" s="303">
        <v>210</v>
      </c>
      <c r="AV18" s="303">
        <v>200</v>
      </c>
      <c r="AW18" s="303">
        <v>195</v>
      </c>
      <c r="AX18" s="303">
        <v>205</v>
      </c>
      <c r="AY18" s="303">
        <v>199</v>
      </c>
      <c r="AZ18" s="303">
        <v>200</v>
      </c>
      <c r="BA18" s="303">
        <v>225</v>
      </c>
      <c r="BB18" s="303">
        <v>249</v>
      </c>
      <c r="BC18" s="303">
        <v>240</v>
      </c>
      <c r="BD18" s="303">
        <v>289</v>
      </c>
      <c r="BE18" s="303">
        <v>279</v>
      </c>
      <c r="BF18" s="303">
        <v>319</v>
      </c>
      <c r="BG18" s="303">
        <v>299</v>
      </c>
      <c r="BH18" s="303">
        <v>349</v>
      </c>
      <c r="BI18" s="303">
        <v>309</v>
      </c>
      <c r="BJ18" s="303">
        <v>349</v>
      </c>
    </row>
    <row r="19" spans="2:62">
      <c r="B19" s="294">
        <v>30926</v>
      </c>
      <c r="C19" s="296">
        <v>5113</v>
      </c>
      <c r="D19" s="296">
        <v>2196</v>
      </c>
      <c r="E19" s="296">
        <v>16000</v>
      </c>
      <c r="F19" s="296">
        <v>12317</v>
      </c>
      <c r="G19" s="296">
        <v>3683</v>
      </c>
      <c r="H19" s="296">
        <v>12117</v>
      </c>
      <c r="I19" s="296">
        <v>2535976</v>
      </c>
      <c r="L19" s="304" t="s">
        <v>560</v>
      </c>
      <c r="M19" s="304" t="s">
        <v>570</v>
      </c>
      <c r="N19" s="305">
        <v>350</v>
      </c>
      <c r="O19" s="305">
        <v>350</v>
      </c>
      <c r="P19" s="305">
        <v>350</v>
      </c>
      <c r="Q19" s="305">
        <v>350</v>
      </c>
      <c r="R19" s="305">
        <v>360</v>
      </c>
      <c r="S19" s="305">
        <v>350</v>
      </c>
      <c r="T19" s="305">
        <v>355</v>
      </c>
      <c r="U19" s="305">
        <v>355</v>
      </c>
      <c r="V19" s="305">
        <v>360</v>
      </c>
      <c r="W19" s="305">
        <v>350</v>
      </c>
      <c r="X19" s="305">
        <v>350</v>
      </c>
      <c r="Y19" s="305">
        <v>355</v>
      </c>
      <c r="Z19" s="305">
        <v>360</v>
      </c>
      <c r="AA19" s="305">
        <v>355</v>
      </c>
      <c r="AB19" s="305">
        <v>360</v>
      </c>
      <c r="AC19" s="305">
        <v>360</v>
      </c>
      <c r="AD19" s="305">
        <v>365</v>
      </c>
      <c r="AE19" s="305">
        <v>355</v>
      </c>
      <c r="AF19" s="305">
        <v>360</v>
      </c>
      <c r="AG19" s="305">
        <v>360</v>
      </c>
      <c r="AH19" s="305">
        <v>370</v>
      </c>
      <c r="AI19" s="305">
        <v>360</v>
      </c>
      <c r="AJ19" s="305">
        <v>365</v>
      </c>
      <c r="AK19" s="305">
        <v>370</v>
      </c>
      <c r="AL19" s="305">
        <v>375</v>
      </c>
      <c r="AM19" s="305">
        <v>370</v>
      </c>
      <c r="AN19" s="305">
        <v>375</v>
      </c>
      <c r="AO19" s="305">
        <v>380</v>
      </c>
      <c r="AP19" s="305">
        <v>385</v>
      </c>
      <c r="AQ19" s="305">
        <v>380</v>
      </c>
      <c r="AR19" s="305">
        <v>380</v>
      </c>
      <c r="AS19" s="305">
        <v>390</v>
      </c>
      <c r="AT19" s="305">
        <v>395</v>
      </c>
      <c r="AU19" s="305">
        <v>380</v>
      </c>
      <c r="AV19" s="305">
        <v>390</v>
      </c>
      <c r="AW19" s="305">
        <v>400</v>
      </c>
      <c r="AX19" s="305">
        <v>400</v>
      </c>
      <c r="AY19" s="305">
        <v>410</v>
      </c>
      <c r="AZ19" s="305">
        <v>420</v>
      </c>
      <c r="BA19" s="305">
        <v>440</v>
      </c>
      <c r="BB19" s="305">
        <v>450</v>
      </c>
      <c r="BC19" s="305">
        <v>460</v>
      </c>
      <c r="BD19" s="305">
        <v>480</v>
      </c>
      <c r="BE19" s="305">
        <v>500</v>
      </c>
      <c r="BF19" s="305">
        <v>515</v>
      </c>
      <c r="BG19" s="305">
        <v>530</v>
      </c>
      <c r="BH19" s="305">
        <v>550</v>
      </c>
      <c r="BI19" s="305">
        <v>560</v>
      </c>
      <c r="BJ19" s="305">
        <v>580</v>
      </c>
    </row>
    <row r="20" spans="2:62">
      <c r="B20" s="294">
        <v>31017</v>
      </c>
      <c r="C20" s="296">
        <v>5097</v>
      </c>
      <c r="D20" s="296">
        <v>1241</v>
      </c>
      <c r="E20" s="296">
        <v>15180</v>
      </c>
      <c r="F20" s="296">
        <v>11541</v>
      </c>
      <c r="G20" s="296">
        <v>3639</v>
      </c>
      <c r="H20" s="296">
        <v>11102</v>
      </c>
      <c r="I20" s="296">
        <v>2547078</v>
      </c>
      <c r="L20" s="302" t="s">
        <v>560</v>
      </c>
      <c r="M20" s="302" t="s">
        <v>571</v>
      </c>
      <c r="N20" s="303">
        <v>342</v>
      </c>
      <c r="O20" s="303">
        <v>350</v>
      </c>
      <c r="P20" s="303">
        <v>350</v>
      </c>
      <c r="Q20" s="303">
        <v>350</v>
      </c>
      <c r="R20" s="303">
        <v>350</v>
      </c>
      <c r="S20" s="303">
        <v>350</v>
      </c>
      <c r="T20" s="303">
        <v>350</v>
      </c>
      <c r="U20" s="303">
        <v>350</v>
      </c>
      <c r="V20" s="303">
        <v>350</v>
      </c>
      <c r="W20" s="303">
        <v>350</v>
      </c>
      <c r="X20" s="303">
        <v>350</v>
      </c>
      <c r="Y20" s="303">
        <v>350</v>
      </c>
      <c r="Z20" s="303">
        <v>350</v>
      </c>
      <c r="AA20" s="303">
        <v>350</v>
      </c>
      <c r="AB20" s="303">
        <v>350</v>
      </c>
      <c r="AC20" s="303">
        <v>360</v>
      </c>
      <c r="AD20" s="303">
        <v>350</v>
      </c>
      <c r="AE20" s="303">
        <v>350</v>
      </c>
      <c r="AF20" s="303">
        <v>350</v>
      </c>
      <c r="AG20" s="303">
        <v>360</v>
      </c>
      <c r="AH20" s="303">
        <v>360</v>
      </c>
      <c r="AI20" s="303">
        <v>360</v>
      </c>
      <c r="AJ20" s="303">
        <v>360</v>
      </c>
      <c r="AK20" s="303">
        <v>360</v>
      </c>
      <c r="AL20" s="303">
        <v>360</v>
      </c>
      <c r="AM20" s="303">
        <v>360</v>
      </c>
      <c r="AN20" s="303">
        <v>360</v>
      </c>
      <c r="AO20" s="303">
        <v>370</v>
      </c>
      <c r="AP20" s="303">
        <v>370</v>
      </c>
      <c r="AQ20" s="303">
        <v>365</v>
      </c>
      <c r="AR20" s="303">
        <v>365</v>
      </c>
      <c r="AS20" s="303">
        <v>380</v>
      </c>
      <c r="AT20" s="303">
        <v>380</v>
      </c>
      <c r="AU20" s="303">
        <v>370</v>
      </c>
      <c r="AV20" s="303">
        <v>385</v>
      </c>
      <c r="AW20" s="303">
        <v>395</v>
      </c>
      <c r="AX20" s="303">
        <v>400</v>
      </c>
      <c r="AY20" s="303">
        <v>385</v>
      </c>
      <c r="AZ20" s="303">
        <v>415</v>
      </c>
      <c r="BA20" s="303">
        <v>430</v>
      </c>
      <c r="BB20" s="303">
        <v>430</v>
      </c>
      <c r="BC20" s="303">
        <v>450</v>
      </c>
      <c r="BD20" s="303">
        <v>450</v>
      </c>
      <c r="BE20" s="303">
        <v>485</v>
      </c>
      <c r="BF20" s="303">
        <v>490</v>
      </c>
      <c r="BG20" s="303">
        <v>510</v>
      </c>
      <c r="BH20" s="303">
        <v>530</v>
      </c>
      <c r="BI20" s="303">
        <v>550</v>
      </c>
      <c r="BJ20" s="303">
        <v>550</v>
      </c>
    </row>
    <row r="21" spans="2:62">
      <c r="B21" s="294">
        <v>31107</v>
      </c>
      <c r="C21" s="296">
        <v>5767</v>
      </c>
      <c r="D21" s="296">
        <v>2081</v>
      </c>
      <c r="E21" s="296">
        <v>16687</v>
      </c>
      <c r="F21" s="296">
        <v>13286</v>
      </c>
      <c r="G21" s="296">
        <v>3401</v>
      </c>
      <c r="H21" s="296">
        <v>12374</v>
      </c>
      <c r="I21" s="296">
        <v>2559452</v>
      </c>
    </row>
    <row r="22" spans="2:62">
      <c r="B22" s="294">
        <v>31199</v>
      </c>
      <c r="C22" s="296">
        <v>6297</v>
      </c>
      <c r="D22" s="296">
        <v>2147</v>
      </c>
      <c r="E22" s="296">
        <v>17602</v>
      </c>
      <c r="F22" s="296">
        <v>15405</v>
      </c>
      <c r="G22" s="296">
        <v>2197</v>
      </c>
      <c r="H22" s="296">
        <v>11766</v>
      </c>
      <c r="I22" s="296">
        <v>2571218</v>
      </c>
    </row>
    <row r="23" spans="2:62">
      <c r="B23" s="294">
        <v>31291</v>
      </c>
      <c r="C23" s="296">
        <v>4500</v>
      </c>
      <c r="D23" s="296">
        <v>2639</v>
      </c>
      <c r="E23" s="296">
        <v>17852</v>
      </c>
      <c r="F23" s="296">
        <v>13840</v>
      </c>
      <c r="G23" s="296">
        <v>4012</v>
      </c>
      <c r="H23" s="296">
        <v>12150</v>
      </c>
      <c r="I23" s="296">
        <v>2583368</v>
      </c>
    </row>
    <row r="24" spans="2:62">
      <c r="B24" s="294">
        <v>31382</v>
      </c>
      <c r="C24" s="296">
        <v>5234</v>
      </c>
      <c r="D24" s="296">
        <v>2892</v>
      </c>
      <c r="E24" s="296">
        <v>16768</v>
      </c>
      <c r="F24" s="296">
        <v>12161</v>
      </c>
      <c r="G24" s="296">
        <v>4607</v>
      </c>
      <c r="H24" s="296">
        <v>13732</v>
      </c>
      <c r="I24" s="296">
        <v>2597100</v>
      </c>
    </row>
    <row r="25" spans="2:62">
      <c r="B25" s="294">
        <v>31472</v>
      </c>
      <c r="C25" s="296">
        <v>5512</v>
      </c>
      <c r="D25" s="296">
        <v>2733</v>
      </c>
      <c r="E25" s="296">
        <v>18282</v>
      </c>
      <c r="F25" s="296">
        <v>14421</v>
      </c>
      <c r="G25" s="296">
        <v>3861</v>
      </c>
      <c r="H25" s="296">
        <v>13105</v>
      </c>
      <c r="I25" s="296">
        <v>2610205</v>
      </c>
      <c r="N25" s="336" t="s">
        <v>572</v>
      </c>
      <c r="O25" s="337"/>
      <c r="P25" s="336" t="s">
        <v>573</v>
      </c>
      <c r="Q25" s="337"/>
      <c r="R25" s="336" t="s">
        <v>574</v>
      </c>
      <c r="S25" s="337"/>
      <c r="T25" s="336" t="s">
        <v>575</v>
      </c>
      <c r="U25" s="337"/>
      <c r="V25" s="336" t="s">
        <v>576</v>
      </c>
      <c r="W25" s="337"/>
      <c r="X25" s="336" t="s">
        <v>577</v>
      </c>
      <c r="Y25" s="337"/>
      <c r="Z25" s="336" t="s">
        <v>578</v>
      </c>
      <c r="AA25" s="337"/>
      <c r="AB25" s="336" t="s">
        <v>579</v>
      </c>
      <c r="AC25" s="337"/>
    </row>
    <row r="26" spans="2:62" ht="24">
      <c r="B26" s="294">
        <v>31564</v>
      </c>
      <c r="C26" s="296">
        <v>6533</v>
      </c>
      <c r="D26" s="296">
        <v>3118</v>
      </c>
      <c r="E26" s="296">
        <v>19112</v>
      </c>
      <c r="F26" s="296">
        <v>15092</v>
      </c>
      <c r="G26" s="296">
        <v>4020</v>
      </c>
      <c r="H26" s="296">
        <v>14390</v>
      </c>
      <c r="I26" s="296">
        <v>2624595</v>
      </c>
      <c r="L26" s="306" t="s">
        <v>580</v>
      </c>
      <c r="M26" s="307" t="s">
        <v>581</v>
      </c>
      <c r="N26" s="308" t="s">
        <v>582</v>
      </c>
      <c r="O26" s="309">
        <v>168774.78899999999</v>
      </c>
      <c r="P26" s="308" t="s">
        <v>582</v>
      </c>
      <c r="Q26" s="309">
        <v>177516.473</v>
      </c>
      <c r="R26" s="308" t="s">
        <v>582</v>
      </c>
      <c r="S26" s="309">
        <v>186526.481</v>
      </c>
      <c r="T26" s="308" t="s">
        <v>582</v>
      </c>
      <c r="U26" s="309">
        <v>195823.845</v>
      </c>
      <c r="V26" s="308" t="s">
        <v>582</v>
      </c>
      <c r="W26" s="309">
        <v>202295.193</v>
      </c>
      <c r="X26" s="308" t="s">
        <v>582</v>
      </c>
      <c r="Y26" s="309">
        <v>222266.50700000001</v>
      </c>
      <c r="Z26" s="308" t="s">
        <v>583</v>
      </c>
      <c r="AA26" s="309">
        <v>244521.69500000001</v>
      </c>
      <c r="AB26" s="308" t="s">
        <v>583</v>
      </c>
      <c r="AC26" s="309">
        <v>249168.52600000001</v>
      </c>
    </row>
    <row r="27" spans="2:62">
      <c r="B27" s="294">
        <v>31656</v>
      </c>
      <c r="C27" s="296">
        <v>5345</v>
      </c>
      <c r="D27" s="296">
        <v>3418</v>
      </c>
      <c r="E27" s="296">
        <v>18230</v>
      </c>
      <c r="F27" s="296">
        <v>14073</v>
      </c>
      <c r="G27" s="296">
        <v>4157</v>
      </c>
      <c r="H27" s="296">
        <v>11882</v>
      </c>
      <c r="I27" s="296">
        <v>2636477</v>
      </c>
      <c r="O27" t="str">
        <f>N25</f>
        <v>2015</v>
      </c>
      <c r="P27" t="str">
        <f>P25</f>
        <v>2016</v>
      </c>
      <c r="Q27" t="str">
        <f>R25</f>
        <v>2017</v>
      </c>
      <c r="R27" t="str">
        <f>T25</f>
        <v>2018</v>
      </c>
      <c r="S27">
        <f>R27+1</f>
        <v>2019</v>
      </c>
      <c r="T27">
        <f t="shared" ref="T27:V27" si="0">S27+1</f>
        <v>2020</v>
      </c>
      <c r="U27">
        <f t="shared" si="0"/>
        <v>2021</v>
      </c>
      <c r="V27">
        <f t="shared" si="0"/>
        <v>2022</v>
      </c>
    </row>
    <row r="28" spans="2:62">
      <c r="B28" s="294">
        <v>31747</v>
      </c>
      <c r="C28" s="296">
        <v>5120</v>
      </c>
      <c r="D28" s="296">
        <v>3250</v>
      </c>
      <c r="E28" s="296">
        <v>17088</v>
      </c>
      <c r="F28" s="296">
        <v>12119</v>
      </c>
      <c r="G28" s="296">
        <v>4969</v>
      </c>
      <c r="H28" s="296">
        <v>12301</v>
      </c>
      <c r="I28" s="296">
        <v>2648778</v>
      </c>
      <c r="O28" s="310">
        <f>O26</f>
        <v>168774.78899999999</v>
      </c>
      <c r="P28" s="310">
        <f>Q26</f>
        <v>177516.473</v>
      </c>
      <c r="Q28" s="310">
        <f>S26</f>
        <v>186526.481</v>
      </c>
      <c r="R28" s="310">
        <f>U26</f>
        <v>195823.845</v>
      </c>
      <c r="S28" s="310">
        <f>W26</f>
        <v>202295.193</v>
      </c>
      <c r="T28" s="310">
        <f>Y26</f>
        <v>222266.50700000001</v>
      </c>
      <c r="U28" s="310">
        <f>AA26</f>
        <v>244521.69500000001</v>
      </c>
      <c r="V28" s="310">
        <f>AC26</f>
        <v>249168.52600000001</v>
      </c>
    </row>
    <row r="29" spans="2:62">
      <c r="B29" s="294">
        <v>31837</v>
      </c>
      <c r="C29" s="296">
        <v>5556</v>
      </c>
      <c r="D29" s="296">
        <v>3066</v>
      </c>
      <c r="E29" s="296">
        <v>24236</v>
      </c>
      <c r="F29" s="296">
        <v>17944</v>
      </c>
      <c r="G29" s="296">
        <v>6292</v>
      </c>
      <c r="H29" s="296">
        <v>13876</v>
      </c>
      <c r="I29" s="296">
        <v>2662654</v>
      </c>
    </row>
    <row r="30" spans="2:62">
      <c r="B30" s="294">
        <v>31929</v>
      </c>
      <c r="C30" s="296">
        <v>5754</v>
      </c>
      <c r="D30" s="296">
        <v>3437</v>
      </c>
      <c r="E30" s="296">
        <v>18910</v>
      </c>
      <c r="F30" s="296">
        <v>14610</v>
      </c>
      <c r="G30" s="296">
        <v>4300</v>
      </c>
      <c r="H30" s="296">
        <v>12453</v>
      </c>
      <c r="I30" s="296">
        <v>2675107</v>
      </c>
    </row>
    <row r="31" spans="2:62">
      <c r="B31" s="294">
        <v>32021</v>
      </c>
      <c r="C31" s="296">
        <v>4640</v>
      </c>
      <c r="D31" s="296">
        <v>4387</v>
      </c>
      <c r="E31" s="296">
        <v>20159</v>
      </c>
      <c r="F31" s="296">
        <v>15209</v>
      </c>
      <c r="G31" s="296">
        <v>4950</v>
      </c>
      <c r="H31" s="296">
        <v>13022</v>
      </c>
      <c r="I31" s="296">
        <v>2688129</v>
      </c>
    </row>
    <row r="32" spans="2:62">
      <c r="B32" s="294">
        <v>32112</v>
      </c>
      <c r="C32" s="296">
        <v>4554</v>
      </c>
      <c r="D32" s="296">
        <v>4459</v>
      </c>
      <c r="E32" s="296">
        <v>21175</v>
      </c>
      <c r="F32" s="296">
        <v>13846</v>
      </c>
      <c r="G32" s="296">
        <v>7329</v>
      </c>
      <c r="H32" s="296">
        <v>15387</v>
      </c>
      <c r="I32" s="296">
        <v>2703516</v>
      </c>
    </row>
    <row r="33" spans="2:9">
      <c r="B33" s="294">
        <v>32203</v>
      </c>
      <c r="C33" s="296">
        <v>5691</v>
      </c>
      <c r="D33" s="296">
        <v>6643</v>
      </c>
      <c r="E33" s="296">
        <v>27763</v>
      </c>
      <c r="F33" s="296">
        <v>18666</v>
      </c>
      <c r="G33" s="296">
        <v>9097</v>
      </c>
      <c r="H33" s="296">
        <v>20476</v>
      </c>
      <c r="I33" s="296">
        <v>2723992</v>
      </c>
    </row>
    <row r="34" spans="2:9">
      <c r="B34" s="294">
        <v>32295</v>
      </c>
      <c r="C34" s="296">
        <v>5573</v>
      </c>
      <c r="D34" s="296">
        <v>4953</v>
      </c>
      <c r="E34" s="296">
        <v>22738</v>
      </c>
      <c r="F34" s="296">
        <v>16394</v>
      </c>
      <c r="G34" s="296">
        <v>6344</v>
      </c>
      <c r="H34" s="296">
        <v>15915</v>
      </c>
      <c r="I34" s="296">
        <v>2739907</v>
      </c>
    </row>
    <row r="35" spans="2:9">
      <c r="B35" s="294">
        <v>32387</v>
      </c>
      <c r="C35" s="296">
        <v>4843</v>
      </c>
      <c r="D35" s="296">
        <v>7507</v>
      </c>
      <c r="E35" s="296">
        <v>24283</v>
      </c>
      <c r="F35" s="296">
        <v>15291</v>
      </c>
      <c r="G35" s="296">
        <v>8992</v>
      </c>
      <c r="H35" s="296">
        <v>20482</v>
      </c>
      <c r="I35" s="296">
        <v>2760389</v>
      </c>
    </row>
    <row r="36" spans="2:9">
      <c r="B36" s="294">
        <v>32478</v>
      </c>
      <c r="C36" s="296">
        <v>5651</v>
      </c>
      <c r="D36" s="296">
        <v>5861</v>
      </c>
      <c r="E36" s="296">
        <v>23878</v>
      </c>
      <c r="F36" s="296">
        <v>14050</v>
      </c>
      <c r="G36" s="296">
        <v>9828</v>
      </c>
      <c r="H36" s="296">
        <v>20480</v>
      </c>
      <c r="I36" s="296">
        <v>2780869</v>
      </c>
    </row>
    <row r="37" spans="2:9">
      <c r="B37" s="294">
        <v>32568</v>
      </c>
      <c r="C37" s="296">
        <v>5872</v>
      </c>
      <c r="D37" s="296">
        <v>5637</v>
      </c>
      <c r="E37" s="296">
        <v>34620</v>
      </c>
      <c r="F37" s="296">
        <v>19293</v>
      </c>
      <c r="G37" s="296">
        <v>15327</v>
      </c>
      <c r="H37" s="296">
        <v>25976</v>
      </c>
      <c r="I37" s="296">
        <v>2806845</v>
      </c>
    </row>
    <row r="38" spans="2:9">
      <c r="B38" s="294">
        <v>32660</v>
      </c>
      <c r="C38" s="296">
        <v>5966</v>
      </c>
      <c r="D38" s="296">
        <v>2771</v>
      </c>
      <c r="E38" s="296">
        <v>29787</v>
      </c>
      <c r="F38" s="296">
        <v>16872</v>
      </c>
      <c r="G38" s="296">
        <v>12915</v>
      </c>
      <c r="H38" s="296">
        <v>20792</v>
      </c>
      <c r="I38" s="296">
        <v>2827637</v>
      </c>
    </row>
    <row r="39" spans="2:9">
      <c r="B39" s="294">
        <v>32752</v>
      </c>
      <c r="C39" s="296">
        <v>4898</v>
      </c>
      <c r="D39" s="296">
        <v>4024</v>
      </c>
      <c r="E39" s="296">
        <v>27000</v>
      </c>
      <c r="F39" s="296">
        <v>15711</v>
      </c>
      <c r="G39" s="296">
        <v>11289</v>
      </c>
      <c r="H39" s="296">
        <v>19408</v>
      </c>
      <c r="I39" s="296">
        <v>2847045</v>
      </c>
    </row>
    <row r="40" spans="2:9">
      <c r="B40" s="294">
        <v>32843</v>
      </c>
      <c r="C40" s="296">
        <v>4890</v>
      </c>
      <c r="D40" s="296">
        <v>3434</v>
      </c>
      <c r="E40" s="296">
        <v>22771</v>
      </c>
      <c r="F40" s="296">
        <v>13330</v>
      </c>
      <c r="G40" s="296">
        <v>9441</v>
      </c>
      <c r="H40" s="296">
        <v>16962</v>
      </c>
      <c r="I40" s="296">
        <v>2864007</v>
      </c>
    </row>
    <row r="41" spans="2:9">
      <c r="B41" s="294">
        <v>32933</v>
      </c>
      <c r="C41" s="296">
        <v>6762</v>
      </c>
      <c r="D41" s="296">
        <v>3037</v>
      </c>
      <c r="E41" s="296">
        <v>31659</v>
      </c>
      <c r="F41" s="296">
        <v>20492</v>
      </c>
      <c r="G41" s="296">
        <v>11167</v>
      </c>
      <c r="H41" s="296">
        <v>20163</v>
      </c>
      <c r="I41" s="296">
        <v>2884170</v>
      </c>
    </row>
    <row r="42" spans="2:9">
      <c r="B42" s="294">
        <v>33025</v>
      </c>
      <c r="C42" s="296">
        <v>7064</v>
      </c>
      <c r="D42" s="296">
        <v>2647</v>
      </c>
      <c r="E42" s="296">
        <v>23430</v>
      </c>
      <c r="F42" s="296">
        <v>17225</v>
      </c>
      <c r="G42" s="296">
        <v>6205</v>
      </c>
      <c r="H42" s="296">
        <v>15113</v>
      </c>
      <c r="I42" s="296">
        <v>2899283</v>
      </c>
    </row>
    <row r="43" spans="2:9">
      <c r="B43" s="294">
        <v>33117</v>
      </c>
      <c r="C43" s="296">
        <v>6011</v>
      </c>
      <c r="D43" s="296">
        <v>2596</v>
      </c>
      <c r="E43" s="296">
        <v>22459</v>
      </c>
      <c r="F43" s="296">
        <v>16284</v>
      </c>
      <c r="G43" s="296">
        <v>6175</v>
      </c>
      <c r="H43" s="296">
        <v>14255</v>
      </c>
      <c r="I43" s="296">
        <v>2913538</v>
      </c>
    </row>
    <row r="44" spans="2:9">
      <c r="B44" s="294">
        <v>33208</v>
      </c>
      <c r="C44" s="296">
        <v>5710</v>
      </c>
      <c r="D44" s="293">
        <v>990</v>
      </c>
      <c r="E44" s="296">
        <v>22606</v>
      </c>
      <c r="F44" s="296">
        <v>13604</v>
      </c>
      <c r="G44" s="296">
        <v>9002</v>
      </c>
      <c r="H44" s="296">
        <v>15175</v>
      </c>
      <c r="I44" s="296">
        <v>2928713</v>
      </c>
    </row>
    <row r="45" spans="2:9">
      <c r="B45" s="294">
        <v>33298</v>
      </c>
      <c r="C45" s="296">
        <v>6377</v>
      </c>
      <c r="D45" s="296">
        <v>4082</v>
      </c>
      <c r="E45" s="296">
        <v>28900</v>
      </c>
      <c r="F45" s="296">
        <v>20033</v>
      </c>
      <c r="G45" s="296">
        <v>8867</v>
      </c>
      <c r="H45" s="296">
        <v>18799</v>
      </c>
      <c r="I45" s="296">
        <v>2947512</v>
      </c>
    </row>
    <row r="46" spans="2:9">
      <c r="B46" s="294">
        <v>33390</v>
      </c>
      <c r="C46" s="296">
        <v>6949</v>
      </c>
      <c r="D46" s="296">
        <v>2075</v>
      </c>
      <c r="E46" s="296">
        <v>22394</v>
      </c>
      <c r="F46" s="296">
        <v>16729</v>
      </c>
      <c r="G46" s="296">
        <v>5665</v>
      </c>
      <c r="H46" s="296">
        <v>13439</v>
      </c>
      <c r="I46" s="296">
        <v>2960951</v>
      </c>
    </row>
    <row r="47" spans="2:9">
      <c r="B47" s="294">
        <v>33482</v>
      </c>
      <c r="C47" s="296">
        <v>5929</v>
      </c>
      <c r="D47" s="296">
        <v>3210</v>
      </c>
      <c r="E47" s="296">
        <v>21664</v>
      </c>
      <c r="F47" s="296">
        <v>14280</v>
      </c>
      <c r="G47" s="296">
        <v>7384</v>
      </c>
      <c r="H47" s="296">
        <v>15033</v>
      </c>
      <c r="I47" s="296">
        <v>2975984</v>
      </c>
    </row>
    <row r="48" spans="2:9">
      <c r="B48" s="294">
        <v>33573</v>
      </c>
      <c r="C48" s="296">
        <v>6086</v>
      </c>
      <c r="D48" s="293">
        <v>812</v>
      </c>
      <c r="E48" s="296">
        <v>22755</v>
      </c>
      <c r="F48" s="296">
        <v>13708</v>
      </c>
      <c r="G48" s="296">
        <v>9047</v>
      </c>
      <c r="H48" s="296">
        <v>14457</v>
      </c>
      <c r="I48" s="296">
        <v>2990441</v>
      </c>
    </row>
    <row r="49" spans="2:27">
      <c r="B49" s="294">
        <v>33664</v>
      </c>
      <c r="C49" s="296">
        <v>7046</v>
      </c>
      <c r="D49" s="296">
        <v>3291</v>
      </c>
      <c r="E49" s="296">
        <v>31507</v>
      </c>
      <c r="F49" s="296">
        <v>20479</v>
      </c>
      <c r="G49" s="296">
        <v>11028</v>
      </c>
      <c r="H49" s="296">
        <v>19881</v>
      </c>
      <c r="I49" s="296">
        <v>3010322</v>
      </c>
      <c r="P49">
        <v>2006</v>
      </c>
      <c r="Q49">
        <v>2011</v>
      </c>
      <c r="R49">
        <v>2016</v>
      </c>
      <c r="S49">
        <v>2020</v>
      </c>
    </row>
    <row r="50" spans="2:27">
      <c r="B50" s="294">
        <v>33756</v>
      </c>
      <c r="C50" s="296">
        <v>6785</v>
      </c>
      <c r="D50" s="293">
        <v>937</v>
      </c>
      <c r="E50" s="296">
        <v>22452</v>
      </c>
      <c r="F50" s="296">
        <v>15812</v>
      </c>
      <c r="G50" s="296">
        <v>6640</v>
      </c>
      <c r="H50" s="296">
        <v>12876</v>
      </c>
      <c r="I50" s="296">
        <v>3023198</v>
      </c>
      <c r="P50" s="311">
        <v>95223</v>
      </c>
      <c r="Q50" s="311">
        <v>181139</v>
      </c>
      <c r="R50" s="311">
        <v>238813</v>
      </c>
      <c r="S50" s="311">
        <v>26815</v>
      </c>
      <c r="T50" s="311"/>
      <c r="U50" s="311"/>
      <c r="V50" s="311"/>
      <c r="W50" s="311"/>
      <c r="X50" s="311"/>
      <c r="Y50" s="311"/>
      <c r="Z50" s="311"/>
      <c r="AA50" s="311"/>
    </row>
    <row r="51" spans="2:27">
      <c r="B51" s="294">
        <v>33848</v>
      </c>
      <c r="C51" s="296">
        <v>5806</v>
      </c>
      <c r="D51" s="296">
        <v>2169</v>
      </c>
      <c r="E51" s="296">
        <v>29545</v>
      </c>
      <c r="F51" s="296">
        <v>18078</v>
      </c>
      <c r="G51" s="296">
        <v>11467</v>
      </c>
      <c r="H51" s="296">
        <v>17951</v>
      </c>
      <c r="I51" s="296">
        <v>3041149</v>
      </c>
      <c r="P51" s="311">
        <v>-9931</v>
      </c>
      <c r="Q51" s="311">
        <v>103539</v>
      </c>
      <c r="R51" s="311">
        <v>162525</v>
      </c>
      <c r="S51" s="311">
        <v>44791</v>
      </c>
      <c r="T51" s="311"/>
      <c r="U51" s="311"/>
      <c r="V51" s="311"/>
      <c r="W51" s="311"/>
      <c r="X51" s="311"/>
      <c r="Y51" s="311"/>
      <c r="Z51" s="311"/>
      <c r="AA51" s="311"/>
    </row>
    <row r="52" spans="2:27">
      <c r="B52" s="294">
        <v>33939</v>
      </c>
      <c r="C52" s="296">
        <v>6301</v>
      </c>
      <c r="D52" s="293">
        <v>-113</v>
      </c>
      <c r="E52" s="296">
        <v>28209</v>
      </c>
      <c r="F52" s="296">
        <v>16920</v>
      </c>
      <c r="G52" s="296">
        <v>11289</v>
      </c>
      <c r="H52" s="296">
        <v>15989</v>
      </c>
      <c r="I52" s="296">
        <v>3057138</v>
      </c>
      <c r="P52" s="311">
        <v>30833</v>
      </c>
      <c r="Q52" s="311">
        <v>11660</v>
      </c>
      <c r="R52" s="311">
        <v>92859</v>
      </c>
      <c r="S52" s="311">
        <v>38559</v>
      </c>
      <c r="T52" s="311"/>
      <c r="U52" s="311"/>
      <c r="V52" s="311"/>
      <c r="W52" s="311"/>
      <c r="X52" s="311"/>
      <c r="Y52" s="311"/>
      <c r="Z52" s="311"/>
      <c r="AA52" s="311"/>
    </row>
    <row r="53" spans="2:27">
      <c r="B53" s="294">
        <v>34029</v>
      </c>
      <c r="C53" s="296">
        <v>7057</v>
      </c>
      <c r="D53" s="296">
        <v>2476</v>
      </c>
      <c r="E53" s="296">
        <v>36504</v>
      </c>
      <c r="F53" s="296">
        <v>20351</v>
      </c>
      <c r="G53" s="296">
        <v>16153</v>
      </c>
      <c r="H53" s="296">
        <v>24193</v>
      </c>
      <c r="I53" s="296">
        <v>3081331</v>
      </c>
      <c r="P53" s="311">
        <v>73619</v>
      </c>
      <c r="Q53" s="311">
        <v>42594</v>
      </c>
      <c r="R53" s="311">
        <v>11071</v>
      </c>
      <c r="S53" s="311">
        <v>23007</v>
      </c>
      <c r="T53" s="311"/>
      <c r="U53" s="311"/>
      <c r="V53" s="311"/>
      <c r="W53" s="311"/>
      <c r="X53" s="311"/>
      <c r="Y53" s="311"/>
      <c r="Z53" s="311"/>
      <c r="AA53" s="311"/>
    </row>
    <row r="54" spans="2:27">
      <c r="B54" s="294">
        <v>34121</v>
      </c>
      <c r="C54" s="296">
        <v>6905</v>
      </c>
      <c r="D54" s="293">
        <v>-813</v>
      </c>
      <c r="E54" s="296">
        <v>24709</v>
      </c>
      <c r="F54" s="296">
        <v>14456</v>
      </c>
      <c r="G54" s="296">
        <v>10253</v>
      </c>
      <c r="H54" s="296">
        <v>14854</v>
      </c>
      <c r="I54" s="296">
        <v>3096185</v>
      </c>
      <c r="P54" s="311">
        <v>55250</v>
      </c>
      <c r="Q54" s="311">
        <v>84915</v>
      </c>
      <c r="R54" s="311">
        <v>79072</v>
      </c>
      <c r="S54" s="311">
        <v>12446</v>
      </c>
      <c r="T54" s="311"/>
      <c r="U54" s="311"/>
      <c r="V54" s="311"/>
      <c r="W54" s="311"/>
      <c r="X54" s="311"/>
      <c r="Y54" s="311"/>
      <c r="Z54" s="311"/>
      <c r="AA54" s="311"/>
    </row>
    <row r="55" spans="2:27">
      <c r="B55" s="294">
        <v>34213</v>
      </c>
      <c r="C55" s="296">
        <v>6503</v>
      </c>
      <c r="D55" s="296">
        <v>2385</v>
      </c>
      <c r="E55" s="296">
        <v>26283</v>
      </c>
      <c r="F55" s="296">
        <v>14016</v>
      </c>
      <c r="G55" s="296">
        <v>12267</v>
      </c>
      <c r="H55" s="296">
        <v>19658</v>
      </c>
      <c r="I55" s="296">
        <v>3115843</v>
      </c>
    </row>
    <row r="56" spans="2:27">
      <c r="B56" s="294">
        <v>34304</v>
      </c>
      <c r="C56" s="296">
        <v>6378</v>
      </c>
      <c r="D56" s="293">
        <v>118</v>
      </c>
      <c r="E56" s="296">
        <v>23004</v>
      </c>
      <c r="F56" s="296">
        <v>12861</v>
      </c>
      <c r="G56" s="296">
        <v>10143</v>
      </c>
      <c r="H56" s="296">
        <v>15143</v>
      </c>
      <c r="I56" s="296">
        <v>3130986</v>
      </c>
      <c r="P56" s="295">
        <f>SUM(P50:P54)</f>
        <v>244994</v>
      </c>
      <c r="Q56" s="295">
        <f t="shared" ref="Q56:S56" si="1">SUM(Q50:Q54)</f>
        <v>423847</v>
      </c>
      <c r="R56" s="295">
        <f t="shared" si="1"/>
        <v>584340</v>
      </c>
      <c r="S56" s="295">
        <f t="shared" si="1"/>
        <v>145618</v>
      </c>
    </row>
    <row r="57" spans="2:27">
      <c r="B57" s="294">
        <v>34394</v>
      </c>
      <c r="C57" s="296">
        <v>6803</v>
      </c>
      <c r="D57" s="296">
        <v>2279</v>
      </c>
      <c r="E57" s="296">
        <v>32012</v>
      </c>
      <c r="F57" s="296">
        <v>19219</v>
      </c>
      <c r="G57" s="296">
        <v>12793</v>
      </c>
      <c r="H57" s="296">
        <v>20379</v>
      </c>
      <c r="I57" s="296">
        <v>3151365</v>
      </c>
    </row>
    <row r="58" spans="2:27">
      <c r="B58" s="294">
        <v>34486</v>
      </c>
      <c r="C58" s="296">
        <v>6501</v>
      </c>
      <c r="D58" s="293">
        <v>459</v>
      </c>
      <c r="E58" s="296">
        <v>25761</v>
      </c>
      <c r="F58" s="296">
        <v>16028</v>
      </c>
      <c r="G58" s="296">
        <v>9733</v>
      </c>
      <c r="H58" s="296">
        <v>15201</v>
      </c>
      <c r="I58" s="296">
        <v>3166566</v>
      </c>
    </row>
    <row r="59" spans="2:27">
      <c r="B59" s="294">
        <v>34578</v>
      </c>
      <c r="C59" s="296">
        <v>5616</v>
      </c>
      <c r="D59" s="296">
        <v>4131</v>
      </c>
      <c r="E59" s="296">
        <v>25665</v>
      </c>
      <c r="F59" s="296">
        <v>16326</v>
      </c>
      <c r="G59" s="296">
        <v>9339</v>
      </c>
      <c r="H59" s="296">
        <v>17582</v>
      </c>
      <c r="I59" s="296">
        <v>3184148</v>
      </c>
    </row>
    <row r="60" spans="2:27">
      <c r="B60" s="294">
        <v>34669</v>
      </c>
      <c r="C60" s="296">
        <v>6446</v>
      </c>
      <c r="D60" s="293">
        <v>-160</v>
      </c>
      <c r="E60" s="296">
        <v>24151</v>
      </c>
      <c r="F60" s="296">
        <v>14197</v>
      </c>
      <c r="G60" s="296">
        <v>9954</v>
      </c>
      <c r="H60" s="296">
        <v>14729</v>
      </c>
      <c r="I60" s="296">
        <v>3198877</v>
      </c>
    </row>
    <row r="61" spans="2:27">
      <c r="B61" s="294">
        <v>34759</v>
      </c>
      <c r="C61" s="296">
        <v>7243</v>
      </c>
      <c r="D61" s="296">
        <v>3049</v>
      </c>
      <c r="E61" s="296">
        <v>32543</v>
      </c>
      <c r="F61" s="296">
        <v>21884</v>
      </c>
      <c r="G61" s="296">
        <v>10659</v>
      </c>
      <c r="H61" s="296">
        <v>19437</v>
      </c>
      <c r="I61" s="296">
        <v>3218314</v>
      </c>
    </row>
    <row r="62" spans="2:27">
      <c r="B62" s="294">
        <v>34851</v>
      </c>
      <c r="C62" s="296">
        <v>6749</v>
      </c>
      <c r="D62" s="296">
        <v>3560</v>
      </c>
      <c r="E62" s="296">
        <v>29902</v>
      </c>
      <c r="F62" s="296">
        <v>19630</v>
      </c>
      <c r="G62" s="296">
        <v>10272</v>
      </c>
      <c r="H62" s="296">
        <v>19066</v>
      </c>
      <c r="I62" s="296">
        <v>3237380</v>
      </c>
    </row>
    <row r="63" spans="2:27">
      <c r="B63" s="294">
        <v>34943</v>
      </c>
      <c r="C63" s="296">
        <v>6248</v>
      </c>
      <c r="D63" s="296">
        <v>4134</v>
      </c>
      <c r="E63" s="296">
        <v>24085</v>
      </c>
      <c r="F63" s="296">
        <v>15442</v>
      </c>
      <c r="G63" s="296">
        <v>8643</v>
      </c>
      <c r="H63" s="296">
        <v>17737</v>
      </c>
      <c r="I63" s="296">
        <v>3255117</v>
      </c>
    </row>
    <row r="64" spans="2:27">
      <c r="B64" s="294">
        <v>35034</v>
      </c>
      <c r="C64" s="296">
        <v>6047</v>
      </c>
      <c r="D64" s="296">
        <v>2967</v>
      </c>
      <c r="E64" s="296">
        <v>25149</v>
      </c>
      <c r="F64" s="296">
        <v>16251</v>
      </c>
      <c r="G64" s="296">
        <v>8898</v>
      </c>
      <c r="H64" s="296">
        <v>16626</v>
      </c>
      <c r="I64" s="296">
        <v>3271743</v>
      </c>
    </row>
    <row r="65" spans="2:9">
      <c r="B65" s="294">
        <v>35125</v>
      </c>
      <c r="C65" s="296">
        <v>6658</v>
      </c>
      <c r="D65" s="296">
        <v>2902</v>
      </c>
      <c r="E65" s="296">
        <v>32207</v>
      </c>
      <c r="F65" s="296">
        <v>22712</v>
      </c>
      <c r="G65" s="296">
        <v>9495</v>
      </c>
      <c r="H65" s="296">
        <v>17764</v>
      </c>
      <c r="I65" s="296">
        <v>3289507</v>
      </c>
    </row>
    <row r="66" spans="2:9">
      <c r="B66" s="294">
        <v>35217</v>
      </c>
      <c r="C66" s="296">
        <v>6348</v>
      </c>
      <c r="D66" s="296">
        <v>3048</v>
      </c>
      <c r="E66" s="296">
        <v>24420</v>
      </c>
      <c r="F66" s="296">
        <v>18842</v>
      </c>
      <c r="G66" s="296">
        <v>5578</v>
      </c>
      <c r="H66" s="296">
        <v>13685</v>
      </c>
      <c r="I66" s="296">
        <v>3303192</v>
      </c>
    </row>
    <row r="67" spans="2:9">
      <c r="B67" s="294">
        <v>35309</v>
      </c>
      <c r="C67" s="296">
        <v>5575</v>
      </c>
      <c r="D67" s="296">
        <v>4814</v>
      </c>
      <c r="E67" s="296">
        <v>25223</v>
      </c>
      <c r="F67" s="296">
        <v>18814</v>
      </c>
      <c r="G67" s="296">
        <v>6409</v>
      </c>
      <c r="H67" s="296">
        <v>15407</v>
      </c>
      <c r="I67" s="296">
        <v>3318599</v>
      </c>
    </row>
    <row r="68" spans="2:9">
      <c r="B68" s="294">
        <v>35400</v>
      </c>
      <c r="C68" s="296">
        <v>6114</v>
      </c>
      <c r="D68" s="296">
        <v>1946</v>
      </c>
      <c r="E68" s="296">
        <v>27549</v>
      </c>
      <c r="F68" s="296">
        <v>22228</v>
      </c>
      <c r="G68" s="296">
        <v>5321</v>
      </c>
      <c r="H68" s="296">
        <v>11980</v>
      </c>
      <c r="I68" s="296">
        <v>3330579</v>
      </c>
    </row>
    <row r="69" spans="2:9">
      <c r="B69" s="294">
        <v>35490</v>
      </c>
      <c r="C69" s="296">
        <v>6527</v>
      </c>
      <c r="D69" s="296">
        <v>4506</v>
      </c>
      <c r="E69" s="296">
        <v>23868</v>
      </c>
      <c r="F69" s="296">
        <v>20307</v>
      </c>
      <c r="G69" s="296">
        <v>3561</v>
      </c>
      <c r="H69" s="296">
        <v>13198</v>
      </c>
      <c r="I69" s="296">
        <v>3343777</v>
      </c>
    </row>
    <row r="70" spans="2:9">
      <c r="B70" s="294">
        <v>35582</v>
      </c>
      <c r="C70" s="296">
        <v>7370</v>
      </c>
      <c r="D70" s="296">
        <v>1354</v>
      </c>
      <c r="E70" s="296">
        <v>23596</v>
      </c>
      <c r="F70" s="296">
        <v>19282</v>
      </c>
      <c r="G70" s="296">
        <v>4314</v>
      </c>
      <c r="H70" s="296">
        <v>11640</v>
      </c>
      <c r="I70" s="296">
        <v>3355417</v>
      </c>
    </row>
    <row r="71" spans="2:9">
      <c r="B71" s="294">
        <v>35674</v>
      </c>
      <c r="C71" s="296">
        <v>5750</v>
      </c>
      <c r="D71" s="296">
        <v>4116</v>
      </c>
      <c r="E71" s="296">
        <v>22683</v>
      </c>
      <c r="F71" s="296">
        <v>17409</v>
      </c>
      <c r="G71" s="296">
        <v>5274</v>
      </c>
      <c r="H71" s="296">
        <v>13767</v>
      </c>
      <c r="I71" s="296">
        <v>3369184</v>
      </c>
    </row>
    <row r="72" spans="2:9">
      <c r="B72" s="294">
        <v>35765</v>
      </c>
      <c r="C72" s="296">
        <v>5754</v>
      </c>
      <c r="D72" s="296">
        <v>1831</v>
      </c>
      <c r="E72" s="296">
        <v>27103</v>
      </c>
      <c r="F72" s="296">
        <v>22108</v>
      </c>
      <c r="G72" s="296">
        <v>4995</v>
      </c>
      <c r="H72" s="296">
        <v>11210</v>
      </c>
      <c r="I72" s="296">
        <v>3380394</v>
      </c>
    </row>
    <row r="73" spans="2:9">
      <c r="B73" s="294">
        <v>35855</v>
      </c>
      <c r="C73" s="296">
        <v>6635</v>
      </c>
      <c r="D73" s="296">
        <v>4901</v>
      </c>
      <c r="E73" s="296">
        <v>22423</v>
      </c>
      <c r="F73" s="296">
        <v>19498</v>
      </c>
      <c r="G73" s="296">
        <v>2925</v>
      </c>
      <c r="H73" s="296">
        <v>13089</v>
      </c>
      <c r="I73" s="296">
        <v>3393483</v>
      </c>
    </row>
    <row r="74" spans="2:9">
      <c r="B74" s="294">
        <v>35947</v>
      </c>
      <c r="C74" s="296">
        <v>6508</v>
      </c>
      <c r="D74" s="296">
        <v>1642</v>
      </c>
      <c r="E74" s="296">
        <v>23365</v>
      </c>
      <c r="F74" s="296">
        <v>19135</v>
      </c>
      <c r="G74" s="296">
        <v>4230</v>
      </c>
      <c r="H74" s="296">
        <v>11001</v>
      </c>
      <c r="I74" s="296">
        <v>3404484</v>
      </c>
    </row>
    <row r="75" spans="2:9">
      <c r="B75" s="294">
        <v>36039</v>
      </c>
      <c r="C75" s="296">
        <v>5821</v>
      </c>
      <c r="D75" s="296">
        <v>3479</v>
      </c>
      <c r="E75" s="296">
        <v>20956</v>
      </c>
      <c r="F75" s="296">
        <v>17318</v>
      </c>
      <c r="G75" s="296">
        <v>3638</v>
      </c>
      <c r="H75" s="296">
        <v>11592</v>
      </c>
      <c r="I75" s="296">
        <v>3416076</v>
      </c>
    </row>
    <row r="76" spans="2:9">
      <c r="B76" s="294">
        <v>36130</v>
      </c>
      <c r="C76" s="296">
        <v>5675</v>
      </c>
      <c r="D76" s="296">
        <v>2460</v>
      </c>
      <c r="E76" s="296">
        <v>26696</v>
      </c>
      <c r="F76" s="296">
        <v>22056</v>
      </c>
      <c r="G76" s="296">
        <v>4640</v>
      </c>
      <c r="H76" s="296">
        <v>11429</v>
      </c>
      <c r="I76" s="296">
        <v>3427505</v>
      </c>
    </row>
    <row r="77" spans="2:9">
      <c r="B77" s="294">
        <v>36220</v>
      </c>
      <c r="C77" s="296">
        <v>6818</v>
      </c>
      <c r="D77" s="296">
        <v>5535</v>
      </c>
      <c r="E77" s="296">
        <v>22507</v>
      </c>
      <c r="F77" s="296">
        <v>18825</v>
      </c>
      <c r="G77" s="296">
        <v>3682</v>
      </c>
      <c r="H77" s="296">
        <v>14691</v>
      </c>
      <c r="I77" s="296">
        <v>3442196</v>
      </c>
    </row>
    <row r="78" spans="2:9">
      <c r="B78" s="294">
        <v>36312</v>
      </c>
      <c r="C78" s="296">
        <v>6122</v>
      </c>
      <c r="D78" s="296">
        <v>2236</v>
      </c>
      <c r="E78" s="296">
        <v>23557</v>
      </c>
      <c r="F78" s="296">
        <v>18835</v>
      </c>
      <c r="G78" s="296">
        <v>4722</v>
      </c>
      <c r="H78" s="296">
        <v>11740</v>
      </c>
      <c r="I78" s="296">
        <v>3453936</v>
      </c>
    </row>
    <row r="79" spans="2:9">
      <c r="B79" s="294">
        <v>36404</v>
      </c>
      <c r="C79" s="296">
        <v>5774</v>
      </c>
      <c r="D79" s="296">
        <v>3903</v>
      </c>
      <c r="E79" s="296">
        <v>21347</v>
      </c>
      <c r="F79" s="296">
        <v>17290</v>
      </c>
      <c r="G79" s="296">
        <v>4057</v>
      </c>
      <c r="H79" s="296">
        <v>12463</v>
      </c>
      <c r="I79" s="296">
        <v>3466399</v>
      </c>
    </row>
    <row r="80" spans="2:9">
      <c r="B80" s="294">
        <v>36495</v>
      </c>
      <c r="C80" s="296">
        <v>5843</v>
      </c>
      <c r="D80" s="296">
        <v>5497</v>
      </c>
      <c r="E80" s="296">
        <v>26799</v>
      </c>
      <c r="F80" s="296">
        <v>22227</v>
      </c>
      <c r="G80" s="296">
        <v>4572</v>
      </c>
      <c r="H80" s="296">
        <v>14635</v>
      </c>
      <c r="I80" s="296">
        <v>3481034</v>
      </c>
    </row>
    <row r="81" spans="2:9">
      <c r="B81" s="294">
        <v>36586</v>
      </c>
      <c r="C81" s="296">
        <v>7000</v>
      </c>
      <c r="D81" s="296">
        <v>5258</v>
      </c>
      <c r="E81" s="296">
        <v>24274</v>
      </c>
      <c r="F81" s="296">
        <v>19141</v>
      </c>
      <c r="G81" s="296">
        <v>5133</v>
      </c>
      <c r="H81" s="296">
        <v>16113</v>
      </c>
      <c r="I81" s="296">
        <v>3497147</v>
      </c>
    </row>
    <row r="82" spans="2:9">
      <c r="B82" s="294">
        <v>36678</v>
      </c>
      <c r="C82" s="296">
        <v>6035</v>
      </c>
      <c r="D82" s="296">
        <v>2856</v>
      </c>
      <c r="E82" s="296">
        <v>24083</v>
      </c>
      <c r="F82" s="296">
        <v>19392</v>
      </c>
      <c r="G82" s="296">
        <v>4691</v>
      </c>
      <c r="H82" s="296">
        <v>12311</v>
      </c>
      <c r="I82" s="296">
        <v>3509458</v>
      </c>
    </row>
    <row r="83" spans="2:9">
      <c r="B83" s="294">
        <v>36770</v>
      </c>
      <c r="C83" s="296">
        <v>6012</v>
      </c>
      <c r="D83" s="296">
        <v>4421</v>
      </c>
      <c r="E83" s="296">
        <v>22649</v>
      </c>
      <c r="F83" s="296">
        <v>17996</v>
      </c>
      <c r="G83" s="296">
        <v>4653</v>
      </c>
      <c r="H83" s="296">
        <v>13988</v>
      </c>
      <c r="I83" s="296">
        <v>3523446</v>
      </c>
    </row>
    <row r="84" spans="2:9">
      <c r="B84" s="294">
        <v>36861</v>
      </c>
      <c r="C84" s="296">
        <v>6055</v>
      </c>
      <c r="D84" s="296">
        <v>3382</v>
      </c>
      <c r="E84" s="296">
        <v>29439</v>
      </c>
      <c r="F84" s="296">
        <v>23549</v>
      </c>
      <c r="G84" s="296">
        <v>5890</v>
      </c>
      <c r="H84" s="296">
        <v>14224</v>
      </c>
      <c r="I84" s="296">
        <v>3537670</v>
      </c>
    </row>
    <row r="85" spans="2:9">
      <c r="B85" s="294">
        <v>36951</v>
      </c>
      <c r="C85" s="296">
        <v>6724</v>
      </c>
      <c r="D85" s="296">
        <v>8873</v>
      </c>
      <c r="E85" s="296">
        <v>24215</v>
      </c>
      <c r="F85" s="296">
        <v>19914</v>
      </c>
      <c r="G85" s="296">
        <v>4301</v>
      </c>
      <c r="H85" s="296">
        <v>18796</v>
      </c>
      <c r="I85" s="296">
        <v>3556466</v>
      </c>
    </row>
    <row r="86" spans="2:9">
      <c r="B86" s="294">
        <v>37043</v>
      </c>
      <c r="C86" s="296">
        <v>6597</v>
      </c>
      <c r="D86" s="296">
        <v>4327</v>
      </c>
      <c r="E86" s="296">
        <v>25042</v>
      </c>
      <c r="F86" s="296">
        <v>19862</v>
      </c>
      <c r="G86" s="296">
        <v>5180</v>
      </c>
      <c r="H86" s="296">
        <v>15003</v>
      </c>
      <c r="I86" s="296">
        <v>3571469</v>
      </c>
    </row>
    <row r="87" spans="2:9">
      <c r="B87" s="294">
        <v>37135</v>
      </c>
      <c r="C87" s="296">
        <v>6235</v>
      </c>
      <c r="D87" s="296">
        <v>7832</v>
      </c>
      <c r="E87" s="296">
        <v>23652</v>
      </c>
      <c r="F87" s="296">
        <v>18289</v>
      </c>
      <c r="G87" s="296">
        <v>5363</v>
      </c>
      <c r="H87" s="296">
        <v>19500</v>
      </c>
      <c r="I87" s="296">
        <v>3590969</v>
      </c>
    </row>
    <row r="88" spans="2:9">
      <c r="B88" s="294">
        <v>37226</v>
      </c>
      <c r="C88" s="296">
        <v>5842</v>
      </c>
      <c r="D88" s="296">
        <v>6491</v>
      </c>
      <c r="E88" s="296">
        <v>29102</v>
      </c>
      <c r="F88" s="296">
        <v>21269</v>
      </c>
      <c r="G88" s="296">
        <v>7833</v>
      </c>
      <c r="H88" s="296">
        <v>20234</v>
      </c>
      <c r="I88" s="296">
        <v>3611203</v>
      </c>
    </row>
    <row r="89" spans="2:9">
      <c r="B89" s="294">
        <v>37316</v>
      </c>
      <c r="C89" s="296">
        <v>6471</v>
      </c>
      <c r="D89" s="296">
        <v>6960</v>
      </c>
      <c r="E89" s="296">
        <v>27456</v>
      </c>
      <c r="F89" s="296">
        <v>20710</v>
      </c>
      <c r="G89" s="296">
        <v>6746</v>
      </c>
      <c r="H89" s="296">
        <v>20248</v>
      </c>
      <c r="I89" s="296">
        <v>3631451</v>
      </c>
    </row>
    <row r="90" spans="2:9">
      <c r="B90" s="294">
        <v>37408</v>
      </c>
      <c r="C90" s="296">
        <v>6306</v>
      </c>
      <c r="D90" s="296">
        <v>5205</v>
      </c>
      <c r="E90" s="296">
        <v>29411</v>
      </c>
      <c r="F90" s="296">
        <v>19318</v>
      </c>
      <c r="G90" s="296">
        <v>10093</v>
      </c>
      <c r="H90" s="296">
        <v>21672</v>
      </c>
      <c r="I90" s="296">
        <v>3653123</v>
      </c>
    </row>
    <row r="91" spans="2:9">
      <c r="B91" s="294">
        <v>37500</v>
      </c>
      <c r="C91" s="296">
        <v>5268</v>
      </c>
      <c r="D91" s="296">
        <v>8777</v>
      </c>
      <c r="E91" s="296">
        <v>28028</v>
      </c>
      <c r="F91" s="296">
        <v>18463</v>
      </c>
      <c r="G91" s="296">
        <v>9565</v>
      </c>
      <c r="H91" s="296">
        <v>23747</v>
      </c>
      <c r="I91" s="296">
        <v>3676870</v>
      </c>
    </row>
    <row r="92" spans="2:9">
      <c r="B92" s="294">
        <v>37591</v>
      </c>
      <c r="C92" s="296">
        <v>5756</v>
      </c>
      <c r="D92" s="296">
        <v>6991</v>
      </c>
      <c r="E92" s="296">
        <v>33978</v>
      </c>
      <c r="F92" s="296">
        <v>22945</v>
      </c>
      <c r="G92" s="296">
        <v>11033</v>
      </c>
      <c r="H92" s="296">
        <v>23921</v>
      </c>
      <c r="I92" s="296">
        <v>3700791</v>
      </c>
    </row>
    <row r="93" spans="2:9">
      <c r="B93" s="294">
        <v>37681</v>
      </c>
      <c r="C93" s="296">
        <v>6667</v>
      </c>
      <c r="D93" s="296">
        <v>7697</v>
      </c>
      <c r="E93" s="296">
        <v>28165</v>
      </c>
      <c r="F93" s="296">
        <v>20222</v>
      </c>
      <c r="G93" s="296">
        <v>7943</v>
      </c>
      <c r="H93" s="296">
        <v>22448</v>
      </c>
      <c r="I93" s="296">
        <v>3723239</v>
      </c>
    </row>
    <row r="94" spans="2:9">
      <c r="B94" s="294">
        <v>37773</v>
      </c>
      <c r="C94" s="296">
        <v>6644</v>
      </c>
      <c r="D94" s="296">
        <v>3657</v>
      </c>
      <c r="E94" s="296">
        <v>29380</v>
      </c>
      <c r="F94" s="296">
        <v>19937</v>
      </c>
      <c r="G94" s="296">
        <v>9443</v>
      </c>
      <c r="H94" s="296">
        <v>19882</v>
      </c>
      <c r="I94" s="296">
        <v>3743121</v>
      </c>
    </row>
    <row r="95" spans="2:9">
      <c r="B95" s="294">
        <v>37865</v>
      </c>
      <c r="C95" s="296">
        <v>5992</v>
      </c>
      <c r="D95" s="296">
        <v>6959</v>
      </c>
      <c r="E95" s="296">
        <v>27337</v>
      </c>
      <c r="F95" s="296">
        <v>18471</v>
      </c>
      <c r="G95" s="296">
        <v>8866</v>
      </c>
      <c r="H95" s="296">
        <v>21988</v>
      </c>
      <c r="I95" s="296">
        <v>3765109</v>
      </c>
    </row>
    <row r="96" spans="2:9">
      <c r="B96" s="294">
        <v>37956</v>
      </c>
      <c r="C96" s="296">
        <v>6439</v>
      </c>
      <c r="D96" s="296">
        <v>6747</v>
      </c>
      <c r="E96" s="296">
        <v>31922</v>
      </c>
      <c r="F96" s="296">
        <v>21821</v>
      </c>
      <c r="G96" s="296">
        <v>10101</v>
      </c>
      <c r="H96" s="296">
        <v>23451</v>
      </c>
      <c r="I96" s="296">
        <v>3788560</v>
      </c>
    </row>
    <row r="97" spans="2:9">
      <c r="B97" s="294">
        <v>38047</v>
      </c>
      <c r="C97" s="296">
        <v>6747</v>
      </c>
      <c r="D97" s="296">
        <v>7782</v>
      </c>
      <c r="E97" s="296">
        <v>28205</v>
      </c>
      <c r="F97" s="296">
        <v>20530</v>
      </c>
      <c r="G97" s="296">
        <v>7675</v>
      </c>
      <c r="H97" s="296">
        <v>22361</v>
      </c>
      <c r="I97" s="296">
        <v>3810921</v>
      </c>
    </row>
    <row r="98" spans="2:9">
      <c r="B98" s="294">
        <v>38139</v>
      </c>
      <c r="C98" s="296">
        <v>6123</v>
      </c>
      <c r="D98" s="296">
        <v>3911</v>
      </c>
      <c r="E98" s="296">
        <v>27490</v>
      </c>
      <c r="F98" s="296">
        <v>18634</v>
      </c>
      <c r="G98" s="296">
        <v>8856</v>
      </c>
      <c r="H98" s="296">
        <v>19049</v>
      </c>
      <c r="I98" s="296">
        <v>3829970</v>
      </c>
    </row>
    <row r="99" spans="2:9">
      <c r="B99" s="294">
        <v>38231</v>
      </c>
      <c r="C99" s="296">
        <v>6282</v>
      </c>
      <c r="D99" s="296">
        <v>6152</v>
      </c>
      <c r="E99" s="296">
        <v>24470</v>
      </c>
      <c r="F99" s="296">
        <v>17155</v>
      </c>
      <c r="G99" s="296">
        <v>7315</v>
      </c>
      <c r="H99" s="296">
        <v>19882</v>
      </c>
      <c r="I99" s="296">
        <v>3849852</v>
      </c>
    </row>
    <row r="100" spans="2:9">
      <c r="B100" s="294">
        <v>38322</v>
      </c>
      <c r="C100" s="296">
        <v>5946</v>
      </c>
      <c r="D100" s="296">
        <v>7909</v>
      </c>
      <c r="E100" s="296">
        <v>29425</v>
      </c>
      <c r="F100" s="296">
        <v>20919</v>
      </c>
      <c r="G100" s="296">
        <v>8506</v>
      </c>
      <c r="H100" s="296">
        <v>22499</v>
      </c>
      <c r="I100" s="296">
        <v>3872351</v>
      </c>
    </row>
    <row r="101" spans="2:9">
      <c r="B101" s="294">
        <v>38412</v>
      </c>
      <c r="C101" s="296">
        <v>7736</v>
      </c>
      <c r="D101" s="296">
        <v>9265</v>
      </c>
      <c r="E101" s="296">
        <v>25966</v>
      </c>
      <c r="F101" s="296">
        <v>18499</v>
      </c>
      <c r="G101" s="296">
        <v>7467</v>
      </c>
      <c r="H101" s="296">
        <v>24600</v>
      </c>
      <c r="I101" s="296">
        <v>3896951</v>
      </c>
    </row>
    <row r="102" spans="2:9">
      <c r="B102" s="294">
        <v>38504</v>
      </c>
      <c r="C102" s="296">
        <v>8103</v>
      </c>
      <c r="D102" s="296">
        <v>6229</v>
      </c>
      <c r="E102" s="296">
        <v>25127</v>
      </c>
      <c r="F102" s="296">
        <v>18044</v>
      </c>
      <c r="G102" s="296">
        <v>7083</v>
      </c>
      <c r="H102" s="296">
        <v>21543</v>
      </c>
      <c r="I102" s="296">
        <v>3918494</v>
      </c>
    </row>
    <row r="103" spans="2:9">
      <c r="B103" s="294">
        <v>38596</v>
      </c>
      <c r="C103" s="296">
        <v>7193</v>
      </c>
      <c r="D103" s="296">
        <v>8406</v>
      </c>
      <c r="E103" s="296">
        <v>22557</v>
      </c>
      <c r="F103" s="296">
        <v>16244</v>
      </c>
      <c r="G103" s="296">
        <v>6313</v>
      </c>
      <c r="H103" s="296">
        <v>22000</v>
      </c>
      <c r="I103" s="296">
        <v>3940494</v>
      </c>
    </row>
    <row r="104" spans="2:9">
      <c r="B104" s="294">
        <v>38687</v>
      </c>
      <c r="C104" s="296">
        <v>7038</v>
      </c>
      <c r="D104" s="296">
        <v>8277</v>
      </c>
      <c r="E104" s="296">
        <v>28680</v>
      </c>
      <c r="F104" s="296">
        <v>20402</v>
      </c>
      <c r="G104" s="296">
        <v>8278</v>
      </c>
      <c r="H104" s="296">
        <v>23681</v>
      </c>
      <c r="I104" s="296">
        <v>3964175</v>
      </c>
    </row>
    <row r="105" spans="2:9">
      <c r="B105" s="294">
        <v>38777</v>
      </c>
      <c r="C105" s="296">
        <v>7851</v>
      </c>
      <c r="D105" s="296">
        <v>10077</v>
      </c>
      <c r="E105" s="296">
        <v>23747</v>
      </c>
      <c r="F105" s="296">
        <v>18283</v>
      </c>
      <c r="G105" s="296">
        <v>5464</v>
      </c>
      <c r="H105" s="296">
        <v>23478</v>
      </c>
      <c r="I105" s="296">
        <v>3987653</v>
      </c>
    </row>
    <row r="106" spans="2:9">
      <c r="B106" s="294">
        <v>38869</v>
      </c>
      <c r="C106" s="296">
        <v>7497</v>
      </c>
      <c r="D106" s="296">
        <v>6192</v>
      </c>
      <c r="E106" s="296">
        <v>23773</v>
      </c>
      <c r="F106" s="296">
        <v>17221</v>
      </c>
      <c r="G106" s="296">
        <v>6552</v>
      </c>
      <c r="H106" s="296">
        <v>20339</v>
      </c>
      <c r="I106" s="296">
        <v>4007992</v>
      </c>
    </row>
    <row r="107" spans="2:9">
      <c r="B107" s="294">
        <v>38961</v>
      </c>
      <c r="C107" s="296">
        <v>7836</v>
      </c>
      <c r="D107" s="296">
        <v>10814</v>
      </c>
      <c r="E107" s="296">
        <v>21758</v>
      </c>
      <c r="F107" s="296">
        <v>16905</v>
      </c>
      <c r="G107" s="296">
        <v>4853</v>
      </c>
      <c r="H107" s="296">
        <v>23588</v>
      </c>
      <c r="I107" s="296">
        <v>4031580</v>
      </c>
    </row>
    <row r="108" spans="2:9">
      <c r="B108" s="294">
        <v>39052</v>
      </c>
      <c r="C108" s="296">
        <v>7731</v>
      </c>
      <c r="D108" s="296">
        <v>9170</v>
      </c>
      <c r="E108" s="296">
        <v>28193</v>
      </c>
      <c r="F108" s="296">
        <v>20909</v>
      </c>
      <c r="G108" s="296">
        <v>7284</v>
      </c>
      <c r="H108" s="296">
        <v>24265</v>
      </c>
      <c r="I108" s="296">
        <v>4055845</v>
      </c>
    </row>
    <row r="109" spans="2:9">
      <c r="B109" s="294">
        <v>39142</v>
      </c>
      <c r="C109" s="296">
        <v>8927</v>
      </c>
      <c r="D109" s="296">
        <v>14047</v>
      </c>
      <c r="E109" s="296">
        <v>25029</v>
      </c>
      <c r="F109" s="296">
        <v>19410</v>
      </c>
      <c r="G109" s="296">
        <v>5619</v>
      </c>
      <c r="H109" s="296">
        <v>28686</v>
      </c>
      <c r="I109" s="296">
        <v>4084531</v>
      </c>
    </row>
    <row r="110" spans="2:9">
      <c r="B110" s="294">
        <v>39234</v>
      </c>
      <c r="C110" s="296">
        <v>8649</v>
      </c>
      <c r="D110" s="296">
        <v>12114</v>
      </c>
      <c r="E110" s="296">
        <v>25454</v>
      </c>
      <c r="F110" s="296">
        <v>19829</v>
      </c>
      <c r="G110" s="296">
        <v>5625</v>
      </c>
      <c r="H110" s="296">
        <v>26487</v>
      </c>
      <c r="I110" s="296">
        <v>4111018</v>
      </c>
    </row>
    <row r="111" spans="2:9">
      <c r="B111" s="294">
        <v>39326</v>
      </c>
      <c r="C111" s="296">
        <v>8511</v>
      </c>
      <c r="D111" s="296">
        <v>10750</v>
      </c>
      <c r="E111" s="296">
        <v>22814</v>
      </c>
      <c r="F111" s="296">
        <v>18039</v>
      </c>
      <c r="G111" s="296">
        <v>4775</v>
      </c>
      <c r="H111" s="296">
        <v>23940</v>
      </c>
      <c r="I111" s="296">
        <v>4134958</v>
      </c>
    </row>
    <row r="112" spans="2:9">
      <c r="B112" s="294">
        <v>39417</v>
      </c>
      <c r="C112" s="296">
        <v>8441</v>
      </c>
      <c r="D112" s="296">
        <v>10770</v>
      </c>
      <c r="E112" s="296">
        <v>27415</v>
      </c>
      <c r="F112" s="296">
        <v>21481</v>
      </c>
      <c r="G112" s="296">
        <v>5934</v>
      </c>
      <c r="H112" s="296">
        <v>25032</v>
      </c>
      <c r="I112" s="296">
        <v>4159990</v>
      </c>
    </row>
    <row r="113" spans="2:9">
      <c r="B113" s="294">
        <v>39508</v>
      </c>
      <c r="C113" s="296">
        <v>9382</v>
      </c>
      <c r="D113" s="296">
        <v>17953</v>
      </c>
      <c r="E113" s="296">
        <v>24771</v>
      </c>
      <c r="F113" s="296">
        <v>20523</v>
      </c>
      <c r="G113" s="296">
        <v>4248</v>
      </c>
      <c r="H113" s="296">
        <v>31489</v>
      </c>
      <c r="I113" s="296">
        <v>4191479</v>
      </c>
    </row>
    <row r="114" spans="2:9">
      <c r="B114" s="294">
        <v>39600</v>
      </c>
      <c r="C114" s="296">
        <v>9224</v>
      </c>
      <c r="D114" s="296">
        <v>14434</v>
      </c>
      <c r="E114" s="296">
        <v>23659</v>
      </c>
      <c r="F114" s="296">
        <v>19207</v>
      </c>
      <c r="G114" s="296">
        <v>4452</v>
      </c>
      <c r="H114" s="296">
        <v>28026</v>
      </c>
      <c r="I114" s="296">
        <v>4219505</v>
      </c>
    </row>
    <row r="115" spans="2:9">
      <c r="B115" s="294">
        <v>39692</v>
      </c>
      <c r="C115" s="296">
        <v>8487</v>
      </c>
      <c r="D115" s="296">
        <v>15873</v>
      </c>
      <c r="E115" s="296">
        <v>22163</v>
      </c>
      <c r="F115" s="296">
        <v>17716</v>
      </c>
      <c r="G115" s="296">
        <v>4447</v>
      </c>
      <c r="H115" s="296">
        <v>28486</v>
      </c>
      <c r="I115" s="296">
        <v>4247991</v>
      </c>
    </row>
    <row r="116" spans="2:9">
      <c r="B116" s="294">
        <v>39783</v>
      </c>
      <c r="C116" s="296">
        <v>8940</v>
      </c>
      <c r="D116" s="296">
        <v>14580</v>
      </c>
      <c r="E116" s="296">
        <v>27769</v>
      </c>
      <c r="F116" s="296">
        <v>23400</v>
      </c>
      <c r="G116" s="296">
        <v>4369</v>
      </c>
      <c r="H116" s="296">
        <v>27560</v>
      </c>
      <c r="I116" s="296">
        <v>4275551</v>
      </c>
    </row>
    <row r="117" spans="2:9">
      <c r="B117" s="294">
        <v>39873</v>
      </c>
      <c r="C117" s="296">
        <v>9695</v>
      </c>
      <c r="D117" s="296">
        <v>17643</v>
      </c>
      <c r="E117" s="296">
        <v>23314</v>
      </c>
      <c r="F117" s="296">
        <v>20283</v>
      </c>
      <c r="G117" s="296">
        <v>3031</v>
      </c>
      <c r="H117" s="296">
        <v>30054</v>
      </c>
      <c r="I117" s="296">
        <v>4305605</v>
      </c>
    </row>
    <row r="118" spans="2:9">
      <c r="B118" s="294">
        <v>39965</v>
      </c>
      <c r="C118" s="296">
        <v>9397</v>
      </c>
      <c r="D118" s="296">
        <v>11223</v>
      </c>
      <c r="E118" s="296">
        <v>23072</v>
      </c>
      <c r="F118" s="296">
        <v>20217</v>
      </c>
      <c r="G118" s="296">
        <v>2855</v>
      </c>
      <c r="H118" s="296">
        <v>23166</v>
      </c>
      <c r="I118" s="296">
        <v>4328771</v>
      </c>
    </row>
    <row r="119" spans="2:9">
      <c r="B119" s="294">
        <v>40057</v>
      </c>
      <c r="C119" s="296">
        <v>8739</v>
      </c>
      <c r="D119" s="296">
        <v>11200</v>
      </c>
      <c r="E119" s="296">
        <v>19943</v>
      </c>
      <c r="F119" s="296">
        <v>17861</v>
      </c>
      <c r="G119" s="296">
        <v>2082</v>
      </c>
      <c r="H119" s="296">
        <v>21364</v>
      </c>
      <c r="I119" s="296">
        <v>4350135</v>
      </c>
    </row>
    <row r="120" spans="2:9">
      <c r="B120" s="294">
        <v>40148</v>
      </c>
      <c r="C120" s="296">
        <v>8697</v>
      </c>
      <c r="D120" s="296">
        <v>7259</v>
      </c>
      <c r="E120" s="296">
        <v>23590</v>
      </c>
      <c r="F120" s="296">
        <v>21567</v>
      </c>
      <c r="G120" s="296">
        <v>2023</v>
      </c>
      <c r="H120" s="296">
        <v>17319</v>
      </c>
      <c r="I120" s="296">
        <v>4367454</v>
      </c>
    </row>
    <row r="121" spans="2:9">
      <c r="B121" s="294">
        <v>40238</v>
      </c>
      <c r="C121" s="296">
        <v>9767</v>
      </c>
      <c r="D121" s="296">
        <v>10638</v>
      </c>
      <c r="E121" s="296">
        <v>20406</v>
      </c>
      <c r="F121" s="296">
        <v>19817</v>
      </c>
      <c r="G121" s="293">
        <v>589</v>
      </c>
      <c r="H121" s="296">
        <v>20347</v>
      </c>
      <c r="I121" s="296">
        <v>4387801</v>
      </c>
    </row>
    <row r="122" spans="2:9">
      <c r="B122" s="294">
        <v>40330</v>
      </c>
      <c r="C122" s="296">
        <v>9395</v>
      </c>
      <c r="D122" s="296">
        <v>6723</v>
      </c>
      <c r="E122" s="296">
        <v>20794</v>
      </c>
      <c r="F122" s="296">
        <v>19316</v>
      </c>
      <c r="G122" s="296">
        <v>1478</v>
      </c>
      <c r="H122" s="296">
        <v>16943</v>
      </c>
      <c r="I122" s="296">
        <v>4404744</v>
      </c>
    </row>
    <row r="123" spans="2:9">
      <c r="B123" s="294">
        <v>40422</v>
      </c>
      <c r="C123" s="296">
        <v>8880</v>
      </c>
      <c r="D123" s="296">
        <v>7541</v>
      </c>
      <c r="E123" s="296">
        <v>19320</v>
      </c>
      <c r="F123" s="296">
        <v>17712</v>
      </c>
      <c r="G123" s="296">
        <v>1608</v>
      </c>
      <c r="H123" s="296">
        <v>16726</v>
      </c>
      <c r="I123" s="296">
        <v>4421470</v>
      </c>
    </row>
    <row r="124" spans="2:9">
      <c r="B124" s="294">
        <v>40513</v>
      </c>
      <c r="C124" s="296">
        <v>8240</v>
      </c>
      <c r="D124" s="296">
        <v>6768</v>
      </c>
      <c r="E124" s="296">
        <v>23815</v>
      </c>
      <c r="F124" s="296">
        <v>22106</v>
      </c>
      <c r="G124" s="296">
        <v>1709</v>
      </c>
      <c r="H124" s="296">
        <v>15412</v>
      </c>
      <c r="I124" s="296">
        <v>4436882</v>
      </c>
    </row>
    <row r="125" spans="2:9">
      <c r="B125" s="294">
        <v>40603</v>
      </c>
      <c r="C125" s="296">
        <v>9503</v>
      </c>
      <c r="D125" s="296">
        <v>11386</v>
      </c>
      <c r="E125" s="296">
        <v>21142</v>
      </c>
      <c r="F125" s="296">
        <v>19652</v>
      </c>
      <c r="G125" s="296">
        <v>1490</v>
      </c>
      <c r="H125" s="296">
        <v>21089</v>
      </c>
      <c r="I125" s="296">
        <v>4457971</v>
      </c>
    </row>
    <row r="126" spans="2:9">
      <c r="B126" s="294">
        <v>40695</v>
      </c>
      <c r="C126" s="296">
        <v>9181</v>
      </c>
      <c r="D126" s="296">
        <v>8934</v>
      </c>
      <c r="E126" s="296">
        <v>21051</v>
      </c>
      <c r="F126" s="296">
        <v>19063</v>
      </c>
      <c r="G126" s="296">
        <v>1988</v>
      </c>
      <c r="H126" s="296">
        <v>18807</v>
      </c>
      <c r="I126" s="296">
        <v>4476778</v>
      </c>
    </row>
    <row r="127" spans="2:9">
      <c r="B127" s="294">
        <v>40787</v>
      </c>
      <c r="C127" s="296">
        <v>7918</v>
      </c>
      <c r="D127" s="296">
        <v>11226</v>
      </c>
      <c r="E127" s="296">
        <v>20705</v>
      </c>
      <c r="F127" s="296">
        <v>18067</v>
      </c>
      <c r="G127" s="296">
        <v>2638</v>
      </c>
      <c r="H127" s="296">
        <v>21326</v>
      </c>
      <c r="I127" s="296">
        <v>4498104</v>
      </c>
    </row>
    <row r="128" spans="2:9">
      <c r="B128" s="294">
        <v>40878</v>
      </c>
      <c r="C128" s="296">
        <v>8353</v>
      </c>
      <c r="D128" s="296">
        <v>9376</v>
      </c>
      <c r="E128" s="296">
        <v>26389</v>
      </c>
      <c r="F128" s="296">
        <v>23118</v>
      </c>
      <c r="G128" s="296">
        <v>3271</v>
      </c>
      <c r="H128" s="296">
        <v>20545</v>
      </c>
      <c r="I128" s="296">
        <v>4518649</v>
      </c>
    </row>
    <row r="129" spans="2:16">
      <c r="B129" s="294">
        <v>40969</v>
      </c>
      <c r="C129" s="296">
        <v>10084</v>
      </c>
      <c r="D129" s="296">
        <v>14157</v>
      </c>
      <c r="E129" s="296">
        <v>23087</v>
      </c>
      <c r="F129" s="296">
        <v>19890</v>
      </c>
      <c r="G129" s="296">
        <v>3197</v>
      </c>
      <c r="H129" s="296">
        <v>26964</v>
      </c>
      <c r="I129" s="296">
        <v>4545613</v>
      </c>
      <c r="L129" s="303">
        <v>342</v>
      </c>
    </row>
    <row r="130" spans="2:16">
      <c r="B130" s="294">
        <v>41061</v>
      </c>
      <c r="C130" s="296">
        <v>9078</v>
      </c>
      <c r="D130" s="296">
        <v>11779</v>
      </c>
      <c r="E130" s="296">
        <v>21778</v>
      </c>
      <c r="F130" s="296">
        <v>19102</v>
      </c>
      <c r="G130" s="296">
        <v>2676</v>
      </c>
      <c r="H130" s="296">
        <v>23074</v>
      </c>
      <c r="I130" s="296">
        <v>4568687</v>
      </c>
      <c r="J130">
        <f>(I130/I129-1)/$O$130</f>
        <v>1.0152206094095728E-2</v>
      </c>
      <c r="L130" s="303">
        <v>350</v>
      </c>
      <c r="M130">
        <f>((L130/L129-1)/$P$130)+$P$131</f>
        <v>8.5594541910331383E-3</v>
      </c>
      <c r="O130">
        <v>0.5</v>
      </c>
      <c r="P130">
        <v>15</v>
      </c>
    </row>
    <row r="131" spans="2:16">
      <c r="B131" s="294">
        <v>41153</v>
      </c>
      <c r="C131" s="296">
        <v>8099</v>
      </c>
      <c r="D131" s="296">
        <v>12846</v>
      </c>
      <c r="E131" s="296">
        <v>20013</v>
      </c>
      <c r="F131" s="296">
        <v>17030</v>
      </c>
      <c r="G131" s="296">
        <v>2983</v>
      </c>
      <c r="H131" s="296">
        <v>23413</v>
      </c>
      <c r="I131" s="296">
        <v>4592100</v>
      </c>
      <c r="J131">
        <f t="shared" ref="J131:J175" si="2">(I131/I130-1)/$O$130</f>
        <v>1.0249334217905304E-2</v>
      </c>
      <c r="L131" s="303">
        <v>350</v>
      </c>
      <c r="M131">
        <f t="shared" ref="M131:M175" si="3">((L131/L130-1)/$P$130)+$P$131</f>
        <v>7.0000000000000001E-3</v>
      </c>
      <c r="P131">
        <v>7.0000000000000001E-3</v>
      </c>
    </row>
    <row r="132" spans="2:16">
      <c r="B132" s="294">
        <v>41244</v>
      </c>
      <c r="C132" s="296">
        <v>9176</v>
      </c>
      <c r="D132" s="296">
        <v>8482</v>
      </c>
      <c r="E132" s="296">
        <v>22154</v>
      </c>
      <c r="F132" s="296">
        <v>20085</v>
      </c>
      <c r="G132" s="296">
        <v>2069</v>
      </c>
      <c r="H132" s="296">
        <v>19204</v>
      </c>
      <c r="I132" s="296">
        <v>4611304</v>
      </c>
      <c r="J132">
        <f t="shared" si="2"/>
        <v>8.3639293569390816E-3</v>
      </c>
      <c r="L132" s="303">
        <v>350</v>
      </c>
      <c r="M132">
        <f t="shared" si="3"/>
        <v>7.0000000000000001E-3</v>
      </c>
    </row>
    <row r="133" spans="2:16">
      <c r="B133" s="294">
        <v>41334</v>
      </c>
      <c r="C133" s="296">
        <v>9423</v>
      </c>
      <c r="D133" s="296">
        <v>12250</v>
      </c>
      <c r="E133" s="296">
        <v>22814</v>
      </c>
      <c r="F133" s="296">
        <v>20824</v>
      </c>
      <c r="G133" s="296">
        <v>1990</v>
      </c>
      <c r="H133" s="296">
        <v>23126</v>
      </c>
      <c r="I133" s="296">
        <v>4634430</v>
      </c>
      <c r="J133">
        <f t="shared" si="2"/>
        <v>1.0030134643042476E-2</v>
      </c>
      <c r="L133" s="303">
        <v>350</v>
      </c>
      <c r="M133">
        <f t="shared" si="3"/>
        <v>7.0000000000000001E-3</v>
      </c>
    </row>
    <row r="134" spans="2:16">
      <c r="B134" s="294">
        <v>41426</v>
      </c>
      <c r="C134" s="296">
        <v>8829</v>
      </c>
      <c r="D134" s="296">
        <v>8253</v>
      </c>
      <c r="E134" s="296">
        <v>22651</v>
      </c>
      <c r="F134" s="296">
        <v>20819</v>
      </c>
      <c r="G134" s="296">
        <v>1832</v>
      </c>
      <c r="H134" s="296">
        <v>18394</v>
      </c>
      <c r="I134" s="296">
        <v>4652824</v>
      </c>
      <c r="J134">
        <f t="shared" si="2"/>
        <v>7.937977270128016E-3</v>
      </c>
      <c r="L134" s="303">
        <v>350</v>
      </c>
      <c r="M134">
        <f t="shared" si="3"/>
        <v>7.0000000000000001E-3</v>
      </c>
    </row>
    <row r="135" spans="2:16">
      <c r="B135" s="294">
        <v>41518</v>
      </c>
      <c r="C135" s="296">
        <v>8752</v>
      </c>
      <c r="D135" s="296">
        <v>8257</v>
      </c>
      <c r="E135" s="296">
        <v>19948</v>
      </c>
      <c r="F135" s="296">
        <v>18433</v>
      </c>
      <c r="G135" s="296">
        <v>1515</v>
      </c>
      <c r="H135" s="296">
        <v>17960</v>
      </c>
      <c r="I135" s="296">
        <v>4670784</v>
      </c>
      <c r="J135">
        <f t="shared" si="2"/>
        <v>7.7200427095460711E-3</v>
      </c>
      <c r="L135" s="303">
        <v>350</v>
      </c>
      <c r="M135">
        <f t="shared" si="3"/>
        <v>7.0000000000000001E-3</v>
      </c>
    </row>
    <row r="136" spans="2:16">
      <c r="B136" s="294">
        <v>41609</v>
      </c>
      <c r="C136" s="296">
        <v>8444</v>
      </c>
      <c r="D136" s="296">
        <v>4702</v>
      </c>
      <c r="E136" s="296">
        <v>25385</v>
      </c>
      <c r="F136" s="296">
        <v>23296</v>
      </c>
      <c r="G136" s="296">
        <v>2089</v>
      </c>
      <c r="H136" s="296">
        <v>14655</v>
      </c>
      <c r="I136" s="296">
        <v>4685439</v>
      </c>
      <c r="J136">
        <f t="shared" si="2"/>
        <v>6.2751777859992863E-3</v>
      </c>
      <c r="L136" s="303">
        <v>350</v>
      </c>
      <c r="M136">
        <f t="shared" si="3"/>
        <v>7.0000000000000001E-3</v>
      </c>
    </row>
    <row r="137" spans="2:16">
      <c r="B137" s="294">
        <v>41699</v>
      </c>
      <c r="C137" s="296">
        <v>9665</v>
      </c>
      <c r="D137" s="296">
        <v>9754</v>
      </c>
      <c r="E137" s="296">
        <v>22894</v>
      </c>
      <c r="F137" s="296">
        <v>21983</v>
      </c>
      <c r="G137" s="293">
        <v>911</v>
      </c>
      <c r="H137" s="296">
        <v>19748</v>
      </c>
      <c r="I137" s="296">
        <v>4705187</v>
      </c>
      <c r="J137">
        <f t="shared" si="2"/>
        <v>8.429519624521653E-3</v>
      </c>
      <c r="L137" s="303">
        <v>350</v>
      </c>
      <c r="M137">
        <f t="shared" si="3"/>
        <v>7.0000000000000001E-3</v>
      </c>
    </row>
    <row r="138" spans="2:16">
      <c r="B138" s="294">
        <v>41791</v>
      </c>
      <c r="C138" s="296">
        <v>8760</v>
      </c>
      <c r="D138" s="296">
        <v>4504</v>
      </c>
      <c r="E138" s="296">
        <v>21197</v>
      </c>
      <c r="F138" s="296">
        <v>19418</v>
      </c>
      <c r="G138" s="296">
        <v>1779</v>
      </c>
      <c r="H138" s="296">
        <v>14466</v>
      </c>
      <c r="I138" s="296">
        <v>4719653</v>
      </c>
      <c r="J138">
        <f t="shared" si="2"/>
        <v>6.1489585854928031E-3</v>
      </c>
      <c r="L138" s="303">
        <v>350</v>
      </c>
      <c r="M138">
        <f t="shared" si="3"/>
        <v>7.0000000000000001E-3</v>
      </c>
    </row>
    <row r="139" spans="2:16">
      <c r="B139" s="294">
        <v>41883</v>
      </c>
      <c r="C139" s="296">
        <v>8153</v>
      </c>
      <c r="D139" s="296">
        <v>5740</v>
      </c>
      <c r="E139" s="296">
        <v>17973</v>
      </c>
      <c r="F139" s="296">
        <v>16320</v>
      </c>
      <c r="G139" s="296">
        <v>1653</v>
      </c>
      <c r="H139" s="296">
        <v>14960</v>
      </c>
      <c r="I139" s="296">
        <v>4734613</v>
      </c>
      <c r="J139">
        <f t="shared" si="2"/>
        <v>6.3394491078052617E-3</v>
      </c>
      <c r="L139" s="303">
        <v>350</v>
      </c>
      <c r="M139">
        <f t="shared" si="3"/>
        <v>7.0000000000000001E-3</v>
      </c>
    </row>
    <row r="140" spans="2:16">
      <c r="B140" s="294">
        <v>41974</v>
      </c>
      <c r="C140" s="296">
        <v>8375</v>
      </c>
      <c r="D140" s="296">
        <v>3035</v>
      </c>
      <c r="E140" s="296">
        <v>23353</v>
      </c>
      <c r="F140" s="296">
        <v>21517</v>
      </c>
      <c r="G140" s="296">
        <v>1836</v>
      </c>
      <c r="H140" s="296">
        <v>12650</v>
      </c>
      <c r="I140" s="296">
        <v>4747263</v>
      </c>
      <c r="J140">
        <f t="shared" si="2"/>
        <v>5.3436257620211869E-3</v>
      </c>
      <c r="L140" s="303">
        <v>350</v>
      </c>
      <c r="M140">
        <f t="shared" si="3"/>
        <v>7.0000000000000001E-3</v>
      </c>
    </row>
    <row r="141" spans="2:16">
      <c r="B141" s="294">
        <v>42064</v>
      </c>
      <c r="C141" s="296">
        <v>8412</v>
      </c>
      <c r="D141" s="296">
        <v>7978</v>
      </c>
      <c r="E141" s="296">
        <v>21583</v>
      </c>
      <c r="F141" s="296">
        <v>20201</v>
      </c>
      <c r="G141" s="296">
        <v>1382</v>
      </c>
      <c r="H141" s="296">
        <v>17176</v>
      </c>
      <c r="I141" s="296">
        <v>4764439</v>
      </c>
      <c r="J141">
        <f t="shared" si="2"/>
        <v>7.2361695570690721E-3</v>
      </c>
      <c r="L141" s="303">
        <v>350</v>
      </c>
      <c r="M141">
        <f t="shared" si="3"/>
        <v>7.0000000000000001E-3</v>
      </c>
    </row>
    <row r="142" spans="2:16">
      <c r="B142" s="294">
        <v>42156</v>
      </c>
      <c r="C142" s="296">
        <v>8177</v>
      </c>
      <c r="D142" s="296">
        <v>3681</v>
      </c>
      <c r="E142" s="296">
        <v>22603</v>
      </c>
      <c r="F142" s="296">
        <v>20613</v>
      </c>
      <c r="G142" s="296">
        <v>1990</v>
      </c>
      <c r="H142" s="296">
        <v>13253</v>
      </c>
      <c r="I142" s="296">
        <v>4777692</v>
      </c>
      <c r="J142">
        <f t="shared" si="2"/>
        <v>5.5632992677625559E-3</v>
      </c>
      <c r="L142" s="303">
        <v>350</v>
      </c>
      <c r="M142">
        <f t="shared" si="3"/>
        <v>7.0000000000000001E-3</v>
      </c>
    </row>
    <row r="143" spans="2:16">
      <c r="B143" s="294">
        <v>42248</v>
      </c>
      <c r="C143" s="296">
        <v>7576</v>
      </c>
      <c r="D143" s="296">
        <v>4594</v>
      </c>
      <c r="E143" s="296">
        <v>19584</v>
      </c>
      <c r="F143" s="296">
        <v>17465</v>
      </c>
      <c r="G143" s="296">
        <v>2119</v>
      </c>
      <c r="H143" s="296">
        <v>13828</v>
      </c>
      <c r="I143" s="296">
        <v>4791520</v>
      </c>
      <c r="J143">
        <f t="shared" si="2"/>
        <v>5.7885690412859958E-3</v>
      </c>
      <c r="L143" s="303">
        <v>350</v>
      </c>
      <c r="M143">
        <f t="shared" si="3"/>
        <v>7.0000000000000001E-3</v>
      </c>
    </row>
    <row r="144" spans="2:16">
      <c r="B144" s="294">
        <v>42339</v>
      </c>
      <c r="C144" s="296">
        <v>7410</v>
      </c>
      <c r="D144" s="296">
        <v>3227</v>
      </c>
      <c r="E144" s="296">
        <v>25113</v>
      </c>
      <c r="F144" s="296">
        <v>21863</v>
      </c>
      <c r="G144" s="296">
        <v>3250</v>
      </c>
      <c r="H144" s="296">
        <v>13413</v>
      </c>
      <c r="I144" s="296">
        <v>4804933</v>
      </c>
      <c r="J144">
        <f t="shared" si="2"/>
        <v>5.5986409323138808E-3</v>
      </c>
      <c r="L144" s="303">
        <v>360</v>
      </c>
      <c r="M144">
        <f t="shared" si="3"/>
        <v>8.904761904761898E-3</v>
      </c>
    </row>
    <row r="145" spans="2:14">
      <c r="B145" s="294">
        <v>42430</v>
      </c>
      <c r="C145" s="296">
        <v>9012</v>
      </c>
      <c r="D145" s="296">
        <v>9874</v>
      </c>
      <c r="E145" s="296">
        <v>23914</v>
      </c>
      <c r="F145" s="296">
        <v>20727</v>
      </c>
      <c r="G145" s="296">
        <v>3187</v>
      </c>
      <c r="H145" s="296">
        <v>21605</v>
      </c>
      <c r="I145" s="296">
        <v>4826538</v>
      </c>
      <c r="J145">
        <f t="shared" si="2"/>
        <v>8.9928413153730347E-3</v>
      </c>
      <c r="L145" s="303">
        <v>350</v>
      </c>
      <c r="M145">
        <f t="shared" si="3"/>
        <v>5.1481481481481474E-3</v>
      </c>
    </row>
    <row r="146" spans="2:14">
      <c r="B146" s="294">
        <v>42522</v>
      </c>
      <c r="C146" s="296">
        <v>8388</v>
      </c>
      <c r="D146" s="296">
        <v>7257</v>
      </c>
      <c r="E146" s="296">
        <v>25424</v>
      </c>
      <c r="F146" s="296">
        <v>21994</v>
      </c>
      <c r="G146" s="296">
        <v>3430</v>
      </c>
      <c r="H146" s="296">
        <v>18614</v>
      </c>
      <c r="I146" s="296">
        <v>4845152</v>
      </c>
      <c r="J146">
        <f t="shared" si="2"/>
        <v>7.7131890394315228E-3</v>
      </c>
      <c r="L146" s="303">
        <v>350</v>
      </c>
      <c r="M146">
        <f t="shared" si="3"/>
        <v>7.0000000000000001E-3</v>
      </c>
    </row>
    <row r="147" spans="2:14">
      <c r="B147" s="294">
        <v>42614</v>
      </c>
      <c r="C147" s="296">
        <v>7657</v>
      </c>
      <c r="D147" s="296">
        <v>9353</v>
      </c>
      <c r="E147" s="296">
        <v>23886</v>
      </c>
      <c r="F147" s="296">
        <v>20507</v>
      </c>
      <c r="G147" s="296">
        <v>3379</v>
      </c>
      <c r="H147" s="296">
        <v>20151</v>
      </c>
      <c r="I147" s="296">
        <v>4865303</v>
      </c>
      <c r="J147">
        <f t="shared" si="2"/>
        <v>8.3180052968412355E-3</v>
      </c>
      <c r="L147" s="303">
        <v>350</v>
      </c>
      <c r="M147">
        <f t="shared" si="3"/>
        <v>7.0000000000000001E-3</v>
      </c>
    </row>
    <row r="148" spans="2:14">
      <c r="B148" s="294">
        <v>42705</v>
      </c>
      <c r="C148" s="296">
        <v>7296</v>
      </c>
      <c r="D148" s="296">
        <v>5943</v>
      </c>
      <c r="E148" s="296">
        <v>32166</v>
      </c>
      <c r="F148" s="296">
        <v>27540</v>
      </c>
      <c r="G148" s="296">
        <v>4626</v>
      </c>
      <c r="H148" s="296">
        <v>17636</v>
      </c>
      <c r="I148" s="296">
        <v>4882939</v>
      </c>
      <c r="J148">
        <f t="shared" si="2"/>
        <v>7.2497026392808195E-3</v>
      </c>
      <c r="L148" s="303">
        <v>360</v>
      </c>
      <c r="M148">
        <f t="shared" si="3"/>
        <v>8.904761904761898E-3</v>
      </c>
    </row>
    <row r="149" spans="2:14">
      <c r="B149" s="294">
        <v>42795</v>
      </c>
      <c r="C149" s="296">
        <v>7949</v>
      </c>
      <c r="D149" s="296">
        <v>11370</v>
      </c>
      <c r="E149" s="296">
        <v>28495</v>
      </c>
      <c r="F149" s="296">
        <v>24144</v>
      </c>
      <c r="G149" s="296">
        <v>4351</v>
      </c>
      <c r="H149" s="296">
        <v>23431</v>
      </c>
      <c r="I149" s="296">
        <v>4906370</v>
      </c>
      <c r="J149">
        <f t="shared" si="2"/>
        <v>9.5970889662968517E-3</v>
      </c>
      <c r="L149" s="303">
        <v>360</v>
      </c>
      <c r="M149">
        <f t="shared" si="3"/>
        <v>7.0000000000000001E-3</v>
      </c>
    </row>
    <row r="150" spans="2:14">
      <c r="B150" s="294">
        <v>42887</v>
      </c>
      <c r="C150" s="296">
        <v>7705</v>
      </c>
      <c r="D150" s="296">
        <v>7409</v>
      </c>
      <c r="E150" s="296">
        <v>29133</v>
      </c>
      <c r="F150" s="296">
        <v>23995</v>
      </c>
      <c r="G150" s="296">
        <v>5138</v>
      </c>
      <c r="H150" s="296">
        <v>20010</v>
      </c>
      <c r="I150" s="296">
        <v>4926380</v>
      </c>
      <c r="J150">
        <f t="shared" si="2"/>
        <v>8.1567431726510264E-3</v>
      </c>
      <c r="L150" s="303">
        <v>360</v>
      </c>
      <c r="M150">
        <f t="shared" si="3"/>
        <v>7.0000000000000001E-3</v>
      </c>
    </row>
    <row r="151" spans="2:14">
      <c r="B151" s="294">
        <v>42979</v>
      </c>
      <c r="C151" s="296">
        <v>6696</v>
      </c>
      <c r="D151" s="296">
        <v>7040</v>
      </c>
      <c r="E151" s="296">
        <v>26824</v>
      </c>
      <c r="F151" s="296">
        <v>21455</v>
      </c>
      <c r="G151" s="296">
        <v>5369</v>
      </c>
      <c r="H151" s="296">
        <v>18749</v>
      </c>
      <c r="I151" s="296">
        <v>4945129</v>
      </c>
      <c r="J151">
        <f t="shared" si="2"/>
        <v>7.6116742922796021E-3</v>
      </c>
      <c r="L151" s="303">
        <v>360</v>
      </c>
      <c r="M151">
        <f t="shared" si="3"/>
        <v>7.0000000000000001E-3</v>
      </c>
    </row>
    <row r="152" spans="2:14">
      <c r="B152" s="294">
        <v>43070</v>
      </c>
      <c r="C152" s="296">
        <v>6754</v>
      </c>
      <c r="D152" s="296">
        <v>1818</v>
      </c>
      <c r="E152" s="296">
        <v>35053</v>
      </c>
      <c r="F152" s="296">
        <v>27446</v>
      </c>
      <c r="G152" s="296">
        <v>7607</v>
      </c>
      <c r="H152" s="296">
        <v>15836</v>
      </c>
      <c r="I152" s="296">
        <v>4960965</v>
      </c>
      <c r="J152">
        <f t="shared" si="2"/>
        <v>6.4046863084867844E-3</v>
      </c>
      <c r="L152" s="303">
        <v>360</v>
      </c>
      <c r="M152">
        <f t="shared" si="3"/>
        <v>7.0000000000000001E-3</v>
      </c>
    </row>
    <row r="153" spans="2:14">
      <c r="B153" s="294">
        <v>43160</v>
      </c>
      <c r="C153" s="296">
        <v>8262</v>
      </c>
      <c r="D153" s="296">
        <v>11337</v>
      </c>
      <c r="E153" s="296">
        <v>30220</v>
      </c>
      <c r="F153" s="296">
        <v>24467</v>
      </c>
      <c r="G153" s="296">
        <v>5753</v>
      </c>
      <c r="H153" s="296">
        <v>24990</v>
      </c>
      <c r="I153" s="296">
        <v>4985955</v>
      </c>
      <c r="J153">
        <f t="shared" si="2"/>
        <v>1.00746528145228E-2</v>
      </c>
      <c r="L153" s="303">
        <v>360</v>
      </c>
      <c r="M153">
        <f t="shared" si="3"/>
        <v>7.0000000000000001E-3</v>
      </c>
    </row>
    <row r="154" spans="2:14">
      <c r="B154" s="294">
        <v>43252</v>
      </c>
      <c r="C154" s="296">
        <v>7644</v>
      </c>
      <c r="D154" s="296">
        <v>7546</v>
      </c>
      <c r="E154" s="296">
        <v>30583</v>
      </c>
      <c r="F154" s="296">
        <v>24749</v>
      </c>
      <c r="G154" s="296">
        <v>5834</v>
      </c>
      <c r="H154" s="296">
        <v>20668</v>
      </c>
      <c r="I154" s="296">
        <v>5006623</v>
      </c>
      <c r="J154">
        <f t="shared" si="2"/>
        <v>8.2904879807377263E-3</v>
      </c>
      <c r="L154" s="303">
        <v>360</v>
      </c>
      <c r="M154">
        <f t="shared" si="3"/>
        <v>7.0000000000000001E-3</v>
      </c>
    </row>
    <row r="155" spans="2:14">
      <c r="B155" s="294">
        <v>43344</v>
      </c>
      <c r="C155" s="296">
        <v>6959</v>
      </c>
      <c r="D155" s="296">
        <v>9596</v>
      </c>
      <c r="E155" s="296">
        <v>26923</v>
      </c>
      <c r="F155" s="296">
        <v>22040</v>
      </c>
      <c r="G155" s="296">
        <v>4883</v>
      </c>
      <c r="H155" s="296">
        <v>20920</v>
      </c>
      <c r="I155" s="296">
        <v>5027543</v>
      </c>
      <c r="J155">
        <f t="shared" si="2"/>
        <v>8.3569304099788688E-3</v>
      </c>
      <c r="L155" s="303">
        <v>360</v>
      </c>
      <c r="M155">
        <f t="shared" si="3"/>
        <v>7.0000000000000001E-3</v>
      </c>
    </row>
    <row r="156" spans="2:14">
      <c r="B156" s="294">
        <v>43435</v>
      </c>
      <c r="C156" s="296">
        <v>7181</v>
      </c>
      <c r="D156" s="296">
        <v>5258</v>
      </c>
      <c r="E156" s="296">
        <v>36481</v>
      </c>
      <c r="F156" s="296">
        <v>29527</v>
      </c>
      <c r="G156" s="296">
        <v>6954</v>
      </c>
      <c r="H156" s="296">
        <v>18891</v>
      </c>
      <c r="I156" s="296">
        <v>5046434</v>
      </c>
      <c r="J156">
        <f t="shared" si="2"/>
        <v>7.5150028552712911E-3</v>
      </c>
      <c r="K156">
        <f>LN(I156)</f>
        <v>15.43419241320438</v>
      </c>
      <c r="L156" s="303">
        <v>370</v>
      </c>
      <c r="M156">
        <f t="shared" si="3"/>
        <v>8.8518518518518451E-3</v>
      </c>
      <c r="N156">
        <f>LOG(L156)</f>
        <v>2.568201724066995</v>
      </c>
    </row>
    <row r="157" spans="2:14">
      <c r="B157" s="294">
        <v>43525</v>
      </c>
      <c r="C157" s="296">
        <v>7908</v>
      </c>
      <c r="D157" s="296">
        <v>11294</v>
      </c>
      <c r="E157" s="296">
        <v>31624</v>
      </c>
      <c r="F157" s="296">
        <v>26435</v>
      </c>
      <c r="G157" s="296">
        <v>5189</v>
      </c>
      <c r="H157" s="296">
        <v>23872</v>
      </c>
      <c r="I157" s="296">
        <v>5070306</v>
      </c>
      <c r="J157">
        <f t="shared" si="2"/>
        <v>9.4609381595005537E-3</v>
      </c>
      <c r="K157">
        <f t="shared" ref="K157:K175" si="4">LN(I157)</f>
        <v>15.438911728775659</v>
      </c>
      <c r="L157" s="303">
        <v>370</v>
      </c>
      <c r="M157">
        <f t="shared" si="3"/>
        <v>7.0000000000000001E-3</v>
      </c>
      <c r="N157">
        <f t="shared" ref="N157:N175" si="5">LOG(L157)</f>
        <v>2.568201724066995</v>
      </c>
    </row>
    <row r="158" spans="2:14">
      <c r="B158" s="294">
        <v>43617</v>
      </c>
      <c r="C158" s="296">
        <v>7832</v>
      </c>
      <c r="D158" s="296">
        <v>5601</v>
      </c>
      <c r="E158" s="296">
        <v>32045</v>
      </c>
      <c r="F158" s="296">
        <v>26425</v>
      </c>
      <c r="G158" s="296">
        <v>5620</v>
      </c>
      <c r="H158" s="296">
        <v>18541</v>
      </c>
      <c r="I158" s="296">
        <v>5088847</v>
      </c>
      <c r="J158">
        <f t="shared" si="2"/>
        <v>7.3135625344900035E-3</v>
      </c>
      <c r="K158">
        <f t="shared" si="4"/>
        <v>15.442561840273267</v>
      </c>
      <c r="L158" s="303">
        <v>365</v>
      </c>
      <c r="M158">
        <f t="shared" si="3"/>
        <v>6.0990990990991006E-3</v>
      </c>
      <c r="N158">
        <f t="shared" si="5"/>
        <v>2.5622928644564746</v>
      </c>
    </row>
    <row r="159" spans="2:14">
      <c r="B159" s="294">
        <v>43709</v>
      </c>
      <c r="C159" s="296">
        <v>6416</v>
      </c>
      <c r="D159" s="296">
        <v>10440</v>
      </c>
      <c r="E159" s="296">
        <v>28434</v>
      </c>
      <c r="F159" s="296">
        <v>22836</v>
      </c>
      <c r="G159" s="296">
        <v>5598</v>
      </c>
      <c r="H159" s="296">
        <v>21693</v>
      </c>
      <c r="I159" s="296">
        <v>5110540</v>
      </c>
      <c r="J159">
        <f t="shared" si="2"/>
        <v>8.5257033665975257E-3</v>
      </c>
      <c r="K159">
        <f t="shared" si="4"/>
        <v>15.446815631743434</v>
      </c>
      <c r="L159" s="303">
        <v>365</v>
      </c>
      <c r="M159">
        <f t="shared" si="3"/>
        <v>7.0000000000000001E-3</v>
      </c>
      <c r="N159">
        <f t="shared" si="5"/>
        <v>2.5622928644564746</v>
      </c>
    </row>
    <row r="160" spans="2:14">
      <c r="B160" s="294">
        <v>43800</v>
      </c>
      <c r="C160" s="296">
        <v>6808</v>
      </c>
      <c r="D160" s="296">
        <v>6580</v>
      </c>
      <c r="E160" s="296">
        <v>35705</v>
      </c>
      <c r="F160" s="296">
        <v>29157</v>
      </c>
      <c r="G160" s="296">
        <v>6548</v>
      </c>
      <c r="H160" s="296">
        <v>19201</v>
      </c>
      <c r="I160" s="296">
        <v>5129741</v>
      </c>
      <c r="J160">
        <f t="shared" si="2"/>
        <v>7.5142744210983103E-3</v>
      </c>
      <c r="K160">
        <f t="shared" si="4"/>
        <v>15.450565728542989</v>
      </c>
      <c r="L160" s="303">
        <v>380</v>
      </c>
      <c r="M160">
        <f t="shared" si="3"/>
        <v>9.739726027397257E-3</v>
      </c>
      <c r="N160">
        <f t="shared" si="5"/>
        <v>2.5797835966168101</v>
      </c>
    </row>
    <row r="161" spans="2:14">
      <c r="B161" s="294">
        <v>43891</v>
      </c>
      <c r="C161" s="296">
        <v>7273</v>
      </c>
      <c r="D161" s="296">
        <v>12468</v>
      </c>
      <c r="E161" s="296">
        <v>25423</v>
      </c>
      <c r="F161" s="296">
        <v>19843</v>
      </c>
      <c r="G161" s="296">
        <v>5580</v>
      </c>
      <c r="H161" s="296">
        <v>24564</v>
      </c>
      <c r="I161" s="296">
        <v>5154305</v>
      </c>
      <c r="J161">
        <f t="shared" si="2"/>
        <v>9.5770917089188501E-3</v>
      </c>
      <c r="K161">
        <f t="shared" si="4"/>
        <v>15.455342845781528</v>
      </c>
      <c r="L161" s="303">
        <v>380</v>
      </c>
      <c r="M161">
        <f t="shared" si="3"/>
        <v>7.0000000000000001E-3</v>
      </c>
      <c r="N161">
        <f t="shared" si="5"/>
        <v>2.5797835966168101</v>
      </c>
    </row>
    <row r="162" spans="2:14">
      <c r="B162" s="294">
        <v>43983</v>
      </c>
      <c r="C162" s="296">
        <v>7542</v>
      </c>
      <c r="D162" s="296">
        <v>-1514</v>
      </c>
      <c r="E162" s="296">
        <v>25072</v>
      </c>
      <c r="F162" s="296">
        <v>19039</v>
      </c>
      <c r="G162" s="296">
        <v>6033</v>
      </c>
      <c r="H162" s="296">
        <v>11308</v>
      </c>
      <c r="I162" s="296">
        <v>5165613</v>
      </c>
      <c r="J162">
        <f t="shared" si="2"/>
        <v>4.3877884603258366E-3</v>
      </c>
      <c r="K162">
        <f t="shared" si="4"/>
        <v>15.457534336939826</v>
      </c>
      <c r="L162" s="303">
        <v>370</v>
      </c>
      <c r="M162">
        <f t="shared" si="3"/>
        <v>5.2456140350877218E-3</v>
      </c>
      <c r="N162">
        <f t="shared" si="5"/>
        <v>2.568201724066995</v>
      </c>
    </row>
    <row r="163" spans="2:14">
      <c r="B163" s="294">
        <v>44075</v>
      </c>
      <c r="C163" s="296">
        <v>6978</v>
      </c>
      <c r="D163" s="296">
        <v>-6781</v>
      </c>
      <c r="E163" s="296">
        <v>20213</v>
      </c>
      <c r="F163" s="296">
        <v>11274</v>
      </c>
      <c r="G163" s="296">
        <v>8939</v>
      </c>
      <c r="H163" s="296">
        <v>7458</v>
      </c>
      <c r="I163" s="296">
        <v>5173071</v>
      </c>
      <c r="J163">
        <f t="shared" si="2"/>
        <v>2.8875566171913114E-3</v>
      </c>
      <c r="K163">
        <f t="shared" si="4"/>
        <v>15.458977074002618</v>
      </c>
      <c r="L163" s="303">
        <v>385</v>
      </c>
      <c r="M163">
        <f t="shared" si="3"/>
        <v>9.7027027027027056E-3</v>
      </c>
      <c r="N163">
        <f t="shared" si="5"/>
        <v>2.5854607295085006</v>
      </c>
    </row>
    <row r="164" spans="2:14">
      <c r="B164" s="294">
        <v>44166</v>
      </c>
      <c r="C164" s="296">
        <v>6303</v>
      </c>
      <c r="D164" s="296">
        <v>-5172</v>
      </c>
      <c r="E164" s="296">
        <v>27444</v>
      </c>
      <c r="F164" s="296">
        <v>15652</v>
      </c>
      <c r="G164" s="296">
        <v>11792</v>
      </c>
      <c r="H164" s="296">
        <v>11258</v>
      </c>
      <c r="I164" s="296">
        <v>5184329</v>
      </c>
      <c r="J164">
        <f t="shared" si="2"/>
        <v>4.3525402995627793E-3</v>
      </c>
      <c r="K164">
        <f t="shared" si="4"/>
        <v>15.461150979506634</v>
      </c>
      <c r="L164" s="303">
        <v>395</v>
      </c>
      <c r="M164">
        <f t="shared" si="3"/>
        <v>8.7316017316017326E-3</v>
      </c>
      <c r="N164">
        <f t="shared" si="5"/>
        <v>2.5965970956264601</v>
      </c>
    </row>
    <row r="165" spans="2:14">
      <c r="B165" s="294">
        <v>44256</v>
      </c>
      <c r="C165" s="296">
        <v>8517</v>
      </c>
      <c r="D165" s="296">
        <v>-1701</v>
      </c>
      <c r="E165" s="296">
        <v>25692</v>
      </c>
      <c r="F165" s="296">
        <v>15602</v>
      </c>
      <c r="G165" s="296">
        <v>10090</v>
      </c>
      <c r="H165" s="296">
        <v>15219</v>
      </c>
      <c r="I165" s="296">
        <v>5199548</v>
      </c>
      <c r="J165">
        <f t="shared" si="2"/>
        <v>5.8711551678145568E-3</v>
      </c>
      <c r="K165">
        <f t="shared" si="4"/>
        <v>15.464082256696702</v>
      </c>
      <c r="L165" s="303">
        <v>400</v>
      </c>
      <c r="M165">
        <f t="shared" si="3"/>
        <v>7.8438818565400893E-3</v>
      </c>
      <c r="N165">
        <f t="shared" si="5"/>
        <v>2.6020599913279625</v>
      </c>
    </row>
    <row r="166" spans="2:14">
      <c r="B166" s="294">
        <v>44348</v>
      </c>
      <c r="C166" s="296">
        <v>7736</v>
      </c>
      <c r="D166" s="293">
        <v>808</v>
      </c>
      <c r="E166" s="296">
        <v>33204</v>
      </c>
      <c r="F166" s="296">
        <v>23802</v>
      </c>
      <c r="G166" s="296">
        <v>9402</v>
      </c>
      <c r="H166" s="296">
        <v>16266</v>
      </c>
      <c r="I166" s="296">
        <v>5215814</v>
      </c>
      <c r="J166">
        <f t="shared" si="2"/>
        <v>6.2566976975690913E-3</v>
      </c>
      <c r="K166">
        <f t="shared" si="4"/>
        <v>15.467205722443609</v>
      </c>
      <c r="L166" s="303">
        <v>385</v>
      </c>
      <c r="M166">
        <f t="shared" si="3"/>
        <v>4.5000000000000023E-3</v>
      </c>
      <c r="N166">
        <f t="shared" si="5"/>
        <v>2.5854607295085006</v>
      </c>
    </row>
    <row r="167" spans="2:14">
      <c r="B167" s="294">
        <v>44440</v>
      </c>
      <c r="C167" s="296">
        <v>6998</v>
      </c>
      <c r="D167" s="296">
        <v>-1486</v>
      </c>
      <c r="E167" s="296">
        <v>48972</v>
      </c>
      <c r="F167" s="296">
        <v>35042</v>
      </c>
      <c r="G167" s="296">
        <v>13930</v>
      </c>
      <c r="H167" s="296">
        <v>19442</v>
      </c>
      <c r="I167" s="296">
        <v>5235256</v>
      </c>
      <c r="J167">
        <f t="shared" si="2"/>
        <v>7.4550204435972489E-3</v>
      </c>
      <c r="K167">
        <f t="shared" si="4"/>
        <v>15.470926302714815</v>
      </c>
      <c r="L167" s="303">
        <v>415</v>
      </c>
      <c r="M167">
        <f t="shared" si="3"/>
        <v>1.2194805194805196E-2</v>
      </c>
      <c r="N167">
        <f t="shared" si="5"/>
        <v>2.6180480967120925</v>
      </c>
    </row>
    <row r="168" spans="2:14">
      <c r="B168" s="294">
        <v>44531</v>
      </c>
      <c r="C168" s="296">
        <v>6524</v>
      </c>
      <c r="D168" s="296">
        <v>1593</v>
      </c>
      <c r="E168" s="296">
        <v>39737</v>
      </c>
      <c r="F168" s="296">
        <v>22098</v>
      </c>
      <c r="G168" s="296">
        <v>17639</v>
      </c>
      <c r="H168" s="296">
        <v>25756</v>
      </c>
      <c r="I168" s="296">
        <v>5261012</v>
      </c>
      <c r="J168">
        <f t="shared" si="2"/>
        <v>9.8394424265020319E-3</v>
      </c>
      <c r="K168">
        <f t="shared" si="4"/>
        <v>15.475833961645526</v>
      </c>
      <c r="L168" s="303">
        <v>430</v>
      </c>
      <c r="M168">
        <f t="shared" si="3"/>
        <v>9.4096385542168683E-3</v>
      </c>
      <c r="N168">
        <f t="shared" si="5"/>
        <v>2.6334684555795866</v>
      </c>
    </row>
    <row r="169" spans="2:14">
      <c r="B169" s="294">
        <v>44621</v>
      </c>
      <c r="C169" s="296">
        <v>6764</v>
      </c>
      <c r="D169" s="296">
        <v>15934</v>
      </c>
      <c r="E169" s="296">
        <v>30982</v>
      </c>
      <c r="F169" s="296">
        <v>20436</v>
      </c>
      <c r="G169" s="296">
        <v>10546</v>
      </c>
      <c r="H169" s="296">
        <v>33244</v>
      </c>
      <c r="I169" s="296">
        <v>5294256</v>
      </c>
      <c r="J169">
        <f t="shared" si="2"/>
        <v>1.2637872713462617E-2</v>
      </c>
      <c r="K169">
        <f t="shared" si="4"/>
        <v>15.482133017230186</v>
      </c>
      <c r="L169" s="303">
        <v>430</v>
      </c>
      <c r="M169">
        <f t="shared" si="3"/>
        <v>7.0000000000000001E-3</v>
      </c>
      <c r="N169">
        <f t="shared" si="5"/>
        <v>2.6334684555795866</v>
      </c>
    </row>
    <row r="170" spans="2:14">
      <c r="B170" s="294">
        <v>44713</v>
      </c>
      <c r="C170" s="296">
        <v>6439</v>
      </c>
      <c r="D170" s="296">
        <v>13581</v>
      </c>
      <c r="E170" s="296">
        <v>27312</v>
      </c>
      <c r="F170" s="296">
        <v>20647</v>
      </c>
      <c r="G170" s="296">
        <v>6665</v>
      </c>
      <c r="H170" s="296">
        <v>26685</v>
      </c>
      <c r="I170" s="296">
        <v>5320941</v>
      </c>
      <c r="J170">
        <f t="shared" si="2"/>
        <v>1.0080736556751457E-2</v>
      </c>
      <c r="K170">
        <f t="shared" si="4"/>
        <v>15.487160725375706</v>
      </c>
      <c r="L170" s="303">
        <v>450</v>
      </c>
      <c r="M170">
        <f t="shared" si="3"/>
        <v>1.0100775193798456E-2</v>
      </c>
      <c r="N170">
        <f t="shared" si="5"/>
        <v>2.6532125137753435</v>
      </c>
    </row>
    <row r="171" spans="2:14">
      <c r="B171" s="294">
        <v>44805</v>
      </c>
      <c r="C171" s="296">
        <v>4947</v>
      </c>
      <c r="D171" s="296">
        <v>18994</v>
      </c>
      <c r="E171" s="296">
        <v>22365</v>
      </c>
      <c r="F171" s="296">
        <v>15312</v>
      </c>
      <c r="G171" s="296">
        <v>7053</v>
      </c>
      <c r="H171" s="296">
        <v>30994</v>
      </c>
      <c r="I171" s="296">
        <v>5351935</v>
      </c>
      <c r="J171">
        <f t="shared" si="2"/>
        <v>1.1649819082752533E-2</v>
      </c>
      <c r="K171">
        <f t="shared" si="4"/>
        <v>15.492968735723924</v>
      </c>
      <c r="L171" s="303">
        <v>450</v>
      </c>
      <c r="M171">
        <f t="shared" si="3"/>
        <v>7.0000000000000001E-3</v>
      </c>
      <c r="N171">
        <f t="shared" si="5"/>
        <v>2.6532125137753435</v>
      </c>
    </row>
    <row r="172" spans="2:14">
      <c r="B172" s="294">
        <v>44896</v>
      </c>
      <c r="C172" s="296">
        <v>5570</v>
      </c>
      <c r="D172" s="296">
        <v>18322</v>
      </c>
      <c r="E172" s="296">
        <v>32428</v>
      </c>
      <c r="F172" s="296">
        <v>22147</v>
      </c>
      <c r="G172" s="296">
        <v>10281</v>
      </c>
      <c r="H172" s="296">
        <v>34173</v>
      </c>
      <c r="I172" s="296">
        <v>5386108</v>
      </c>
      <c r="J172">
        <f t="shared" si="2"/>
        <v>1.277033446781406E-2</v>
      </c>
      <c r="K172">
        <f t="shared" si="4"/>
        <v>15.499333604139276</v>
      </c>
      <c r="L172" s="303">
        <v>485</v>
      </c>
      <c r="M172">
        <f t="shared" si="3"/>
        <v>1.2185185185185181E-2</v>
      </c>
      <c r="N172">
        <f t="shared" si="5"/>
        <v>2.6857417386022635</v>
      </c>
    </row>
    <row r="173" spans="2:14">
      <c r="B173" s="294">
        <v>44986</v>
      </c>
      <c r="C173" s="296">
        <v>5968</v>
      </c>
      <c r="D173" s="296">
        <v>25369</v>
      </c>
      <c r="E173" s="296">
        <v>26559</v>
      </c>
      <c r="F173" s="296">
        <v>19488</v>
      </c>
      <c r="G173" s="296">
        <v>7071</v>
      </c>
      <c r="H173" s="296">
        <v>38408</v>
      </c>
      <c r="I173" s="296">
        <v>5424516</v>
      </c>
      <c r="J173">
        <f t="shared" si="2"/>
        <v>1.4261875179628625E-2</v>
      </c>
      <c r="K173">
        <f t="shared" si="4"/>
        <v>15.506439236820899</v>
      </c>
      <c r="L173" s="303">
        <v>490</v>
      </c>
      <c r="M173">
        <f t="shared" si="3"/>
        <v>7.6872852233676953E-3</v>
      </c>
      <c r="N173">
        <f t="shared" si="5"/>
        <v>2.6901960800285138</v>
      </c>
    </row>
    <row r="174" spans="2:14">
      <c r="B174" s="294">
        <v>45078</v>
      </c>
      <c r="C174" s="296">
        <v>5737</v>
      </c>
      <c r="D174" s="296">
        <v>22317</v>
      </c>
      <c r="E174" s="296">
        <v>26583</v>
      </c>
      <c r="F174" s="296">
        <v>18733</v>
      </c>
      <c r="G174" s="296">
        <v>7850</v>
      </c>
      <c r="H174" s="296">
        <v>35904</v>
      </c>
      <c r="I174" s="296">
        <v>5460420</v>
      </c>
      <c r="J174">
        <f t="shared" si="2"/>
        <v>1.3237678716405465E-2</v>
      </c>
      <c r="K174">
        <f t="shared" si="4"/>
        <v>15.513036267839583</v>
      </c>
      <c r="L174" s="303">
        <v>510</v>
      </c>
      <c r="M174">
        <f t="shared" si="3"/>
        <v>9.7210884353741527E-3</v>
      </c>
      <c r="N174">
        <f t="shared" si="5"/>
        <v>2.7075701760979363</v>
      </c>
    </row>
    <row r="175" spans="2:14">
      <c r="B175" s="294">
        <v>45170</v>
      </c>
      <c r="C175" s="296">
        <v>5735</v>
      </c>
      <c r="D175" s="296">
        <v>21946</v>
      </c>
      <c r="E175" s="296">
        <v>24441</v>
      </c>
      <c r="F175" s="296">
        <v>17018</v>
      </c>
      <c r="G175" s="296">
        <v>7423</v>
      </c>
      <c r="H175" s="296">
        <v>35104</v>
      </c>
      <c r="I175" s="296">
        <v>5495524</v>
      </c>
      <c r="J175">
        <f t="shared" si="2"/>
        <v>1.2857619010991694E-2</v>
      </c>
      <c r="K175">
        <f t="shared" si="4"/>
        <v>15.51944450069109</v>
      </c>
      <c r="L175" s="303">
        <v>530</v>
      </c>
      <c r="M175">
        <f t="shared" si="3"/>
        <v>9.6143790849673259E-3</v>
      </c>
      <c r="N175">
        <f t="shared" si="5"/>
        <v>2.7242758696007892</v>
      </c>
    </row>
    <row r="176" spans="2:14">
      <c r="B176" s="292"/>
      <c r="C176" s="292"/>
      <c r="D176" s="292"/>
      <c r="E176" s="292"/>
      <c r="F176" s="292"/>
      <c r="G176" s="292"/>
      <c r="H176" s="292"/>
      <c r="I176" s="292"/>
      <c r="L176" s="303"/>
    </row>
    <row r="177" spans="2:12">
      <c r="B177" s="291" t="s">
        <v>584</v>
      </c>
      <c r="C177" s="292"/>
      <c r="D177" s="292"/>
      <c r="E177" s="292"/>
      <c r="F177" s="292"/>
      <c r="G177" s="292"/>
      <c r="H177" s="292"/>
      <c r="I177" s="292"/>
      <c r="L177" s="303"/>
    </row>
    <row r="178" spans="2:12">
      <c r="B178" s="291" t="s">
        <v>585</v>
      </c>
      <c r="C178" s="292"/>
      <c r="D178" s="292"/>
      <c r="E178" s="292"/>
      <c r="F178" s="292"/>
      <c r="G178" s="292"/>
      <c r="H178" s="292"/>
      <c r="I178" s="292"/>
    </row>
    <row r="179" spans="2:12">
      <c r="B179" s="292"/>
      <c r="C179" s="292"/>
      <c r="D179" s="292"/>
      <c r="E179" s="292"/>
      <c r="F179" s="292"/>
      <c r="G179" s="292"/>
      <c r="H179" s="292"/>
      <c r="I179" s="292"/>
    </row>
    <row r="180" spans="2:12">
      <c r="B180" s="291" t="s">
        <v>586</v>
      </c>
      <c r="C180" s="292"/>
      <c r="D180" s="292"/>
      <c r="E180" s="292"/>
      <c r="F180" s="292"/>
      <c r="G180" s="292"/>
      <c r="H180" s="292"/>
      <c r="I180" s="292"/>
    </row>
    <row r="181" spans="2:12">
      <c r="B181" s="291" t="s">
        <v>587</v>
      </c>
      <c r="C181" s="292"/>
      <c r="D181" s="292"/>
      <c r="E181" s="292"/>
      <c r="F181" s="292"/>
      <c r="G181" s="292"/>
      <c r="H181" s="292"/>
      <c r="I181" s="292"/>
    </row>
    <row r="182" spans="2:12">
      <c r="B182" s="292"/>
      <c r="C182" s="292"/>
      <c r="D182" s="292"/>
      <c r="E182" s="292"/>
      <c r="F182" s="292"/>
      <c r="G182" s="292"/>
      <c r="H182" s="292"/>
      <c r="I182" s="292"/>
    </row>
    <row r="183" spans="2:12">
      <c r="B183" s="291" t="s">
        <v>588</v>
      </c>
      <c r="C183" s="292"/>
      <c r="D183" s="292"/>
      <c r="E183" s="292"/>
      <c r="F183" s="292"/>
      <c r="G183" s="292"/>
      <c r="H183" s="292"/>
      <c r="I183" s="292"/>
    </row>
  </sheetData>
  <mergeCells count="8">
    <mergeCell ref="X25:Y25"/>
    <mergeCell ref="Z25:AA25"/>
    <mergeCell ref="AB25:AC25"/>
    <mergeCell ref="N25:O25"/>
    <mergeCell ref="P25:Q25"/>
    <mergeCell ref="R25:S25"/>
    <mergeCell ref="T25:U25"/>
    <mergeCell ref="V25:W25"/>
  </mergeCells>
  <hyperlinks>
    <hyperlink ref="M26" r:id="rId1" display="http://stats.oecd.org/OECDStat_Metadata/ShowMetadata.ashx?Dataset=SHA&amp;Coords=[HF].[HFTOT],[HC].[HCTOT],[HP].[HPTOT],[MEASURE].[MLLNCU],[LOCATION].[AUS]&amp;ShowOnWeb=true&amp;Lang=en" xr:uid="{4D04D0F4-A530-7D46-BEFA-9A92E792CC67}"/>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Lane Barry</dc:creator>
  <cp:keywords/>
  <dc:description/>
  <cp:lastModifiedBy>Lane Wilcox</cp:lastModifiedBy>
  <cp:revision/>
  <dcterms:created xsi:type="dcterms:W3CDTF">2024-04-17T01:27:23Z</dcterms:created>
  <dcterms:modified xsi:type="dcterms:W3CDTF">2025-04-07T10:53:55Z</dcterms:modified>
  <cp:category/>
  <cp:contentStatus/>
</cp:coreProperties>
</file>