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uq-my.sharepoint.com/personal/uqvragun_uq_edu_au/Documents/My_Teaching/InternationalFinance_2024/Lectures/"/>
    </mc:Choice>
  </mc:AlternateContent>
  <xr:revisionPtr revIDLastSave="0" documentId="8_{CECDD93C-C826-4517-B210-471E517C6976}" xr6:coauthVersionLast="47" xr6:coauthVersionMax="47" xr10:uidLastSave="{00000000-0000-0000-0000-000000000000}"/>
  <bookViews>
    <workbookView xWindow="-120" yWindow="-120" windowWidth="29040" windowHeight="15720" activeTab="4" xr2:uid="{00000000-000D-0000-FFFF-FFFF00000000}"/>
  </bookViews>
  <sheets>
    <sheet name="Free Cashflows" sheetId="1" r:id="rId1"/>
    <sheet name="Forecasts" sheetId="2" r:id="rId2"/>
    <sheet name="Payments to Parent" sheetId="3" r:id="rId3"/>
    <sheet name="Side-Effects" sheetId="4" r:id="rId4"/>
    <sheet name="Cannibalization of Export Sale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1" l="1"/>
  <c r="C32" i="1" s="1"/>
  <c r="E11" i="5"/>
  <c r="F11" i="5"/>
  <c r="G11" i="5"/>
  <c r="H11" i="5"/>
  <c r="I11" i="5"/>
  <c r="J11" i="5"/>
  <c r="K11" i="5"/>
  <c r="L11" i="5"/>
  <c r="M11" i="5"/>
  <c r="D11" i="5"/>
  <c r="G71" i="3"/>
  <c r="F8" i="5"/>
  <c r="F9" i="5" s="1"/>
  <c r="E7" i="5"/>
  <c r="E8" i="5" s="1"/>
  <c r="F7" i="5"/>
  <c r="G7" i="5"/>
  <c r="G8" i="5" s="1"/>
  <c r="G9" i="5" s="1"/>
  <c r="H7" i="5"/>
  <c r="H8" i="5" s="1"/>
  <c r="I7" i="5"/>
  <c r="I8" i="5" s="1"/>
  <c r="J7" i="5"/>
  <c r="J8" i="5" s="1"/>
  <c r="J9" i="5" s="1"/>
  <c r="K7" i="5"/>
  <c r="K8" i="5" s="1"/>
  <c r="L7" i="5"/>
  <c r="L8" i="5" s="1"/>
  <c r="M7" i="5"/>
  <c r="M8" i="5" s="1"/>
  <c r="D7" i="5"/>
  <c r="D8" i="5" s="1"/>
  <c r="D9" i="5" s="1"/>
  <c r="D73" i="3"/>
  <c r="E73" i="3"/>
  <c r="F73" i="3"/>
  <c r="G73" i="3"/>
  <c r="H73" i="3"/>
  <c r="I73" i="3"/>
  <c r="J73" i="3"/>
  <c r="K73" i="3"/>
  <c r="L73" i="3"/>
  <c r="M73" i="3"/>
  <c r="C73" i="3"/>
  <c r="E69" i="3"/>
  <c r="E70" i="3" s="1"/>
  <c r="E71" i="3" s="1"/>
  <c r="F69" i="3"/>
  <c r="F70" i="3" s="1"/>
  <c r="F71" i="3" s="1"/>
  <c r="G69" i="3"/>
  <c r="G70" i="3" s="1"/>
  <c r="H69" i="3"/>
  <c r="H70" i="3" s="1"/>
  <c r="H71" i="3" s="1"/>
  <c r="I69" i="3"/>
  <c r="I70" i="3" s="1"/>
  <c r="I71" i="3" s="1"/>
  <c r="J69" i="3"/>
  <c r="J70" i="3" s="1"/>
  <c r="J71" i="3" s="1"/>
  <c r="K69" i="3"/>
  <c r="K70" i="3" s="1"/>
  <c r="K71" i="3" s="1"/>
  <c r="L69" i="3"/>
  <c r="L70" i="3" s="1"/>
  <c r="L71" i="3" s="1"/>
  <c r="M69" i="3"/>
  <c r="M70" i="3" s="1"/>
  <c r="M71" i="3" s="1"/>
  <c r="D69" i="3"/>
  <c r="D70" i="3" s="1"/>
  <c r="D71" i="3" s="1"/>
  <c r="M9" i="5" l="1"/>
  <c r="M10" i="5" s="1"/>
  <c r="M12" i="5" s="1"/>
  <c r="M13" i="5" s="1"/>
  <c r="C14" i="5" s="1"/>
  <c r="I9" i="5"/>
  <c r="I10" i="5" s="1"/>
  <c r="I12" i="5" s="1"/>
  <c r="E9" i="5"/>
  <c r="E10" i="5" s="1"/>
  <c r="E12" i="5" s="1"/>
  <c r="L9" i="5"/>
  <c r="L10" i="5" s="1"/>
  <c r="L12" i="5" s="1"/>
  <c r="H9" i="5"/>
  <c r="H10" i="5" s="1"/>
  <c r="H12" i="5" s="1"/>
  <c r="K10" i="5"/>
  <c r="K12" i="5" s="1"/>
  <c r="G10" i="5"/>
  <c r="G12" i="5" s="1"/>
  <c r="K9" i="5"/>
  <c r="D10" i="5"/>
  <c r="D12" i="5" s="1"/>
  <c r="J10" i="5"/>
  <c r="J12" i="5" s="1"/>
  <c r="F10" i="5"/>
  <c r="F12" i="5" s="1"/>
  <c r="F72" i="3"/>
  <c r="F74" i="3" s="1"/>
  <c r="H72" i="3"/>
  <c r="H74" i="3" s="1"/>
  <c r="D72" i="3"/>
  <c r="D74" i="3" s="1"/>
  <c r="J72" i="3"/>
  <c r="J74" i="3" s="1"/>
  <c r="M72" i="3"/>
  <c r="M74" i="3" s="1"/>
  <c r="M75" i="3" s="1"/>
  <c r="C76" i="3" s="1"/>
  <c r="I72" i="3"/>
  <c r="I74" i="3" s="1"/>
  <c r="E72" i="3"/>
  <c r="E74" i="3" s="1"/>
  <c r="G72" i="3"/>
  <c r="G74" i="3" s="1"/>
  <c r="L72" i="3"/>
  <c r="L74" i="3" s="1"/>
  <c r="K72" i="3"/>
  <c r="K74" i="3" s="1"/>
  <c r="C2" i="2"/>
  <c r="F10" i="4"/>
  <c r="F12" i="4" s="1"/>
  <c r="E23" i="4"/>
  <c r="F23" i="4"/>
  <c r="G23" i="4"/>
  <c r="H23" i="4"/>
  <c r="I23" i="4"/>
  <c r="J23" i="4"/>
  <c r="K23" i="4"/>
  <c r="L23" i="4"/>
  <c r="M23" i="4"/>
  <c r="D23" i="4"/>
  <c r="M13" i="4"/>
  <c r="C14" i="4" s="1"/>
  <c r="E11" i="4"/>
  <c r="F11" i="4"/>
  <c r="G11" i="4"/>
  <c r="H11" i="4"/>
  <c r="I11" i="4"/>
  <c r="J11" i="4"/>
  <c r="K11" i="4"/>
  <c r="L11" i="4"/>
  <c r="M11" i="4"/>
  <c r="D11" i="4"/>
  <c r="C4" i="4"/>
  <c r="D10" i="4" s="1"/>
  <c r="D12" i="4" s="1"/>
  <c r="D57" i="3"/>
  <c r="E57" i="3"/>
  <c r="F57" i="3"/>
  <c r="G57" i="3"/>
  <c r="H57" i="3"/>
  <c r="I57" i="3"/>
  <c r="J57" i="3"/>
  <c r="K57" i="3"/>
  <c r="L57" i="3"/>
  <c r="M57" i="3"/>
  <c r="C57" i="3"/>
  <c r="D38" i="3"/>
  <c r="E38" i="3"/>
  <c r="F38" i="3"/>
  <c r="G38" i="3"/>
  <c r="H38" i="3"/>
  <c r="I38" i="3"/>
  <c r="J38" i="3"/>
  <c r="K38" i="3"/>
  <c r="L38" i="3"/>
  <c r="M38" i="3"/>
  <c r="C38" i="3"/>
  <c r="M16" i="1"/>
  <c r="C17" i="1" s="1"/>
  <c r="D14" i="1"/>
  <c r="E14" i="1"/>
  <c r="F14" i="1"/>
  <c r="G14" i="1"/>
  <c r="H14" i="1"/>
  <c r="I14" i="1"/>
  <c r="J14" i="1"/>
  <c r="K14" i="1"/>
  <c r="L14" i="1"/>
  <c r="M14" i="1"/>
  <c r="C14" i="1"/>
  <c r="C13" i="1"/>
  <c r="E12" i="1"/>
  <c r="F12" i="1"/>
  <c r="G12" i="1"/>
  <c r="H12" i="1"/>
  <c r="I12" i="1"/>
  <c r="J12" i="1"/>
  <c r="K12" i="1"/>
  <c r="L12" i="1"/>
  <c r="M12" i="1"/>
  <c r="D12" i="1"/>
  <c r="D40" i="2"/>
  <c r="E10" i="1" s="1"/>
  <c r="E40" i="2"/>
  <c r="F10" i="1" s="1"/>
  <c r="F40" i="2"/>
  <c r="G10" i="1" s="1"/>
  <c r="G40" i="2"/>
  <c r="H10" i="1" s="1"/>
  <c r="H40" i="2"/>
  <c r="I10" i="1" s="1"/>
  <c r="I40" i="2"/>
  <c r="J10" i="1" s="1"/>
  <c r="J40" i="2"/>
  <c r="K10" i="1" s="1"/>
  <c r="K40" i="2"/>
  <c r="L10" i="1" s="1"/>
  <c r="L40" i="2"/>
  <c r="M10" i="1" s="1"/>
  <c r="C40" i="2"/>
  <c r="D10" i="1" s="1"/>
  <c r="D36" i="2"/>
  <c r="E36" i="2"/>
  <c r="F36" i="2"/>
  <c r="G36" i="2"/>
  <c r="H36" i="2"/>
  <c r="I36" i="2"/>
  <c r="J36" i="2"/>
  <c r="K36" i="2"/>
  <c r="L36" i="2"/>
  <c r="C36" i="2"/>
  <c r="D12" i="2"/>
  <c r="D38" i="2" s="1"/>
  <c r="E12" i="2"/>
  <c r="E20" i="2" s="1"/>
  <c r="E21" i="2" s="1"/>
  <c r="F12" i="2"/>
  <c r="F20" i="2" s="1"/>
  <c r="F21" i="2" s="1"/>
  <c r="G12" i="2"/>
  <c r="G20" i="2" s="1"/>
  <c r="G21" i="2" s="1"/>
  <c r="H12" i="2"/>
  <c r="H38" i="2" s="1"/>
  <c r="I12" i="2"/>
  <c r="I37" i="2" s="1"/>
  <c r="J12" i="2"/>
  <c r="J20" i="2" s="1"/>
  <c r="J21" i="2" s="1"/>
  <c r="K12" i="2"/>
  <c r="K20" i="2" s="1"/>
  <c r="K21" i="2" s="1"/>
  <c r="L12" i="2"/>
  <c r="L38" i="2" s="1"/>
  <c r="C12" i="2"/>
  <c r="C20" i="2" s="1"/>
  <c r="C21" i="2" s="1"/>
  <c r="C15" i="1" l="1"/>
  <c r="C10" i="4"/>
  <c r="K10" i="4"/>
  <c r="K12" i="4" s="1"/>
  <c r="J10" i="4"/>
  <c r="J12" i="4" s="1"/>
  <c r="G10" i="4"/>
  <c r="G12" i="4" s="1"/>
  <c r="C15" i="5"/>
  <c r="C77" i="3"/>
  <c r="M10" i="4"/>
  <c r="M12" i="4" s="1"/>
  <c r="I10" i="4"/>
  <c r="I12" i="4" s="1"/>
  <c r="E10" i="4"/>
  <c r="E12" i="4" s="1"/>
  <c r="L10" i="4"/>
  <c r="L12" i="4" s="1"/>
  <c r="H10" i="4"/>
  <c r="H12" i="4" s="1"/>
  <c r="K38" i="2"/>
  <c r="H50" i="3"/>
  <c r="H51" i="3" s="1"/>
  <c r="K45" i="2"/>
  <c r="I48" i="3"/>
  <c r="I49" i="3" s="1"/>
  <c r="H45" i="2"/>
  <c r="H48" i="3"/>
  <c r="H49" i="3" s="1"/>
  <c r="G45" i="2"/>
  <c r="M48" i="3"/>
  <c r="M49" i="3" s="1"/>
  <c r="E48" i="3"/>
  <c r="E49" i="3" s="1"/>
  <c r="L45" i="2"/>
  <c r="D45" i="2"/>
  <c r="L48" i="3"/>
  <c r="L49" i="3" s="1"/>
  <c r="L50" i="3"/>
  <c r="L51" i="3" s="1"/>
  <c r="K50" i="3"/>
  <c r="K51" i="3" s="1"/>
  <c r="G50" i="3"/>
  <c r="G51" i="3" s="1"/>
  <c r="J45" i="2"/>
  <c r="F45" i="2"/>
  <c r="K48" i="3"/>
  <c r="K49" i="3" s="1"/>
  <c r="K52" i="3" s="1"/>
  <c r="K53" i="3" s="1"/>
  <c r="G48" i="3"/>
  <c r="G49" i="3" s="1"/>
  <c r="D50" i="3"/>
  <c r="D51" i="3" s="1"/>
  <c r="J50" i="3"/>
  <c r="J51" i="3" s="1"/>
  <c r="F50" i="3"/>
  <c r="F51" i="3" s="1"/>
  <c r="C45" i="2"/>
  <c r="I45" i="2"/>
  <c r="E45" i="2"/>
  <c r="D48" i="3"/>
  <c r="D49" i="3" s="1"/>
  <c r="J48" i="3"/>
  <c r="J49" i="3" s="1"/>
  <c r="F48" i="3"/>
  <c r="F49" i="3" s="1"/>
  <c r="M50" i="3"/>
  <c r="M51" i="3" s="1"/>
  <c r="I50" i="3"/>
  <c r="I51" i="3" s="1"/>
  <c r="E50" i="3"/>
  <c r="E51" i="3" s="1"/>
  <c r="C6" i="4"/>
  <c r="C19" i="4"/>
  <c r="F38" i="2"/>
  <c r="J38" i="2"/>
  <c r="K22" i="2"/>
  <c r="L11" i="1" s="1"/>
  <c r="G22" i="2"/>
  <c r="H11" i="1" s="1"/>
  <c r="G38" i="2"/>
  <c r="F22" i="2"/>
  <c r="G11" i="1" s="1"/>
  <c r="C37" i="2"/>
  <c r="I20" i="2"/>
  <c r="I21" i="2" s="1"/>
  <c r="L37" i="2"/>
  <c r="L41" i="2" s="1"/>
  <c r="L46" i="2" s="1"/>
  <c r="D37" i="2"/>
  <c r="D41" i="2" s="1"/>
  <c r="D46" i="2" s="1"/>
  <c r="D47" i="2" s="1"/>
  <c r="H20" i="2"/>
  <c r="H21" i="2" s="1"/>
  <c r="K37" i="2"/>
  <c r="G37" i="2"/>
  <c r="G41" i="2" s="1"/>
  <c r="G46" i="2" s="1"/>
  <c r="G47" i="2" s="1"/>
  <c r="C38" i="2"/>
  <c r="I38" i="2"/>
  <c r="I41" i="2" s="1"/>
  <c r="I46" i="2" s="1"/>
  <c r="E38" i="2"/>
  <c r="E37" i="2"/>
  <c r="H37" i="2"/>
  <c r="H41" i="2" s="1"/>
  <c r="H46" i="2" s="1"/>
  <c r="H47" i="2" s="1"/>
  <c r="L20" i="2"/>
  <c r="L21" i="2" s="1"/>
  <c r="L22" i="2" s="1"/>
  <c r="M11" i="1" s="1"/>
  <c r="D20" i="2"/>
  <c r="D21" i="2" s="1"/>
  <c r="E22" i="2" s="1"/>
  <c r="F11" i="1" s="1"/>
  <c r="J37" i="2"/>
  <c r="F37" i="2"/>
  <c r="H22" i="2"/>
  <c r="I11" i="1" s="1"/>
  <c r="C22" i="2"/>
  <c r="D11" i="1" s="1"/>
  <c r="J41" i="2" l="1"/>
  <c r="J46" i="2" s="1"/>
  <c r="K41" i="2"/>
  <c r="K46" i="2" s="1"/>
  <c r="K47" i="2" s="1"/>
  <c r="L47" i="2"/>
  <c r="L48" i="2" s="1"/>
  <c r="M18" i="3" s="1"/>
  <c r="I22" i="2"/>
  <c r="J11" i="1" s="1"/>
  <c r="H52" i="3"/>
  <c r="H53" i="3" s="1"/>
  <c r="C41" i="2"/>
  <c r="C46" i="2" s="1"/>
  <c r="C47" i="2" s="1"/>
  <c r="L52" i="3"/>
  <c r="L53" i="3" s="1"/>
  <c r="M52" i="3"/>
  <c r="M53" i="3" s="1"/>
  <c r="E41" i="2"/>
  <c r="E46" i="2" s="1"/>
  <c r="E47" i="2" s="1"/>
  <c r="G52" i="3"/>
  <c r="G53" i="3" s="1"/>
  <c r="I47" i="2"/>
  <c r="J52" i="3"/>
  <c r="J53" i="3" s="1"/>
  <c r="E52" i="3"/>
  <c r="E53" i="3" s="1"/>
  <c r="I52" i="3"/>
  <c r="I53" i="3" s="1"/>
  <c r="H48" i="2"/>
  <c r="I18" i="3" s="1"/>
  <c r="G48" i="2"/>
  <c r="H18" i="3" s="1"/>
  <c r="D48" i="2"/>
  <c r="E18" i="3" s="1"/>
  <c r="K48" i="2"/>
  <c r="L18" i="3" s="1"/>
  <c r="J47" i="2"/>
  <c r="J22" i="2"/>
  <c r="K11" i="1" s="1"/>
  <c r="F52" i="3"/>
  <c r="F53" i="3" s="1"/>
  <c r="F41" i="2"/>
  <c r="F46" i="2" s="1"/>
  <c r="F47" i="2" s="1"/>
  <c r="D52" i="3"/>
  <c r="D53" i="3" s="1"/>
  <c r="I48" i="2"/>
  <c r="J18" i="3" s="1"/>
  <c r="C15" i="4"/>
  <c r="F22" i="4"/>
  <c r="F24" i="4" s="1"/>
  <c r="J22" i="4"/>
  <c r="J24" i="4" s="1"/>
  <c r="D22" i="4"/>
  <c r="D24" i="4" s="1"/>
  <c r="E22" i="4"/>
  <c r="E24" i="4" s="1"/>
  <c r="G22" i="4"/>
  <c r="G24" i="4" s="1"/>
  <c r="K22" i="4"/>
  <c r="K24" i="4" s="1"/>
  <c r="M22" i="4"/>
  <c r="M24" i="4" s="1"/>
  <c r="H22" i="4"/>
  <c r="H24" i="4" s="1"/>
  <c r="L22" i="4"/>
  <c r="L24" i="4" s="1"/>
  <c r="I22" i="4"/>
  <c r="I24" i="4" s="1"/>
  <c r="D22" i="2"/>
  <c r="E11" i="1" s="1"/>
  <c r="L49" i="2" l="1"/>
  <c r="G49" i="2"/>
  <c r="H9" i="1" s="1"/>
  <c r="H13" i="1" s="1"/>
  <c r="K49" i="2"/>
  <c r="L9" i="1" s="1"/>
  <c r="L13" i="1" s="1"/>
  <c r="F48" i="2"/>
  <c r="G18" i="3" s="1"/>
  <c r="C48" i="2"/>
  <c r="D18" i="3" s="1"/>
  <c r="D49" i="2"/>
  <c r="H49" i="2"/>
  <c r="H16" i="3"/>
  <c r="E48" i="2"/>
  <c r="F18" i="3" s="1"/>
  <c r="M9" i="1"/>
  <c r="M13" i="1" s="1"/>
  <c r="M16" i="3"/>
  <c r="I49" i="2"/>
  <c r="J48" i="2"/>
  <c r="K18" i="3" s="1"/>
  <c r="D25" i="4"/>
  <c r="L16" i="3" l="1"/>
  <c r="J49" i="2"/>
  <c r="K16" i="3" s="1"/>
  <c r="J9" i="1"/>
  <c r="J13" i="1" s="1"/>
  <c r="J16" i="3"/>
  <c r="L5" i="3"/>
  <c r="L15" i="1"/>
  <c r="K9" i="1"/>
  <c r="K13" i="1" s="1"/>
  <c r="I9" i="1"/>
  <c r="I13" i="1" s="1"/>
  <c r="I16" i="3"/>
  <c r="E49" i="2"/>
  <c r="E9" i="1"/>
  <c r="E13" i="1" s="1"/>
  <c r="E16" i="3"/>
  <c r="M5" i="3"/>
  <c r="M15" i="1"/>
  <c r="H15" i="1"/>
  <c r="H5" i="3"/>
  <c r="C49" i="2"/>
  <c r="F49" i="2"/>
  <c r="D9" i="1" l="1"/>
  <c r="D13" i="1" s="1"/>
  <c r="D16" i="3"/>
  <c r="M6" i="3"/>
  <c r="M17" i="3"/>
  <c r="M19" i="3" s="1"/>
  <c r="I5" i="3"/>
  <c r="I15" i="1"/>
  <c r="L17" i="3"/>
  <c r="L19" i="3" s="1"/>
  <c r="L6" i="3"/>
  <c r="H17" i="3"/>
  <c r="H19" i="3" s="1"/>
  <c r="H6" i="3"/>
  <c r="H20" i="3" s="1"/>
  <c r="E5" i="3"/>
  <c r="E15" i="1"/>
  <c r="K5" i="3"/>
  <c r="K15" i="1"/>
  <c r="H7" i="3"/>
  <c r="G16" i="3"/>
  <c r="G9" i="1"/>
  <c r="G13" i="1" s="1"/>
  <c r="F9" i="1"/>
  <c r="F13" i="1" s="1"/>
  <c r="F16" i="3"/>
  <c r="J5" i="3"/>
  <c r="J15" i="1"/>
  <c r="E6" i="3" l="1"/>
  <c r="E20" i="3" s="1"/>
  <c r="E17" i="3"/>
  <c r="E19" i="3" s="1"/>
  <c r="E21" i="3" s="1"/>
  <c r="J6" i="3"/>
  <c r="J20" i="3" s="1"/>
  <c r="J17" i="3"/>
  <c r="J19" i="3" s="1"/>
  <c r="L20" i="3"/>
  <c r="L21" i="3" s="1"/>
  <c r="L7" i="3"/>
  <c r="M20" i="3"/>
  <c r="M21" i="3" s="1"/>
  <c r="M7" i="3"/>
  <c r="F5" i="3"/>
  <c r="F15" i="1"/>
  <c r="G15" i="1"/>
  <c r="G5" i="3"/>
  <c r="K17" i="3"/>
  <c r="K19" i="3" s="1"/>
  <c r="K6" i="3"/>
  <c r="K20" i="3" s="1"/>
  <c r="H21" i="3"/>
  <c r="I6" i="3"/>
  <c r="I20" i="3" s="1"/>
  <c r="I17" i="3"/>
  <c r="I19" i="3" s="1"/>
  <c r="D5" i="3"/>
  <c r="D15" i="1"/>
  <c r="I21" i="3" l="1"/>
  <c r="E7" i="3"/>
  <c r="E26" i="3" s="1"/>
  <c r="E27" i="3" s="1"/>
  <c r="J7" i="3"/>
  <c r="I7" i="3"/>
  <c r="I26" i="3" s="1"/>
  <c r="I27" i="3" s="1"/>
  <c r="M28" i="3"/>
  <c r="M26" i="3"/>
  <c r="M27" i="3" s="1"/>
  <c r="D6" i="3"/>
  <c r="D20" i="3" s="1"/>
  <c r="D17" i="3"/>
  <c r="D19" i="3" s="1"/>
  <c r="H28" i="3"/>
  <c r="H26" i="3"/>
  <c r="H27" i="3" s="1"/>
  <c r="G17" i="3"/>
  <c r="G19" i="3" s="1"/>
  <c r="G6" i="3"/>
  <c r="G20" i="3" s="1"/>
  <c r="K7" i="3"/>
  <c r="L26" i="3"/>
  <c r="L27" i="3" s="1"/>
  <c r="L28" i="3"/>
  <c r="E28" i="3"/>
  <c r="I28" i="3"/>
  <c r="C18" i="1"/>
  <c r="K21" i="3"/>
  <c r="F17" i="3"/>
  <c r="F19" i="3" s="1"/>
  <c r="F6" i="3"/>
  <c r="F20" i="3" s="1"/>
  <c r="J21" i="3"/>
  <c r="D7" i="3" l="1"/>
  <c r="G21" i="3"/>
  <c r="J28" i="3"/>
  <c r="J26" i="3"/>
  <c r="J27" i="3" s="1"/>
  <c r="H29" i="3"/>
  <c r="H37" i="3" s="1"/>
  <c r="H39" i="3" s="1"/>
  <c r="H30" i="3"/>
  <c r="H54" i="3" s="1"/>
  <c r="H55" i="3" s="1"/>
  <c r="H56" i="3" s="1"/>
  <c r="H58" i="3" s="1"/>
  <c r="D21" i="3"/>
  <c r="I30" i="3"/>
  <c r="I54" i="3" s="1"/>
  <c r="I55" i="3" s="1"/>
  <c r="I56" i="3" s="1"/>
  <c r="I58" i="3" s="1"/>
  <c r="I29" i="3"/>
  <c r="I37" i="3" s="1"/>
  <c r="I39" i="3" s="1"/>
  <c r="F21" i="3"/>
  <c r="L29" i="3"/>
  <c r="L37" i="3" s="1"/>
  <c r="L39" i="3" s="1"/>
  <c r="L30" i="3"/>
  <c r="L54" i="3" s="1"/>
  <c r="L55" i="3" s="1"/>
  <c r="L56" i="3" s="1"/>
  <c r="L58" i="3" s="1"/>
  <c r="K28" i="3"/>
  <c r="K26" i="3"/>
  <c r="K27" i="3" s="1"/>
  <c r="F7" i="3"/>
  <c r="E30" i="3"/>
  <c r="E54" i="3" s="1"/>
  <c r="E55" i="3" s="1"/>
  <c r="E56" i="3" s="1"/>
  <c r="E58" i="3" s="1"/>
  <c r="E29" i="3"/>
  <c r="E37" i="3" s="1"/>
  <c r="E39" i="3" s="1"/>
  <c r="G7" i="3"/>
  <c r="M30" i="3"/>
  <c r="M54" i="3" s="1"/>
  <c r="M55" i="3" s="1"/>
  <c r="M56" i="3" s="1"/>
  <c r="M29" i="3"/>
  <c r="M37" i="3" s="1"/>
  <c r="M40" i="3" s="1"/>
  <c r="M58" i="3" l="1"/>
  <c r="M59" i="3"/>
  <c r="C60" i="3" s="1"/>
  <c r="D28" i="3"/>
  <c r="D26" i="3"/>
  <c r="D27" i="3" s="1"/>
  <c r="C41" i="3"/>
  <c r="M39" i="3"/>
  <c r="J29" i="3"/>
  <c r="J37" i="3" s="1"/>
  <c r="J39" i="3" s="1"/>
  <c r="J30" i="3"/>
  <c r="J54" i="3" s="1"/>
  <c r="J55" i="3" s="1"/>
  <c r="J56" i="3" s="1"/>
  <c r="J58" i="3" s="1"/>
  <c r="K30" i="3"/>
  <c r="K54" i="3" s="1"/>
  <c r="K55" i="3" s="1"/>
  <c r="K56" i="3" s="1"/>
  <c r="K58" i="3" s="1"/>
  <c r="K29" i="3"/>
  <c r="K37" i="3" s="1"/>
  <c r="K39" i="3" s="1"/>
  <c r="F28" i="3"/>
  <c r="F26" i="3"/>
  <c r="F27" i="3" s="1"/>
  <c r="G28" i="3"/>
  <c r="G26" i="3"/>
  <c r="G27" i="3" s="1"/>
  <c r="F30" i="3" l="1"/>
  <c r="F54" i="3" s="1"/>
  <c r="F55" i="3" s="1"/>
  <c r="F56" i="3" s="1"/>
  <c r="F58" i="3" s="1"/>
  <c r="F29" i="3"/>
  <c r="F37" i="3" s="1"/>
  <c r="F39" i="3" s="1"/>
  <c r="D30" i="3"/>
  <c r="D54" i="3" s="1"/>
  <c r="D55" i="3" s="1"/>
  <c r="D56" i="3" s="1"/>
  <c r="D58" i="3" s="1"/>
  <c r="D29" i="3"/>
  <c r="D37" i="3" s="1"/>
  <c r="D39" i="3" s="1"/>
  <c r="G29" i="3"/>
  <c r="G37" i="3" s="1"/>
  <c r="G39" i="3" s="1"/>
  <c r="G30" i="3"/>
  <c r="G54" i="3" s="1"/>
  <c r="G55" i="3" s="1"/>
  <c r="G56" i="3" s="1"/>
  <c r="G58" i="3" s="1"/>
  <c r="C42" i="3" l="1"/>
  <c r="C6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Vanitha Ragunathan</author>
  </authors>
  <commentList>
    <comment ref="B16" authorId="0" shapeId="0" xr:uid="{00000000-0006-0000-0000-000001000000}">
      <text>
        <r>
          <rPr>
            <b/>
            <sz val="9"/>
            <color indexed="81"/>
            <rFont val="Tahoma"/>
            <family val="2"/>
          </rPr>
          <t>Vanitha Ragunathan:</t>
        </r>
        <r>
          <rPr>
            <sz val="9"/>
            <color indexed="81"/>
            <rFont val="Tahoma"/>
            <family val="2"/>
          </rPr>
          <t xml:space="preserve">
Assuming from Year 11 free cash flow will grow by 2% relative to Year 10 FCF.
Cost of capital is assumed to be 11.1%.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Vanitha Ragunathan</author>
  </authors>
  <commentList>
    <comment ref="C21" authorId="0" shapeId="0" xr:uid="{00000000-0006-0000-0100-000001000000}">
      <text>
        <r>
          <rPr>
            <b/>
            <sz val="9"/>
            <color indexed="81"/>
            <rFont val="Tahoma"/>
            <family val="2"/>
          </rPr>
          <t>Vanitha Ragunathan:</t>
        </r>
        <r>
          <rPr>
            <sz val="9"/>
            <color indexed="81"/>
            <rFont val="Tahoma"/>
            <family val="2"/>
          </rPr>
          <t xml:space="preserve">
NWC -- 10.5% of Revenue</t>
        </r>
      </text>
    </comment>
    <comment ref="C22" authorId="0" shapeId="0" xr:uid="{00000000-0006-0000-0100-000002000000}">
      <text>
        <r>
          <rPr>
            <b/>
            <sz val="9"/>
            <color indexed="81"/>
            <rFont val="Tahoma"/>
            <family val="2"/>
          </rPr>
          <t>Vanitha Ragunathan:</t>
        </r>
        <r>
          <rPr>
            <sz val="9"/>
            <color indexed="81"/>
            <rFont val="Tahoma"/>
            <family val="2"/>
          </rPr>
          <t xml:space="preserve">
Assumed NWC in year 0 5.66.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Vanitha Ragunathan</author>
  </authors>
  <commentList>
    <comment ref="B6" authorId="0" shapeId="0" xr:uid="{00000000-0006-0000-0200-000001000000}">
      <text>
        <r>
          <rPr>
            <b/>
            <sz val="9"/>
            <color indexed="81"/>
            <rFont val="Tahoma"/>
            <family val="2"/>
          </rPr>
          <t>Vanitha Ragunathan:</t>
        </r>
        <r>
          <rPr>
            <sz val="9"/>
            <color indexed="81"/>
            <rFont val="Tahoma"/>
            <family val="2"/>
          </rPr>
          <t xml:space="preserve">
Withholding Tax of 10%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tc={CBBB010C-6052-4ED3-9EDF-86B11CE83154}</author>
  </authors>
  <commentList>
    <comment ref="B10" authorId="0" shapeId="0" xr:uid="{CBBB010C-6052-4ED3-9EDF-86B11CE83154}">
      <text>
        <t>[Threaded comment]
Your version of Excel allows you to read this threaded comment; however, any edits to it will get removed if the file is opened in a newer version of Excel. Learn more: https://go.microsoft.com/fwlink/?linkid=870924
Comment:
    interest payments are valuable because they are tax deductible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Vanitha Ragunathan</author>
  </authors>
  <commentList>
    <comment ref="D5" authorId="0" shapeId="0" xr:uid="{3FEE75F2-EB40-4A67-A16F-039839C3BD49}">
      <text>
        <r>
          <rPr>
            <b/>
            <sz val="9"/>
            <color indexed="81"/>
            <rFont val="Tahoma"/>
            <family val="2"/>
          </rPr>
          <t>Vanitha Ragunathan:</t>
        </r>
        <r>
          <rPr>
            <sz val="9"/>
            <color indexed="81"/>
            <rFont val="Tahoma"/>
            <family val="2"/>
          </rPr>
          <t xml:space="preserve">
the european subsidiary will produce 22,000 units in the first year. </t>
        </r>
      </text>
    </comment>
    <comment ref="B8" authorId="0" shapeId="0" xr:uid="{57C10384-D9A8-4CE6-BD1D-89C4EA19187A}">
      <text>
        <r>
          <rPr>
            <b/>
            <sz val="9"/>
            <color indexed="81"/>
            <rFont val="Tahoma"/>
            <family val="2"/>
          </rPr>
          <t>Vanitha Ragunathan:</t>
        </r>
        <r>
          <rPr>
            <sz val="9"/>
            <color indexed="81"/>
            <rFont val="Tahoma"/>
            <family val="2"/>
          </rPr>
          <t xml:space="preserve">
Assuming same profit margin as sale of parts (16%). See "payments to parent" worksheet</t>
        </r>
      </text>
    </comment>
  </commentList>
</comments>
</file>

<file path=xl/sharedStrings.xml><?xml version="1.0" encoding="utf-8"?>
<sst xmlns="http://schemas.openxmlformats.org/spreadsheetml/2006/main" count="161" uniqueCount="145">
  <si>
    <t>Real growth rate of unit sales</t>
  </si>
  <si>
    <t>Unit Sales</t>
  </si>
  <si>
    <t>Euro Inflation Rates</t>
  </si>
  <si>
    <t>Euro Price per Unit</t>
  </si>
  <si>
    <t>Total Euro Revenue in millions (2*4)</t>
  </si>
  <si>
    <t>REVENUE FORECASTS</t>
  </si>
  <si>
    <t>COSTS FORECASTS</t>
  </si>
  <si>
    <t>Variable Costs</t>
  </si>
  <si>
    <t>Labour</t>
  </si>
  <si>
    <t>Inputs sourced in Europe</t>
  </si>
  <si>
    <t>Parts purchased from Parent</t>
  </si>
  <si>
    <t>Royalty  Fees (5% of Revenue)</t>
  </si>
  <si>
    <t>Overhead Allocation (2% of revenue)</t>
  </si>
  <si>
    <t>Overhead Expenses</t>
  </si>
  <si>
    <t>Depreciation</t>
  </si>
  <si>
    <t>Total Cost</t>
  </si>
  <si>
    <t>Net Working Capital and CAPEX</t>
  </si>
  <si>
    <t>Total Revenue</t>
  </si>
  <si>
    <t>Change in NWC</t>
  </si>
  <si>
    <t>Net Working Capital</t>
  </si>
  <si>
    <t>Capital Expenditure</t>
  </si>
  <si>
    <t>Forecasts of After-Tax Profits</t>
  </si>
  <si>
    <t>EBIT</t>
  </si>
  <si>
    <t>Earnings After Tax (NOPLAT)</t>
  </si>
  <si>
    <t>Lecture Example</t>
  </si>
  <si>
    <t>Free Cash Flow</t>
  </si>
  <si>
    <t>Discount Factor (11.1% pa)</t>
  </si>
  <si>
    <t>PV of Free Cash Flow</t>
  </si>
  <si>
    <t>Terminal Value in Year 10</t>
  </si>
  <si>
    <t>Terminal Value in Year 0</t>
  </si>
  <si>
    <t>Net Present Value</t>
  </si>
  <si>
    <t>Where necessary I have added comments on assumptions.</t>
  </si>
  <si>
    <t>The Project (or Subsidiary) Cashflows</t>
  </si>
  <si>
    <t>Dividend to Parent</t>
  </si>
  <si>
    <t>European withholding tax</t>
  </si>
  <si>
    <t>After-tax dividend received by parent</t>
  </si>
  <si>
    <t>DIVIDENDS received by PARENT: 100% of Subsidiary's yearly cashflow. Pays withholding tax of 10%</t>
  </si>
  <si>
    <t>Dividend received from Subsidiary</t>
  </si>
  <si>
    <t>NOPLAT of the Subsidiary</t>
  </si>
  <si>
    <t>Tax paid by subsidiary</t>
  </si>
  <si>
    <t>Deemed Paid Credit</t>
  </si>
  <si>
    <t>Foreign Tax Credit</t>
  </si>
  <si>
    <t>Tax Liability for the Parent</t>
  </si>
  <si>
    <t>Grossed-Up Foreign Dividend Received</t>
  </si>
  <si>
    <t>Tax Liability for the Parent (tax rate 30%)</t>
  </si>
  <si>
    <t>Available Tax Credit</t>
  </si>
  <si>
    <t>Tax Owed</t>
  </si>
  <si>
    <t>Excess Foreign Tax Credit</t>
  </si>
  <si>
    <t>Revenues, Costs and other inputs determined in the "Forecasts" worksheet.</t>
  </si>
  <si>
    <t>NPV of Dividends received by parent</t>
  </si>
  <si>
    <t>After-Tax Value of Dividends</t>
  </si>
  <si>
    <t>PV of After-Tax Dividends</t>
  </si>
  <si>
    <t>NPV of After-Tax Dividends</t>
  </si>
  <si>
    <t>Terminal value of Dividends in Year 10</t>
  </si>
  <si>
    <t>Terminal value of Dividends in Year 0</t>
  </si>
  <si>
    <t>NPV of Royalties And Overhead Allocation Fees</t>
  </si>
  <si>
    <t>Royalty Fee (5% of Revenue)</t>
  </si>
  <si>
    <t>Withholding Tax (10%)</t>
  </si>
  <si>
    <t>Overhead Fee (2% of Revenue)</t>
  </si>
  <si>
    <t>Potential Tax Liability (30%)</t>
  </si>
  <si>
    <t>Net Tax Owed</t>
  </si>
  <si>
    <t>After-Tax Fees to Parent</t>
  </si>
  <si>
    <t>After-(foreign) tax Fees Received by Parent</t>
  </si>
  <si>
    <t>PV of After-Tax Fees to Parent</t>
  </si>
  <si>
    <t>Terminal value of Fees in Year 10</t>
  </si>
  <si>
    <t>Terminal value of Fees in Year 0</t>
  </si>
  <si>
    <t>NPV of Fees</t>
  </si>
  <si>
    <t>Annual Interest Payments</t>
  </si>
  <si>
    <t>Local tax rate</t>
  </si>
  <si>
    <t>Interest tax shield</t>
  </si>
  <si>
    <t>Corporate Tax (Local Tax Rate in Europe 35%)</t>
  </si>
  <si>
    <t>Tax Rate * Interest Paid</t>
  </si>
  <si>
    <t>Discount Factor (6%)</t>
  </si>
  <si>
    <t>PV of Interest Tax Shields</t>
  </si>
  <si>
    <t>Terminal Value of Tax Shields (Year 10)</t>
  </si>
  <si>
    <t>Terminal Value of Tax Shields (Year 0)</t>
  </si>
  <si>
    <t>NPV of Tax Shields</t>
  </si>
  <si>
    <t>Market Interest rate</t>
  </si>
  <si>
    <t>If the company was to borrow in the eurpoean market it would pay 150 bp above the Euro interest rate of 4.5%</t>
  </si>
  <si>
    <t>The PARENT Cashflows -- Adjusted Present Value</t>
  </si>
  <si>
    <t>Annual Saving</t>
  </si>
  <si>
    <t>Interest Saving</t>
  </si>
  <si>
    <t>PV of Interest Saving</t>
  </si>
  <si>
    <t>NPV of Interest Subsidy</t>
  </si>
  <si>
    <t>Since the firm got a subsidised loan from the foreign government (3% instead of 6%), it saved on interest</t>
  </si>
  <si>
    <t>Interest Subsidy</t>
  </si>
  <si>
    <t>Initial Investment</t>
  </si>
  <si>
    <t>comprises of acquisition cost of facility (100 million euros), cost of equiping plant (73 million), cash and inventory (5.66 million)</t>
  </si>
  <si>
    <t>Initial Investment (euros)</t>
  </si>
  <si>
    <t>Total Variable cost (mil)</t>
  </si>
  <si>
    <r>
      <t xml:space="preserve">This captures the </t>
    </r>
    <r>
      <rPr>
        <b/>
        <sz val="11"/>
        <color theme="1"/>
        <rFont val="Calibri"/>
        <family val="2"/>
        <scheme val="minor"/>
      </rPr>
      <t>costs and benefits</t>
    </r>
    <r>
      <rPr>
        <sz val="11"/>
        <color theme="1"/>
        <rFont val="Calibri"/>
        <family val="2"/>
        <scheme val="minor"/>
      </rPr>
      <t xml:space="preserve"> of raising capital, i.e. the tax benefit (costs) of debt. Here we just focus on the tax benefit of debt.</t>
    </r>
  </si>
  <si>
    <t xml:space="preserve">We assume that the parent gets a credit on the local taxes it pays in Europe. This gives rise to the deemed tax credit. </t>
  </si>
  <si>
    <t xml:space="preserve">Dividends </t>
  </si>
  <si>
    <t>Royalties &amp; Fees</t>
  </si>
  <si>
    <t>Interest Tax Shield</t>
  </si>
  <si>
    <t>Adjusted PV of Parent</t>
  </si>
  <si>
    <t>CASH FLOWS to the PARENT</t>
  </si>
  <si>
    <t>Price of parts sold to subsidiary</t>
  </si>
  <si>
    <t>Export Revenue</t>
  </si>
  <si>
    <t>Pre-tax profit (@16% profit margin)</t>
  </si>
  <si>
    <t>Corporate Tax (paid in country of domicile)</t>
  </si>
  <si>
    <t>After-tax profit</t>
  </si>
  <si>
    <t>Discount Factors</t>
  </si>
  <si>
    <t>PV(After-tax profit)</t>
  </si>
  <si>
    <t>Terminal value of export sales in Year 10</t>
  </si>
  <si>
    <t>Terminal value of export sales in Year 0</t>
  </si>
  <si>
    <t>NPV of Exports to Subsidiary</t>
  </si>
  <si>
    <t>Withholding Tax paid by Parent (see dividend table)</t>
  </si>
  <si>
    <r>
      <rPr>
        <b/>
        <sz val="11"/>
        <color theme="1"/>
        <rFont val="Calibri"/>
        <family val="2"/>
        <scheme val="minor"/>
      </rPr>
      <t>Terminal Cash flows:</t>
    </r>
    <r>
      <rPr>
        <sz val="11"/>
        <color theme="1"/>
        <rFont val="Calibri"/>
        <family val="2"/>
        <scheme val="minor"/>
      </rPr>
      <t xml:space="preserve"> cash flows are assumed to grow at the inflation rate of 2% from Year 11 to infinity.</t>
    </r>
  </si>
  <si>
    <r>
      <rPr>
        <b/>
        <sz val="11"/>
        <color theme="1"/>
        <rFont val="Calibri"/>
        <family val="2"/>
        <scheme val="minor"/>
      </rPr>
      <t>Deemed Paid Credit:</t>
    </r>
    <r>
      <rPr>
        <sz val="11"/>
        <color theme="1"/>
        <rFont val="Calibri"/>
        <family val="2"/>
        <scheme val="minor"/>
      </rPr>
      <t xml:space="preserve"> This recognises that only a fraction of the subsidiary's profit is paid out as dividend. For example, in Year 2, NOPLAT is 10.74m, but the dividend to parent is only 3m. So, if the ratio of (DIVIDEND/NOPLAT) &lt; 1, CREDIT allowed is (DIVIDEND/NOPLAT) * Tax paid (in Europe)</t>
    </r>
  </si>
  <si>
    <t>Total Foreign Tax Credit</t>
  </si>
  <si>
    <t>Tax rules might also allow for the parent company to claim a foreign tax credit on the withholding tax on the dividend it pays in Europe.</t>
  </si>
  <si>
    <t>The project needs cash, inventory, working capital to run its business. Assume the initial stock of working capital is 5.66 and that yearly net working capital is assumed to be 10.5% of Total Revenue</t>
  </si>
  <si>
    <t>Labour costs, the prices of inputs sourced in other parts of Europe and those sourced from the parent rise at the cost of (European) inflation and $/Euro exchange rate is determined in line with PPP.</t>
  </si>
  <si>
    <t>Cost of capital for subsidiary: euro (10 year govt bonds) 4.5%, beta of 1.2 and equity risk premium of 5.5% = 4.5%+(1.2*5.5%) = 11.1%</t>
  </si>
  <si>
    <t>TAX is complicated. Depends on tax rules in the Parent company's country of domicile. There might be rules on tax credits for the withholding tax paid by the parent company in Europe.</t>
  </si>
  <si>
    <t>Foreign government imposes a withholding tax of 10% on royalty payments (an income to parent and acts exactly like a dividend)</t>
  </si>
  <si>
    <t>Overhead allocation fee (2% of Revenue) is a cost to the subsidiary and and a profit to the parent. It is possible that withholding tax on overhead fees are different to that for royalties</t>
  </si>
  <si>
    <t>The Parent sells parts to the Subsidiary (see the subsidiary's table on variable costs). The cash flows from these export sales should count as a postitive cash inflow to the Parent.</t>
  </si>
  <si>
    <t>Assume the firm gets a loan from the European government. The interest rate on the subsidised loan of 30 million euros is 3%</t>
  </si>
  <si>
    <r>
      <rPr>
        <b/>
        <sz val="11"/>
        <color theme="1"/>
        <rFont val="Calibri"/>
        <family val="2"/>
        <scheme val="minor"/>
      </rPr>
      <t>Assumption:</t>
    </r>
    <r>
      <rPr>
        <sz val="11"/>
        <color theme="1"/>
        <rFont val="Calibri"/>
        <family val="2"/>
        <scheme val="minor"/>
      </rPr>
      <t xml:space="preserve"> Profit Margin on sales made to subsidiary is 16%</t>
    </r>
  </si>
  <si>
    <t>Royalty is paid by the subsidiary to the parent; Overhead allocation fee paid to parent for accounting and managerial assistance</t>
  </si>
  <si>
    <t>The firm is currently exporting 40,000 units from the home market. In Year 1 a 10% growth would mean sales of 44,000 units. In year 1 the CFO expects that the European plant will only meet half of the European demand (i.e 22,000). And from year 2, it is able to ramp up production.</t>
  </si>
  <si>
    <t xml:space="preserve">Euro prices are expected to increase at the European inflation rate. </t>
  </si>
  <si>
    <t>European tax authorities require Straight-line depreciation with 3% per year allowance for plant and 10% per year allowance for equipment</t>
  </si>
  <si>
    <t>CAPEX is needed to offset economic depreciation (wearing out of plant and equipment). In subsequent years, CAPEX grows at the rate of (European) inflation.</t>
  </si>
  <si>
    <t>Depreciation in year 1: plant is 58% of initial capex, equipment is 42% of initial capex. This equals 0.03*0.58+0.10*0.42 = 5.94% of initial CAPEX which is 0.0594*173m = 10.28m</t>
  </si>
  <si>
    <t>Note: CAPEX in Year 0 is assumed to be €173 million and grows at the rate of inflation</t>
  </si>
  <si>
    <r>
      <t xml:space="preserve">Total Cost </t>
    </r>
    <r>
      <rPr>
        <b/>
        <sz val="11"/>
        <color rgb="FFFF0000"/>
        <rFont val="Calibri"/>
        <family val="2"/>
        <scheme val="minor"/>
      </rPr>
      <t>(2+3+4+5+6)</t>
    </r>
  </si>
  <si>
    <t>Interest payments are valuable because they are tax deductible.</t>
  </si>
  <si>
    <t>Unit Sales (lost export sales)</t>
  </si>
  <si>
    <t>Price per unit</t>
  </si>
  <si>
    <t>Export Revenue (millions)</t>
  </si>
  <si>
    <t>Profit Margin estimated before tax</t>
  </si>
  <si>
    <r>
      <rPr>
        <b/>
        <sz val="11"/>
        <color theme="1"/>
        <rFont val="Calibri"/>
        <family val="2"/>
        <scheme val="minor"/>
      </rPr>
      <t>Notes:</t>
    </r>
    <r>
      <rPr>
        <sz val="11"/>
        <color theme="1"/>
        <rFont val="Calibri"/>
        <family val="2"/>
        <scheme val="minor"/>
      </rPr>
      <t xml:space="preserve"> </t>
    </r>
  </si>
  <si>
    <t xml:space="preserve">Corporate Tax (paid in country of domicile) - 30% in Australia </t>
  </si>
  <si>
    <t>Exports of parts to subsidiary</t>
  </si>
  <si>
    <t>Terminal value of lost (future) sales in Year 10</t>
  </si>
  <si>
    <t>Terminal value of lost (future) sales in Year 0</t>
  </si>
  <si>
    <t>NPV of Lost Export Sales</t>
  </si>
  <si>
    <t>Adjusting for Cannibalization of export sales</t>
  </si>
  <si>
    <t>(New) Adjusted PV of Parent</t>
  </si>
  <si>
    <t>Still positive</t>
  </si>
  <si>
    <t>(From revenue forecasts)</t>
  </si>
  <si>
    <t xml:space="preserve">The parent company loses European sales when the new European plant comes on line.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</si>
</sst>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0_ ;[Red]\-0.00\ "/>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rgb="FF7030A0"/>
      <name val="Calibri"/>
      <family val="2"/>
      <scheme val="minor"/>
    </font>
    <font>
      <sz val="11"/>
      <color rgb="FFFF0000"/>
      <name val="Calibri"/>
      <family val="2"/>
      <scheme val="minor"/>
    </font>
    <font>
      <b/>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FFC0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29">
    <xf numFmtId="0" fontId="0" fillId="0" borderId="0" xfId="0"/>
    <xf numFmtId="9" fontId="0" fillId="0" borderId="0" xfId="0" applyNumberFormat="1"/>
    <xf numFmtId="164" fontId="0" fillId="0" borderId="0" xfId="1" applyNumberFormat="1" applyFont="1"/>
    <xf numFmtId="164" fontId="0" fillId="0" borderId="0" xfId="1" applyNumberFormat="1" applyFont="1" applyAlignment="1">
      <alignment horizontal="right"/>
    </xf>
    <xf numFmtId="2" fontId="0" fillId="0" borderId="0" xfId="0" applyNumberFormat="1"/>
    <xf numFmtId="0" fontId="0" fillId="0" borderId="0" xfId="0" applyAlignment="1">
      <alignment wrapText="1"/>
    </xf>
    <xf numFmtId="0" fontId="0" fillId="2" borderId="0" xfId="0" applyFill="1"/>
    <xf numFmtId="0" fontId="0" fillId="3" borderId="0" xfId="0" applyFill="1"/>
    <xf numFmtId="0" fontId="0" fillId="3" borderId="0" xfId="0" applyFill="1" applyAlignment="1">
      <alignment wrapText="1"/>
    </xf>
    <xf numFmtId="0" fontId="0" fillId="4" borderId="0" xfId="0" applyFill="1"/>
    <xf numFmtId="0" fontId="2" fillId="0" borderId="0" xfId="0" applyFont="1"/>
    <xf numFmtId="0" fontId="0" fillId="3" borderId="0" xfId="0" applyFill="1" applyAlignment="1">
      <alignment horizontal="right"/>
    </xf>
    <xf numFmtId="0" fontId="2" fillId="3" borderId="0" xfId="0" applyFont="1" applyFill="1" applyAlignment="1">
      <alignment horizontal="left"/>
    </xf>
    <xf numFmtId="0" fontId="2" fillId="3" borderId="0" xfId="0" applyFont="1" applyFill="1" applyAlignment="1">
      <alignment horizontal="right"/>
    </xf>
    <xf numFmtId="0" fontId="2" fillId="3" borderId="0" xfId="0" applyFont="1" applyFill="1" applyAlignment="1">
      <alignment horizontal="left" wrapText="1"/>
    </xf>
    <xf numFmtId="0" fontId="2" fillId="3" borderId="0" xfId="0" applyFont="1" applyFill="1"/>
    <xf numFmtId="0" fontId="2" fillId="3" borderId="0" xfId="0" applyFont="1" applyFill="1" applyAlignment="1">
      <alignment wrapText="1"/>
    </xf>
    <xf numFmtId="1" fontId="0" fillId="0" borderId="0" xfId="0" applyNumberFormat="1"/>
    <xf numFmtId="2" fontId="0" fillId="5" borderId="0" xfId="0" applyNumberFormat="1" applyFill="1"/>
    <xf numFmtId="0" fontId="5" fillId="0" borderId="0" xfId="0" applyFont="1"/>
    <xf numFmtId="164" fontId="0" fillId="0" borderId="0" xfId="0" applyNumberFormat="1"/>
    <xf numFmtId="165" fontId="0" fillId="0" borderId="0" xfId="0" applyNumberFormat="1"/>
    <xf numFmtId="0" fontId="2" fillId="4" borderId="0" xfId="0" applyFont="1" applyFill="1"/>
    <xf numFmtId="0" fontId="0" fillId="3" borderId="0" xfId="0" applyFill="1" applyAlignment="1">
      <alignment horizontal="left"/>
    </xf>
    <xf numFmtId="43" fontId="0" fillId="0" borderId="0" xfId="0" applyNumberFormat="1"/>
    <xf numFmtId="0" fontId="0" fillId="6" borderId="0" xfId="0" applyFill="1"/>
    <xf numFmtId="0" fontId="6" fillId="0" borderId="0" xfId="0" applyFont="1"/>
    <xf numFmtId="0" fontId="2" fillId="0" borderId="0" xfId="0" applyFont="1" applyAlignment="1">
      <alignment wrapText="1"/>
    </xf>
    <xf numFmtId="0" fontId="0" fillId="3" borderId="0" xfId="0" applyFill="1" applyAlignment="1">
      <alignment horizontal="righ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Vanitha Ragunathan" id="{E185C110-A057-4B34-AD04-9C45EB2C73C8}" userId="S::uqvragun@uq.edu.au::b79854f5-4f45-4bb1-a21b-9333278b8e3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0" dT="2022-05-02T10:20:56.63" personId="{E185C110-A057-4B34-AD04-9C45EB2C73C8}" id="{CBBB010C-6052-4ED3-9EDF-86B11CE83154}">
    <text>interest payments are valuable because they are tax deductible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2"/>
  <sheetViews>
    <sheetView workbookViewId="0">
      <selection activeCell="G32" sqref="G32"/>
    </sheetView>
  </sheetViews>
  <sheetFormatPr defaultRowHeight="15" x14ac:dyDescent="0.25"/>
  <cols>
    <col min="1" max="1" width="5.5703125" customWidth="1"/>
    <col min="2" max="2" width="26.42578125" bestFit="1" customWidth="1"/>
    <col min="3" max="3" width="13.140625" customWidth="1"/>
  </cols>
  <sheetData>
    <row r="1" spans="1:13" x14ac:dyDescent="0.25">
      <c r="A1" s="10" t="s">
        <v>24</v>
      </c>
    </row>
    <row r="2" spans="1:13" x14ac:dyDescent="0.25">
      <c r="A2" t="s">
        <v>134</v>
      </c>
    </row>
    <row r="3" spans="1:13" x14ac:dyDescent="0.25">
      <c r="A3">
        <v>1</v>
      </c>
      <c r="B3" t="s">
        <v>48</v>
      </c>
    </row>
    <row r="4" spans="1:13" x14ac:dyDescent="0.25">
      <c r="A4">
        <v>2</v>
      </c>
      <c r="B4" t="s">
        <v>31</v>
      </c>
    </row>
    <row r="5" spans="1:13" x14ac:dyDescent="0.25">
      <c r="A5">
        <v>3</v>
      </c>
      <c r="B5" t="s">
        <v>114</v>
      </c>
    </row>
    <row r="7" spans="1:13" ht="15.75" x14ac:dyDescent="0.25">
      <c r="B7" s="19" t="s">
        <v>32</v>
      </c>
    </row>
    <row r="8" spans="1:13" x14ac:dyDescent="0.25">
      <c r="B8" s="7"/>
      <c r="C8" s="6">
        <v>0</v>
      </c>
      <c r="D8" s="6">
        <v>1</v>
      </c>
      <c r="E8" s="6">
        <v>2</v>
      </c>
      <c r="F8" s="6">
        <v>3</v>
      </c>
      <c r="G8" s="6">
        <v>4</v>
      </c>
      <c r="H8" s="6">
        <v>5</v>
      </c>
      <c r="I8" s="6">
        <v>6</v>
      </c>
      <c r="J8" s="6">
        <v>7</v>
      </c>
      <c r="K8" s="6">
        <v>8</v>
      </c>
      <c r="L8" s="6">
        <v>9</v>
      </c>
      <c r="M8" s="6">
        <v>10</v>
      </c>
    </row>
    <row r="9" spans="1:13" x14ac:dyDescent="0.25">
      <c r="A9" s="26">
        <v>1</v>
      </c>
      <c r="B9" s="15" t="s">
        <v>23</v>
      </c>
      <c r="C9" s="10"/>
      <c r="D9" s="4">
        <f>Forecasts!C49</f>
        <v>0.4829759999999958</v>
      </c>
      <c r="E9" s="4">
        <f>Forecasts!D49</f>
        <v>10.741528719999982</v>
      </c>
      <c r="F9" s="4">
        <f>Forecasts!E49</f>
        <v>13.20470241350001</v>
      </c>
      <c r="G9" s="4">
        <f>Forecasts!F49</f>
        <v>15.364359861499992</v>
      </c>
      <c r="H9" s="4">
        <f>Forecasts!G49</f>
        <v>17.407537940000005</v>
      </c>
      <c r="I9" s="4">
        <f>Forecasts!H49</f>
        <v>19.126376282000003</v>
      </c>
      <c r="J9" s="4">
        <f>Forecasts!I49</f>
        <v>20.417274162999973</v>
      </c>
      <c r="K9" s="4">
        <f>Forecasts!J49</f>
        <v>21.557731910000001</v>
      </c>
      <c r="L9" s="4">
        <f>Forecasts!K49</f>
        <v>22.27641187199999</v>
      </c>
      <c r="M9" s="4">
        <f>Forecasts!L49</f>
        <v>22.772996382499993</v>
      </c>
    </row>
    <row r="10" spans="1:13" x14ac:dyDescent="0.25">
      <c r="A10" s="26">
        <v>2</v>
      </c>
      <c r="B10" s="7" t="s">
        <v>14</v>
      </c>
      <c r="D10">
        <f>Forecasts!C40</f>
        <v>10.28</v>
      </c>
      <c r="E10">
        <f>Forecasts!D40</f>
        <v>10.9</v>
      </c>
      <c r="F10">
        <f>Forecasts!E40</f>
        <v>11.56</v>
      </c>
      <c r="G10">
        <f>Forecasts!F40</f>
        <v>12.23</v>
      </c>
      <c r="H10">
        <f>Forecasts!G40</f>
        <v>12.92</v>
      </c>
      <c r="I10">
        <f>Forecasts!H40</f>
        <v>13.62</v>
      </c>
      <c r="J10">
        <f>Forecasts!I40</f>
        <v>14.33</v>
      </c>
      <c r="K10">
        <f>Forecasts!J40</f>
        <v>15.06</v>
      </c>
      <c r="L10">
        <f>Forecasts!K40</f>
        <v>15.81</v>
      </c>
      <c r="M10">
        <f>Forecasts!L40</f>
        <v>16.57</v>
      </c>
    </row>
    <row r="11" spans="1:13" x14ac:dyDescent="0.25">
      <c r="A11" s="26">
        <v>3</v>
      </c>
      <c r="B11" s="7" t="s">
        <v>18</v>
      </c>
      <c r="C11">
        <v>5.66</v>
      </c>
      <c r="D11" s="4">
        <f>Forecasts!C22</f>
        <v>0.17043999999999926</v>
      </c>
      <c r="E11" s="4">
        <f>Forecasts!D22</f>
        <v>7.6259568000000009</v>
      </c>
      <c r="F11" s="4">
        <f>Forecasts!E22</f>
        <v>2.0685675149999998</v>
      </c>
      <c r="G11" s="4">
        <f>Forecasts!F22</f>
        <v>1.893637619999998</v>
      </c>
      <c r="H11" s="4">
        <f>Forecasts!G22</f>
        <v>1.7688691650000017</v>
      </c>
      <c r="I11" s="4">
        <f>Forecasts!H22</f>
        <v>1.5634894800000012</v>
      </c>
      <c r="J11" s="4">
        <f>Forecasts!I22</f>
        <v>1.2586893899999971</v>
      </c>
      <c r="K11" s="4">
        <f>Forecasts!J22</f>
        <v>1.1173539300000002</v>
      </c>
      <c r="L11" s="4">
        <f>Forecasts!K22</f>
        <v>0.92887577999999849</v>
      </c>
      <c r="M11" s="4">
        <f>Forecasts!L22</f>
        <v>0.72756274500000018</v>
      </c>
    </row>
    <row r="12" spans="1:13" x14ac:dyDescent="0.25">
      <c r="A12" s="26">
        <v>4</v>
      </c>
      <c r="B12" s="7" t="s">
        <v>20</v>
      </c>
      <c r="C12" s="4">
        <v>173</v>
      </c>
      <c r="D12">
        <f>Forecasts!C23</f>
        <v>10.58</v>
      </c>
      <c r="E12">
        <f>Forecasts!D23</f>
        <v>11.01</v>
      </c>
      <c r="F12">
        <f>Forecasts!E23</f>
        <v>11.34</v>
      </c>
      <c r="G12">
        <f>Forecasts!F23</f>
        <v>11.56</v>
      </c>
      <c r="H12">
        <f>Forecasts!G23</f>
        <v>11.8</v>
      </c>
      <c r="I12">
        <f>Forecasts!H23</f>
        <v>12.03</v>
      </c>
      <c r="J12">
        <f>Forecasts!I23</f>
        <v>12.27</v>
      </c>
      <c r="K12">
        <f>Forecasts!J23</f>
        <v>12.52</v>
      </c>
      <c r="L12">
        <f>Forecasts!K23</f>
        <v>12.77</v>
      </c>
      <c r="M12">
        <f>Forecasts!L23</f>
        <v>13.02</v>
      </c>
    </row>
    <row r="13" spans="1:13" x14ac:dyDescent="0.25">
      <c r="A13" s="26">
        <v>5</v>
      </c>
      <c r="B13" s="15" t="s">
        <v>25</v>
      </c>
      <c r="C13" s="4">
        <f>C9+C10-C11-C12</f>
        <v>-178.66</v>
      </c>
      <c r="D13" s="4">
        <f>D9+D10-D11-D12</f>
        <v>1.253599999999544E-2</v>
      </c>
      <c r="E13" s="4">
        <f t="shared" ref="E13:M13" si="0">E9+E10-E11-E12</f>
        <v>3.0055719199999817</v>
      </c>
      <c r="F13" s="4">
        <f t="shared" si="0"/>
        <v>11.356134898500013</v>
      </c>
      <c r="G13" s="4">
        <f t="shared" si="0"/>
        <v>14.140722241499995</v>
      </c>
      <c r="H13" s="4">
        <f t="shared" si="0"/>
        <v>16.758668775000004</v>
      </c>
      <c r="I13" s="4">
        <f t="shared" si="0"/>
        <v>19.152886801999998</v>
      </c>
      <c r="J13" s="4">
        <f t="shared" si="0"/>
        <v>21.218584772999971</v>
      </c>
      <c r="K13" s="4">
        <f t="shared" si="0"/>
        <v>22.980377980000004</v>
      </c>
      <c r="L13" s="4">
        <f t="shared" si="0"/>
        <v>24.387536091999994</v>
      </c>
      <c r="M13" s="4">
        <f t="shared" si="0"/>
        <v>25.59543363749999</v>
      </c>
    </row>
    <row r="14" spans="1:13" x14ac:dyDescent="0.25">
      <c r="A14" s="26">
        <v>6</v>
      </c>
      <c r="B14" s="7" t="s">
        <v>26</v>
      </c>
      <c r="C14" s="4">
        <f>1/((1.111)^C8)</f>
        <v>1</v>
      </c>
      <c r="D14" s="4">
        <f t="shared" ref="D14:M14" si="1">1/((1.111)^D8)</f>
        <v>0.90009000900090008</v>
      </c>
      <c r="E14" s="4">
        <f t="shared" si="1"/>
        <v>0.81016202430324036</v>
      </c>
      <c r="F14" s="4">
        <f t="shared" si="1"/>
        <v>0.72921874374729112</v>
      </c>
      <c r="G14" s="4">
        <f t="shared" si="1"/>
        <v>0.65636250562312426</v>
      </c>
      <c r="H14" s="4">
        <f t="shared" si="1"/>
        <v>0.59078533359417129</v>
      </c>
      <c r="I14" s="4">
        <f t="shared" si="1"/>
        <v>0.53175997623237736</v>
      </c>
      <c r="J14" s="4">
        <f t="shared" si="1"/>
        <v>0.47863184179331897</v>
      </c>
      <c r="K14" s="4">
        <f t="shared" si="1"/>
        <v>0.43081173878786588</v>
      </c>
      <c r="L14" s="4">
        <f t="shared" si="1"/>
        <v>0.38776934184326362</v>
      </c>
      <c r="M14" s="4">
        <f t="shared" si="1"/>
        <v>0.3490273103899762</v>
      </c>
    </row>
    <row r="15" spans="1:13" x14ac:dyDescent="0.25">
      <c r="A15" s="26">
        <v>7</v>
      </c>
      <c r="B15" s="7" t="s">
        <v>27</v>
      </c>
      <c r="C15" s="4">
        <f>C13*C14</f>
        <v>-178.66</v>
      </c>
      <c r="D15" s="4">
        <f t="shared" ref="D15:M15" si="2">D13*D14</f>
        <v>1.1283528352831178E-2</v>
      </c>
      <c r="E15" s="4">
        <f t="shared" si="2"/>
        <v>2.4350002308961618</v>
      </c>
      <c r="F15" s="4">
        <f t="shared" si="2"/>
        <v>8.2811064245089501</v>
      </c>
      <c r="G15" s="4">
        <f t="shared" si="2"/>
        <v>9.2814398817515791</v>
      </c>
      <c r="H15" s="4">
        <f t="shared" si="2"/>
        <v>9.9007757228325985</v>
      </c>
      <c r="I15" s="4">
        <f t="shared" si="2"/>
        <v>10.184738630612932</v>
      </c>
      <c r="J15" s="4">
        <f t="shared" si="2"/>
        <v>10.155890310148649</v>
      </c>
      <c r="K15" s="4">
        <f t="shared" si="2"/>
        <v>9.9002165955661869</v>
      </c>
      <c r="L15" s="4">
        <f t="shared" si="2"/>
        <v>9.4567388195736743</v>
      </c>
      <c r="M15" s="4">
        <f t="shared" si="2"/>
        <v>8.9335053607617461</v>
      </c>
    </row>
    <row r="16" spans="1:13" x14ac:dyDescent="0.25">
      <c r="A16" s="26">
        <v>8</v>
      </c>
      <c r="B16" s="7" t="s">
        <v>28</v>
      </c>
      <c r="M16" s="4">
        <f>((25.6*1.02)/(0.111-0.02))</f>
        <v>286.94505494505495</v>
      </c>
    </row>
    <row r="17" spans="1:4" x14ac:dyDescent="0.25">
      <c r="A17" s="26">
        <v>9</v>
      </c>
      <c r="B17" s="15" t="s">
        <v>29</v>
      </c>
      <c r="C17" s="4">
        <f>M16/((1+0.111)^10)</f>
        <v>100.15166075717647</v>
      </c>
    </row>
    <row r="18" spans="1:4" x14ac:dyDescent="0.25">
      <c r="A18" s="26">
        <v>10</v>
      </c>
      <c r="B18" s="15" t="s">
        <v>30</v>
      </c>
      <c r="C18" s="18">
        <f>SUM(C15:M15)+C17</f>
        <v>3.2356262181792772E-2</v>
      </c>
    </row>
    <row r="21" spans="1:4" ht="15.75" x14ac:dyDescent="0.25">
      <c r="B21" s="19" t="s">
        <v>79</v>
      </c>
    </row>
    <row r="24" spans="1:4" x14ac:dyDescent="0.25">
      <c r="B24" s="15" t="s">
        <v>86</v>
      </c>
      <c r="C24">
        <v>-178.66</v>
      </c>
    </row>
    <row r="25" spans="1:4" x14ac:dyDescent="0.25">
      <c r="B25" s="11" t="s">
        <v>92</v>
      </c>
      <c r="C25" s="4">
        <v>160.81</v>
      </c>
    </row>
    <row r="26" spans="1:4" x14ac:dyDescent="0.25">
      <c r="B26" s="11" t="s">
        <v>93</v>
      </c>
      <c r="C26">
        <v>111.42</v>
      </c>
    </row>
    <row r="27" spans="1:4" x14ac:dyDescent="0.25">
      <c r="B27" s="11" t="s">
        <v>136</v>
      </c>
      <c r="C27">
        <v>22.99</v>
      </c>
    </row>
    <row r="28" spans="1:4" x14ac:dyDescent="0.25">
      <c r="B28" s="11" t="s">
        <v>94</v>
      </c>
      <c r="C28">
        <v>11.29</v>
      </c>
    </row>
    <row r="29" spans="1:4" x14ac:dyDescent="0.25">
      <c r="B29" s="11" t="s">
        <v>85</v>
      </c>
      <c r="C29">
        <v>6.62</v>
      </c>
    </row>
    <row r="30" spans="1:4" x14ac:dyDescent="0.25">
      <c r="B30" s="12" t="s">
        <v>95</v>
      </c>
      <c r="C30" s="25">
        <f>SUM(C24:C29)</f>
        <v>134.47</v>
      </c>
    </row>
    <row r="31" spans="1:4" ht="32.25" customHeight="1" x14ac:dyDescent="0.25">
      <c r="B31" s="28" t="s">
        <v>140</v>
      </c>
      <c r="C31">
        <v>81.55</v>
      </c>
    </row>
    <row r="32" spans="1:4" x14ac:dyDescent="0.25">
      <c r="B32" s="12" t="s">
        <v>141</v>
      </c>
      <c r="C32" s="25">
        <f>C30-C31</f>
        <v>52.92</v>
      </c>
      <c r="D32" t="s">
        <v>142</v>
      </c>
    </row>
  </sheetData>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49"/>
  <sheetViews>
    <sheetView workbookViewId="0">
      <selection activeCell="C35" sqref="C35"/>
    </sheetView>
  </sheetViews>
  <sheetFormatPr defaultRowHeight="15" x14ac:dyDescent="0.25"/>
  <cols>
    <col min="1" max="1" width="4.42578125" customWidth="1"/>
    <col min="2" max="2" width="27.140625" customWidth="1"/>
    <col min="3" max="12" width="10.5703125" bestFit="1" customWidth="1"/>
  </cols>
  <sheetData>
    <row r="2" spans="1:12" x14ac:dyDescent="0.25">
      <c r="B2" s="15" t="s">
        <v>88</v>
      </c>
      <c r="C2" s="21">
        <f>(100+73+5.66)</f>
        <v>178.66</v>
      </c>
      <c r="D2" t="s">
        <v>87</v>
      </c>
    </row>
    <row r="3" spans="1:12" x14ac:dyDescent="0.25">
      <c r="B3" s="15"/>
      <c r="C3" s="21"/>
    </row>
    <row r="4" spans="1:12" x14ac:dyDescent="0.25">
      <c r="B4" t="s">
        <v>122</v>
      </c>
    </row>
    <row r="5" spans="1:12" x14ac:dyDescent="0.25">
      <c r="B5" t="s">
        <v>123</v>
      </c>
    </row>
    <row r="6" spans="1:12" x14ac:dyDescent="0.25">
      <c r="B6" s="10" t="s">
        <v>5</v>
      </c>
    </row>
    <row r="7" spans="1:12" x14ac:dyDescent="0.25">
      <c r="B7" s="7"/>
      <c r="C7" s="6">
        <v>1</v>
      </c>
      <c r="D7" s="6">
        <v>2</v>
      </c>
      <c r="E7" s="6">
        <v>3</v>
      </c>
      <c r="F7" s="6">
        <v>4</v>
      </c>
      <c r="G7" s="6">
        <v>5</v>
      </c>
      <c r="H7" s="6">
        <v>6</v>
      </c>
      <c r="I7" s="6">
        <v>7</v>
      </c>
      <c r="J7" s="6">
        <v>8</v>
      </c>
      <c r="K7" s="6">
        <v>9</v>
      </c>
      <c r="L7" s="6">
        <v>10</v>
      </c>
    </row>
    <row r="8" spans="1:12" x14ac:dyDescent="0.25">
      <c r="A8" s="26">
        <v>1</v>
      </c>
      <c r="B8" s="7" t="s">
        <v>0</v>
      </c>
      <c r="C8" s="1">
        <v>0.1</v>
      </c>
      <c r="D8" s="1">
        <v>0.11</v>
      </c>
      <c r="E8" s="1">
        <v>0.12</v>
      </c>
      <c r="F8" s="1">
        <v>0.1</v>
      </c>
      <c r="G8" s="1">
        <v>0.08</v>
      </c>
      <c r="H8" s="1">
        <v>0.06</v>
      </c>
      <c r="I8" s="1">
        <v>0.04</v>
      </c>
      <c r="J8" s="1">
        <v>0.03</v>
      </c>
      <c r="K8" s="1">
        <v>0.02</v>
      </c>
      <c r="L8" s="1">
        <v>0.01</v>
      </c>
    </row>
    <row r="9" spans="1:12" x14ac:dyDescent="0.25">
      <c r="A9" s="26">
        <v>2</v>
      </c>
      <c r="B9" s="7" t="s">
        <v>1</v>
      </c>
      <c r="C9" s="3">
        <v>22000</v>
      </c>
      <c r="D9" s="3">
        <v>48840</v>
      </c>
      <c r="E9" s="3">
        <v>54701</v>
      </c>
      <c r="F9" s="3">
        <v>60171</v>
      </c>
      <c r="G9" s="3">
        <v>64985</v>
      </c>
      <c r="H9" s="3">
        <v>68884</v>
      </c>
      <c r="I9" s="3">
        <v>71639</v>
      </c>
      <c r="J9" s="3">
        <v>73788</v>
      </c>
      <c r="K9" s="3">
        <v>75264</v>
      </c>
      <c r="L9" s="3">
        <v>76017</v>
      </c>
    </row>
    <row r="10" spans="1:12" x14ac:dyDescent="0.25">
      <c r="A10" s="26">
        <v>3</v>
      </c>
      <c r="B10" s="7" t="s">
        <v>2</v>
      </c>
      <c r="C10" s="1">
        <v>0.03</v>
      </c>
      <c r="D10" s="1">
        <v>0.04</v>
      </c>
      <c r="E10" s="1">
        <v>0.03</v>
      </c>
      <c r="F10" s="1">
        <v>0.02</v>
      </c>
      <c r="G10" s="1">
        <v>0.02</v>
      </c>
      <c r="H10" s="1">
        <v>0.02</v>
      </c>
      <c r="I10" s="1">
        <v>0.02</v>
      </c>
      <c r="J10" s="1">
        <v>0.02</v>
      </c>
      <c r="K10" s="1">
        <v>0.02</v>
      </c>
      <c r="L10" s="1">
        <v>0.02</v>
      </c>
    </row>
    <row r="11" spans="1:12" x14ac:dyDescent="0.25">
      <c r="A11" s="26">
        <v>4</v>
      </c>
      <c r="B11" s="7" t="s">
        <v>3</v>
      </c>
      <c r="C11" s="2">
        <v>2524</v>
      </c>
      <c r="D11" s="2">
        <v>2624</v>
      </c>
      <c r="E11" s="2">
        <v>2703</v>
      </c>
      <c r="F11" s="2">
        <v>2757</v>
      </c>
      <c r="G11" s="2">
        <v>2812</v>
      </c>
      <c r="H11" s="2">
        <v>2869</v>
      </c>
      <c r="I11" s="2">
        <v>2926</v>
      </c>
      <c r="J11" s="2">
        <v>2985</v>
      </c>
      <c r="K11" s="2">
        <v>3044</v>
      </c>
      <c r="L11" s="2">
        <v>3105</v>
      </c>
    </row>
    <row r="12" spans="1:12" ht="29.25" customHeight="1" x14ac:dyDescent="0.25">
      <c r="A12" s="26">
        <v>5</v>
      </c>
      <c r="B12" s="16" t="s">
        <v>4</v>
      </c>
      <c r="C12" s="4">
        <f>(C9*C11)/(1000000)</f>
        <v>55.527999999999999</v>
      </c>
      <c r="D12" s="4">
        <f t="shared" ref="D12:L12" si="0">(D9*D11)/(1000000)</f>
        <v>128.15616</v>
      </c>
      <c r="E12" s="4">
        <f t="shared" si="0"/>
        <v>147.85680300000001</v>
      </c>
      <c r="F12" s="4">
        <f t="shared" si="0"/>
        <v>165.891447</v>
      </c>
      <c r="G12" s="4">
        <f t="shared" si="0"/>
        <v>182.73782</v>
      </c>
      <c r="H12" s="4">
        <f t="shared" si="0"/>
        <v>197.628196</v>
      </c>
      <c r="I12" s="4">
        <f t="shared" si="0"/>
        <v>209.615714</v>
      </c>
      <c r="J12" s="4">
        <f t="shared" si="0"/>
        <v>220.25718000000001</v>
      </c>
      <c r="K12" s="4">
        <f t="shared" si="0"/>
        <v>229.10361599999999</v>
      </c>
      <c r="L12" s="4">
        <f t="shared" si="0"/>
        <v>236.03278499999999</v>
      </c>
    </row>
    <row r="14" spans="1:12" x14ac:dyDescent="0.25">
      <c r="B14" t="s">
        <v>112</v>
      </c>
    </row>
    <row r="15" spans="1:12" x14ac:dyDescent="0.25">
      <c r="B15" t="s">
        <v>125</v>
      </c>
    </row>
    <row r="16" spans="1:12" x14ac:dyDescent="0.25">
      <c r="B16" t="s">
        <v>124</v>
      </c>
    </row>
    <row r="17" spans="1:12" x14ac:dyDescent="0.25">
      <c r="B17" t="s">
        <v>126</v>
      </c>
    </row>
    <row r="18" spans="1:12" x14ac:dyDescent="0.25">
      <c r="B18" s="10" t="s">
        <v>16</v>
      </c>
    </row>
    <row r="19" spans="1:12" x14ac:dyDescent="0.25">
      <c r="B19" s="15"/>
      <c r="C19" s="6">
        <v>1</v>
      </c>
      <c r="D19" s="6">
        <v>2</v>
      </c>
      <c r="E19" s="6">
        <v>3</v>
      </c>
      <c r="F19" s="6">
        <v>4</v>
      </c>
      <c r="G19" s="6">
        <v>5</v>
      </c>
      <c r="H19" s="6">
        <v>6</v>
      </c>
      <c r="I19" s="6">
        <v>7</v>
      </c>
      <c r="J19" s="6">
        <v>8</v>
      </c>
      <c r="K19" s="6">
        <v>9</v>
      </c>
      <c r="L19" s="6">
        <v>10</v>
      </c>
    </row>
    <row r="20" spans="1:12" x14ac:dyDescent="0.25">
      <c r="A20" s="26">
        <v>1</v>
      </c>
      <c r="B20" s="15" t="s">
        <v>17</v>
      </c>
      <c r="C20" s="4">
        <f t="shared" ref="C20:L20" si="1">C12</f>
        <v>55.527999999999999</v>
      </c>
      <c r="D20" s="4">
        <f t="shared" si="1"/>
        <v>128.15616</v>
      </c>
      <c r="E20" s="4">
        <f t="shared" si="1"/>
        <v>147.85680300000001</v>
      </c>
      <c r="F20" s="4">
        <f t="shared" si="1"/>
        <v>165.891447</v>
      </c>
      <c r="G20" s="4">
        <f t="shared" si="1"/>
        <v>182.73782</v>
      </c>
      <c r="H20" s="4">
        <f t="shared" si="1"/>
        <v>197.628196</v>
      </c>
      <c r="I20" s="4">
        <f t="shared" si="1"/>
        <v>209.615714</v>
      </c>
      <c r="J20" s="4">
        <f t="shared" si="1"/>
        <v>220.25718000000001</v>
      </c>
      <c r="K20" s="4">
        <f t="shared" si="1"/>
        <v>229.10361599999999</v>
      </c>
      <c r="L20" s="4">
        <f t="shared" si="1"/>
        <v>236.03278499999999</v>
      </c>
    </row>
    <row r="21" spans="1:12" x14ac:dyDescent="0.25">
      <c r="A21" s="26">
        <v>2</v>
      </c>
      <c r="B21" s="7" t="s">
        <v>19</v>
      </c>
      <c r="C21" s="4">
        <f>0.105*C20</f>
        <v>5.8304399999999994</v>
      </c>
      <c r="D21" s="4">
        <f t="shared" ref="D21:L21" si="2">0.105*D20</f>
        <v>13.4563968</v>
      </c>
      <c r="E21" s="4">
        <f t="shared" si="2"/>
        <v>15.524964315</v>
      </c>
      <c r="F21" s="4">
        <f t="shared" si="2"/>
        <v>17.418601934999998</v>
      </c>
      <c r="G21" s="4">
        <f t="shared" si="2"/>
        <v>19.1874711</v>
      </c>
      <c r="H21" s="4">
        <f t="shared" si="2"/>
        <v>20.750960580000001</v>
      </c>
      <c r="I21" s="4">
        <f t="shared" si="2"/>
        <v>22.009649969999998</v>
      </c>
      <c r="J21" s="4">
        <f t="shared" si="2"/>
        <v>23.127003899999998</v>
      </c>
      <c r="K21" s="4">
        <f t="shared" si="2"/>
        <v>24.055879679999997</v>
      </c>
      <c r="L21" s="4">
        <f t="shared" si="2"/>
        <v>24.783442424999997</v>
      </c>
    </row>
    <row r="22" spans="1:12" x14ac:dyDescent="0.25">
      <c r="A22" s="26">
        <v>3</v>
      </c>
      <c r="B22" s="15" t="s">
        <v>18</v>
      </c>
      <c r="C22" s="4">
        <f>(C21-5.66)</f>
        <v>0.17043999999999926</v>
      </c>
      <c r="D22" s="4">
        <f>D21-C21</f>
        <v>7.6259568000000009</v>
      </c>
      <c r="E22" s="4">
        <f t="shared" ref="E22:L22" si="3">E21-D21</f>
        <v>2.0685675149999998</v>
      </c>
      <c r="F22" s="4">
        <f t="shared" si="3"/>
        <v>1.893637619999998</v>
      </c>
      <c r="G22" s="4">
        <f t="shared" si="3"/>
        <v>1.7688691650000017</v>
      </c>
      <c r="H22" s="4">
        <f t="shared" si="3"/>
        <v>1.5634894800000012</v>
      </c>
      <c r="I22" s="4">
        <f t="shared" si="3"/>
        <v>1.2586893899999971</v>
      </c>
      <c r="J22" s="4">
        <f t="shared" si="3"/>
        <v>1.1173539300000002</v>
      </c>
      <c r="K22" s="4">
        <f t="shared" si="3"/>
        <v>0.92887577999999849</v>
      </c>
      <c r="L22" s="4">
        <f t="shared" si="3"/>
        <v>0.72756274500000018</v>
      </c>
    </row>
    <row r="23" spans="1:12" x14ac:dyDescent="0.25">
      <c r="A23" s="26">
        <v>4</v>
      </c>
      <c r="B23" s="15" t="s">
        <v>20</v>
      </c>
      <c r="C23">
        <v>10.58</v>
      </c>
      <c r="D23">
        <v>11.01</v>
      </c>
      <c r="E23">
        <v>11.34</v>
      </c>
      <c r="F23">
        <v>11.56</v>
      </c>
      <c r="G23">
        <v>11.8</v>
      </c>
      <c r="H23">
        <v>12.03</v>
      </c>
      <c r="I23">
        <v>12.27</v>
      </c>
      <c r="J23">
        <v>12.52</v>
      </c>
      <c r="K23">
        <v>12.77</v>
      </c>
      <c r="L23">
        <v>13.02</v>
      </c>
    </row>
    <row r="24" spans="1:12" x14ac:dyDescent="0.25">
      <c r="A24" s="26">
        <v>5</v>
      </c>
      <c r="B24" s="15" t="s">
        <v>14</v>
      </c>
      <c r="C24">
        <v>10.28</v>
      </c>
      <c r="D24">
        <v>10.9</v>
      </c>
      <c r="E24">
        <v>11.56</v>
      </c>
      <c r="F24">
        <v>12.23</v>
      </c>
      <c r="G24">
        <v>12.92</v>
      </c>
      <c r="H24">
        <v>13.62</v>
      </c>
      <c r="I24">
        <v>14.33</v>
      </c>
      <c r="J24">
        <v>15.06</v>
      </c>
      <c r="K24">
        <v>15.81</v>
      </c>
      <c r="L24">
        <v>16.57</v>
      </c>
    </row>
    <row r="26" spans="1:12" x14ac:dyDescent="0.25">
      <c r="B26" t="s">
        <v>127</v>
      </c>
    </row>
    <row r="28" spans="1:12" x14ac:dyDescent="0.25">
      <c r="B28" t="s">
        <v>113</v>
      </c>
    </row>
    <row r="29" spans="1:12" x14ac:dyDescent="0.25">
      <c r="B29" t="s">
        <v>121</v>
      </c>
    </row>
    <row r="30" spans="1:12" x14ac:dyDescent="0.25">
      <c r="B30" s="10" t="s">
        <v>6</v>
      </c>
    </row>
    <row r="31" spans="1:12" x14ac:dyDescent="0.25">
      <c r="B31" s="7"/>
      <c r="C31" s="6">
        <v>1</v>
      </c>
      <c r="D31" s="6">
        <v>2</v>
      </c>
      <c r="E31" s="6">
        <v>3</v>
      </c>
      <c r="F31" s="6">
        <v>4</v>
      </c>
      <c r="G31" s="6">
        <v>5</v>
      </c>
      <c r="H31" s="6">
        <v>6</v>
      </c>
      <c r="I31" s="6">
        <v>7</v>
      </c>
      <c r="J31" s="6">
        <v>8</v>
      </c>
      <c r="K31" s="6">
        <v>9</v>
      </c>
      <c r="L31" s="6">
        <v>10</v>
      </c>
    </row>
    <row r="32" spans="1:12" x14ac:dyDescent="0.25">
      <c r="A32" s="26">
        <v>1</v>
      </c>
      <c r="B32" s="15" t="s">
        <v>7</v>
      </c>
    </row>
    <row r="33" spans="1:12" x14ac:dyDescent="0.25">
      <c r="B33" s="11" t="s">
        <v>8</v>
      </c>
      <c r="C33">
        <v>702</v>
      </c>
      <c r="D33">
        <v>730</v>
      </c>
      <c r="E33">
        <v>752</v>
      </c>
      <c r="F33">
        <v>767</v>
      </c>
      <c r="G33">
        <v>782</v>
      </c>
      <c r="H33">
        <v>798</v>
      </c>
      <c r="I33">
        <v>814</v>
      </c>
      <c r="J33">
        <v>830</v>
      </c>
      <c r="K33">
        <v>847</v>
      </c>
      <c r="L33">
        <v>864</v>
      </c>
    </row>
    <row r="34" spans="1:12" x14ac:dyDescent="0.25">
      <c r="B34" s="11" t="s">
        <v>9</v>
      </c>
      <c r="C34">
        <v>665</v>
      </c>
      <c r="D34">
        <v>692</v>
      </c>
      <c r="E34">
        <v>712</v>
      </c>
      <c r="F34">
        <v>727</v>
      </c>
      <c r="G34">
        <v>741</v>
      </c>
      <c r="H34">
        <v>756</v>
      </c>
      <c r="I34">
        <v>771</v>
      </c>
      <c r="J34">
        <v>786</v>
      </c>
      <c r="K34">
        <v>802</v>
      </c>
      <c r="L34">
        <v>818</v>
      </c>
    </row>
    <row r="35" spans="1:12" x14ac:dyDescent="0.25">
      <c r="B35" s="11" t="s">
        <v>10</v>
      </c>
      <c r="C35">
        <v>407</v>
      </c>
      <c r="D35">
        <v>423</v>
      </c>
      <c r="E35">
        <v>436</v>
      </c>
      <c r="F35">
        <v>445</v>
      </c>
      <c r="G35">
        <v>454</v>
      </c>
      <c r="H35">
        <v>463</v>
      </c>
      <c r="I35">
        <v>472</v>
      </c>
      <c r="J35">
        <v>481</v>
      </c>
      <c r="K35">
        <v>491</v>
      </c>
      <c r="L35">
        <v>501</v>
      </c>
    </row>
    <row r="36" spans="1:12" x14ac:dyDescent="0.25">
      <c r="A36" s="26">
        <v>2</v>
      </c>
      <c r="B36" s="12" t="s">
        <v>89</v>
      </c>
      <c r="C36" s="4">
        <f t="shared" ref="C36:L36" si="4">((SUM(C33:C35)*C9)/1000000)</f>
        <v>39.027999999999999</v>
      </c>
      <c r="D36" s="4">
        <f t="shared" si="4"/>
        <v>90.109800000000007</v>
      </c>
      <c r="E36" s="4">
        <f t="shared" si="4"/>
        <v>103.9319</v>
      </c>
      <c r="F36" s="4">
        <f t="shared" si="4"/>
        <v>116.67156900000001</v>
      </c>
      <c r="G36" s="4">
        <f t="shared" si="4"/>
        <v>128.475345</v>
      </c>
      <c r="H36" s="4">
        <f t="shared" si="4"/>
        <v>138.93902800000001</v>
      </c>
      <c r="I36" s="4">
        <f t="shared" si="4"/>
        <v>147.361423</v>
      </c>
      <c r="J36" s="4">
        <f t="shared" si="4"/>
        <v>154.73343600000001</v>
      </c>
      <c r="K36" s="4">
        <f t="shared" si="4"/>
        <v>161.06496000000001</v>
      </c>
      <c r="L36" s="4">
        <f t="shared" si="4"/>
        <v>165.945111</v>
      </c>
    </row>
    <row r="37" spans="1:12" x14ac:dyDescent="0.25">
      <c r="A37" s="26">
        <v>3</v>
      </c>
      <c r="B37" s="13" t="s">
        <v>11</v>
      </c>
      <c r="C37" s="4">
        <f t="shared" ref="C37:L37" si="5">0.05*C12</f>
        <v>2.7764000000000002</v>
      </c>
      <c r="D37" s="4">
        <f t="shared" si="5"/>
        <v>6.4078080000000002</v>
      </c>
      <c r="E37" s="4">
        <f t="shared" si="5"/>
        <v>7.3928401500000014</v>
      </c>
      <c r="F37" s="4">
        <f t="shared" si="5"/>
        <v>8.294572350000001</v>
      </c>
      <c r="G37" s="4">
        <f t="shared" si="5"/>
        <v>9.1368910000000003</v>
      </c>
      <c r="H37" s="4">
        <f t="shared" si="5"/>
        <v>9.8814098000000001</v>
      </c>
      <c r="I37" s="4">
        <f t="shared" si="5"/>
        <v>10.4807857</v>
      </c>
      <c r="J37" s="4">
        <f t="shared" si="5"/>
        <v>11.012859000000001</v>
      </c>
      <c r="K37" s="4">
        <f t="shared" si="5"/>
        <v>11.455180800000001</v>
      </c>
      <c r="L37" s="4">
        <f t="shared" si="5"/>
        <v>11.801639250000001</v>
      </c>
    </row>
    <row r="38" spans="1:12" ht="30" x14ac:dyDescent="0.25">
      <c r="A38" s="26">
        <v>4</v>
      </c>
      <c r="B38" s="14" t="s">
        <v>12</v>
      </c>
      <c r="C38" s="4">
        <f t="shared" ref="C38:L38" si="6">0.02*C12</f>
        <v>1.11056</v>
      </c>
      <c r="D38" s="4">
        <f t="shared" si="6"/>
        <v>2.5631232000000002</v>
      </c>
      <c r="E38" s="4">
        <f t="shared" si="6"/>
        <v>2.9571360600000003</v>
      </c>
      <c r="F38" s="4">
        <f t="shared" si="6"/>
        <v>3.3178289400000001</v>
      </c>
      <c r="G38" s="4">
        <f t="shared" si="6"/>
        <v>3.6547564000000001</v>
      </c>
      <c r="H38" s="4">
        <f t="shared" si="6"/>
        <v>3.9525639200000002</v>
      </c>
      <c r="I38" s="4">
        <f t="shared" si="6"/>
        <v>4.1923142799999997</v>
      </c>
      <c r="J38" s="4">
        <f t="shared" si="6"/>
        <v>4.4051436000000006</v>
      </c>
      <c r="K38" s="4">
        <f t="shared" si="6"/>
        <v>4.58207232</v>
      </c>
      <c r="L38" s="4">
        <f t="shared" si="6"/>
        <v>4.7206557</v>
      </c>
    </row>
    <row r="39" spans="1:12" x14ac:dyDescent="0.25">
      <c r="A39" s="26">
        <v>5</v>
      </c>
      <c r="B39" s="15" t="s">
        <v>13</v>
      </c>
      <c r="C39">
        <v>1.59</v>
      </c>
      <c r="D39">
        <v>1.65</v>
      </c>
      <c r="E39">
        <v>1.7</v>
      </c>
      <c r="F39">
        <v>1.74</v>
      </c>
      <c r="G39">
        <v>1.77</v>
      </c>
      <c r="H39">
        <v>1.81</v>
      </c>
      <c r="I39">
        <v>1.84</v>
      </c>
      <c r="J39">
        <v>1.88</v>
      </c>
      <c r="K39">
        <v>1.92</v>
      </c>
      <c r="L39">
        <v>1.96</v>
      </c>
    </row>
    <row r="40" spans="1:12" x14ac:dyDescent="0.25">
      <c r="A40" s="26">
        <v>6</v>
      </c>
      <c r="B40" s="15" t="s">
        <v>14</v>
      </c>
      <c r="C40">
        <f t="shared" ref="C40:L40" si="7">C24</f>
        <v>10.28</v>
      </c>
      <c r="D40">
        <f t="shared" si="7"/>
        <v>10.9</v>
      </c>
      <c r="E40">
        <f t="shared" si="7"/>
        <v>11.56</v>
      </c>
      <c r="F40">
        <f t="shared" si="7"/>
        <v>12.23</v>
      </c>
      <c r="G40">
        <f t="shared" si="7"/>
        <v>12.92</v>
      </c>
      <c r="H40">
        <f t="shared" si="7"/>
        <v>13.62</v>
      </c>
      <c r="I40">
        <f t="shared" si="7"/>
        <v>14.33</v>
      </c>
      <c r="J40">
        <f t="shared" si="7"/>
        <v>15.06</v>
      </c>
      <c r="K40">
        <f t="shared" si="7"/>
        <v>15.81</v>
      </c>
      <c r="L40">
        <f t="shared" si="7"/>
        <v>16.57</v>
      </c>
    </row>
    <row r="41" spans="1:12" x14ac:dyDescent="0.25">
      <c r="A41" s="26">
        <v>7</v>
      </c>
      <c r="B41" s="15" t="s">
        <v>128</v>
      </c>
      <c r="C41" s="4">
        <f>SUM(C36:C40)</f>
        <v>54.784960000000005</v>
      </c>
      <c r="D41" s="4">
        <f t="shared" ref="D41:L41" si="8">SUM(D36:D40)</f>
        <v>111.63073120000003</v>
      </c>
      <c r="E41" s="4">
        <f t="shared" si="8"/>
        <v>127.54187621</v>
      </c>
      <c r="F41" s="4">
        <f t="shared" si="8"/>
        <v>142.25397029000001</v>
      </c>
      <c r="G41" s="4">
        <f t="shared" si="8"/>
        <v>155.95699239999999</v>
      </c>
      <c r="H41" s="4">
        <f t="shared" si="8"/>
        <v>168.20300172</v>
      </c>
      <c r="I41" s="4">
        <f t="shared" si="8"/>
        <v>178.20452298000004</v>
      </c>
      <c r="J41" s="4">
        <f t="shared" si="8"/>
        <v>187.0914386</v>
      </c>
      <c r="K41" s="4">
        <f t="shared" si="8"/>
        <v>194.83221312000001</v>
      </c>
      <c r="L41" s="4">
        <f t="shared" si="8"/>
        <v>200.99740595</v>
      </c>
    </row>
    <row r="43" spans="1:12" x14ac:dyDescent="0.25">
      <c r="B43" s="10" t="s">
        <v>21</v>
      </c>
    </row>
    <row r="44" spans="1:12" x14ac:dyDescent="0.25">
      <c r="B44" s="7"/>
      <c r="C44" s="6">
        <v>1</v>
      </c>
      <c r="D44" s="6">
        <v>2</v>
      </c>
      <c r="E44" s="6">
        <v>3</v>
      </c>
      <c r="F44" s="6">
        <v>4</v>
      </c>
      <c r="G44" s="6">
        <v>5</v>
      </c>
      <c r="H44" s="6">
        <v>6</v>
      </c>
      <c r="I44" s="6">
        <v>7</v>
      </c>
      <c r="J44" s="6">
        <v>8</v>
      </c>
      <c r="K44" s="6">
        <v>9</v>
      </c>
      <c r="L44" s="6">
        <v>10</v>
      </c>
    </row>
    <row r="45" spans="1:12" x14ac:dyDescent="0.25">
      <c r="A45" s="26">
        <v>1</v>
      </c>
      <c r="B45" s="7" t="s">
        <v>17</v>
      </c>
      <c r="C45" s="4">
        <f t="shared" ref="C45:L45" si="9">C12</f>
        <v>55.527999999999999</v>
      </c>
      <c r="D45" s="4">
        <f t="shared" si="9"/>
        <v>128.15616</v>
      </c>
      <c r="E45" s="4">
        <f t="shared" si="9"/>
        <v>147.85680300000001</v>
      </c>
      <c r="F45" s="4">
        <f t="shared" si="9"/>
        <v>165.891447</v>
      </c>
      <c r="G45" s="4">
        <f t="shared" si="9"/>
        <v>182.73782</v>
      </c>
      <c r="H45" s="4">
        <f t="shared" si="9"/>
        <v>197.628196</v>
      </c>
      <c r="I45" s="4">
        <f t="shared" si="9"/>
        <v>209.615714</v>
      </c>
      <c r="J45" s="4">
        <f t="shared" si="9"/>
        <v>220.25718000000001</v>
      </c>
      <c r="K45" s="4">
        <f t="shared" si="9"/>
        <v>229.10361599999999</v>
      </c>
      <c r="L45" s="4">
        <f t="shared" si="9"/>
        <v>236.03278499999999</v>
      </c>
    </row>
    <row r="46" spans="1:12" x14ac:dyDescent="0.25">
      <c r="A46" s="26">
        <v>2</v>
      </c>
      <c r="B46" s="7" t="s">
        <v>15</v>
      </c>
      <c r="C46" s="4">
        <f>C41</f>
        <v>54.784960000000005</v>
      </c>
      <c r="D46" s="4">
        <f t="shared" ref="D46:L46" si="10">D41</f>
        <v>111.63073120000003</v>
      </c>
      <c r="E46" s="4">
        <f t="shared" si="10"/>
        <v>127.54187621</v>
      </c>
      <c r="F46" s="4">
        <f t="shared" si="10"/>
        <v>142.25397029000001</v>
      </c>
      <c r="G46" s="4">
        <f t="shared" si="10"/>
        <v>155.95699239999999</v>
      </c>
      <c r="H46" s="4">
        <f t="shared" si="10"/>
        <v>168.20300172</v>
      </c>
      <c r="I46" s="4">
        <f t="shared" si="10"/>
        <v>178.20452298000004</v>
      </c>
      <c r="J46" s="4">
        <f t="shared" si="10"/>
        <v>187.0914386</v>
      </c>
      <c r="K46" s="4">
        <f t="shared" si="10"/>
        <v>194.83221312000001</v>
      </c>
      <c r="L46" s="4">
        <f t="shared" si="10"/>
        <v>200.99740595</v>
      </c>
    </row>
    <row r="47" spans="1:12" x14ac:dyDescent="0.25">
      <c r="A47" s="26">
        <v>3</v>
      </c>
      <c r="B47" s="15" t="s">
        <v>22</v>
      </c>
      <c r="C47" s="4">
        <f>C45-C46</f>
        <v>0.74303999999999348</v>
      </c>
      <c r="D47" s="4">
        <f t="shared" ref="D47:L47" si="11">D45-D46</f>
        <v>16.525428799999972</v>
      </c>
      <c r="E47" s="4">
        <f t="shared" si="11"/>
        <v>20.314926790000015</v>
      </c>
      <c r="F47" s="4">
        <f t="shared" si="11"/>
        <v>23.637476709999987</v>
      </c>
      <c r="G47" s="4">
        <f t="shared" si="11"/>
        <v>26.780827600000009</v>
      </c>
      <c r="H47" s="4">
        <f t="shared" si="11"/>
        <v>29.425194279999999</v>
      </c>
      <c r="I47" s="4">
        <f t="shared" si="11"/>
        <v>31.411191019999961</v>
      </c>
      <c r="J47" s="4">
        <f t="shared" si="11"/>
        <v>33.165741400000002</v>
      </c>
      <c r="K47" s="4">
        <f t="shared" si="11"/>
        <v>34.271402879999982</v>
      </c>
      <c r="L47" s="4">
        <f t="shared" si="11"/>
        <v>35.035379049999989</v>
      </c>
    </row>
    <row r="48" spans="1:12" ht="30" x14ac:dyDescent="0.25">
      <c r="A48" s="26">
        <v>4</v>
      </c>
      <c r="B48" s="8" t="s">
        <v>70</v>
      </c>
      <c r="C48" s="4">
        <f>C47*0.35</f>
        <v>0.26006399999999769</v>
      </c>
      <c r="D48" s="4">
        <f t="shared" ref="D48:L48" si="12">D47*0.35</f>
        <v>5.7839000799999898</v>
      </c>
      <c r="E48" s="4">
        <f t="shared" si="12"/>
        <v>7.1102243765000051</v>
      </c>
      <c r="F48" s="4">
        <f t="shared" si="12"/>
        <v>8.2731168484999955</v>
      </c>
      <c r="G48" s="4">
        <f t="shared" si="12"/>
        <v>9.3732896600000029</v>
      </c>
      <c r="H48" s="4">
        <f t="shared" si="12"/>
        <v>10.298817997999999</v>
      </c>
      <c r="I48" s="4">
        <f t="shared" si="12"/>
        <v>10.993916856999986</v>
      </c>
      <c r="J48" s="4">
        <f t="shared" si="12"/>
        <v>11.608009490000001</v>
      </c>
      <c r="K48" s="4">
        <f t="shared" si="12"/>
        <v>11.994991007999992</v>
      </c>
      <c r="L48" s="4">
        <f t="shared" si="12"/>
        <v>12.262382667499995</v>
      </c>
    </row>
    <row r="49" spans="1:12" x14ac:dyDescent="0.25">
      <c r="A49" s="26">
        <v>5</v>
      </c>
      <c r="B49" s="15" t="s">
        <v>23</v>
      </c>
      <c r="C49" s="4">
        <f>C47-C48</f>
        <v>0.4829759999999958</v>
      </c>
      <c r="D49" s="4">
        <f t="shared" ref="D49:L49" si="13">D47-D48</f>
        <v>10.741528719999982</v>
      </c>
      <c r="E49" s="4">
        <f t="shared" si="13"/>
        <v>13.20470241350001</v>
      </c>
      <c r="F49" s="4">
        <f t="shared" si="13"/>
        <v>15.364359861499992</v>
      </c>
      <c r="G49" s="4">
        <f t="shared" si="13"/>
        <v>17.407537940000005</v>
      </c>
      <c r="H49" s="4">
        <f t="shared" si="13"/>
        <v>19.126376282000003</v>
      </c>
      <c r="I49" s="4">
        <f t="shared" si="13"/>
        <v>20.417274162999973</v>
      </c>
      <c r="J49" s="4">
        <f t="shared" si="13"/>
        <v>21.557731910000001</v>
      </c>
      <c r="K49" s="4">
        <f t="shared" si="13"/>
        <v>22.27641187199999</v>
      </c>
      <c r="L49" s="4">
        <f t="shared" si="13"/>
        <v>22.772996382499993</v>
      </c>
    </row>
  </sheetData>
  <pageMargins left="0.7" right="0.7" top="0.75" bottom="0.75" header="0.3" footer="0.3"/>
  <pageSetup orientation="portrait" horizontalDpi="1200" verticalDpi="1200" r:id="rId1"/>
  <ignoredErrors>
    <ignoredError sqref="C48:L48"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M77"/>
  <sheetViews>
    <sheetView topLeftCell="A46" workbookViewId="0">
      <selection activeCell="B61" sqref="B61"/>
    </sheetView>
  </sheetViews>
  <sheetFormatPr defaultRowHeight="15" x14ac:dyDescent="0.25"/>
  <cols>
    <col min="1" max="1" width="4.140625" customWidth="1"/>
    <col min="2" max="2" width="28" customWidth="1"/>
    <col min="3" max="3" width="9.85546875" customWidth="1"/>
    <col min="4" max="4" width="10.5703125" bestFit="1" customWidth="1"/>
  </cols>
  <sheetData>
    <row r="3" spans="1:13" x14ac:dyDescent="0.25">
      <c r="B3" t="s">
        <v>36</v>
      </c>
    </row>
    <row r="4" spans="1:13" x14ac:dyDescent="0.25">
      <c r="B4" s="7"/>
      <c r="C4" s="7"/>
      <c r="D4" s="6">
        <v>1</v>
      </c>
      <c r="E4" s="6">
        <v>2</v>
      </c>
      <c r="F4" s="6">
        <v>3</v>
      </c>
      <c r="G4" s="6">
        <v>4</v>
      </c>
      <c r="H4" s="6">
        <v>5</v>
      </c>
      <c r="I4" s="6">
        <v>6</v>
      </c>
      <c r="J4" s="6">
        <v>7</v>
      </c>
      <c r="K4" s="6">
        <v>8</v>
      </c>
      <c r="L4" s="6">
        <v>9</v>
      </c>
      <c r="M4" s="6">
        <v>10</v>
      </c>
    </row>
    <row r="5" spans="1:13" x14ac:dyDescent="0.25">
      <c r="A5" s="26">
        <v>1</v>
      </c>
      <c r="B5" s="15" t="s">
        <v>33</v>
      </c>
      <c r="C5" s="7"/>
      <c r="D5" s="4">
        <f>'Free Cashflows'!D13</f>
        <v>1.253599999999544E-2</v>
      </c>
      <c r="E5" s="4">
        <f>'Free Cashflows'!E13</f>
        <v>3.0055719199999817</v>
      </c>
      <c r="F5" s="4">
        <f>'Free Cashflows'!F13</f>
        <v>11.356134898500013</v>
      </c>
      <c r="G5" s="4">
        <f>'Free Cashflows'!G13</f>
        <v>14.140722241499995</v>
      </c>
      <c r="H5" s="4">
        <f>'Free Cashflows'!H13</f>
        <v>16.758668775000004</v>
      </c>
      <c r="I5" s="4">
        <f>'Free Cashflows'!I13</f>
        <v>19.152886801999998</v>
      </c>
      <c r="J5" s="4">
        <f>'Free Cashflows'!J13</f>
        <v>21.218584772999971</v>
      </c>
      <c r="K5" s="4">
        <f>'Free Cashflows'!K13</f>
        <v>22.980377980000004</v>
      </c>
      <c r="L5" s="4">
        <f>'Free Cashflows'!L13</f>
        <v>24.387536091999994</v>
      </c>
      <c r="M5" s="4">
        <f>'Free Cashflows'!M13</f>
        <v>25.59543363749999</v>
      </c>
    </row>
    <row r="6" spans="1:13" x14ac:dyDescent="0.25">
      <c r="A6" s="26">
        <v>2</v>
      </c>
      <c r="B6" s="7" t="s">
        <v>34</v>
      </c>
      <c r="C6" s="7"/>
      <c r="D6" s="4">
        <f>0.1*D5</f>
        <v>1.2535999999995441E-3</v>
      </c>
      <c r="E6" s="4">
        <f t="shared" ref="E6:M6" si="0">0.1*E5</f>
        <v>0.3005571919999982</v>
      </c>
      <c r="F6" s="4">
        <f t="shared" si="0"/>
        <v>1.1356134898500014</v>
      </c>
      <c r="G6" s="4">
        <f t="shared" si="0"/>
        <v>1.4140722241499997</v>
      </c>
      <c r="H6" s="4">
        <f t="shared" si="0"/>
        <v>1.6758668775000005</v>
      </c>
      <c r="I6" s="4">
        <f t="shared" si="0"/>
        <v>1.9152886801999998</v>
      </c>
      <c r="J6" s="4">
        <f t="shared" si="0"/>
        <v>2.1218584772999973</v>
      </c>
      <c r="K6" s="4">
        <f t="shared" si="0"/>
        <v>2.2980377980000006</v>
      </c>
      <c r="L6" s="4">
        <f t="shared" si="0"/>
        <v>2.4387536091999995</v>
      </c>
      <c r="M6" s="4">
        <f t="shared" si="0"/>
        <v>2.5595433637499991</v>
      </c>
    </row>
    <row r="7" spans="1:13" ht="30" x14ac:dyDescent="0.25">
      <c r="A7" s="26">
        <v>3</v>
      </c>
      <c r="B7" s="16" t="s">
        <v>35</v>
      </c>
      <c r="C7" s="8"/>
      <c r="D7" s="4">
        <f>D5-D6</f>
        <v>1.1282399999995895E-2</v>
      </c>
      <c r="E7" s="4">
        <f t="shared" ref="E7:M7" si="1">E5-E6</f>
        <v>2.7050147279999837</v>
      </c>
      <c r="F7" s="4">
        <f t="shared" si="1"/>
        <v>10.220521408650011</v>
      </c>
      <c r="G7" s="4">
        <f t="shared" si="1"/>
        <v>12.726650017349996</v>
      </c>
      <c r="H7" s="4">
        <f t="shared" si="1"/>
        <v>15.082801897500003</v>
      </c>
      <c r="I7" s="4">
        <f t="shared" si="1"/>
        <v>17.237598121799998</v>
      </c>
      <c r="J7" s="4">
        <f t="shared" si="1"/>
        <v>19.096726295699973</v>
      </c>
      <c r="K7" s="4">
        <f t="shared" si="1"/>
        <v>20.682340182000004</v>
      </c>
      <c r="L7" s="4">
        <f t="shared" si="1"/>
        <v>21.948782482799995</v>
      </c>
      <c r="M7" s="4">
        <f t="shared" si="1"/>
        <v>23.035890273749992</v>
      </c>
    </row>
    <row r="10" spans="1:13" x14ac:dyDescent="0.25">
      <c r="B10" t="s">
        <v>115</v>
      </c>
    </row>
    <row r="11" spans="1:13" x14ac:dyDescent="0.25">
      <c r="B11" t="s">
        <v>91</v>
      </c>
    </row>
    <row r="12" spans="1:13" x14ac:dyDescent="0.25">
      <c r="B12" t="s">
        <v>111</v>
      </c>
    </row>
    <row r="13" spans="1:13" x14ac:dyDescent="0.25">
      <c r="B13" t="s">
        <v>109</v>
      </c>
    </row>
    <row r="14" spans="1:13" x14ac:dyDescent="0.25">
      <c r="B14" s="10" t="s">
        <v>41</v>
      </c>
      <c r="C14" s="10"/>
    </row>
    <row r="15" spans="1:13" x14ac:dyDescent="0.25">
      <c r="B15" s="7"/>
      <c r="C15" s="7"/>
      <c r="D15" s="6">
        <v>1</v>
      </c>
      <c r="E15" s="6">
        <v>2</v>
      </c>
      <c r="F15" s="6">
        <v>3</v>
      </c>
      <c r="G15" s="6">
        <v>4</v>
      </c>
      <c r="H15" s="6">
        <v>5</v>
      </c>
      <c r="I15" s="6">
        <v>6</v>
      </c>
      <c r="J15" s="6">
        <v>7</v>
      </c>
      <c r="K15" s="6">
        <v>8</v>
      </c>
      <c r="L15" s="6">
        <v>9</v>
      </c>
      <c r="M15" s="6">
        <v>10</v>
      </c>
    </row>
    <row r="16" spans="1:13" x14ac:dyDescent="0.25">
      <c r="A16" s="26">
        <v>1</v>
      </c>
      <c r="B16" s="15" t="s">
        <v>38</v>
      </c>
      <c r="C16" s="7"/>
      <c r="D16" s="4">
        <f>Forecasts!C49</f>
        <v>0.4829759999999958</v>
      </c>
      <c r="E16" s="4">
        <f>Forecasts!D49</f>
        <v>10.741528719999982</v>
      </c>
      <c r="F16" s="4">
        <f>Forecasts!E49</f>
        <v>13.20470241350001</v>
      </c>
      <c r="G16" s="4">
        <f>Forecasts!F49</f>
        <v>15.364359861499992</v>
      </c>
      <c r="H16" s="4">
        <f>Forecasts!G49</f>
        <v>17.407537940000005</v>
      </c>
      <c r="I16" s="4">
        <f>Forecasts!H49</f>
        <v>19.126376282000003</v>
      </c>
      <c r="J16" s="4">
        <f>Forecasts!I49</f>
        <v>20.417274162999973</v>
      </c>
      <c r="K16" s="4">
        <f>Forecasts!J49</f>
        <v>21.557731910000001</v>
      </c>
      <c r="L16" s="4">
        <f>Forecasts!K49</f>
        <v>22.27641187199999</v>
      </c>
      <c r="M16" s="4">
        <f>Forecasts!L49</f>
        <v>22.772996382499993</v>
      </c>
    </row>
    <row r="17" spans="1:13" ht="30" x14ac:dyDescent="0.25">
      <c r="A17" s="26">
        <v>2</v>
      </c>
      <c r="B17" s="8" t="s">
        <v>37</v>
      </c>
      <c r="C17" s="8"/>
      <c r="D17" s="4">
        <f t="shared" ref="D17:M17" si="2">D5</f>
        <v>1.253599999999544E-2</v>
      </c>
      <c r="E17" s="4">
        <f t="shared" si="2"/>
        <v>3.0055719199999817</v>
      </c>
      <c r="F17" s="4">
        <f t="shared" si="2"/>
        <v>11.356134898500013</v>
      </c>
      <c r="G17" s="4">
        <f t="shared" si="2"/>
        <v>14.140722241499995</v>
      </c>
      <c r="H17" s="4">
        <f t="shared" si="2"/>
        <v>16.758668775000004</v>
      </c>
      <c r="I17" s="4">
        <f t="shared" si="2"/>
        <v>19.152886801999998</v>
      </c>
      <c r="J17" s="4">
        <f t="shared" si="2"/>
        <v>21.218584772999971</v>
      </c>
      <c r="K17" s="4">
        <f t="shared" si="2"/>
        <v>22.980377980000004</v>
      </c>
      <c r="L17" s="4">
        <f t="shared" si="2"/>
        <v>24.387536091999994</v>
      </c>
      <c r="M17" s="4">
        <f t="shared" si="2"/>
        <v>25.59543363749999</v>
      </c>
    </row>
    <row r="18" spans="1:13" x14ac:dyDescent="0.25">
      <c r="A18" s="26">
        <v>3</v>
      </c>
      <c r="B18" s="7" t="s">
        <v>39</v>
      </c>
      <c r="C18" s="7"/>
      <c r="D18" s="4">
        <f>Forecasts!C48</f>
        <v>0.26006399999999769</v>
      </c>
      <c r="E18" s="4">
        <f>Forecasts!D48</f>
        <v>5.7839000799999898</v>
      </c>
      <c r="F18" s="4">
        <f>Forecasts!E48</f>
        <v>7.1102243765000051</v>
      </c>
      <c r="G18" s="4">
        <f>Forecasts!F48</f>
        <v>8.2731168484999955</v>
      </c>
      <c r="H18" s="4">
        <f>Forecasts!G48</f>
        <v>9.3732896600000029</v>
      </c>
      <c r="I18" s="4">
        <f>Forecasts!H48</f>
        <v>10.298817997999999</v>
      </c>
      <c r="J18" s="4">
        <f>Forecasts!I48</f>
        <v>10.993916856999986</v>
      </c>
      <c r="K18" s="4">
        <f>Forecasts!J48</f>
        <v>11.608009490000001</v>
      </c>
      <c r="L18" s="4">
        <f>Forecasts!K48</f>
        <v>11.994991007999992</v>
      </c>
      <c r="M18" s="4">
        <f>Forecasts!L48</f>
        <v>12.262382667499995</v>
      </c>
    </row>
    <row r="19" spans="1:13" x14ac:dyDescent="0.25">
      <c r="A19" s="26">
        <v>4</v>
      </c>
      <c r="B19" s="15" t="s">
        <v>40</v>
      </c>
      <c r="C19" s="7"/>
      <c r="D19" s="4">
        <f>IF(D17&lt;D16,((D17/D16)*D18),D18)</f>
        <v>6.7501538461513895E-3</v>
      </c>
      <c r="E19" s="4">
        <f t="shared" ref="E19:M19" si="3">IF(E17&lt;E16,((E17/E16)*E18),E18)</f>
        <v>1.61838487999999</v>
      </c>
      <c r="F19" s="4">
        <f t="shared" si="3"/>
        <v>6.1148418684230839</v>
      </c>
      <c r="G19" s="4">
        <f t="shared" si="3"/>
        <v>7.6142350531153822</v>
      </c>
      <c r="H19" s="4">
        <f t="shared" si="3"/>
        <v>9.0238985711538486</v>
      </c>
      <c r="I19" s="4">
        <f t="shared" si="3"/>
        <v>10.298817997999999</v>
      </c>
      <c r="J19" s="4">
        <f t="shared" si="3"/>
        <v>10.993916856999986</v>
      </c>
      <c r="K19" s="4">
        <f t="shared" si="3"/>
        <v>11.608009490000001</v>
      </c>
      <c r="L19" s="4">
        <f t="shared" si="3"/>
        <v>11.994991007999992</v>
      </c>
      <c r="M19" s="4">
        <f t="shared" si="3"/>
        <v>12.262382667499995</v>
      </c>
    </row>
    <row r="20" spans="1:13" ht="30" x14ac:dyDescent="0.25">
      <c r="A20" s="26">
        <v>5</v>
      </c>
      <c r="B20" s="8" t="s">
        <v>107</v>
      </c>
      <c r="C20" s="8"/>
      <c r="D20" s="4">
        <f t="shared" ref="D20:M20" si="4">D6</f>
        <v>1.2535999999995441E-3</v>
      </c>
      <c r="E20" s="4">
        <f t="shared" si="4"/>
        <v>0.3005571919999982</v>
      </c>
      <c r="F20" s="4">
        <f t="shared" si="4"/>
        <v>1.1356134898500014</v>
      </c>
      <c r="G20" s="4">
        <f t="shared" si="4"/>
        <v>1.4140722241499997</v>
      </c>
      <c r="H20" s="4">
        <f t="shared" si="4"/>
        <v>1.6758668775000005</v>
      </c>
      <c r="I20" s="4">
        <f t="shared" si="4"/>
        <v>1.9152886801999998</v>
      </c>
      <c r="J20" s="4">
        <f t="shared" si="4"/>
        <v>2.1218584772999973</v>
      </c>
      <c r="K20" s="4">
        <f t="shared" si="4"/>
        <v>2.2980377980000006</v>
      </c>
      <c r="L20" s="4">
        <f t="shared" si="4"/>
        <v>2.4387536091999995</v>
      </c>
      <c r="M20" s="4">
        <f t="shared" si="4"/>
        <v>2.5595433637499991</v>
      </c>
    </row>
    <row r="21" spans="1:13" x14ac:dyDescent="0.25">
      <c r="A21" s="26">
        <v>6</v>
      </c>
      <c r="B21" s="15" t="s">
        <v>110</v>
      </c>
      <c r="C21" s="7"/>
      <c r="D21" s="4">
        <f>D19+D20</f>
        <v>8.0037538461509329E-3</v>
      </c>
      <c r="E21" s="4">
        <f t="shared" ref="E21:M21" si="5">E19+E20</f>
        <v>1.9189420719999881</v>
      </c>
      <c r="F21" s="4">
        <f t="shared" si="5"/>
        <v>7.2504553582730855</v>
      </c>
      <c r="G21" s="4">
        <f t="shared" si="5"/>
        <v>9.0283072772653821</v>
      </c>
      <c r="H21" s="4">
        <f t="shared" si="5"/>
        <v>10.699765448653849</v>
      </c>
      <c r="I21" s="4">
        <f t="shared" si="5"/>
        <v>12.214106678199999</v>
      </c>
      <c r="J21" s="4">
        <f t="shared" si="5"/>
        <v>13.115775334299983</v>
      </c>
      <c r="K21" s="4">
        <f t="shared" si="5"/>
        <v>13.906047288000002</v>
      </c>
      <c r="L21" s="4">
        <f t="shared" si="5"/>
        <v>14.433744617199991</v>
      </c>
      <c r="M21" s="4">
        <f t="shared" si="5"/>
        <v>14.821926031249994</v>
      </c>
    </row>
    <row r="24" spans="1:13" x14ac:dyDescent="0.25">
      <c r="B24" s="10" t="s">
        <v>42</v>
      </c>
      <c r="C24" s="10"/>
    </row>
    <row r="25" spans="1:13" x14ac:dyDescent="0.25">
      <c r="B25" s="7"/>
      <c r="C25" s="7"/>
      <c r="D25" s="6">
        <v>1</v>
      </c>
      <c r="E25" s="6">
        <v>2</v>
      </c>
      <c r="F25" s="6">
        <v>3</v>
      </c>
      <c r="G25" s="6">
        <v>4</v>
      </c>
      <c r="H25" s="6">
        <v>5</v>
      </c>
      <c r="I25" s="6">
        <v>6</v>
      </c>
      <c r="J25" s="6">
        <v>7</v>
      </c>
      <c r="K25" s="6">
        <v>8</v>
      </c>
      <c r="L25" s="6">
        <v>9</v>
      </c>
      <c r="M25" s="6">
        <v>10</v>
      </c>
    </row>
    <row r="26" spans="1:13" ht="30" x14ac:dyDescent="0.25">
      <c r="A26" s="26">
        <v>1</v>
      </c>
      <c r="B26" s="8" t="s">
        <v>43</v>
      </c>
      <c r="C26" s="8"/>
      <c r="D26" s="4">
        <f t="shared" ref="D26:M26" si="6">D21+D7</f>
        <v>1.9286153846146827E-2</v>
      </c>
      <c r="E26" s="4">
        <f t="shared" si="6"/>
        <v>4.6239567999999718</v>
      </c>
      <c r="F26" s="4">
        <f t="shared" si="6"/>
        <v>17.470976766923098</v>
      </c>
      <c r="G26" s="4">
        <f t="shared" si="6"/>
        <v>21.75495729461538</v>
      </c>
      <c r="H26" s="4">
        <f t="shared" si="6"/>
        <v>25.782567346153854</v>
      </c>
      <c r="I26" s="4">
        <f t="shared" si="6"/>
        <v>29.451704799999995</v>
      </c>
      <c r="J26" s="4">
        <f t="shared" si="6"/>
        <v>32.212501629999956</v>
      </c>
      <c r="K26" s="4">
        <f t="shared" si="6"/>
        <v>34.588387470000008</v>
      </c>
      <c r="L26" s="4">
        <f t="shared" si="6"/>
        <v>36.38252709999999</v>
      </c>
      <c r="M26" s="4">
        <f t="shared" si="6"/>
        <v>37.857816304999986</v>
      </c>
    </row>
    <row r="27" spans="1:13" ht="30" x14ac:dyDescent="0.25">
      <c r="A27" s="26">
        <v>2</v>
      </c>
      <c r="B27" s="8" t="s">
        <v>44</v>
      </c>
      <c r="C27" s="8"/>
      <c r="D27" s="4">
        <f>D26*0.34</f>
        <v>6.5572923076899214E-3</v>
      </c>
      <c r="E27" s="4">
        <f t="shared" ref="E27:M27" si="7">E26*0.34</f>
        <v>1.5721453119999904</v>
      </c>
      <c r="F27" s="4">
        <f t="shared" si="7"/>
        <v>5.9401321007538535</v>
      </c>
      <c r="G27" s="4">
        <f t="shared" si="7"/>
        <v>7.3966854801692294</v>
      </c>
      <c r="H27" s="4">
        <f t="shared" si="7"/>
        <v>8.766072897692311</v>
      </c>
      <c r="I27" s="4">
        <f t="shared" si="7"/>
        <v>10.013579631999999</v>
      </c>
      <c r="J27" s="4">
        <f t="shared" si="7"/>
        <v>10.952250554199987</v>
      </c>
      <c r="K27" s="4">
        <f t="shared" si="7"/>
        <v>11.760051739800003</v>
      </c>
      <c r="L27" s="4">
        <f t="shared" si="7"/>
        <v>12.370059213999998</v>
      </c>
      <c r="M27" s="4">
        <f t="shared" si="7"/>
        <v>12.871657543699996</v>
      </c>
    </row>
    <row r="28" spans="1:13" x14ac:dyDescent="0.25">
      <c r="A28" s="26">
        <v>3</v>
      </c>
      <c r="B28" s="7" t="s">
        <v>45</v>
      </c>
      <c r="C28" s="7"/>
      <c r="D28" s="4">
        <f>D21</f>
        <v>8.0037538461509329E-3</v>
      </c>
      <c r="E28" s="4">
        <f t="shared" ref="E28:M28" si="8">E21</f>
        <v>1.9189420719999881</v>
      </c>
      <c r="F28" s="4">
        <f t="shared" si="8"/>
        <v>7.2504553582730855</v>
      </c>
      <c r="G28" s="4">
        <f t="shared" si="8"/>
        <v>9.0283072772653821</v>
      </c>
      <c r="H28" s="4">
        <f t="shared" si="8"/>
        <v>10.699765448653849</v>
      </c>
      <c r="I28" s="4">
        <f t="shared" si="8"/>
        <v>12.214106678199999</v>
      </c>
      <c r="J28" s="4">
        <f t="shared" si="8"/>
        <v>13.115775334299983</v>
      </c>
      <c r="K28" s="4">
        <f t="shared" si="8"/>
        <v>13.906047288000002</v>
      </c>
      <c r="L28" s="4">
        <f t="shared" si="8"/>
        <v>14.433744617199991</v>
      </c>
      <c r="M28" s="4">
        <f t="shared" si="8"/>
        <v>14.821926031249994</v>
      </c>
    </row>
    <row r="29" spans="1:13" x14ac:dyDescent="0.25">
      <c r="A29" s="26">
        <v>4</v>
      </c>
      <c r="B29" s="15" t="s">
        <v>46</v>
      </c>
      <c r="C29" s="7"/>
      <c r="D29" s="4">
        <f>IF(D27&gt;D28,(D27-D28),0)</f>
        <v>0</v>
      </c>
      <c r="E29" s="4">
        <f t="shared" ref="E29:M29" si="9">IF(E27&gt;E28,(E27-E28),0)</f>
        <v>0</v>
      </c>
      <c r="F29" s="4">
        <f t="shared" si="9"/>
        <v>0</v>
      </c>
      <c r="G29" s="4">
        <f t="shared" si="9"/>
        <v>0</v>
      </c>
      <c r="H29" s="4">
        <f t="shared" si="9"/>
        <v>0</v>
      </c>
      <c r="I29" s="4">
        <f t="shared" si="9"/>
        <v>0</v>
      </c>
      <c r="J29" s="4">
        <f t="shared" si="9"/>
        <v>0</v>
      </c>
      <c r="K29" s="4">
        <f t="shared" si="9"/>
        <v>0</v>
      </c>
      <c r="L29" s="4">
        <f t="shared" si="9"/>
        <v>0</v>
      </c>
      <c r="M29" s="4">
        <f t="shared" si="9"/>
        <v>0</v>
      </c>
    </row>
    <row r="30" spans="1:13" x14ac:dyDescent="0.25">
      <c r="A30" s="26">
        <v>5</v>
      </c>
      <c r="B30" s="7" t="s">
        <v>47</v>
      </c>
      <c r="C30" s="7"/>
      <c r="D30" s="4">
        <f>IF(D27&lt;D28,(D28-D27),0)</f>
        <v>1.4464615384610115E-3</v>
      </c>
      <c r="E30" s="4">
        <f t="shared" ref="E30:M30" si="10">IF(E27&lt;E28,(E28-E27),0)</f>
        <v>0.34679675999999771</v>
      </c>
      <c r="F30" s="4">
        <f t="shared" si="10"/>
        <v>1.3103232575192321</v>
      </c>
      <c r="G30" s="4">
        <f t="shared" si="10"/>
        <v>1.6316217970961526</v>
      </c>
      <c r="H30" s="4">
        <f t="shared" si="10"/>
        <v>1.9336925509615384</v>
      </c>
      <c r="I30" s="4">
        <f t="shared" si="10"/>
        <v>2.2005270461999995</v>
      </c>
      <c r="J30" s="4">
        <f t="shared" si="10"/>
        <v>2.1635247800999959</v>
      </c>
      <c r="K30" s="4">
        <f t="shared" si="10"/>
        <v>2.1459955481999984</v>
      </c>
      <c r="L30" s="4">
        <f t="shared" si="10"/>
        <v>2.0636854031999938</v>
      </c>
      <c r="M30" s="4">
        <f t="shared" si="10"/>
        <v>1.950268487549998</v>
      </c>
    </row>
    <row r="32" spans="1:13" s="9" customFormat="1" x14ac:dyDescent="0.25">
      <c r="B32" s="22" t="s">
        <v>96</v>
      </c>
    </row>
    <row r="33" spans="1:13" x14ac:dyDescent="0.25">
      <c r="B33" t="s">
        <v>108</v>
      </c>
    </row>
    <row r="35" spans="1:13" x14ac:dyDescent="0.25">
      <c r="B35" s="10" t="s">
        <v>49</v>
      </c>
    </row>
    <row r="36" spans="1:13" x14ac:dyDescent="0.25">
      <c r="B36" s="7"/>
      <c r="C36" s="6">
        <v>0</v>
      </c>
      <c r="D36" s="6">
        <v>1</v>
      </c>
      <c r="E36" s="6">
        <v>2</v>
      </c>
      <c r="F36" s="6">
        <v>3</v>
      </c>
      <c r="G36" s="6">
        <v>4</v>
      </c>
      <c r="H36" s="6">
        <v>5</v>
      </c>
      <c r="I36" s="6">
        <v>6</v>
      </c>
      <c r="J36" s="6">
        <v>7</v>
      </c>
      <c r="K36" s="6">
        <v>8</v>
      </c>
      <c r="L36" s="6">
        <v>9</v>
      </c>
      <c r="M36" s="6">
        <v>10</v>
      </c>
    </row>
    <row r="37" spans="1:13" x14ac:dyDescent="0.25">
      <c r="A37" s="26">
        <v>1</v>
      </c>
      <c r="B37" s="7" t="s">
        <v>50</v>
      </c>
      <c r="D37" s="4">
        <f t="shared" ref="D37:M37" si="11">D7-D29</f>
        <v>1.1282399999995895E-2</v>
      </c>
      <c r="E37" s="4">
        <f t="shared" si="11"/>
        <v>2.7050147279999837</v>
      </c>
      <c r="F37" s="4">
        <f t="shared" si="11"/>
        <v>10.220521408650011</v>
      </c>
      <c r="G37" s="4">
        <f t="shared" si="11"/>
        <v>12.726650017349996</v>
      </c>
      <c r="H37" s="4">
        <f t="shared" si="11"/>
        <v>15.082801897500003</v>
      </c>
      <c r="I37" s="4">
        <f t="shared" si="11"/>
        <v>17.237598121799998</v>
      </c>
      <c r="J37" s="4">
        <f t="shared" si="11"/>
        <v>19.096726295699973</v>
      </c>
      <c r="K37" s="4">
        <f t="shared" si="11"/>
        <v>20.682340182000004</v>
      </c>
      <c r="L37" s="4">
        <f t="shared" si="11"/>
        <v>21.948782482799995</v>
      </c>
      <c r="M37" s="4">
        <f t="shared" si="11"/>
        <v>23.035890273749992</v>
      </c>
    </row>
    <row r="38" spans="1:13" x14ac:dyDescent="0.25">
      <c r="A38" s="26">
        <v>2</v>
      </c>
      <c r="B38" s="7" t="s">
        <v>26</v>
      </c>
      <c r="C38" s="4">
        <f>1/((1.111)^C36)</f>
        <v>1</v>
      </c>
      <c r="D38" s="4">
        <f t="shared" ref="D38:M38" si="12">1/((1.111)^D36)</f>
        <v>0.90009000900090008</v>
      </c>
      <c r="E38" s="4">
        <f t="shared" si="12"/>
        <v>0.81016202430324036</v>
      </c>
      <c r="F38" s="4">
        <f t="shared" si="12"/>
        <v>0.72921874374729112</v>
      </c>
      <c r="G38" s="4">
        <f t="shared" si="12"/>
        <v>0.65636250562312426</v>
      </c>
      <c r="H38" s="4">
        <f t="shared" si="12"/>
        <v>0.59078533359417129</v>
      </c>
      <c r="I38" s="4">
        <f t="shared" si="12"/>
        <v>0.53175997623237736</v>
      </c>
      <c r="J38" s="4">
        <f t="shared" si="12"/>
        <v>0.47863184179331897</v>
      </c>
      <c r="K38" s="4">
        <f t="shared" si="12"/>
        <v>0.43081173878786588</v>
      </c>
      <c r="L38" s="4">
        <f t="shared" si="12"/>
        <v>0.38776934184326362</v>
      </c>
      <c r="M38" s="4">
        <f t="shared" si="12"/>
        <v>0.3490273103899762</v>
      </c>
    </row>
    <row r="39" spans="1:13" x14ac:dyDescent="0.25">
      <c r="A39" s="26">
        <v>3</v>
      </c>
      <c r="B39" s="7" t="s">
        <v>51</v>
      </c>
      <c r="D39" s="4">
        <f>D37*D38</f>
        <v>1.0155175517548061E-2</v>
      </c>
      <c r="E39" s="4">
        <f t="shared" ref="E39:M39" si="13">E37*E38</f>
        <v>2.1915002078065458</v>
      </c>
      <c r="F39" s="4">
        <f t="shared" si="13"/>
        <v>7.4529957820580552</v>
      </c>
      <c r="G39" s="4">
        <f t="shared" si="13"/>
        <v>8.353295893576421</v>
      </c>
      <c r="H39" s="4">
        <f t="shared" si="13"/>
        <v>8.9106981505493383</v>
      </c>
      <c r="I39" s="4">
        <f t="shared" si="13"/>
        <v>9.16626476755164</v>
      </c>
      <c r="J39" s="4">
        <f t="shared" si="13"/>
        <v>9.1403012791337837</v>
      </c>
      <c r="K39" s="4">
        <f t="shared" si="13"/>
        <v>8.9101949360095691</v>
      </c>
      <c r="L39" s="4">
        <f t="shared" si="13"/>
        <v>8.5110649376163074</v>
      </c>
      <c r="M39" s="4">
        <f t="shared" si="13"/>
        <v>8.0401548246855725</v>
      </c>
    </row>
    <row r="40" spans="1:13" ht="30" x14ac:dyDescent="0.25">
      <c r="A40" s="26">
        <v>4</v>
      </c>
      <c r="B40" s="8" t="s">
        <v>53</v>
      </c>
      <c r="M40" s="4">
        <f>M37*1.02/(0.111-0.02)</f>
        <v>258.2044843870878</v>
      </c>
    </row>
    <row r="41" spans="1:13" ht="30" x14ac:dyDescent="0.25">
      <c r="A41" s="26">
        <v>5</v>
      </c>
      <c r="B41" s="8" t="s">
        <v>54</v>
      </c>
      <c r="C41" s="4">
        <f>M40/((1.111)^10)</f>
        <v>90.12041671625586</v>
      </c>
    </row>
    <row r="42" spans="1:13" x14ac:dyDescent="0.25">
      <c r="A42" s="26">
        <v>6</v>
      </c>
      <c r="B42" s="15" t="s">
        <v>52</v>
      </c>
      <c r="C42" s="4">
        <f>C41+SUM(D39:M39)</f>
        <v>160.80704267076064</v>
      </c>
    </row>
    <row r="44" spans="1:13" x14ac:dyDescent="0.25">
      <c r="B44" t="s">
        <v>116</v>
      </c>
    </row>
    <row r="45" spans="1:13" x14ac:dyDescent="0.25">
      <c r="B45" t="s">
        <v>117</v>
      </c>
    </row>
    <row r="46" spans="1:13" x14ac:dyDescent="0.25">
      <c r="B46" s="10" t="s">
        <v>55</v>
      </c>
    </row>
    <row r="47" spans="1:13" x14ac:dyDescent="0.25">
      <c r="B47" s="7"/>
      <c r="C47" s="6">
        <v>0</v>
      </c>
      <c r="D47" s="6">
        <v>1</v>
      </c>
      <c r="E47" s="6">
        <v>2</v>
      </c>
      <c r="F47" s="6">
        <v>3</v>
      </c>
      <c r="G47" s="6">
        <v>4</v>
      </c>
      <c r="H47" s="6">
        <v>5</v>
      </c>
      <c r="I47" s="6">
        <v>6</v>
      </c>
      <c r="J47" s="6">
        <v>7</v>
      </c>
      <c r="K47" s="6">
        <v>8</v>
      </c>
      <c r="L47" s="6">
        <v>9</v>
      </c>
      <c r="M47" s="6">
        <v>10</v>
      </c>
    </row>
    <row r="48" spans="1:13" x14ac:dyDescent="0.25">
      <c r="A48" s="26">
        <v>1</v>
      </c>
      <c r="B48" s="7" t="s">
        <v>56</v>
      </c>
      <c r="D48" s="4">
        <f>0.05*Forecasts!C12</f>
        <v>2.7764000000000002</v>
      </c>
      <c r="E48" s="4">
        <f>0.05*Forecasts!D12</f>
        <v>6.4078080000000002</v>
      </c>
      <c r="F48" s="4">
        <f>0.05*Forecasts!E12</f>
        <v>7.3928401500000014</v>
      </c>
      <c r="G48" s="4">
        <f>0.05*Forecasts!F12</f>
        <v>8.294572350000001</v>
      </c>
      <c r="H48" s="4">
        <f>0.05*Forecasts!G12</f>
        <v>9.1368910000000003</v>
      </c>
      <c r="I48" s="4">
        <f>0.05*Forecasts!H12</f>
        <v>9.8814098000000001</v>
      </c>
      <c r="J48" s="4">
        <f>0.05*Forecasts!I12</f>
        <v>10.4807857</v>
      </c>
      <c r="K48" s="4">
        <f>0.05*Forecasts!J12</f>
        <v>11.012859000000001</v>
      </c>
      <c r="L48" s="4">
        <f>0.05*Forecasts!K12</f>
        <v>11.455180800000001</v>
      </c>
      <c r="M48" s="4">
        <f>0.05*Forecasts!L12</f>
        <v>11.801639250000001</v>
      </c>
    </row>
    <row r="49" spans="1:13" x14ac:dyDescent="0.25">
      <c r="A49" s="26">
        <v>2</v>
      </c>
      <c r="B49" s="7" t="s">
        <v>57</v>
      </c>
      <c r="D49" s="4">
        <f>D48*0.1</f>
        <v>0.27764000000000005</v>
      </c>
      <c r="E49" s="4">
        <f t="shared" ref="E49:M49" si="14">E48*0.1</f>
        <v>0.64078080000000004</v>
      </c>
      <c r="F49" s="4">
        <f t="shared" si="14"/>
        <v>0.73928401500000018</v>
      </c>
      <c r="G49" s="4">
        <f t="shared" si="14"/>
        <v>0.82945723500000013</v>
      </c>
      <c r="H49" s="4">
        <f t="shared" si="14"/>
        <v>0.91368910000000003</v>
      </c>
      <c r="I49" s="4">
        <f t="shared" si="14"/>
        <v>0.98814098000000006</v>
      </c>
      <c r="J49" s="4">
        <f t="shared" si="14"/>
        <v>1.0480785700000002</v>
      </c>
      <c r="K49" s="4">
        <f t="shared" si="14"/>
        <v>1.1012859000000002</v>
      </c>
      <c r="L49" s="4">
        <f t="shared" si="14"/>
        <v>1.1455180800000002</v>
      </c>
      <c r="M49" s="4">
        <f t="shared" si="14"/>
        <v>1.1801639250000002</v>
      </c>
    </row>
    <row r="50" spans="1:13" x14ac:dyDescent="0.25">
      <c r="A50" s="26">
        <v>3</v>
      </c>
      <c r="B50" s="7" t="s">
        <v>58</v>
      </c>
      <c r="D50" s="4">
        <f>0.02*Forecasts!C12</f>
        <v>1.11056</v>
      </c>
      <c r="E50" s="4">
        <f>0.02*Forecasts!D12</f>
        <v>2.5631232000000002</v>
      </c>
      <c r="F50" s="4">
        <f>0.02*Forecasts!E12</f>
        <v>2.9571360600000003</v>
      </c>
      <c r="G50" s="4">
        <f>0.02*Forecasts!F12</f>
        <v>3.3178289400000001</v>
      </c>
      <c r="H50" s="4">
        <f>0.02*Forecasts!G12</f>
        <v>3.6547564000000001</v>
      </c>
      <c r="I50" s="4">
        <f>0.02*Forecasts!H12</f>
        <v>3.9525639200000002</v>
      </c>
      <c r="J50" s="4">
        <f>0.02*Forecasts!I12</f>
        <v>4.1923142799999997</v>
      </c>
      <c r="K50" s="4">
        <f>0.02*Forecasts!J12</f>
        <v>4.4051436000000006</v>
      </c>
      <c r="L50" s="4">
        <f>0.02*Forecasts!K12</f>
        <v>4.58207232</v>
      </c>
      <c r="M50" s="4">
        <f>0.02*Forecasts!L12</f>
        <v>4.7206557</v>
      </c>
    </row>
    <row r="51" spans="1:13" x14ac:dyDescent="0.25">
      <c r="A51" s="26">
        <v>4</v>
      </c>
      <c r="B51" s="7" t="s">
        <v>57</v>
      </c>
      <c r="D51" s="4">
        <f>D50*0.1</f>
        <v>0.111056</v>
      </c>
      <c r="E51" s="4">
        <f t="shared" ref="E51:M51" si="15">E50*0.1</f>
        <v>0.25631232000000004</v>
      </c>
      <c r="F51" s="4">
        <f t="shared" si="15"/>
        <v>0.29571360600000002</v>
      </c>
      <c r="G51" s="4">
        <f t="shared" si="15"/>
        <v>0.33178289400000005</v>
      </c>
      <c r="H51" s="4">
        <f t="shared" si="15"/>
        <v>0.36547564000000005</v>
      </c>
      <c r="I51" s="4">
        <f t="shared" si="15"/>
        <v>0.39525639200000007</v>
      </c>
      <c r="J51" s="4">
        <f t="shared" si="15"/>
        <v>0.41923142800000002</v>
      </c>
      <c r="K51" s="4">
        <f t="shared" si="15"/>
        <v>0.4405143600000001</v>
      </c>
      <c r="L51" s="4">
        <f t="shared" si="15"/>
        <v>0.45820723200000002</v>
      </c>
      <c r="M51" s="4">
        <f t="shared" si="15"/>
        <v>0.47206557000000005</v>
      </c>
    </row>
    <row r="52" spans="1:13" ht="30" x14ac:dyDescent="0.25">
      <c r="A52" s="26">
        <v>5</v>
      </c>
      <c r="B52" s="16" t="s">
        <v>62</v>
      </c>
      <c r="D52" s="4">
        <f>(D48+D50)-(D49+D51)</f>
        <v>3.4982640000000003</v>
      </c>
      <c r="E52" s="4">
        <f t="shared" ref="E52:M52" si="16">(E48+E50)-(E49+E51)</f>
        <v>8.0738380800000016</v>
      </c>
      <c r="F52" s="4">
        <f t="shared" si="16"/>
        <v>9.3149785890000008</v>
      </c>
      <c r="G52" s="4">
        <f t="shared" si="16"/>
        <v>10.451161161000002</v>
      </c>
      <c r="H52" s="4">
        <f t="shared" si="16"/>
        <v>11.51248266</v>
      </c>
      <c r="I52" s="4">
        <f t="shared" si="16"/>
        <v>12.450576347999998</v>
      </c>
      <c r="J52" s="4">
        <f t="shared" si="16"/>
        <v>13.205789981999999</v>
      </c>
      <c r="K52" s="4">
        <f t="shared" si="16"/>
        <v>13.876202340000001</v>
      </c>
      <c r="L52" s="4">
        <f t="shared" si="16"/>
        <v>14.433527808000003</v>
      </c>
      <c r="M52" s="4">
        <f t="shared" si="16"/>
        <v>14.870065455000002</v>
      </c>
    </row>
    <row r="53" spans="1:13" x14ac:dyDescent="0.25">
      <c r="A53" s="26">
        <v>6</v>
      </c>
      <c r="B53" s="7" t="s">
        <v>59</v>
      </c>
      <c r="D53" s="4">
        <f>D52*0.3</f>
        <v>1.0494791999999999</v>
      </c>
      <c r="E53" s="4">
        <f t="shared" ref="E53:M53" si="17">E52*0.3</f>
        <v>2.4221514240000004</v>
      </c>
      <c r="F53" s="4">
        <f t="shared" si="17"/>
        <v>2.7944935767000003</v>
      </c>
      <c r="G53" s="4">
        <f t="shared" si="17"/>
        <v>3.1353483483000004</v>
      </c>
      <c r="H53" s="4">
        <f t="shared" si="17"/>
        <v>3.4537447979999998</v>
      </c>
      <c r="I53" s="4">
        <f t="shared" si="17"/>
        <v>3.7351729043999993</v>
      </c>
      <c r="J53" s="4">
        <f t="shared" si="17"/>
        <v>3.9617369945999994</v>
      </c>
      <c r="K53" s="4">
        <f t="shared" si="17"/>
        <v>4.1628607019999997</v>
      </c>
      <c r="L53" s="4">
        <f t="shared" si="17"/>
        <v>4.330058342400001</v>
      </c>
      <c r="M53" s="4">
        <f t="shared" si="17"/>
        <v>4.4610196365000006</v>
      </c>
    </row>
    <row r="54" spans="1:13" x14ac:dyDescent="0.25">
      <c r="A54" s="26">
        <v>7</v>
      </c>
      <c r="B54" s="7" t="s">
        <v>47</v>
      </c>
      <c r="D54" s="4">
        <f t="shared" ref="D54:M54" si="18">D30</f>
        <v>1.4464615384610115E-3</v>
      </c>
      <c r="E54" s="4">
        <f t="shared" si="18"/>
        <v>0.34679675999999771</v>
      </c>
      <c r="F54" s="4">
        <f t="shared" si="18"/>
        <v>1.3103232575192321</v>
      </c>
      <c r="G54" s="4">
        <f t="shared" si="18"/>
        <v>1.6316217970961526</v>
      </c>
      <c r="H54" s="4">
        <f t="shared" si="18"/>
        <v>1.9336925509615384</v>
      </c>
      <c r="I54" s="4">
        <f t="shared" si="18"/>
        <v>2.2005270461999995</v>
      </c>
      <c r="J54" s="4">
        <f t="shared" si="18"/>
        <v>2.1635247800999959</v>
      </c>
      <c r="K54" s="4">
        <f t="shared" si="18"/>
        <v>2.1459955481999984</v>
      </c>
      <c r="L54" s="4">
        <f t="shared" si="18"/>
        <v>2.0636854031999938</v>
      </c>
      <c r="M54" s="4">
        <f t="shared" si="18"/>
        <v>1.950268487549998</v>
      </c>
    </row>
    <row r="55" spans="1:13" x14ac:dyDescent="0.25">
      <c r="A55" s="26">
        <v>8</v>
      </c>
      <c r="B55" s="15" t="s">
        <v>60</v>
      </c>
      <c r="D55" s="4">
        <f>D53-D49-D51-D54</f>
        <v>0.65933673846153873</v>
      </c>
      <c r="E55" s="4">
        <f t="shared" ref="E55:M55" si="19">E53-E49-E51-E54</f>
        <v>1.1782615440000026</v>
      </c>
      <c r="F55" s="4">
        <f t="shared" si="19"/>
        <v>0.44917269818076777</v>
      </c>
      <c r="G55" s="4">
        <f t="shared" si="19"/>
        <v>0.34248642220384773</v>
      </c>
      <c r="H55" s="4">
        <f t="shared" si="19"/>
        <v>0.24088750703846129</v>
      </c>
      <c r="I55" s="4">
        <f t="shared" si="19"/>
        <v>0.1512484861999992</v>
      </c>
      <c r="J55" s="4">
        <f t="shared" si="19"/>
        <v>0.33090221650000373</v>
      </c>
      <c r="K55" s="4">
        <f t="shared" si="19"/>
        <v>0.47506489380000083</v>
      </c>
      <c r="L55" s="4">
        <f t="shared" si="19"/>
        <v>0.66264762720000681</v>
      </c>
      <c r="M55" s="4">
        <f t="shared" si="19"/>
        <v>0.85852165395000224</v>
      </c>
    </row>
    <row r="56" spans="1:13" x14ac:dyDescent="0.25">
      <c r="A56" s="26">
        <v>9</v>
      </c>
      <c r="B56" s="7" t="s">
        <v>61</v>
      </c>
      <c r="D56" s="4">
        <f>D52-D55</f>
        <v>2.8389272615384615</v>
      </c>
      <c r="E56" s="4">
        <f t="shared" ref="E56:M56" si="20">E52-E55</f>
        <v>6.8955765359999992</v>
      </c>
      <c r="F56" s="4">
        <f t="shared" si="20"/>
        <v>8.8658058908192334</v>
      </c>
      <c r="G56" s="4">
        <f t="shared" si="20"/>
        <v>10.108674738796154</v>
      </c>
      <c r="H56" s="4">
        <f t="shared" si="20"/>
        <v>11.271595152961538</v>
      </c>
      <c r="I56" s="4">
        <f t="shared" si="20"/>
        <v>12.299327861799998</v>
      </c>
      <c r="J56" s="4">
        <f t="shared" si="20"/>
        <v>12.874887765499995</v>
      </c>
      <c r="K56" s="4">
        <f t="shared" si="20"/>
        <v>13.4011374462</v>
      </c>
      <c r="L56" s="4">
        <f t="shared" si="20"/>
        <v>13.770880180799995</v>
      </c>
      <c r="M56" s="4">
        <f t="shared" si="20"/>
        <v>14.011543801049999</v>
      </c>
    </row>
    <row r="57" spans="1:13" x14ac:dyDescent="0.25">
      <c r="A57" s="26">
        <v>10</v>
      </c>
      <c r="B57" s="7" t="s">
        <v>26</v>
      </c>
      <c r="C57" s="4">
        <f>1/((1.111)^C47)</f>
        <v>1</v>
      </c>
      <c r="D57" s="4">
        <f t="shared" ref="D57:M57" si="21">1/((1.111)^D47)</f>
        <v>0.90009000900090008</v>
      </c>
      <c r="E57" s="4">
        <f t="shared" si="21"/>
        <v>0.81016202430324036</v>
      </c>
      <c r="F57" s="4">
        <f t="shared" si="21"/>
        <v>0.72921874374729112</v>
      </c>
      <c r="G57" s="4">
        <f t="shared" si="21"/>
        <v>0.65636250562312426</v>
      </c>
      <c r="H57" s="4">
        <f t="shared" si="21"/>
        <v>0.59078533359417129</v>
      </c>
      <c r="I57" s="4">
        <f t="shared" si="21"/>
        <v>0.53175997623237736</v>
      </c>
      <c r="J57" s="4">
        <f t="shared" si="21"/>
        <v>0.47863184179331897</v>
      </c>
      <c r="K57" s="4">
        <f t="shared" si="21"/>
        <v>0.43081173878786588</v>
      </c>
      <c r="L57" s="4">
        <f t="shared" si="21"/>
        <v>0.38776934184326362</v>
      </c>
      <c r="M57" s="4">
        <f t="shared" si="21"/>
        <v>0.3490273103899762</v>
      </c>
    </row>
    <row r="58" spans="1:13" x14ac:dyDescent="0.25">
      <c r="A58" s="26">
        <v>11</v>
      </c>
      <c r="B58" s="7" t="s">
        <v>63</v>
      </c>
      <c r="D58" s="4">
        <f>D56*D57</f>
        <v>2.5552900643910545</v>
      </c>
      <c r="E58" s="4">
        <f t="shared" ref="E58:M58" si="22">E56*E57</f>
        <v>5.5865342451436852</v>
      </c>
      <c r="F58" s="4">
        <f t="shared" si="22"/>
        <v>6.4651118340105347</v>
      </c>
      <c r="G58" s="4">
        <f t="shared" si="22"/>
        <v>6.6349550800854242</v>
      </c>
      <c r="H58" s="4">
        <f t="shared" si="22"/>
        <v>6.6590931025808269</v>
      </c>
      <c r="I58" s="4">
        <f t="shared" si="22"/>
        <v>6.5402902914649834</v>
      </c>
      <c r="J58" s="4">
        <f t="shared" si="22"/>
        <v>6.1623312440835321</v>
      </c>
      <c r="K58" s="4">
        <f t="shared" si="22"/>
        <v>5.7733673249326021</v>
      </c>
      <c r="L58" s="4">
        <f t="shared" si="22"/>
        <v>5.3399251443112572</v>
      </c>
      <c r="M58" s="4">
        <f t="shared" si="22"/>
        <v>4.8904114472918252</v>
      </c>
    </row>
    <row r="59" spans="1:13" ht="30" x14ac:dyDescent="0.25">
      <c r="A59" s="26">
        <v>12</v>
      </c>
      <c r="B59" s="8" t="s">
        <v>64</v>
      </c>
      <c r="M59" s="4">
        <f>(M56*1.02)/(0.111-0.02)</f>
        <v>157.05246897880221</v>
      </c>
    </row>
    <row r="60" spans="1:13" ht="30" x14ac:dyDescent="0.25">
      <c r="A60" s="26">
        <v>13</v>
      </c>
      <c r="B60" s="8" t="s">
        <v>65</v>
      </c>
      <c r="C60" s="4">
        <f>M59/((1.111)^10)</f>
        <v>54.815600837776508</v>
      </c>
    </row>
    <row r="61" spans="1:13" x14ac:dyDescent="0.25">
      <c r="A61" s="26">
        <v>14</v>
      </c>
      <c r="B61" s="15" t="s">
        <v>66</v>
      </c>
      <c r="C61" s="4">
        <f>C60+SUM(D58:M58)</f>
        <v>111.42291061607224</v>
      </c>
    </row>
    <row r="63" spans="1:13" x14ac:dyDescent="0.25">
      <c r="B63" t="s">
        <v>118</v>
      </c>
    </row>
    <row r="64" spans="1:13" x14ac:dyDescent="0.25">
      <c r="B64" t="s">
        <v>120</v>
      </c>
    </row>
    <row r="66" spans="1:13" x14ac:dyDescent="0.25">
      <c r="B66" s="7"/>
      <c r="C66" s="6">
        <v>0</v>
      </c>
      <c r="D66" s="6">
        <v>1</v>
      </c>
      <c r="E66" s="6">
        <v>2</v>
      </c>
      <c r="F66" s="6">
        <v>3</v>
      </c>
      <c r="G66" s="6">
        <v>4</v>
      </c>
      <c r="H66" s="6">
        <v>5</v>
      </c>
      <c r="I66" s="6">
        <v>6</v>
      </c>
      <c r="J66" s="6">
        <v>7</v>
      </c>
      <c r="K66" s="6">
        <v>8</v>
      </c>
      <c r="L66" s="6">
        <v>9</v>
      </c>
      <c r="M66" s="6">
        <v>10</v>
      </c>
    </row>
    <row r="67" spans="1:13" x14ac:dyDescent="0.25">
      <c r="A67" s="26">
        <v>1</v>
      </c>
      <c r="B67" s="7" t="s">
        <v>1</v>
      </c>
      <c r="D67" s="3">
        <v>22000</v>
      </c>
      <c r="E67" s="3">
        <v>48840</v>
      </c>
      <c r="F67" s="3">
        <v>54701</v>
      </c>
      <c r="G67" s="3">
        <v>60171</v>
      </c>
      <c r="H67" s="3">
        <v>64985</v>
      </c>
      <c r="I67" s="3">
        <v>68884</v>
      </c>
      <c r="J67" s="3">
        <v>71639</v>
      </c>
      <c r="K67" s="3">
        <v>73788</v>
      </c>
      <c r="L67" s="3">
        <v>75264</v>
      </c>
      <c r="M67" s="3">
        <v>76017</v>
      </c>
    </row>
    <row r="68" spans="1:13" x14ac:dyDescent="0.25">
      <c r="A68" s="26">
        <v>2</v>
      </c>
      <c r="B68" s="23" t="s">
        <v>97</v>
      </c>
      <c r="D68">
        <v>407</v>
      </c>
      <c r="E68">
        <v>423</v>
      </c>
      <c r="F68">
        <v>436</v>
      </c>
      <c r="G68">
        <v>445</v>
      </c>
      <c r="H68">
        <v>454</v>
      </c>
      <c r="I68">
        <v>463</v>
      </c>
      <c r="J68">
        <v>472</v>
      </c>
      <c r="K68">
        <v>481</v>
      </c>
      <c r="L68">
        <v>491</v>
      </c>
      <c r="M68">
        <v>501</v>
      </c>
    </row>
    <row r="69" spans="1:13" x14ac:dyDescent="0.25">
      <c r="A69" s="26">
        <v>3</v>
      </c>
      <c r="B69" s="7" t="s">
        <v>98</v>
      </c>
      <c r="D69" s="24">
        <f>(D67*D68)/1000000</f>
        <v>8.9540000000000006</v>
      </c>
      <c r="E69" s="24">
        <f t="shared" ref="E69:M69" si="23">(E67*E68)/1000000</f>
        <v>20.659320000000001</v>
      </c>
      <c r="F69" s="24">
        <f t="shared" si="23"/>
        <v>23.849636</v>
      </c>
      <c r="G69" s="24">
        <f t="shared" si="23"/>
        <v>26.776095000000002</v>
      </c>
      <c r="H69" s="24">
        <f t="shared" si="23"/>
        <v>29.50319</v>
      </c>
      <c r="I69" s="24">
        <f t="shared" si="23"/>
        <v>31.893291999999999</v>
      </c>
      <c r="J69" s="24">
        <f t="shared" si="23"/>
        <v>33.813608000000002</v>
      </c>
      <c r="K69" s="24">
        <f t="shared" si="23"/>
        <v>35.492027999999998</v>
      </c>
      <c r="L69" s="24">
        <f t="shared" si="23"/>
        <v>36.954624000000003</v>
      </c>
      <c r="M69" s="24">
        <f t="shared" si="23"/>
        <v>38.084516999999998</v>
      </c>
    </row>
    <row r="70" spans="1:13" ht="30" x14ac:dyDescent="0.25">
      <c r="A70" s="26">
        <v>4</v>
      </c>
      <c r="B70" s="8" t="s">
        <v>99</v>
      </c>
      <c r="D70" s="24">
        <f>0.16*D69</f>
        <v>1.4326400000000001</v>
      </c>
      <c r="E70" s="24">
        <f t="shared" ref="E70:M70" si="24">0.16*E69</f>
        <v>3.3054912000000001</v>
      </c>
      <c r="F70" s="24">
        <f t="shared" si="24"/>
        <v>3.8159417600000003</v>
      </c>
      <c r="G70" s="24">
        <f t="shared" si="24"/>
        <v>4.2841752</v>
      </c>
      <c r="H70" s="24">
        <f t="shared" si="24"/>
        <v>4.7205104000000002</v>
      </c>
      <c r="I70" s="24">
        <f t="shared" si="24"/>
        <v>5.1029267200000001</v>
      </c>
      <c r="J70" s="24">
        <f t="shared" si="24"/>
        <v>5.4101772800000001</v>
      </c>
      <c r="K70" s="24">
        <f t="shared" si="24"/>
        <v>5.6787244799999996</v>
      </c>
      <c r="L70" s="24">
        <f t="shared" si="24"/>
        <v>5.9127398400000004</v>
      </c>
      <c r="M70" s="24">
        <f t="shared" si="24"/>
        <v>6.0935227200000002</v>
      </c>
    </row>
    <row r="71" spans="1:13" ht="30" x14ac:dyDescent="0.25">
      <c r="A71" s="26">
        <v>5</v>
      </c>
      <c r="B71" s="8" t="s">
        <v>100</v>
      </c>
      <c r="D71" s="24">
        <f>D70*0.3</f>
        <v>0.42979200000000001</v>
      </c>
      <c r="E71" s="24">
        <f t="shared" ref="E71:M71" si="25">E70*0.3</f>
        <v>0.99164735999999998</v>
      </c>
      <c r="F71" s="24">
        <f t="shared" si="25"/>
        <v>1.1447825280000001</v>
      </c>
      <c r="G71" s="24">
        <f t="shared" si="25"/>
        <v>1.28525256</v>
      </c>
      <c r="H71" s="24">
        <f t="shared" si="25"/>
        <v>1.4161531199999999</v>
      </c>
      <c r="I71" s="24">
        <f t="shared" si="25"/>
        <v>1.530878016</v>
      </c>
      <c r="J71" s="24">
        <f t="shared" si="25"/>
        <v>1.623053184</v>
      </c>
      <c r="K71" s="24">
        <f t="shared" si="25"/>
        <v>1.7036173439999998</v>
      </c>
      <c r="L71" s="24">
        <f t="shared" si="25"/>
        <v>1.773821952</v>
      </c>
      <c r="M71" s="24">
        <f t="shared" si="25"/>
        <v>1.8280568159999999</v>
      </c>
    </row>
    <row r="72" spans="1:13" x14ac:dyDescent="0.25">
      <c r="A72" s="26">
        <v>6</v>
      </c>
      <c r="B72" s="15" t="s">
        <v>101</v>
      </c>
      <c r="D72" s="24">
        <f>D70-D71</f>
        <v>1.0028480000000002</v>
      </c>
      <c r="E72" s="24">
        <f t="shared" ref="E72:M72" si="26">E70-E71</f>
        <v>2.3138438400000001</v>
      </c>
      <c r="F72" s="24">
        <f t="shared" si="26"/>
        <v>2.6711592319999999</v>
      </c>
      <c r="G72" s="24">
        <f t="shared" si="26"/>
        <v>2.99892264</v>
      </c>
      <c r="H72" s="24">
        <f t="shared" si="26"/>
        <v>3.3043572800000005</v>
      </c>
      <c r="I72" s="24">
        <f t="shared" si="26"/>
        <v>3.5720487040000002</v>
      </c>
      <c r="J72" s="24">
        <f t="shared" si="26"/>
        <v>3.7871240960000003</v>
      </c>
      <c r="K72" s="24">
        <f t="shared" si="26"/>
        <v>3.9751071360000001</v>
      </c>
      <c r="L72" s="24">
        <f t="shared" si="26"/>
        <v>4.1389178879999999</v>
      </c>
      <c r="M72" s="24">
        <f t="shared" si="26"/>
        <v>4.265465904</v>
      </c>
    </row>
    <row r="73" spans="1:13" x14ac:dyDescent="0.25">
      <c r="A73" s="26">
        <v>7</v>
      </c>
      <c r="B73" s="7" t="s">
        <v>102</v>
      </c>
      <c r="C73">
        <f>1/(1.111^C66)</f>
        <v>1</v>
      </c>
      <c r="D73" s="4">
        <f t="shared" ref="D73:M73" si="27">1/(1.111^D66)</f>
        <v>0.90009000900090008</v>
      </c>
      <c r="E73" s="4">
        <f t="shared" si="27"/>
        <v>0.81016202430324036</v>
      </c>
      <c r="F73" s="4">
        <f t="shared" si="27"/>
        <v>0.72921874374729112</v>
      </c>
      <c r="G73" s="4">
        <f t="shared" si="27"/>
        <v>0.65636250562312426</v>
      </c>
      <c r="H73" s="4">
        <f t="shared" si="27"/>
        <v>0.59078533359417129</v>
      </c>
      <c r="I73" s="4">
        <f t="shared" si="27"/>
        <v>0.53175997623237736</v>
      </c>
      <c r="J73" s="4">
        <f t="shared" si="27"/>
        <v>0.47863184179331897</v>
      </c>
      <c r="K73" s="4">
        <f t="shared" si="27"/>
        <v>0.43081173878786588</v>
      </c>
      <c r="L73" s="4">
        <f t="shared" si="27"/>
        <v>0.38776934184326362</v>
      </c>
      <c r="M73" s="4">
        <f t="shared" si="27"/>
        <v>0.3490273103899762</v>
      </c>
    </row>
    <row r="74" spans="1:13" x14ac:dyDescent="0.25">
      <c r="A74" s="26">
        <v>8</v>
      </c>
      <c r="B74" s="15" t="s">
        <v>103</v>
      </c>
      <c r="D74" s="24">
        <f>D72*D73</f>
        <v>0.90265346534653479</v>
      </c>
      <c r="E74" s="24">
        <f t="shared" ref="E74:M74" si="28">E72*E73</f>
        <v>1.874588409335983</v>
      </c>
      <c r="F74" s="24">
        <f t="shared" si="28"/>
        <v>1.947859379508019</v>
      </c>
      <c r="G74" s="24">
        <f t="shared" si="28"/>
        <v>1.9683803781603146</v>
      </c>
      <c r="H74" s="24">
        <f t="shared" si="28"/>
        <v>1.9521658179791288</v>
      </c>
      <c r="I74" s="24">
        <f t="shared" si="28"/>
        <v>1.8994725339399345</v>
      </c>
      <c r="J74" s="24">
        <f t="shared" si="28"/>
        <v>1.8126381811683383</v>
      </c>
      <c r="K74" s="24">
        <f t="shared" si="28"/>
        <v>1.7125228171282136</v>
      </c>
      <c r="L74" s="24">
        <f t="shared" si="28"/>
        <v>1.6049454653730706</v>
      </c>
      <c r="M74" s="24">
        <f t="shared" si="28"/>
        <v>1.4887640920332683</v>
      </c>
    </row>
    <row r="75" spans="1:13" ht="30" x14ac:dyDescent="0.25">
      <c r="A75" s="26">
        <v>9</v>
      </c>
      <c r="B75" s="8" t="s">
        <v>104</v>
      </c>
      <c r="M75" s="4">
        <f>M74*1.02/(0.111-0.02)</f>
        <v>16.687245866746526</v>
      </c>
    </row>
    <row r="76" spans="1:13" ht="30" x14ac:dyDescent="0.25">
      <c r="A76" s="26">
        <v>10</v>
      </c>
      <c r="B76" s="8" t="s">
        <v>105</v>
      </c>
      <c r="C76" s="4">
        <f>M75/(1.111^10)</f>
        <v>5.8243045426867877</v>
      </c>
    </row>
    <row r="77" spans="1:13" x14ac:dyDescent="0.25">
      <c r="A77" s="26">
        <v>11</v>
      </c>
      <c r="B77" s="15" t="s">
        <v>106</v>
      </c>
      <c r="C77" s="24">
        <f>C76+SUM(D74:M74)</f>
        <v>22.988295082659597</v>
      </c>
    </row>
  </sheetData>
  <pageMargins left="0.7" right="0.7" top="0.75" bottom="0.75" header="0.3" footer="0.3"/>
  <pageSetup orientation="portrait" horizontalDpi="1200" verticalDpi="1200" r:id="rId1"/>
  <ignoredErrors>
    <ignoredError sqref="D50:F50 G50:M50" formula="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5"/>
  <sheetViews>
    <sheetView workbookViewId="0">
      <selection activeCell="B12" sqref="B12"/>
    </sheetView>
  </sheetViews>
  <sheetFormatPr defaultRowHeight="15" x14ac:dyDescent="0.25"/>
  <cols>
    <col min="1" max="1" width="3.5703125" customWidth="1"/>
    <col min="2" max="2" width="21.5703125" customWidth="1"/>
    <col min="3" max="3" width="12.140625" customWidth="1"/>
    <col min="4" max="4" width="9.7109375" customWidth="1"/>
    <col min="5" max="6" width="10" customWidth="1"/>
    <col min="7" max="7" width="10.140625" customWidth="1"/>
    <col min="8" max="8" width="9.7109375" customWidth="1"/>
    <col min="9" max="9" width="10" customWidth="1"/>
    <col min="10" max="10" width="10.28515625" customWidth="1"/>
    <col min="11" max="11" width="11.28515625" customWidth="1"/>
    <col min="12" max="12" width="9.85546875" customWidth="1"/>
    <col min="13" max="13" width="11.28515625" customWidth="1"/>
  </cols>
  <sheetData>
    <row r="1" spans="1:16" x14ac:dyDescent="0.25">
      <c r="B1" t="s">
        <v>90</v>
      </c>
    </row>
    <row r="3" spans="1:16" x14ac:dyDescent="0.25">
      <c r="B3" t="s">
        <v>119</v>
      </c>
    </row>
    <row r="4" spans="1:16" ht="30" x14ac:dyDescent="0.25">
      <c r="B4" s="5" t="s">
        <v>67</v>
      </c>
      <c r="C4">
        <f>0.03*30000000</f>
        <v>900000</v>
      </c>
    </row>
    <row r="5" spans="1:16" x14ac:dyDescent="0.25">
      <c r="B5" t="s">
        <v>68</v>
      </c>
      <c r="C5" s="1">
        <v>0.35</v>
      </c>
    </row>
    <row r="6" spans="1:16" x14ac:dyDescent="0.25">
      <c r="B6" t="s">
        <v>69</v>
      </c>
      <c r="C6">
        <f>C4*0.35</f>
        <v>315000</v>
      </c>
      <c r="D6" t="s">
        <v>129</v>
      </c>
    </row>
    <row r="7" spans="1:16" x14ac:dyDescent="0.25">
      <c r="B7" s="10" t="s">
        <v>77</v>
      </c>
      <c r="C7" s="1">
        <v>0.06</v>
      </c>
      <c r="D7" t="s">
        <v>78</v>
      </c>
    </row>
    <row r="9" spans="1:16" x14ac:dyDescent="0.25">
      <c r="B9" s="7"/>
      <c r="C9" s="6">
        <v>0</v>
      </c>
      <c r="D9" s="6">
        <v>1</v>
      </c>
      <c r="E9" s="6">
        <v>2</v>
      </c>
      <c r="F9" s="6">
        <v>3</v>
      </c>
      <c r="G9" s="6">
        <v>4</v>
      </c>
      <c r="H9" s="6">
        <v>5</v>
      </c>
      <c r="I9" s="6">
        <v>6</v>
      </c>
      <c r="J9" s="6">
        <v>7</v>
      </c>
      <c r="K9" s="6">
        <v>8</v>
      </c>
      <c r="L9" s="6">
        <v>9</v>
      </c>
      <c r="M9" s="6">
        <v>10</v>
      </c>
    </row>
    <row r="10" spans="1:16" ht="30" x14ac:dyDescent="0.25">
      <c r="A10" s="26">
        <v>1</v>
      </c>
      <c r="B10" s="8" t="s">
        <v>71</v>
      </c>
      <c r="C10">
        <f>($C$5*$C$4)</f>
        <v>315000</v>
      </c>
      <c r="D10">
        <f t="shared" ref="D10:M10" si="0">($C$5*$C$4)</f>
        <v>315000</v>
      </c>
      <c r="E10">
        <f t="shared" si="0"/>
        <v>315000</v>
      </c>
      <c r="F10">
        <f t="shared" si="0"/>
        <v>315000</v>
      </c>
      <c r="G10">
        <f t="shared" si="0"/>
        <v>315000</v>
      </c>
      <c r="H10">
        <f t="shared" si="0"/>
        <v>315000</v>
      </c>
      <c r="I10">
        <f t="shared" si="0"/>
        <v>315000</v>
      </c>
      <c r="J10">
        <f t="shared" si="0"/>
        <v>315000</v>
      </c>
      <c r="K10">
        <f t="shared" si="0"/>
        <v>315000</v>
      </c>
      <c r="L10">
        <f t="shared" si="0"/>
        <v>315000</v>
      </c>
      <c r="M10">
        <f t="shared" si="0"/>
        <v>315000</v>
      </c>
    </row>
    <row r="11" spans="1:16" x14ac:dyDescent="0.25">
      <c r="A11" s="26">
        <v>2</v>
      </c>
      <c r="B11" s="7" t="s">
        <v>72</v>
      </c>
      <c r="D11" s="4">
        <f>1/(1.06^D9)</f>
        <v>0.94339622641509424</v>
      </c>
      <c r="E11" s="4">
        <f t="shared" ref="E11:M11" si="1">1/(1.06^E9)</f>
        <v>0.88999644001423983</v>
      </c>
      <c r="F11" s="4">
        <f t="shared" si="1"/>
        <v>0.8396192830323016</v>
      </c>
      <c r="G11" s="4">
        <f t="shared" si="1"/>
        <v>0.79209366323802044</v>
      </c>
      <c r="H11" s="4">
        <f t="shared" si="1"/>
        <v>0.74725817286605689</v>
      </c>
      <c r="I11" s="4">
        <f t="shared" si="1"/>
        <v>0.70496054043967626</v>
      </c>
      <c r="J11" s="4">
        <f t="shared" si="1"/>
        <v>0.66505711362233599</v>
      </c>
      <c r="K11" s="4">
        <f t="shared" si="1"/>
        <v>0.62741237134182648</v>
      </c>
      <c r="L11" s="4">
        <f t="shared" si="1"/>
        <v>0.59189846353002495</v>
      </c>
      <c r="M11" s="4">
        <f t="shared" si="1"/>
        <v>0.55839477691511785</v>
      </c>
    </row>
    <row r="12" spans="1:16" ht="30" x14ac:dyDescent="0.25">
      <c r="A12" s="26">
        <v>3</v>
      </c>
      <c r="B12" s="8" t="s">
        <v>73</v>
      </c>
      <c r="D12" s="17">
        <f t="shared" ref="D12" si="2">D10*D11</f>
        <v>297169.8113207547</v>
      </c>
      <c r="E12" s="17">
        <f t="shared" ref="E12" si="3">E10*E11</f>
        <v>280348.87860448554</v>
      </c>
      <c r="F12" s="17">
        <f t="shared" ref="F12" si="4">F10*F11</f>
        <v>264480.07415517501</v>
      </c>
      <c r="G12" s="17">
        <f t="shared" ref="G12" si="5">G10*G11</f>
        <v>249509.50391997644</v>
      </c>
      <c r="H12" s="17">
        <f t="shared" ref="H12" si="6">H10*H11</f>
        <v>235386.32445280792</v>
      </c>
      <c r="I12" s="17">
        <f t="shared" ref="I12" si="7">I10*I11</f>
        <v>222062.57023849801</v>
      </c>
      <c r="J12" s="17">
        <f t="shared" ref="J12" si="8">J10*J11</f>
        <v>209492.99079103585</v>
      </c>
      <c r="K12" s="17">
        <f t="shared" ref="K12" si="9">K10*K11</f>
        <v>197634.89697267534</v>
      </c>
      <c r="L12" s="17">
        <f t="shared" ref="L12" si="10">L10*L11</f>
        <v>186448.01601195786</v>
      </c>
      <c r="M12" s="17">
        <f t="shared" ref="M12" si="11">M10*M11</f>
        <v>175894.35472826211</v>
      </c>
    </row>
    <row r="13" spans="1:16" ht="45" x14ac:dyDescent="0.25">
      <c r="A13" s="26">
        <v>4</v>
      </c>
      <c r="B13" s="8" t="s">
        <v>74</v>
      </c>
      <c r="M13" s="2">
        <f>(0.35*0.06*30000000*1.02)/(0.06-0.02)</f>
        <v>16065000</v>
      </c>
    </row>
    <row r="14" spans="1:16" ht="30" x14ac:dyDescent="0.25">
      <c r="A14" s="26">
        <v>5</v>
      </c>
      <c r="B14" s="8" t="s">
        <v>75</v>
      </c>
      <c r="C14" s="2">
        <f>M13/(1.06^10)</f>
        <v>8970612.0911413692</v>
      </c>
      <c r="P14" s="24"/>
    </row>
    <row r="15" spans="1:16" x14ac:dyDescent="0.25">
      <c r="A15" s="26">
        <v>6</v>
      </c>
      <c r="B15" s="16" t="s">
        <v>76</v>
      </c>
      <c r="C15" s="20">
        <f>SUM(D12:M12)+C14</f>
        <v>11289039.512336997</v>
      </c>
    </row>
    <row r="17" spans="1:13" x14ac:dyDescent="0.25">
      <c r="B17" s="10" t="s">
        <v>85</v>
      </c>
    </row>
    <row r="18" spans="1:13" x14ac:dyDescent="0.25">
      <c r="B18" t="s">
        <v>84</v>
      </c>
    </row>
    <row r="19" spans="1:13" x14ac:dyDescent="0.25">
      <c r="B19" s="5" t="s">
        <v>80</v>
      </c>
      <c r="C19">
        <f>30000000*0.06-C4</f>
        <v>900000</v>
      </c>
    </row>
    <row r="21" spans="1:13" x14ac:dyDescent="0.25">
      <c r="B21" s="7"/>
      <c r="C21" s="6">
        <v>0</v>
      </c>
      <c r="D21" s="6">
        <v>1</v>
      </c>
      <c r="E21" s="6">
        <v>2</v>
      </c>
      <c r="F21" s="6">
        <v>3</v>
      </c>
      <c r="G21" s="6">
        <v>4</v>
      </c>
      <c r="H21" s="6">
        <v>5</v>
      </c>
      <c r="I21" s="6">
        <v>6</v>
      </c>
      <c r="J21" s="6">
        <v>7</v>
      </c>
      <c r="K21" s="6">
        <v>8</v>
      </c>
      <c r="L21" s="6">
        <v>9</v>
      </c>
      <c r="M21" s="6">
        <v>10</v>
      </c>
    </row>
    <row r="22" spans="1:13" x14ac:dyDescent="0.25">
      <c r="A22" s="26">
        <v>1</v>
      </c>
      <c r="B22" s="7" t="s">
        <v>81</v>
      </c>
      <c r="D22" s="4">
        <f t="shared" ref="D22:M22" si="12">$C$19/1000000</f>
        <v>0.9</v>
      </c>
      <c r="E22" s="4">
        <f t="shared" si="12"/>
        <v>0.9</v>
      </c>
      <c r="F22" s="4">
        <f t="shared" si="12"/>
        <v>0.9</v>
      </c>
      <c r="G22" s="4">
        <f t="shared" si="12"/>
        <v>0.9</v>
      </c>
      <c r="H22" s="4">
        <f t="shared" si="12"/>
        <v>0.9</v>
      </c>
      <c r="I22" s="4">
        <f t="shared" si="12"/>
        <v>0.9</v>
      </c>
      <c r="J22" s="4">
        <f t="shared" si="12"/>
        <v>0.9</v>
      </c>
      <c r="K22" s="4">
        <f t="shared" si="12"/>
        <v>0.9</v>
      </c>
      <c r="L22" s="4">
        <f t="shared" si="12"/>
        <v>0.9</v>
      </c>
      <c r="M22" s="4">
        <f t="shared" si="12"/>
        <v>0.9</v>
      </c>
    </row>
    <row r="23" spans="1:13" x14ac:dyDescent="0.25">
      <c r="A23" s="26">
        <v>2</v>
      </c>
      <c r="B23" s="7" t="s">
        <v>72</v>
      </c>
      <c r="D23" s="4">
        <f>1/(1.06^D21)</f>
        <v>0.94339622641509424</v>
      </c>
      <c r="E23" s="4">
        <f t="shared" ref="E23:M23" si="13">1/(1.06^E21)</f>
        <v>0.88999644001423983</v>
      </c>
      <c r="F23" s="4">
        <f t="shared" si="13"/>
        <v>0.8396192830323016</v>
      </c>
      <c r="G23" s="4">
        <f t="shared" si="13"/>
        <v>0.79209366323802044</v>
      </c>
      <c r="H23" s="4">
        <f t="shared" si="13"/>
        <v>0.74725817286605689</v>
      </c>
      <c r="I23" s="4">
        <f t="shared" si="13"/>
        <v>0.70496054043967626</v>
      </c>
      <c r="J23" s="4">
        <f t="shared" si="13"/>
        <v>0.66505711362233599</v>
      </c>
      <c r="K23" s="4">
        <f t="shared" si="13"/>
        <v>0.62741237134182648</v>
      </c>
      <c r="L23" s="4">
        <f t="shared" si="13"/>
        <v>0.59189846353002495</v>
      </c>
      <c r="M23" s="4">
        <f t="shared" si="13"/>
        <v>0.55839477691511785</v>
      </c>
    </row>
    <row r="24" spans="1:13" x14ac:dyDescent="0.25">
      <c r="A24" s="26">
        <v>3</v>
      </c>
      <c r="B24" s="7" t="s">
        <v>82</v>
      </c>
      <c r="D24" s="4">
        <f>D22*D23</f>
        <v>0.84905660377358483</v>
      </c>
      <c r="E24" s="4">
        <f t="shared" ref="E24:M24" si="14">E22*E23</f>
        <v>0.80099679601281581</v>
      </c>
      <c r="F24" s="4">
        <f t="shared" si="14"/>
        <v>0.75565735472907147</v>
      </c>
      <c r="G24" s="4">
        <f t="shared" si="14"/>
        <v>0.7128842969142184</v>
      </c>
      <c r="H24" s="4">
        <f t="shared" si="14"/>
        <v>0.67253235557945124</v>
      </c>
      <c r="I24" s="4">
        <f t="shared" si="14"/>
        <v>0.63446448639570863</v>
      </c>
      <c r="J24" s="4">
        <f t="shared" si="14"/>
        <v>0.59855140226010239</v>
      </c>
      <c r="K24" s="4">
        <f t="shared" si="14"/>
        <v>0.56467113420764381</v>
      </c>
      <c r="L24" s="4">
        <f t="shared" si="14"/>
        <v>0.53270861717702245</v>
      </c>
      <c r="M24" s="4">
        <f t="shared" si="14"/>
        <v>0.50255529922360609</v>
      </c>
    </row>
    <row r="25" spans="1:13" x14ac:dyDescent="0.25">
      <c r="A25" s="26">
        <v>4</v>
      </c>
      <c r="B25" s="15" t="s">
        <v>83</v>
      </c>
      <c r="D25" s="4">
        <f>SUM(D24:M24)</f>
        <v>6.6240783462732251</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CBFBD-BA0A-4042-90F2-885DF972542A}">
  <dimension ref="A2:N15"/>
  <sheetViews>
    <sheetView tabSelected="1" workbookViewId="0">
      <selection activeCell="R9" sqref="R9"/>
    </sheetView>
  </sheetViews>
  <sheetFormatPr defaultRowHeight="15" x14ac:dyDescent="0.25"/>
  <cols>
    <col min="1" max="1" width="5.85546875" customWidth="1"/>
    <col min="2" max="2" width="27.5703125" customWidth="1"/>
    <col min="3" max="3" width="9" customWidth="1"/>
    <col min="4" max="4" width="9.140625" customWidth="1"/>
    <col min="5" max="13" width="8" bestFit="1" customWidth="1"/>
  </cols>
  <sheetData>
    <row r="2" spans="1:14" x14ac:dyDescent="0.25">
      <c r="B2" t="s">
        <v>144</v>
      </c>
    </row>
    <row r="4" spans="1:14" x14ac:dyDescent="0.25">
      <c r="B4" s="7"/>
      <c r="C4" s="6">
        <v>0</v>
      </c>
      <c r="D4" s="6">
        <v>1</v>
      </c>
      <c r="E4" s="6">
        <v>2</v>
      </c>
      <c r="F4" s="6">
        <v>3</v>
      </c>
      <c r="G4" s="6">
        <v>4</v>
      </c>
      <c r="H4" s="6">
        <v>5</v>
      </c>
      <c r="I4" s="6">
        <v>6</v>
      </c>
      <c r="J4" s="6">
        <v>7</v>
      </c>
      <c r="K4" s="6">
        <v>8</v>
      </c>
      <c r="L4" s="6">
        <v>9</v>
      </c>
      <c r="M4" s="6">
        <v>10</v>
      </c>
    </row>
    <row r="5" spans="1:14" x14ac:dyDescent="0.25">
      <c r="A5" s="26">
        <v>1</v>
      </c>
      <c r="B5" s="7" t="s">
        <v>130</v>
      </c>
      <c r="D5" s="2">
        <v>18000</v>
      </c>
      <c r="E5" s="2">
        <v>40000</v>
      </c>
      <c r="F5" s="2">
        <v>40000</v>
      </c>
      <c r="G5" s="2">
        <v>40000</v>
      </c>
      <c r="H5" s="2">
        <v>40000</v>
      </c>
      <c r="I5" s="2">
        <v>40000</v>
      </c>
      <c r="J5" s="2">
        <v>40000</v>
      </c>
      <c r="K5" s="2">
        <v>40000</v>
      </c>
      <c r="L5" s="2">
        <v>40000</v>
      </c>
      <c r="M5" s="2">
        <v>40000</v>
      </c>
    </row>
    <row r="6" spans="1:14" x14ac:dyDescent="0.25">
      <c r="A6" s="26">
        <v>2</v>
      </c>
      <c r="B6" s="7" t="s">
        <v>131</v>
      </c>
      <c r="D6" s="2">
        <v>2524</v>
      </c>
      <c r="E6" s="2">
        <v>2624</v>
      </c>
      <c r="F6" s="2">
        <v>2703</v>
      </c>
      <c r="G6" s="2">
        <v>2757</v>
      </c>
      <c r="H6" s="2">
        <v>2812</v>
      </c>
      <c r="I6" s="2">
        <v>2869</v>
      </c>
      <c r="J6" s="2">
        <v>2926</v>
      </c>
      <c r="K6" s="2">
        <v>2985</v>
      </c>
      <c r="L6" s="2">
        <v>3044</v>
      </c>
      <c r="M6" s="2">
        <v>3105</v>
      </c>
      <c r="N6" t="s">
        <v>143</v>
      </c>
    </row>
    <row r="7" spans="1:14" x14ac:dyDescent="0.25">
      <c r="A7" s="26">
        <v>3</v>
      </c>
      <c r="B7" s="15" t="s">
        <v>132</v>
      </c>
      <c r="C7" s="10"/>
      <c r="D7" s="2">
        <f>(D5*D6)/1000000</f>
        <v>45.432000000000002</v>
      </c>
      <c r="E7" s="2">
        <f t="shared" ref="E7:M7" si="0">(E5*E6)/1000000</f>
        <v>104.96</v>
      </c>
      <c r="F7" s="2">
        <f t="shared" si="0"/>
        <v>108.12</v>
      </c>
      <c r="G7" s="2">
        <f t="shared" si="0"/>
        <v>110.28</v>
      </c>
      <c r="H7" s="2">
        <f t="shared" si="0"/>
        <v>112.48</v>
      </c>
      <c r="I7" s="2">
        <f t="shared" si="0"/>
        <v>114.76</v>
      </c>
      <c r="J7" s="2">
        <f t="shared" si="0"/>
        <v>117.04</v>
      </c>
      <c r="K7" s="2">
        <f t="shared" si="0"/>
        <v>119.4</v>
      </c>
      <c r="L7" s="2">
        <f t="shared" si="0"/>
        <v>121.76</v>
      </c>
      <c r="M7" s="2">
        <f t="shared" si="0"/>
        <v>124.2</v>
      </c>
    </row>
    <row r="8" spans="1:14" ht="30" x14ac:dyDescent="0.25">
      <c r="A8" s="26">
        <v>4</v>
      </c>
      <c r="B8" s="16" t="s">
        <v>133</v>
      </c>
      <c r="C8" s="27"/>
      <c r="D8" s="4">
        <f>D7*0.16</f>
        <v>7.2691200000000009</v>
      </c>
      <c r="E8" s="4">
        <f t="shared" ref="E8:M8" si="1">E7*0.16</f>
        <v>16.793599999999998</v>
      </c>
      <c r="F8" s="4">
        <f t="shared" si="1"/>
        <v>17.299200000000003</v>
      </c>
      <c r="G8" s="4">
        <f t="shared" si="1"/>
        <v>17.6448</v>
      </c>
      <c r="H8" s="4">
        <f t="shared" si="1"/>
        <v>17.9968</v>
      </c>
      <c r="I8" s="4">
        <f t="shared" si="1"/>
        <v>18.361600000000003</v>
      </c>
      <c r="J8" s="4">
        <f t="shared" si="1"/>
        <v>18.726400000000002</v>
      </c>
      <c r="K8" s="4">
        <f t="shared" si="1"/>
        <v>19.104000000000003</v>
      </c>
      <c r="L8" s="4">
        <f t="shared" si="1"/>
        <v>19.4816</v>
      </c>
      <c r="M8" s="4">
        <f t="shared" si="1"/>
        <v>19.872</v>
      </c>
    </row>
    <row r="9" spans="1:14" ht="29.25" customHeight="1" x14ac:dyDescent="0.25">
      <c r="A9" s="26">
        <v>5</v>
      </c>
      <c r="B9" s="8" t="s">
        <v>135</v>
      </c>
      <c r="C9" s="5"/>
      <c r="D9" s="4">
        <f>0.34*D8</f>
        <v>2.4715008000000003</v>
      </c>
      <c r="E9" s="4">
        <f t="shared" ref="E9:M9" si="2">0.34*E8</f>
        <v>5.7098239999999993</v>
      </c>
      <c r="F9" s="4">
        <f t="shared" si="2"/>
        <v>5.8817280000000016</v>
      </c>
      <c r="G9" s="4">
        <f t="shared" si="2"/>
        <v>5.9992320000000001</v>
      </c>
      <c r="H9" s="4">
        <f t="shared" si="2"/>
        <v>6.1189120000000008</v>
      </c>
      <c r="I9" s="4">
        <f t="shared" si="2"/>
        <v>6.2429440000000014</v>
      </c>
      <c r="J9" s="4">
        <f t="shared" si="2"/>
        <v>6.3669760000000011</v>
      </c>
      <c r="K9" s="4">
        <f t="shared" si="2"/>
        <v>6.4953600000000016</v>
      </c>
      <c r="L9" s="4">
        <f t="shared" si="2"/>
        <v>6.6237440000000003</v>
      </c>
      <c r="M9" s="4">
        <f t="shared" si="2"/>
        <v>6.7564800000000007</v>
      </c>
    </row>
    <row r="10" spans="1:14" x14ac:dyDescent="0.25">
      <c r="A10" s="26">
        <v>6</v>
      </c>
      <c r="B10" s="15" t="s">
        <v>101</v>
      </c>
      <c r="C10" s="10"/>
      <c r="D10" s="4">
        <f>D8-D9</f>
        <v>4.7976192000000006</v>
      </c>
      <c r="E10" s="4">
        <f t="shared" ref="E10:M10" si="3">E8-E9</f>
        <v>11.083775999999999</v>
      </c>
      <c r="F10" s="4">
        <f t="shared" si="3"/>
        <v>11.417472</v>
      </c>
      <c r="G10" s="4">
        <f t="shared" si="3"/>
        <v>11.645568000000001</v>
      </c>
      <c r="H10" s="4">
        <f t="shared" si="3"/>
        <v>11.877887999999999</v>
      </c>
      <c r="I10" s="4">
        <f t="shared" si="3"/>
        <v>12.118656000000001</v>
      </c>
      <c r="J10" s="4">
        <f t="shared" si="3"/>
        <v>12.359424000000001</v>
      </c>
      <c r="K10" s="4">
        <f t="shared" si="3"/>
        <v>12.608640000000001</v>
      </c>
      <c r="L10" s="4">
        <f t="shared" si="3"/>
        <v>12.857856</v>
      </c>
      <c r="M10" s="4">
        <f t="shared" si="3"/>
        <v>13.11552</v>
      </c>
    </row>
    <row r="11" spans="1:14" x14ac:dyDescent="0.25">
      <c r="A11" s="26">
        <v>7</v>
      </c>
      <c r="B11" s="7" t="s">
        <v>102</v>
      </c>
      <c r="C11">
        <v>1</v>
      </c>
      <c r="D11" s="4">
        <f>1/(1.111^D4)</f>
        <v>0.90009000900090008</v>
      </c>
      <c r="E11" s="4">
        <f t="shared" ref="E11:M11" si="4">1/(1.111^E4)</f>
        <v>0.81016202430324036</v>
      </c>
      <c r="F11" s="4">
        <f t="shared" si="4"/>
        <v>0.72921874374729112</v>
      </c>
      <c r="G11" s="4">
        <f t="shared" si="4"/>
        <v>0.65636250562312426</v>
      </c>
      <c r="H11" s="4">
        <f t="shared" si="4"/>
        <v>0.59078533359417129</v>
      </c>
      <c r="I11" s="4">
        <f t="shared" si="4"/>
        <v>0.53175997623237736</v>
      </c>
      <c r="J11" s="4">
        <f t="shared" si="4"/>
        <v>0.47863184179331897</v>
      </c>
      <c r="K11" s="4">
        <f t="shared" si="4"/>
        <v>0.43081173878786588</v>
      </c>
      <c r="L11" s="4">
        <f t="shared" si="4"/>
        <v>0.38776934184326362</v>
      </c>
      <c r="M11" s="4">
        <f t="shared" si="4"/>
        <v>0.3490273103899762</v>
      </c>
    </row>
    <row r="12" spans="1:14" x14ac:dyDescent="0.25">
      <c r="A12" s="26">
        <v>8</v>
      </c>
      <c r="B12" s="15" t="s">
        <v>103</v>
      </c>
      <c r="D12" s="4">
        <f>D10*D11</f>
        <v>4.3182891089108919</v>
      </c>
      <c r="E12" s="4">
        <f t="shared" ref="E12:M12" si="5">E10*E11</f>
        <v>8.9796544010836712</v>
      </c>
      <c r="F12" s="4">
        <f t="shared" si="5"/>
        <v>8.3258345886098724</v>
      </c>
      <c r="G12" s="4">
        <f t="shared" si="5"/>
        <v>7.6437141918844764</v>
      </c>
      <c r="H12" s="4">
        <f t="shared" si="5"/>
        <v>7.0172820244742029</v>
      </c>
      <c r="I12" s="4">
        <f t="shared" si="5"/>
        <v>6.4442162265283578</v>
      </c>
      <c r="J12" s="4">
        <f t="shared" si="5"/>
        <v>5.91561387262455</v>
      </c>
      <c r="K12" s="4">
        <f t="shared" si="5"/>
        <v>5.431950122150238</v>
      </c>
      <c r="L12" s="4">
        <f t="shared" si="5"/>
        <v>4.9858823586354584</v>
      </c>
      <c r="M12" s="4">
        <f t="shared" si="5"/>
        <v>4.5776746699659405</v>
      </c>
    </row>
    <row r="13" spans="1:14" ht="30" x14ac:dyDescent="0.25">
      <c r="A13" s="26">
        <v>9</v>
      </c>
      <c r="B13" s="8" t="s">
        <v>137</v>
      </c>
      <c r="M13" s="4">
        <f>M12*1.02/(0.111-0.02)</f>
        <v>51.310199597420436</v>
      </c>
    </row>
    <row r="14" spans="1:14" ht="30" x14ac:dyDescent="0.25">
      <c r="A14" s="26">
        <v>10</v>
      </c>
      <c r="B14" s="8" t="s">
        <v>138</v>
      </c>
      <c r="C14" s="4">
        <f>M13/(1.111^10)</f>
        <v>17.908660961060495</v>
      </c>
    </row>
    <row r="15" spans="1:14" x14ac:dyDescent="0.25">
      <c r="A15" s="26">
        <v>11</v>
      </c>
      <c r="B15" s="15" t="s">
        <v>139</v>
      </c>
      <c r="C15" s="4">
        <f>SUM(D12:M12)+C14</f>
        <v>81.548772525928143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Free Cashflows</vt:lpstr>
      <vt:lpstr>Forecasts</vt:lpstr>
      <vt:lpstr>Payments to Parent</vt:lpstr>
      <vt:lpstr>Side-Effects</vt:lpstr>
      <vt:lpstr>Cannibalization of Export Sales</vt:lpstr>
    </vt:vector>
  </TitlesOfParts>
  <Company>University of Queensland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Vanitha Ragunathan</dc:creator>
  <cp:lastModifiedBy>Vanitha Ragunathan</cp:lastModifiedBy>
  <dcterms:created xsi:type="dcterms:W3CDTF">2018-04-28T00:51:01Z</dcterms:created>
  <dcterms:modified xsi:type="dcterms:W3CDTF">2024-04-18T23:54:44Z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2022-04-29T21:25:21Z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2c1cda36-257e-4995-9f3b-40341834b2cb</vt:lpwstr>
  </property>
  <property fmtid="{D5CDD505-2E9C-101B-9397-08002B2CF9AE}" pid="8" name="MSIP_Label_0f488380-630a-4f55-a077-a19445e3f360_ContentBits">
    <vt:lpwstr>0</vt:lpwstr>
  </property>
</Properties>
</file>