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5b1cd22b96607/Documents/"/>
    </mc:Choice>
  </mc:AlternateContent>
  <xr:revisionPtr revIDLastSave="8" documentId="8_{86EBD15E-DD31-4A1F-9AA8-9799599F69AB}" xr6:coauthVersionLast="47" xr6:coauthVersionMax="47" xr10:uidLastSave="{D35F8F26-7908-41A5-B851-985A51B1E12C}"/>
  <bookViews>
    <workbookView xWindow="-108" yWindow="-108" windowWidth="23256" windowHeight="12576" xr2:uid="{50459437-5941-4E57-B567-D41FC7A55602}"/>
  </bookViews>
  <sheets>
    <sheet name="DCF" sheetId="1" r:id="rId1"/>
    <sheet name="Term and Re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E35" i="1" s="1"/>
  <c r="E47" i="1" s="1"/>
  <c r="E49" i="1" s="1"/>
  <c r="D33" i="1"/>
  <c r="D35" i="1" s="1"/>
  <c r="D47" i="1" s="1"/>
  <c r="D49" i="1" s="1"/>
  <c r="C33" i="1"/>
  <c r="B23" i="2"/>
  <c r="A21" i="2"/>
  <c r="B20" i="2"/>
  <c r="A16" i="2"/>
  <c r="B15" i="2"/>
  <c r="B10" i="2"/>
  <c r="B49" i="1"/>
  <c r="F47" i="1"/>
  <c r="F49" i="1" s="1"/>
  <c r="B47" i="1"/>
  <c r="I43" i="1"/>
  <c r="H43" i="1"/>
  <c r="G43" i="1"/>
  <c r="F43" i="1"/>
  <c r="E43" i="1"/>
  <c r="D43" i="1"/>
  <c r="C43" i="1"/>
  <c r="B43" i="1"/>
  <c r="B40" i="1"/>
  <c r="B39" i="1"/>
  <c r="J35" i="1"/>
  <c r="I44" i="1" s="1"/>
  <c r="I47" i="1" s="1"/>
  <c r="I35" i="1"/>
  <c r="H35" i="1"/>
  <c r="H47" i="1" s="1"/>
  <c r="H49" i="1" s="1"/>
  <c r="G35" i="1"/>
  <c r="G47" i="1" s="1"/>
  <c r="G49" i="1" s="1"/>
  <c r="F35" i="1"/>
  <c r="C35" i="1"/>
  <c r="C47" i="1" s="1"/>
  <c r="C49" i="1" s="1"/>
  <c r="H32" i="1"/>
  <c r="G32" i="1"/>
  <c r="F32" i="1"/>
  <c r="E32" i="1"/>
  <c r="C31" i="1"/>
  <c r="C30" i="1"/>
  <c r="D30" i="1" s="1"/>
  <c r="C26" i="1"/>
  <c r="E24" i="1"/>
  <c r="F24" i="1" s="1"/>
  <c r="G24" i="1" s="1"/>
  <c r="D25" i="1"/>
  <c r="E25" i="1" s="1"/>
  <c r="F25" i="1" s="1"/>
  <c r="G25" i="1" s="1"/>
  <c r="H25" i="1" s="1"/>
  <c r="D24" i="1"/>
  <c r="D23" i="1"/>
  <c r="E23" i="1" s="1"/>
  <c r="F23" i="1" s="1"/>
  <c r="D22" i="1"/>
  <c r="D26" i="1" s="1"/>
  <c r="I49" i="1" l="1"/>
  <c r="B50" i="1" s="1"/>
  <c r="B52" i="1"/>
  <c r="E30" i="1"/>
  <c r="G23" i="1"/>
  <c r="H23" i="1" s="1"/>
  <c r="I23" i="1" s="1"/>
  <c r="J23" i="1" s="1"/>
  <c r="F28" i="1"/>
  <c r="D31" i="1"/>
  <c r="E31" i="1" s="1"/>
  <c r="I25" i="1"/>
  <c r="J25" i="1" s="1"/>
  <c r="H28" i="1"/>
  <c r="H24" i="1"/>
  <c r="I24" i="1" s="1"/>
  <c r="J24" i="1" s="1"/>
  <c r="G28" i="1"/>
  <c r="E22" i="1"/>
  <c r="F31" i="1" l="1"/>
  <c r="E28" i="1"/>
  <c r="F22" i="1"/>
  <c r="E26" i="1"/>
  <c r="F30" i="1"/>
  <c r="G30" i="1" l="1"/>
  <c r="G22" i="1"/>
  <c r="F26" i="1"/>
  <c r="H30" i="1" l="1"/>
  <c r="H22" i="1"/>
  <c r="G26" i="1"/>
  <c r="G31" i="1"/>
  <c r="H31" i="1" s="1"/>
  <c r="I30" i="1" l="1"/>
  <c r="I22" i="1"/>
  <c r="H26" i="1"/>
  <c r="J30" i="1" l="1"/>
  <c r="I31" i="1"/>
  <c r="J31" i="1" s="1"/>
  <c r="J22" i="1"/>
  <c r="J26" i="1" s="1"/>
  <c r="I26" i="1"/>
</calcChain>
</file>

<file path=xl/sharedStrings.xml><?xml version="1.0" encoding="utf-8"?>
<sst xmlns="http://schemas.openxmlformats.org/spreadsheetml/2006/main" count="63" uniqueCount="61">
  <si>
    <t>Inputs/Assumptions</t>
  </si>
  <si>
    <t>Purchase Price</t>
  </si>
  <si>
    <t>Acquistion costs</t>
  </si>
  <si>
    <t>No of tenants</t>
  </si>
  <si>
    <t>Annual net rent per tenant</t>
  </si>
  <si>
    <t>Annual outgoings</t>
  </si>
  <si>
    <t>Outgoings recovered from tenants</t>
  </si>
  <si>
    <t>CPI</t>
  </si>
  <si>
    <t>Rent Escalation</t>
  </si>
  <si>
    <t>Vacancy</t>
  </si>
  <si>
    <t>6 mths/tenancy</t>
  </si>
  <si>
    <t>Discount Rate</t>
  </si>
  <si>
    <t>Terminal value cap rate</t>
  </si>
  <si>
    <t>CASH FLOWS</t>
  </si>
  <si>
    <t>Year 0`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</si>
  <si>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</si>
  <si>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</si>
  <si>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</si>
  <si>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</si>
  <si>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</si>
  <si>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</si>
  <si>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</si>
  <si>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</si>
  <si>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Rental </t>
  </si>
  <si>
    <t>Income</t>
  </si>
  <si>
    <t>Tenant 1</t>
  </si>
  <si>
    <t>Tenant 2</t>
  </si>
  <si>
    <t>Tenant 3</t>
  </si>
  <si>
    <t>Tenant 4</t>
  </si>
  <si>
    <t>Total Rent</t>
  </si>
  <si>
    <t>Less vacancies</t>
  </si>
  <si>
    <t>Less non-recovered outgoings</t>
  </si>
  <si>
    <t>Net Operating Income</t>
  </si>
  <si>
    <t>Outgoings</t>
  </si>
  <si>
    <t>Recovered outgoings</t>
  </si>
  <si>
    <t>Total non recovered outgoings</t>
  </si>
  <si>
    <t>Adjustment for vacancy</t>
  </si>
  <si>
    <t>CAPITAL AMOUNTS</t>
  </si>
  <si>
    <t>Cost of Acquisition</t>
  </si>
  <si>
    <t>Building repairs</t>
  </si>
  <si>
    <t>Terminal Value</t>
  </si>
  <si>
    <t>Annual net cash flow</t>
  </si>
  <si>
    <t>Total Cap EX</t>
  </si>
  <si>
    <t>NPV</t>
  </si>
  <si>
    <t>IRR</t>
  </si>
  <si>
    <t>PV</t>
  </si>
  <si>
    <t>(1+i)^-n</t>
  </si>
  <si>
    <t>Inputs</t>
  </si>
  <si>
    <t>Current Rent</t>
  </si>
  <si>
    <t>Market Rent</t>
  </si>
  <si>
    <t>Cap Rate</t>
  </si>
  <si>
    <t>Cap method</t>
  </si>
  <si>
    <t>CV=NI/i</t>
  </si>
  <si>
    <t>Term</t>
  </si>
  <si>
    <t>Period under rented</t>
  </si>
  <si>
    <t>3 years</t>
  </si>
  <si>
    <t>[1-(1+i)^-n]/i</t>
  </si>
  <si>
    <t>Reversion</t>
  </si>
  <si>
    <t>Value</t>
  </si>
  <si>
    <t>YP factor</t>
  </si>
  <si>
    <t>Disc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</si>
</sst>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8" fontId="0" fillId="0" borderId="0" xfId="0" applyNumberFormat="1"/>
    <xf numFmtId="10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23B3-8992-4340-BFCD-876662C95E48}">
  <dimension ref="A2:L55"/>
  <sheetViews>
    <sheetView tabSelected="1" topLeftCell="A4" zoomScale="93" workbookViewId="0">
      <selection activeCell="B40" sqref="B40"/>
    </sheetView>
  </sheetViews>
  <sheetFormatPr defaultRowHeight="14.4" x14ac:dyDescent="0.3"/>
  <cols>
    <col min="1" max="1" width="29.21875" style="4" bestFit="1" customWidth="1"/>
    <col min="2" max="2" width="14.5546875" bestFit="1" customWidth="1"/>
    <col min="3" max="3" width="12.88671875" bestFit="1" customWidth="1"/>
    <col min="4" max="4" width="14.77734375" customWidth="1"/>
    <col min="5" max="5" width="12.88671875" bestFit="1" customWidth="1"/>
    <col min="6" max="6" width="13.21875" customWidth="1"/>
    <col min="7" max="7" width="14.21875" customWidth="1"/>
    <col min="8" max="8" width="14.6640625" customWidth="1"/>
    <col min="9" max="9" width="14.5546875" customWidth="1"/>
    <col min="10" max="10" width="16.77734375" customWidth="1"/>
    <col min="11" max="11" width="16.109375" customWidth="1"/>
  </cols>
  <sheetData>
    <row r="2" spans="1:2" x14ac:dyDescent="0.3">
      <c r="A2" s="4" t="s">
        <v>0</v>
      </c>
    </row>
    <row r="4" spans="1:2" x14ac:dyDescent="0.3">
      <c r="A4" s="4" t="s">
        <v>1</v>
      </c>
      <c r="B4" s="2">
        <v>5000000</v>
      </c>
    </row>
    <row r="5" spans="1:2" x14ac:dyDescent="0.3">
      <c r="A5" s="4" t="s">
        <v>2</v>
      </c>
      <c r="B5" s="1">
        <v>0.04</v>
      </c>
    </row>
    <row r="7" spans="1:2" x14ac:dyDescent="0.3">
      <c r="A7" s="4" t="s">
        <v>3</v>
      </c>
      <c r="B7">
        <v>4</v>
      </c>
    </row>
    <row r="8" spans="1:2" x14ac:dyDescent="0.3">
      <c r="A8" s="4" t="s">
        <v>4</v>
      </c>
      <c r="B8" s="2">
        <v>100000</v>
      </c>
    </row>
    <row r="9" spans="1:2" x14ac:dyDescent="0.3">
      <c r="A9" s="4" t="s">
        <v>9</v>
      </c>
      <c r="B9" t="s">
        <v>10</v>
      </c>
    </row>
    <row r="10" spans="1:2" x14ac:dyDescent="0.3">
      <c r="A10" s="4" t="s">
        <v>5</v>
      </c>
      <c r="B10" s="2">
        <v>150000</v>
      </c>
    </row>
    <row r="11" spans="1:2" x14ac:dyDescent="0.3">
      <c r="A11" s="4" t="s">
        <v>6</v>
      </c>
      <c r="B11" s="2">
        <v>100000</v>
      </c>
    </row>
    <row r="13" spans="1:2" x14ac:dyDescent="0.3">
      <c r="A13" s="4" t="s">
        <v>7</v>
      </c>
      <c r="B13" s="1">
        <v>0.03</v>
      </c>
    </row>
    <row r="14" spans="1:2" x14ac:dyDescent="0.3">
      <c r="A14" s="4" t="s">
        <v>8</v>
      </c>
      <c r="B14" s="1">
        <v>0.04</v>
      </c>
    </row>
    <row r="15" spans="1:2" x14ac:dyDescent="0.3">
      <c r="A15" s="4" t="s">
        <v>11</v>
      </c>
      <c r="B15" s="1">
        <v>0.09</v>
      </c>
    </row>
    <row r="16" spans="1:2" x14ac:dyDescent="0.3">
      <c r="A16" s="4" t="s">
        <v>12</v>
      </c>
      <c r="B16" s="1">
        <v>0.08</v>
      </c>
    </row>
    <row r="19" spans="1:10" x14ac:dyDescent="0.3">
      <c r="A19" s="4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</row>
    <row r="20" spans="1:10" x14ac:dyDescent="0.3">
      <c r="A20" s="4" t="s">
        <v>24</v>
      </c>
    </row>
    <row r="21" spans="1:10" x14ac:dyDescent="0.3">
      <c r="A21" s="4" t="s">
        <v>23</v>
      </c>
    </row>
    <row r="22" spans="1:10" x14ac:dyDescent="0.3">
      <c r="A22" s="4" t="s">
        <v>25</v>
      </c>
      <c r="C22" s="2">
        <v>100000</v>
      </c>
      <c r="D22" s="3">
        <f>(C22*$B$14)+C22</f>
        <v>104000</v>
      </c>
      <c r="E22" s="3">
        <f>(D22*$B$14)+D22</f>
        <v>108160</v>
      </c>
      <c r="F22" s="3">
        <f t="shared" ref="F22:J22" si="0">(E22*$B$14)+E22</f>
        <v>112486.39999999999</v>
      </c>
      <c r="G22" s="3">
        <f t="shared" si="0"/>
        <v>116985.856</v>
      </c>
      <c r="H22" s="3">
        <f t="shared" si="0"/>
        <v>121665.29024</v>
      </c>
      <c r="I22" s="3">
        <f t="shared" si="0"/>
        <v>126531.90184960001</v>
      </c>
      <c r="J22" s="3">
        <f t="shared" si="0"/>
        <v>131593.17792358401</v>
      </c>
    </row>
    <row r="23" spans="1:10" x14ac:dyDescent="0.3">
      <c r="A23" s="4" t="s">
        <v>26</v>
      </c>
      <c r="C23" s="2">
        <v>100000</v>
      </c>
      <c r="D23" s="3">
        <f t="shared" ref="D23:J25" si="1">(C23*$B$14)+C23</f>
        <v>104000</v>
      </c>
      <c r="E23" s="3">
        <f t="shared" si="1"/>
        <v>108160</v>
      </c>
      <c r="F23" s="3">
        <f t="shared" si="1"/>
        <v>112486.39999999999</v>
      </c>
      <c r="G23" s="3">
        <f t="shared" si="1"/>
        <v>116985.856</v>
      </c>
      <c r="H23" s="3">
        <f t="shared" si="1"/>
        <v>121665.29024</v>
      </c>
      <c r="I23" s="3">
        <f t="shared" si="1"/>
        <v>126531.90184960001</v>
      </c>
      <c r="J23" s="3">
        <f t="shared" si="1"/>
        <v>131593.17792358401</v>
      </c>
    </row>
    <row r="24" spans="1:10" x14ac:dyDescent="0.3">
      <c r="A24" s="4" t="s">
        <v>27</v>
      </c>
      <c r="C24" s="2">
        <v>100000</v>
      </c>
      <c r="D24" s="3">
        <f t="shared" si="1"/>
        <v>104000</v>
      </c>
      <c r="E24" s="3">
        <f t="shared" si="1"/>
        <v>108160</v>
      </c>
      <c r="F24" s="3">
        <f t="shared" si="1"/>
        <v>112486.39999999999</v>
      </c>
      <c r="G24" s="3">
        <f t="shared" si="1"/>
        <v>116985.856</v>
      </c>
      <c r="H24" s="3">
        <f t="shared" si="1"/>
        <v>121665.29024</v>
      </c>
      <c r="I24" s="3">
        <f t="shared" si="1"/>
        <v>126531.90184960001</v>
      </c>
      <c r="J24" s="3">
        <f t="shared" si="1"/>
        <v>131593.17792358401</v>
      </c>
    </row>
    <row r="25" spans="1:10" x14ac:dyDescent="0.3">
      <c r="A25" s="4" t="s">
        <v>28</v>
      </c>
      <c r="C25" s="2">
        <v>100000</v>
      </c>
      <c r="D25" s="3">
        <f t="shared" si="1"/>
        <v>104000</v>
      </c>
      <c r="E25" s="3">
        <f t="shared" si="1"/>
        <v>108160</v>
      </c>
      <c r="F25" s="3">
        <f t="shared" si="1"/>
        <v>112486.39999999999</v>
      </c>
      <c r="G25" s="3">
        <f t="shared" si="1"/>
        <v>116985.856</v>
      </c>
      <c r="H25" s="3">
        <f t="shared" si="1"/>
        <v>121665.29024</v>
      </c>
      <c r="I25" s="3">
        <f t="shared" si="1"/>
        <v>126531.90184960001</v>
      </c>
      <c r="J25" s="3">
        <f t="shared" si="1"/>
        <v>131593.17792358401</v>
      </c>
    </row>
    <row r="26" spans="1:10" x14ac:dyDescent="0.3">
      <c r="A26" s="4" t="s">
        <v>29</v>
      </c>
      <c r="C26" s="2">
        <f>SUM(C22:C25)</f>
        <v>400000</v>
      </c>
      <c r="D26" s="2">
        <f t="shared" ref="D26:J26" si="2">SUM(D22:D25)</f>
        <v>416000</v>
      </c>
      <c r="E26" s="2">
        <f t="shared" si="2"/>
        <v>432640</v>
      </c>
      <c r="F26" s="2">
        <f t="shared" si="2"/>
        <v>449945.59999999998</v>
      </c>
      <c r="G26" s="2">
        <f t="shared" si="2"/>
        <v>467943.424</v>
      </c>
      <c r="H26" s="2">
        <f t="shared" si="2"/>
        <v>486661.16096000001</v>
      </c>
      <c r="I26" s="2">
        <f t="shared" si="2"/>
        <v>506127.60739840002</v>
      </c>
      <c r="J26" s="2">
        <f t="shared" si="2"/>
        <v>526372.71169433603</v>
      </c>
    </row>
    <row r="27" spans="1:10" x14ac:dyDescent="0.3">
      <c r="D27" s="3"/>
    </row>
    <row r="28" spans="1:10" x14ac:dyDescent="0.3">
      <c r="A28" s="4" t="s">
        <v>30</v>
      </c>
      <c r="C28" s="2">
        <v>0</v>
      </c>
      <c r="D28" s="2">
        <v>0</v>
      </c>
      <c r="E28" s="2">
        <f>E22*0.5</f>
        <v>54080</v>
      </c>
      <c r="F28" s="2">
        <f>F23*0.5</f>
        <v>56243.199999999997</v>
      </c>
      <c r="G28" s="2">
        <f>G24*0.5</f>
        <v>58492.928</v>
      </c>
      <c r="H28" s="2">
        <f>H25*0.5</f>
        <v>60832.645120000001</v>
      </c>
      <c r="I28" s="2">
        <v>0</v>
      </c>
      <c r="J28" s="2">
        <v>0</v>
      </c>
    </row>
    <row r="29" spans="1:10" x14ac:dyDescent="0.3">
      <c r="A29" s="4" t="s">
        <v>31</v>
      </c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5" t="s">
        <v>33</v>
      </c>
      <c r="C30" s="2">
        <f>B10</f>
        <v>150000</v>
      </c>
      <c r="D30" s="2">
        <f>C30*(1+$B$13)</f>
        <v>154500</v>
      </c>
      <c r="E30" s="2">
        <f t="shared" ref="E30:J30" si="3">D30*(1+$B$13)</f>
        <v>159135</v>
      </c>
      <c r="F30" s="2">
        <f t="shared" si="3"/>
        <v>163909.05000000002</v>
      </c>
      <c r="G30" s="2">
        <f t="shared" si="3"/>
        <v>168826.32150000002</v>
      </c>
      <c r="H30" s="2">
        <f t="shared" si="3"/>
        <v>173891.11114500003</v>
      </c>
      <c r="I30" s="2">
        <f t="shared" si="3"/>
        <v>179107.84447935002</v>
      </c>
      <c r="J30" s="2">
        <f t="shared" si="3"/>
        <v>184481.07981373052</v>
      </c>
    </row>
    <row r="31" spans="1:10" x14ac:dyDescent="0.3">
      <c r="A31" s="5" t="s">
        <v>34</v>
      </c>
      <c r="C31" s="3">
        <f>B11</f>
        <v>100000</v>
      </c>
      <c r="D31" s="3">
        <f>C31/C30*D30</f>
        <v>103000</v>
      </c>
      <c r="E31" s="3">
        <f t="shared" ref="E31:J31" si="4">D31/D30*E30</f>
        <v>106090</v>
      </c>
      <c r="F31" s="3">
        <f t="shared" si="4"/>
        <v>109272.70000000001</v>
      </c>
      <c r="G31" s="3">
        <f t="shared" si="4"/>
        <v>112550.88100000001</v>
      </c>
      <c r="H31" s="3">
        <f t="shared" si="4"/>
        <v>115927.40743000002</v>
      </c>
      <c r="I31" s="3">
        <f t="shared" si="4"/>
        <v>119405.22965290002</v>
      </c>
      <c r="J31" s="3">
        <f t="shared" si="4"/>
        <v>122987.38654248702</v>
      </c>
    </row>
    <row r="32" spans="1:10" x14ac:dyDescent="0.3">
      <c r="A32" s="5" t="s">
        <v>36</v>
      </c>
      <c r="C32" s="3">
        <v>0</v>
      </c>
      <c r="D32" s="3">
        <v>0</v>
      </c>
      <c r="E32" s="3">
        <f>E31*1/8</f>
        <v>13261.25</v>
      </c>
      <c r="F32" s="3">
        <f t="shared" ref="F32:H32" si="5">F31*1/8</f>
        <v>13659.087500000001</v>
      </c>
      <c r="G32" s="3">
        <f t="shared" si="5"/>
        <v>14068.860125000001</v>
      </c>
      <c r="H32" s="3">
        <f t="shared" si="5"/>
        <v>14490.925928750003</v>
      </c>
      <c r="I32" s="3">
        <v>0</v>
      </c>
      <c r="J32" s="3">
        <v>0</v>
      </c>
    </row>
    <row r="33" spans="1:12" x14ac:dyDescent="0.3">
      <c r="A33" s="5" t="s">
        <v>35</v>
      </c>
      <c r="C33" s="3">
        <f>(C30-C31)+C32</f>
        <v>50000</v>
      </c>
      <c r="D33" s="3">
        <f t="shared" ref="D33:J33" si="6">(D30-D31)+D32</f>
        <v>51500</v>
      </c>
      <c r="E33" s="3">
        <f t="shared" si="6"/>
        <v>66306.25</v>
      </c>
      <c r="F33" s="3">
        <f t="shared" si="6"/>
        <v>68295.4375</v>
      </c>
      <c r="G33" s="3">
        <f t="shared" si="6"/>
        <v>70344.300625000018</v>
      </c>
      <c r="H33" s="3">
        <f t="shared" si="6"/>
        <v>72454.629643750013</v>
      </c>
      <c r="I33" s="3">
        <f t="shared" si="6"/>
        <v>59702.614826450008</v>
      </c>
      <c r="J33" s="3">
        <f t="shared" si="6"/>
        <v>61493.693271243508</v>
      </c>
    </row>
    <row r="35" spans="1:12" x14ac:dyDescent="0.3">
      <c r="A35" s="4" t="s">
        <v>32</v>
      </c>
      <c r="B35" s="2">
        <v>0</v>
      </c>
      <c r="C35" s="3">
        <f>C26-C28-C33</f>
        <v>350000</v>
      </c>
      <c r="D35" s="3">
        <f t="shared" ref="D35:J35" si="7">D26-D28-D33</f>
        <v>364500</v>
      </c>
      <c r="E35" s="3">
        <f t="shared" si="7"/>
        <v>312253.75</v>
      </c>
      <c r="F35" s="3">
        <f t="shared" si="7"/>
        <v>325406.96249999997</v>
      </c>
      <c r="G35" s="3">
        <f t="shared" si="7"/>
        <v>339106.19537499995</v>
      </c>
      <c r="H35" s="3">
        <f t="shared" si="7"/>
        <v>353373.88619624998</v>
      </c>
      <c r="I35" s="3">
        <f t="shared" si="7"/>
        <v>446424.99257195002</v>
      </c>
      <c r="J35" s="3">
        <f t="shared" si="7"/>
        <v>464879.01842309255</v>
      </c>
    </row>
    <row r="37" spans="1:12" x14ac:dyDescent="0.3">
      <c r="A37" s="4" t="s">
        <v>37</v>
      </c>
    </row>
    <row r="39" spans="1:12" x14ac:dyDescent="0.3">
      <c r="A39" s="4" t="s">
        <v>1</v>
      </c>
      <c r="B39" s="2">
        <f>B4</f>
        <v>5000000</v>
      </c>
      <c r="C39" s="2"/>
      <c r="D39" s="2"/>
      <c r="E39" s="2"/>
      <c r="F39" s="2"/>
      <c r="G39" s="2"/>
      <c r="H39" s="2"/>
      <c r="I39" s="2"/>
      <c r="J39" s="2"/>
    </row>
    <row r="40" spans="1:12" x14ac:dyDescent="0.3">
      <c r="A40" s="4" t="s">
        <v>38</v>
      </c>
      <c r="B40" s="2">
        <f>B39*B5</f>
        <v>200000</v>
      </c>
      <c r="C40" s="2"/>
      <c r="D40" s="2"/>
      <c r="E40" s="2"/>
      <c r="F40" s="2"/>
      <c r="G40" s="2"/>
      <c r="H40" s="2"/>
      <c r="I40" s="2"/>
      <c r="J40" s="2"/>
    </row>
    <row r="41" spans="1:12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1:12" x14ac:dyDescent="0.3">
      <c r="A42" s="4" t="s">
        <v>39</v>
      </c>
      <c r="B42" s="2">
        <v>0</v>
      </c>
      <c r="C42" s="2">
        <v>0</v>
      </c>
      <c r="D42" s="2">
        <v>0</v>
      </c>
      <c r="E42" s="2">
        <v>250000</v>
      </c>
      <c r="F42" s="2">
        <v>0</v>
      </c>
      <c r="G42" s="2">
        <v>0</v>
      </c>
      <c r="H42" s="2">
        <v>0</v>
      </c>
      <c r="I42" s="2">
        <v>0</v>
      </c>
      <c r="J42" s="2"/>
    </row>
    <row r="43" spans="1:12" x14ac:dyDescent="0.3">
      <c r="A43" s="4" t="s">
        <v>42</v>
      </c>
      <c r="B43" s="2">
        <f>SUM(B39:B42)</f>
        <v>5200000</v>
      </c>
      <c r="C43" s="2">
        <f t="shared" ref="C43:I43" si="8">SUM(C39:C42)</f>
        <v>0</v>
      </c>
      <c r="D43" s="2">
        <f t="shared" si="8"/>
        <v>0</v>
      </c>
      <c r="E43" s="2">
        <f t="shared" si="8"/>
        <v>250000</v>
      </c>
      <c r="F43" s="2">
        <f t="shared" si="8"/>
        <v>0</v>
      </c>
      <c r="G43" s="2">
        <f t="shared" si="8"/>
        <v>0</v>
      </c>
      <c r="H43" s="2">
        <f t="shared" si="8"/>
        <v>0</v>
      </c>
      <c r="I43" s="2">
        <f t="shared" si="8"/>
        <v>0</v>
      </c>
      <c r="J43" s="2"/>
    </row>
    <row r="44" spans="1:12" x14ac:dyDescent="0.3">
      <c r="A44" s="4" t="s">
        <v>40</v>
      </c>
      <c r="B44" s="2"/>
      <c r="C44" s="2"/>
      <c r="D44" s="2"/>
      <c r="E44" s="2"/>
      <c r="F44" s="2"/>
      <c r="G44" s="2"/>
      <c r="H44" s="2"/>
      <c r="I44" s="2">
        <f>J35/B16</f>
        <v>5810987.7302886564</v>
      </c>
      <c r="J44" s="2"/>
    </row>
    <row r="45" spans="1:12" x14ac:dyDescent="0.3">
      <c r="L45" t="s">
        <v>46</v>
      </c>
    </row>
    <row r="47" spans="1:12" x14ac:dyDescent="0.3">
      <c r="A47" s="4" t="s">
        <v>41</v>
      </c>
      <c r="B47" s="3">
        <f>B35-B43</f>
        <v>-5200000</v>
      </c>
      <c r="C47" s="3">
        <f t="shared" ref="C47:H47" si="9">C35-C43</f>
        <v>350000</v>
      </c>
      <c r="D47" s="3">
        <f t="shared" si="9"/>
        <v>364500</v>
      </c>
      <c r="E47" s="3">
        <f t="shared" si="9"/>
        <v>62253.75</v>
      </c>
      <c r="F47" s="3">
        <f t="shared" si="9"/>
        <v>325406.96249999997</v>
      </c>
      <c r="G47" s="3">
        <f t="shared" si="9"/>
        <v>339106.19537499995</v>
      </c>
      <c r="H47" s="3">
        <f t="shared" si="9"/>
        <v>353373.88619624998</v>
      </c>
      <c r="I47" s="3">
        <f>I35-I43+I44</f>
        <v>6257412.7228606064</v>
      </c>
    </row>
    <row r="49" spans="1:9" x14ac:dyDescent="0.3">
      <c r="A49" s="4" t="s">
        <v>45</v>
      </c>
      <c r="B49" s="3">
        <f>B47</f>
        <v>-5200000</v>
      </c>
      <c r="C49" s="6">
        <f>C47*(1+$B$15)^-1</f>
        <v>321100.91743119265</v>
      </c>
      <c r="D49" s="6">
        <f>D47*(1+$B$15)^-2</f>
        <v>306792.3575456611</v>
      </c>
      <c r="E49" s="6">
        <f>E47*(1+$B$15)^-3</f>
        <v>48071.317321851471</v>
      </c>
      <c r="F49" s="6">
        <f>F47*(1+$B$15)^-4</f>
        <v>230526.49609114692</v>
      </c>
      <c r="G49" s="6">
        <f>G47*(1+$B$15)^-5</f>
        <v>220395.75966243123</v>
      </c>
      <c r="H49" s="6">
        <f>H47*(1+$B$15)^-6</f>
        <v>210705.3025111582</v>
      </c>
      <c r="I49" s="6">
        <f>I47*(1+$B$15)^-7</f>
        <v>3423019.0435230178</v>
      </c>
    </row>
    <row r="50" spans="1:9" x14ac:dyDescent="0.3">
      <c r="A50" s="4" t="s">
        <v>43</v>
      </c>
      <c r="B50" s="3">
        <f>SUM(B49:I49)</f>
        <v>-439388.80591354053</v>
      </c>
    </row>
    <row r="52" spans="1:9" x14ac:dyDescent="0.3">
      <c r="A52" s="4" t="s">
        <v>44</v>
      </c>
      <c r="B52" s="7">
        <f>IRR(B47:I47,1)</f>
        <v>7.402108506520344E-2</v>
      </c>
    </row>
    <row r="55" spans="1:9" x14ac:dyDescent="0.3">
      <c r="B55" s="3"/>
      <c r="C55" s="3"/>
      <c r="D55" s="6"/>
      <c r="E55" s="6"/>
      <c r="F55" s="6"/>
      <c r="G55" s="6"/>
      <c r="H55" s="6"/>
      <c r="I55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3589-2C34-4B0D-A742-F76798BA7ABE}">
  <dimension ref="A3:B23"/>
  <sheetViews>
    <sheetView workbookViewId="0">
      <selection activeCell="A21" sqref="A21"/>
    </sheetView>
  </sheetViews>
  <sheetFormatPr defaultRowHeight="14.4" x14ac:dyDescent="0.3"/>
  <cols>
    <col min="1" max="1" width="19.109375" customWidth="1"/>
    <col min="2" max="2" width="13.88671875" bestFit="1" customWidth="1"/>
  </cols>
  <sheetData>
    <row r="3" spans="1:2" x14ac:dyDescent="0.3">
      <c r="A3" t="s">
        <v>47</v>
      </c>
    </row>
    <row r="5" spans="1:2" x14ac:dyDescent="0.3">
      <c r="A5" t="s">
        <v>48</v>
      </c>
      <c r="B5" s="2">
        <v>80000</v>
      </c>
    </row>
    <row r="6" spans="1:2" x14ac:dyDescent="0.3">
      <c r="A6" t="s">
        <v>49</v>
      </c>
      <c r="B6" s="2">
        <v>100000</v>
      </c>
    </row>
    <row r="7" spans="1:2" x14ac:dyDescent="0.3">
      <c r="A7" t="s">
        <v>50</v>
      </c>
      <c r="B7" s="1">
        <v>0.1</v>
      </c>
    </row>
    <row r="8" spans="1:2" x14ac:dyDescent="0.3">
      <c r="A8" t="s">
        <v>54</v>
      </c>
      <c r="B8" t="s">
        <v>55</v>
      </c>
    </row>
    <row r="9" spans="1:2" x14ac:dyDescent="0.3">
      <c r="A9" t="s">
        <v>51</v>
      </c>
    </row>
    <row r="10" spans="1:2" x14ac:dyDescent="0.3">
      <c r="A10" t="s">
        <v>52</v>
      </c>
      <c r="B10" s="2">
        <f>B6/B7</f>
        <v>1000000</v>
      </c>
    </row>
    <row r="13" spans="1:2" x14ac:dyDescent="0.3">
      <c r="A13" s="8" t="s">
        <v>53</v>
      </c>
    </row>
    <row r="14" spans="1:2" x14ac:dyDescent="0.3">
      <c r="A14" t="s">
        <v>56</v>
      </c>
    </row>
    <row r="15" spans="1:2" x14ac:dyDescent="0.3">
      <c r="A15" t="s">
        <v>59</v>
      </c>
      <c r="B15">
        <f>(1-(1+10%)^-3)/10%</f>
        <v>2.4868519909842246</v>
      </c>
    </row>
    <row r="16" spans="1:2" x14ac:dyDescent="0.3">
      <c r="A16" s="3">
        <f>B15*B5</f>
        <v>198948.15927873796</v>
      </c>
    </row>
    <row r="18" spans="1:2" x14ac:dyDescent="0.3">
      <c r="A18" s="8" t="s">
        <v>57</v>
      </c>
    </row>
    <row r="19" spans="1:2" x14ac:dyDescent="0.3">
      <c r="A19" t="s">
        <v>46</v>
      </c>
    </row>
    <row r="20" spans="1:2" x14ac:dyDescent="0.3">
      <c r="A20" t="s">
        <v>60</v>
      </c>
      <c r="B20">
        <f>(1+10%)^-3</f>
        <v>0.75131480090157754</v>
      </c>
    </row>
    <row r="21" spans="1:2" x14ac:dyDescent="0.3">
      <c r="A21" s="3">
        <f>B10*B20</f>
        <v>751314.80090157758</v>
      </c>
    </row>
    <row r="23" spans="1:2" x14ac:dyDescent="0.3">
      <c r="A23" s="8" t="s">
        <v>58</v>
      </c>
      <c r="B23" s="3">
        <f>A21+A16</f>
        <v>950262.96018031554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Term and Reversion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Walker</dc:creator>
  <cp:lastModifiedBy>Paul Walker</cp:lastModifiedBy>
  <dcterms:created xsi:type="dcterms:W3CDTF">2023-04-02T19:18:12Z</dcterms:created>
  <dcterms:modified xsi:type="dcterms:W3CDTF">2023-04-03T01:48:47Z</dcterms:modified>
</cp:coreProperties>
</file>