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8efa3ad722ed28c/Aplicativos/"/>
    </mc:Choice>
  </mc:AlternateContent>
  <xr:revisionPtr revIDLastSave="6938" documentId="8_{6EA0C544-B725-4D1D-976F-C099C3F78CB2}" xr6:coauthVersionLast="47" xr6:coauthVersionMax="47" xr10:uidLastSave="{61091F68-8316-45ED-8861-49D0A3DB216C}"/>
  <bookViews>
    <workbookView xWindow="-108" yWindow="-108" windowWidth="23256" windowHeight="12456" xr2:uid="{00000000-000D-0000-FFFF-FFFF00000000}"/>
  </bookViews>
  <sheets>
    <sheet name="MELI" sheetId="4" r:id="rId1"/>
    <sheet name="EAN KIT" sheetId="7" state="hidden" r:id="rId2"/>
    <sheet name="MELI SP" sheetId="2" state="hidden" r:id="rId3"/>
    <sheet name="calcular preço cheio" sheetId="11" state="hidden" r:id="rId4"/>
    <sheet name="Site" sheetId="9" state="hidden" r:id="rId5"/>
  </sheets>
  <definedNames>
    <definedName name="_xlnm._FilterDatabase" localSheetId="3" hidden="1">'calcular preço cheio'!$A$2:$R$49</definedName>
    <definedName name="_xlnm._FilterDatabase" localSheetId="0" hidden="1">MELI!$A$2:$V$85</definedName>
    <definedName name="_xlnm._FilterDatabase" localSheetId="2" hidden="1">'MELI SP'!$A$2:$Y$27</definedName>
    <definedName name="_xlnm._FilterDatabase" localSheetId="4" hidden="1">Site!$A$2:$W$39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" i="4" l="1"/>
  <c r="T56" i="4"/>
  <c r="T36" i="4"/>
  <c r="T34" i="4"/>
  <c r="T20" i="4"/>
  <c r="T15" i="4"/>
  <c r="T8" i="4"/>
  <c r="M41" i="4"/>
  <c r="F41" i="4"/>
  <c r="T41" i="4" s="1"/>
  <c r="F43" i="4"/>
  <c r="V43" i="4" s="1"/>
  <c r="M43" i="4"/>
  <c r="S43" i="4"/>
  <c r="O61" i="4"/>
  <c r="P61" i="4"/>
  <c r="O60" i="4"/>
  <c r="P60" i="4" s="1"/>
  <c r="O59" i="4"/>
  <c r="P59" i="4"/>
  <c r="O58" i="4"/>
  <c r="P58" i="4" s="1"/>
  <c r="O57" i="4"/>
  <c r="O56" i="4"/>
  <c r="P56" i="4" s="1"/>
  <c r="O55" i="4"/>
  <c r="P55" i="4" s="1"/>
  <c r="O54" i="4"/>
  <c r="P54" i="4"/>
  <c r="Q21" i="4"/>
  <c r="O25" i="4"/>
  <c r="P25" i="4"/>
  <c r="Q25" i="4"/>
  <c r="M32" i="4"/>
  <c r="F32" i="4"/>
  <c r="T32" i="4" s="1"/>
  <c r="S7" i="4"/>
  <c r="S11" i="4"/>
  <c r="S13" i="4"/>
  <c r="S15" i="4"/>
  <c r="S18" i="4"/>
  <c r="S19" i="4"/>
  <c r="S20" i="4"/>
  <c r="S27" i="4"/>
  <c r="S28" i="4"/>
  <c r="S30" i="4"/>
  <c r="S34" i="4"/>
  <c r="S35" i="4"/>
  <c r="S36" i="4"/>
  <c r="S37" i="4"/>
  <c r="S39" i="4"/>
  <c r="S40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62" i="4"/>
  <c r="S63" i="4"/>
  <c r="S64" i="4"/>
  <c r="S66" i="4"/>
  <c r="S67" i="4"/>
  <c r="S68" i="4"/>
  <c r="S69" i="4"/>
  <c r="S70" i="4"/>
  <c r="S71" i="4"/>
  <c r="S72" i="4"/>
  <c r="S73" i="4"/>
  <c r="S74" i="4"/>
  <c r="W20" i="4"/>
  <c r="R31" i="4"/>
  <c r="V31" i="4" s="1"/>
  <c r="Q14" i="4"/>
  <c r="Q23" i="4"/>
  <c r="O53" i="4"/>
  <c r="P53" i="4"/>
  <c r="Q53" i="4"/>
  <c r="R53" i="4" s="1"/>
  <c r="Q52" i="4"/>
  <c r="Q17" i="4"/>
  <c r="V32" i="4"/>
  <c r="D32" i="4" s="1"/>
  <c r="Q12" i="4"/>
  <c r="O3" i="4"/>
  <c r="P3" i="4"/>
  <c r="O4" i="4"/>
  <c r="P4" i="4" s="1"/>
  <c r="O5" i="4"/>
  <c r="P5" i="4"/>
  <c r="O6" i="4"/>
  <c r="P6" i="4" s="1"/>
  <c r="O7" i="4"/>
  <c r="P7" i="4"/>
  <c r="O8" i="4"/>
  <c r="P8" i="4"/>
  <c r="O9" i="4"/>
  <c r="P9" i="4" s="1"/>
  <c r="O10" i="4"/>
  <c r="P10" i="4" s="1"/>
  <c r="O11" i="4"/>
  <c r="P11" i="4"/>
  <c r="O12" i="4"/>
  <c r="P12" i="4" s="1"/>
  <c r="R12" i="4" s="1"/>
  <c r="O13" i="4"/>
  <c r="O14" i="4"/>
  <c r="P14" i="4" s="1"/>
  <c r="O15" i="4"/>
  <c r="P15" i="4"/>
  <c r="O16" i="4"/>
  <c r="P16" i="4" s="1"/>
  <c r="O17" i="4"/>
  <c r="P17" i="4"/>
  <c r="R17" i="4"/>
  <c r="O19" i="4"/>
  <c r="P19" i="4" s="1"/>
  <c r="O21" i="4"/>
  <c r="P21" i="4" s="1"/>
  <c r="O22" i="4"/>
  <c r="P22" i="4" s="1"/>
  <c r="O23" i="4"/>
  <c r="P23" i="4"/>
  <c r="R23" i="4" s="1"/>
  <c r="F24" i="4"/>
  <c r="T24" i="4" s="1"/>
  <c r="F40" i="4"/>
  <c r="V40" i="4" s="1"/>
  <c r="D40" i="4" s="1"/>
  <c r="M40" i="4"/>
  <c r="F44" i="4"/>
  <c r="V44" i="4" s="1"/>
  <c r="M44" i="4"/>
  <c r="F45" i="4"/>
  <c r="V45" i="4" s="1"/>
  <c r="M45" i="4"/>
  <c r="F42" i="4"/>
  <c r="T42" i="4" s="1"/>
  <c r="M42" i="4"/>
  <c r="F27" i="4"/>
  <c r="M27" i="4"/>
  <c r="F57" i="4"/>
  <c r="M57" i="4"/>
  <c r="F13" i="4"/>
  <c r="M13" i="4"/>
  <c r="F61" i="4"/>
  <c r="T61" i="4" s="1"/>
  <c r="M61" i="4"/>
  <c r="M54" i="4"/>
  <c r="F54" i="4"/>
  <c r="T54" i="4" s="1"/>
  <c r="F3" i="4"/>
  <c r="T3" i="4" s="1"/>
  <c r="M10" i="4"/>
  <c r="F10" i="4"/>
  <c r="V10" i="4" s="1"/>
  <c r="M9" i="4"/>
  <c r="F9" i="4"/>
  <c r="T9" i="4" s="1"/>
  <c r="M6" i="4"/>
  <c r="F6" i="4"/>
  <c r="T6" i="4" s="1"/>
  <c r="E71" i="4"/>
  <c r="F71" i="4"/>
  <c r="V71" i="4" s="1"/>
  <c r="W71" i="4" s="1"/>
  <c r="C71" i="4" s="1"/>
  <c r="E74" i="4"/>
  <c r="E73" i="4"/>
  <c r="E72" i="4"/>
  <c r="E70" i="4"/>
  <c r="E69" i="4"/>
  <c r="E68" i="4"/>
  <c r="E67" i="4"/>
  <c r="E66" i="4"/>
  <c r="E65" i="4"/>
  <c r="E64" i="4"/>
  <c r="E63" i="4"/>
  <c r="F63" i="4"/>
  <c r="T63" i="4" s="1"/>
  <c r="M74" i="4"/>
  <c r="M73" i="4"/>
  <c r="M72" i="4"/>
  <c r="M71" i="4"/>
  <c r="M70" i="4"/>
  <c r="M69" i="4"/>
  <c r="M68" i="4"/>
  <c r="M67" i="4"/>
  <c r="M66" i="4"/>
  <c r="M65" i="4"/>
  <c r="M64" i="4"/>
  <c r="M63" i="4"/>
  <c r="U47" i="11"/>
  <c r="V47" i="11"/>
  <c r="F47" i="11"/>
  <c r="M47" i="11"/>
  <c r="O47" i="11"/>
  <c r="P47" i="11"/>
  <c r="R47" i="11"/>
  <c r="S47" i="11"/>
  <c r="W47" i="11"/>
  <c r="X47" i="11"/>
  <c r="Q47" i="11"/>
  <c r="D47" i="11"/>
  <c r="F5" i="4"/>
  <c r="V5" i="4" s="1"/>
  <c r="M5" i="4"/>
  <c r="F7" i="4"/>
  <c r="T7" i="4" s="1"/>
  <c r="M7" i="4"/>
  <c r="F8" i="4"/>
  <c r="V8" i="4" s="1"/>
  <c r="M8" i="4"/>
  <c r="F11" i="4"/>
  <c r="V11" i="4" s="1"/>
  <c r="M11" i="4"/>
  <c r="F12" i="4"/>
  <c r="T12" i="4" s="1"/>
  <c r="M12" i="4"/>
  <c r="F14" i="4"/>
  <c r="T14" i="4" s="1"/>
  <c r="M14" i="4"/>
  <c r="F15" i="4"/>
  <c r="M15" i="4"/>
  <c r="F16" i="4"/>
  <c r="T16" i="4" s="1"/>
  <c r="M16" i="4"/>
  <c r="F17" i="4"/>
  <c r="V17" i="4" s="1"/>
  <c r="M17" i="4"/>
  <c r="F18" i="4"/>
  <c r="V18" i="4" s="1"/>
  <c r="W18" i="4" s="1"/>
  <c r="M18" i="4"/>
  <c r="F19" i="4"/>
  <c r="V19" i="4" s="1"/>
  <c r="M19" i="4"/>
  <c r="F21" i="4"/>
  <c r="T21" i="4" s="1"/>
  <c r="M21" i="4"/>
  <c r="F22" i="4"/>
  <c r="V22" i="4" s="1"/>
  <c r="M22" i="4"/>
  <c r="F23" i="4"/>
  <c r="T23" i="4" s="1"/>
  <c r="M23" i="4"/>
  <c r="M24" i="4"/>
  <c r="F25" i="4"/>
  <c r="T25" i="4" s="1"/>
  <c r="M25" i="4"/>
  <c r="F26" i="4"/>
  <c r="T26" i="4" s="1"/>
  <c r="M26" i="4"/>
  <c r="F28" i="4"/>
  <c r="M28" i="4"/>
  <c r="F29" i="4"/>
  <c r="T29" i="4" s="1"/>
  <c r="M29" i="4"/>
  <c r="F30" i="4"/>
  <c r="V30" i="4" s="1"/>
  <c r="W30" i="4" s="1"/>
  <c r="M30" i="4"/>
  <c r="F31" i="4"/>
  <c r="T31" i="4" s="1"/>
  <c r="M31" i="4"/>
  <c r="F33" i="4"/>
  <c r="T33" i="4" s="1"/>
  <c r="M33" i="4"/>
  <c r="F34" i="4"/>
  <c r="M34" i="4"/>
  <c r="F35" i="4"/>
  <c r="T35" i="4" s="1"/>
  <c r="M35" i="4"/>
  <c r="F36" i="4"/>
  <c r="V36" i="4" s="1"/>
  <c r="M36" i="4"/>
  <c r="F37" i="4"/>
  <c r="V37" i="4" s="1"/>
  <c r="M37" i="4"/>
  <c r="F38" i="4"/>
  <c r="V38" i="4" s="1"/>
  <c r="W38" i="4" s="1"/>
  <c r="M38" i="4"/>
  <c r="F39" i="4"/>
  <c r="V39" i="4" s="1"/>
  <c r="M39" i="4"/>
  <c r="E46" i="4"/>
  <c r="F46" i="4"/>
  <c r="T46" i="4" s="1"/>
  <c r="M46" i="4"/>
  <c r="F47" i="4"/>
  <c r="T47" i="4" s="1"/>
  <c r="M47" i="4"/>
  <c r="E48" i="4"/>
  <c r="M48" i="4"/>
  <c r="E49" i="4"/>
  <c r="M49" i="4"/>
  <c r="E52" i="4"/>
  <c r="E50" i="4"/>
  <c r="F50" i="4"/>
  <c r="T50" i="4" s="1"/>
  <c r="M50" i="4"/>
  <c r="E51" i="4"/>
  <c r="F51" i="4"/>
  <c r="M51" i="4"/>
  <c r="M52" i="4"/>
  <c r="F53" i="4"/>
  <c r="M53" i="4"/>
  <c r="F55" i="4"/>
  <c r="T55" i="4" s="1"/>
  <c r="M55" i="4"/>
  <c r="F56" i="4"/>
  <c r="M56" i="4"/>
  <c r="F58" i="4"/>
  <c r="M58" i="4"/>
  <c r="F59" i="4"/>
  <c r="T59" i="4" s="1"/>
  <c r="M59" i="4"/>
  <c r="F60" i="4"/>
  <c r="V60" i="4" s="1"/>
  <c r="M60" i="4"/>
  <c r="F62" i="4"/>
  <c r="V62" i="4" s="1"/>
  <c r="M62" i="4"/>
  <c r="F4" i="4"/>
  <c r="T4" i="4" s="1"/>
  <c r="M4" i="4"/>
  <c r="F24" i="11"/>
  <c r="M24" i="11"/>
  <c r="O24" i="11"/>
  <c r="P24" i="11"/>
  <c r="R24" i="11"/>
  <c r="S24" i="11"/>
  <c r="U24" i="11"/>
  <c r="V24" i="11"/>
  <c r="W24" i="11"/>
  <c r="X24" i="11"/>
  <c r="Q24" i="11"/>
  <c r="D24" i="11"/>
  <c r="M7" i="11"/>
  <c r="O7" i="11"/>
  <c r="P7" i="11"/>
  <c r="F7" i="11"/>
  <c r="R7" i="11"/>
  <c r="C7" i="11"/>
  <c r="Q7" i="11"/>
  <c r="S7" i="11"/>
  <c r="U7" i="11"/>
  <c r="V7" i="11"/>
  <c r="W7" i="11"/>
  <c r="X7" i="11"/>
  <c r="D7" i="11"/>
  <c r="U45" i="11"/>
  <c r="P23" i="11"/>
  <c r="O29" i="11"/>
  <c r="O30" i="11"/>
  <c r="O31" i="11"/>
  <c r="O32" i="11"/>
  <c r="O33" i="11"/>
  <c r="O34" i="11"/>
  <c r="O35" i="11"/>
  <c r="U4" i="11"/>
  <c r="U5" i="11"/>
  <c r="U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6" i="11"/>
  <c r="U48" i="11"/>
  <c r="U49" i="11"/>
  <c r="U3" i="11"/>
  <c r="V4" i="11"/>
  <c r="V5" i="11"/>
  <c r="V6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5" i="11"/>
  <c r="V26" i="11"/>
  <c r="V27" i="11"/>
  <c r="V28" i="11"/>
  <c r="V29" i="11"/>
  <c r="V30" i="11"/>
  <c r="V31" i="11"/>
  <c r="V32" i="11"/>
  <c r="V33" i="11"/>
  <c r="V34" i="11"/>
  <c r="V35" i="11"/>
  <c r="E36" i="11"/>
  <c r="V36" i="11"/>
  <c r="V37" i="11"/>
  <c r="E38" i="11"/>
  <c r="V38" i="11"/>
  <c r="E39" i="11"/>
  <c r="V39" i="11"/>
  <c r="E42" i="11"/>
  <c r="E40" i="11"/>
  <c r="V40" i="11"/>
  <c r="E41" i="11"/>
  <c r="V41" i="11"/>
  <c r="V42" i="11"/>
  <c r="V43" i="11"/>
  <c r="V44" i="11"/>
  <c r="V45" i="11"/>
  <c r="V46" i="11"/>
  <c r="V48" i="11"/>
  <c r="V49" i="11"/>
  <c r="V3" i="11"/>
  <c r="P4" i="11"/>
  <c r="P5" i="11"/>
  <c r="P6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5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8" i="11"/>
  <c r="P49" i="11"/>
  <c r="F4" i="11"/>
  <c r="M4" i="11"/>
  <c r="O4" i="11"/>
  <c r="R4" i="11"/>
  <c r="C4" i="11"/>
  <c r="F5" i="11"/>
  <c r="M5" i="11"/>
  <c r="O5" i="11"/>
  <c r="R5" i="11"/>
  <c r="C5" i="11"/>
  <c r="F6" i="11"/>
  <c r="M6" i="11"/>
  <c r="O6" i="11"/>
  <c r="R6" i="11"/>
  <c r="C6" i="11"/>
  <c r="F8" i="11"/>
  <c r="M8" i="11"/>
  <c r="O8" i="11"/>
  <c r="R8" i="11"/>
  <c r="C8" i="11"/>
  <c r="F9" i="11"/>
  <c r="M9" i="11"/>
  <c r="O9" i="11"/>
  <c r="R9" i="11"/>
  <c r="C9" i="11"/>
  <c r="F10" i="11"/>
  <c r="M10" i="11"/>
  <c r="O10" i="11"/>
  <c r="R10" i="11"/>
  <c r="C10" i="11"/>
  <c r="F11" i="11"/>
  <c r="M11" i="11"/>
  <c r="O11" i="11"/>
  <c r="R11" i="11"/>
  <c r="C11" i="11"/>
  <c r="F12" i="11"/>
  <c r="M12" i="11"/>
  <c r="O12" i="11"/>
  <c r="R12" i="11"/>
  <c r="C12" i="11"/>
  <c r="F13" i="11"/>
  <c r="M13" i="11"/>
  <c r="O13" i="11"/>
  <c r="R13" i="11"/>
  <c r="C13" i="11"/>
  <c r="F14" i="11"/>
  <c r="M14" i="11"/>
  <c r="O14" i="11"/>
  <c r="R14" i="11"/>
  <c r="C14" i="11"/>
  <c r="F15" i="11"/>
  <c r="M15" i="11"/>
  <c r="O15" i="11"/>
  <c r="R15" i="11"/>
  <c r="C15" i="11"/>
  <c r="C16" i="11"/>
  <c r="F17" i="11"/>
  <c r="M17" i="11"/>
  <c r="O17" i="11"/>
  <c r="R17" i="11"/>
  <c r="C17" i="11"/>
  <c r="F18" i="11"/>
  <c r="M18" i="11"/>
  <c r="O18" i="11"/>
  <c r="R18" i="11"/>
  <c r="C18" i="11"/>
  <c r="F19" i="11"/>
  <c r="M19" i="11"/>
  <c r="O19" i="11"/>
  <c r="R19" i="11"/>
  <c r="C19" i="11"/>
  <c r="F20" i="11"/>
  <c r="M20" i="11"/>
  <c r="O20" i="11"/>
  <c r="R20" i="11"/>
  <c r="C20" i="11"/>
  <c r="F21" i="11"/>
  <c r="M21" i="11"/>
  <c r="O21" i="11"/>
  <c r="R21" i="11"/>
  <c r="C21" i="11"/>
  <c r="F22" i="11"/>
  <c r="M22" i="11"/>
  <c r="O22" i="11"/>
  <c r="R22" i="11"/>
  <c r="C22" i="11"/>
  <c r="F23" i="11"/>
  <c r="M23" i="11"/>
  <c r="O23" i="11"/>
  <c r="R23" i="11"/>
  <c r="C23" i="11"/>
  <c r="F25" i="11"/>
  <c r="M25" i="11"/>
  <c r="O25" i="11"/>
  <c r="R25" i="11"/>
  <c r="C25" i="11"/>
  <c r="F26" i="11"/>
  <c r="M26" i="11"/>
  <c r="O26" i="11"/>
  <c r="R26" i="11"/>
  <c r="C26" i="11"/>
  <c r="F27" i="11"/>
  <c r="M27" i="11"/>
  <c r="O27" i="11"/>
  <c r="R27" i="11"/>
  <c r="C27" i="11"/>
  <c r="F28" i="11"/>
  <c r="M28" i="11"/>
  <c r="O28" i="11"/>
  <c r="R28" i="11"/>
  <c r="C28" i="11"/>
  <c r="F29" i="11"/>
  <c r="M29" i="11"/>
  <c r="R29" i="11"/>
  <c r="C29" i="11"/>
  <c r="F30" i="11"/>
  <c r="M30" i="11"/>
  <c r="R30" i="11"/>
  <c r="C30" i="11"/>
  <c r="F31" i="11"/>
  <c r="M31" i="11"/>
  <c r="R31" i="11"/>
  <c r="C31" i="11"/>
  <c r="F32" i="11"/>
  <c r="M32" i="11"/>
  <c r="R32" i="11"/>
  <c r="C32" i="11"/>
  <c r="F33" i="11"/>
  <c r="M33" i="11"/>
  <c r="R33" i="11"/>
  <c r="C33" i="11"/>
  <c r="F34" i="11"/>
  <c r="M34" i="11"/>
  <c r="R34" i="11"/>
  <c r="C34" i="11"/>
  <c r="F35" i="11"/>
  <c r="M35" i="11"/>
  <c r="R35" i="11"/>
  <c r="C35" i="11"/>
  <c r="F36" i="11"/>
  <c r="M36" i="11"/>
  <c r="O36" i="11"/>
  <c r="R36" i="11"/>
  <c r="C36" i="11"/>
  <c r="F37" i="11"/>
  <c r="M37" i="11"/>
  <c r="O37" i="11"/>
  <c r="R37" i="11"/>
  <c r="C37" i="11"/>
  <c r="F38" i="11"/>
  <c r="M38" i="11"/>
  <c r="O38" i="11"/>
  <c r="R38" i="11"/>
  <c r="C38" i="11"/>
  <c r="F39" i="11"/>
  <c r="M39" i="11"/>
  <c r="O39" i="11"/>
  <c r="R39" i="11"/>
  <c r="C39" i="11"/>
  <c r="F40" i="11"/>
  <c r="M40" i="11"/>
  <c r="O40" i="11"/>
  <c r="R40" i="11"/>
  <c r="C40" i="11"/>
  <c r="F41" i="11"/>
  <c r="M41" i="11"/>
  <c r="O41" i="11"/>
  <c r="R41" i="11"/>
  <c r="C41" i="11"/>
  <c r="F42" i="11"/>
  <c r="M42" i="11"/>
  <c r="O42" i="11"/>
  <c r="R42" i="11"/>
  <c r="C42" i="11"/>
  <c r="F43" i="11"/>
  <c r="M43" i="11"/>
  <c r="O43" i="11"/>
  <c r="R43" i="11"/>
  <c r="C43" i="11"/>
  <c r="F44" i="11"/>
  <c r="M44" i="11"/>
  <c r="O44" i="11"/>
  <c r="R44" i="11"/>
  <c r="C44" i="11"/>
  <c r="F45" i="11"/>
  <c r="M45" i="11"/>
  <c r="O45" i="11"/>
  <c r="R45" i="11"/>
  <c r="C45" i="11"/>
  <c r="F46" i="11"/>
  <c r="M46" i="11"/>
  <c r="O46" i="11"/>
  <c r="R46" i="11"/>
  <c r="C46" i="11"/>
  <c r="F48" i="11"/>
  <c r="M48" i="11"/>
  <c r="O48" i="11"/>
  <c r="R48" i="11"/>
  <c r="C48" i="11"/>
  <c r="F49" i="11"/>
  <c r="M49" i="11"/>
  <c r="O49" i="11"/>
  <c r="R49" i="11"/>
  <c r="C49" i="11"/>
  <c r="F3" i="11"/>
  <c r="M3" i="11"/>
  <c r="O3" i="11"/>
  <c r="P3" i="11"/>
  <c r="R3" i="11"/>
  <c r="C3" i="11"/>
  <c r="Q3" i="11"/>
  <c r="D3" i="11"/>
  <c r="S3" i="11"/>
  <c r="W3" i="11"/>
  <c r="X3" i="11"/>
  <c r="Q4" i="11"/>
  <c r="D4" i="11"/>
  <c r="S4" i="11"/>
  <c r="W4" i="11"/>
  <c r="X4" i="11"/>
  <c r="Q5" i="11"/>
  <c r="D5" i="11"/>
  <c r="S5" i="11"/>
  <c r="W5" i="11"/>
  <c r="X5" i="11"/>
  <c r="Q6" i="11"/>
  <c r="D6" i="11"/>
  <c r="S6" i="11"/>
  <c r="W6" i="11"/>
  <c r="X6" i="11"/>
  <c r="Q8" i="11"/>
  <c r="D8" i="11"/>
  <c r="S8" i="11"/>
  <c r="W8" i="11"/>
  <c r="X8" i="11"/>
  <c r="Q9" i="11"/>
  <c r="D9" i="11"/>
  <c r="S9" i="11"/>
  <c r="W9" i="11"/>
  <c r="X9" i="11"/>
  <c r="Q10" i="11"/>
  <c r="D10" i="11"/>
  <c r="S10" i="11"/>
  <c r="W10" i="11"/>
  <c r="X10" i="11"/>
  <c r="Q11" i="11"/>
  <c r="D11" i="11"/>
  <c r="S11" i="11"/>
  <c r="W11" i="11"/>
  <c r="X11" i="11"/>
  <c r="Q12" i="11"/>
  <c r="D12" i="11"/>
  <c r="S12" i="11"/>
  <c r="W12" i="11"/>
  <c r="X12" i="11"/>
  <c r="Q13" i="11"/>
  <c r="D13" i="11"/>
  <c r="S13" i="11"/>
  <c r="W13" i="11"/>
  <c r="X13" i="11"/>
  <c r="S14" i="11"/>
  <c r="W14" i="11"/>
  <c r="X14" i="11"/>
  <c r="Q15" i="11"/>
  <c r="D15" i="11"/>
  <c r="S15" i="11"/>
  <c r="W15" i="11"/>
  <c r="X15" i="11"/>
  <c r="W16" i="11"/>
  <c r="X16" i="11"/>
  <c r="Q17" i="11"/>
  <c r="D17" i="11"/>
  <c r="S17" i="11"/>
  <c r="W17" i="11"/>
  <c r="X17" i="11"/>
  <c r="Q18" i="11"/>
  <c r="D18" i="11"/>
  <c r="S18" i="11"/>
  <c r="W18" i="11"/>
  <c r="X18" i="11"/>
  <c r="Q19" i="11"/>
  <c r="D19" i="11"/>
  <c r="S19" i="11"/>
  <c r="W19" i="11"/>
  <c r="X19" i="11"/>
  <c r="Q20" i="11"/>
  <c r="D20" i="11"/>
  <c r="S20" i="11"/>
  <c r="W20" i="11"/>
  <c r="X20" i="11"/>
  <c r="Q21" i="11"/>
  <c r="D21" i="11"/>
  <c r="S21" i="11"/>
  <c r="W21" i="11"/>
  <c r="X21" i="11"/>
  <c r="Q22" i="11"/>
  <c r="D22" i="11"/>
  <c r="S22" i="11"/>
  <c r="W22" i="11"/>
  <c r="X22" i="11"/>
  <c r="S23" i="11"/>
  <c r="W23" i="11"/>
  <c r="X23" i="11"/>
  <c r="S25" i="11"/>
  <c r="W25" i="11"/>
  <c r="X25" i="11"/>
  <c r="Q26" i="11"/>
  <c r="D26" i="11"/>
  <c r="S26" i="11"/>
  <c r="W26" i="11"/>
  <c r="X26" i="11"/>
  <c r="Q27" i="11"/>
  <c r="D27" i="11"/>
  <c r="S27" i="11"/>
  <c r="W27" i="11"/>
  <c r="X27" i="11"/>
  <c r="Q28" i="11"/>
  <c r="D28" i="11"/>
  <c r="S28" i="11"/>
  <c r="W28" i="11"/>
  <c r="X28" i="11"/>
  <c r="Q29" i="11"/>
  <c r="D29" i="11"/>
  <c r="S29" i="11"/>
  <c r="W29" i="11"/>
  <c r="X29" i="11"/>
  <c r="Q30" i="11"/>
  <c r="D30" i="11"/>
  <c r="S30" i="11"/>
  <c r="W30" i="11"/>
  <c r="X30" i="11"/>
  <c r="Q31" i="11"/>
  <c r="D31" i="11"/>
  <c r="S31" i="11"/>
  <c r="W31" i="11"/>
  <c r="X31" i="11"/>
  <c r="Q32" i="11"/>
  <c r="D32" i="11"/>
  <c r="S32" i="11"/>
  <c r="W32" i="11"/>
  <c r="X32" i="11"/>
  <c r="Q33" i="11"/>
  <c r="D33" i="11"/>
  <c r="S33" i="11"/>
  <c r="W33" i="11"/>
  <c r="X33" i="11"/>
  <c r="Q34" i="11"/>
  <c r="D34" i="11"/>
  <c r="S34" i="11"/>
  <c r="W34" i="11"/>
  <c r="X34" i="11"/>
  <c r="Q35" i="11"/>
  <c r="D35" i="11"/>
  <c r="S35" i="11"/>
  <c r="W35" i="11"/>
  <c r="X35" i="11"/>
  <c r="Q36" i="11"/>
  <c r="D36" i="11"/>
  <c r="S36" i="11"/>
  <c r="W36" i="11"/>
  <c r="X36" i="11"/>
  <c r="Q37" i="11"/>
  <c r="D37" i="11"/>
  <c r="S37" i="11"/>
  <c r="W37" i="11"/>
  <c r="X37" i="11"/>
  <c r="Q38" i="11"/>
  <c r="D38" i="11"/>
  <c r="S38" i="11"/>
  <c r="W38" i="11"/>
  <c r="X38" i="11"/>
  <c r="Q39" i="11"/>
  <c r="D39" i="11"/>
  <c r="S39" i="11"/>
  <c r="W39" i="11"/>
  <c r="X39" i="11"/>
  <c r="Q40" i="11"/>
  <c r="D40" i="11"/>
  <c r="S40" i="11"/>
  <c r="W40" i="11"/>
  <c r="X40" i="11"/>
  <c r="Q41" i="11"/>
  <c r="D41" i="11"/>
  <c r="S41" i="11"/>
  <c r="W41" i="11"/>
  <c r="X41" i="11"/>
  <c r="Q42" i="11"/>
  <c r="D42" i="11"/>
  <c r="S42" i="11"/>
  <c r="W42" i="11"/>
  <c r="X42" i="11"/>
  <c r="Q43" i="11"/>
  <c r="D43" i="11"/>
  <c r="S43" i="11"/>
  <c r="W43" i="11"/>
  <c r="X43" i="11"/>
  <c r="Q44" i="11"/>
  <c r="D44" i="11"/>
  <c r="S44" i="11"/>
  <c r="W44" i="11"/>
  <c r="X44" i="11"/>
  <c r="Q45" i="11"/>
  <c r="D45" i="11"/>
  <c r="S45" i="11"/>
  <c r="W45" i="11"/>
  <c r="X45" i="11"/>
  <c r="Q46" i="11"/>
  <c r="D46" i="11"/>
  <c r="S46" i="11"/>
  <c r="W46" i="11"/>
  <c r="X46" i="11"/>
  <c r="Q48" i="11"/>
  <c r="D48" i="11"/>
  <c r="S48" i="11"/>
  <c r="W48" i="11"/>
  <c r="X48" i="11"/>
  <c r="Q49" i="11"/>
  <c r="D49" i="11"/>
  <c r="S49" i="11"/>
  <c r="W49" i="11"/>
  <c r="X49" i="11"/>
  <c r="D30" i="2"/>
  <c r="H30" i="2"/>
  <c r="V30" i="2"/>
  <c r="U30" i="2"/>
  <c r="F30" i="2"/>
  <c r="H13" i="2"/>
  <c r="V13" i="2"/>
  <c r="U13" i="2"/>
  <c r="F13" i="2"/>
  <c r="F27" i="9"/>
  <c r="H27" i="9"/>
  <c r="F14" i="9"/>
  <c r="F13" i="9"/>
  <c r="F12" i="9"/>
  <c r="W50" i="9"/>
  <c r="H49" i="9"/>
  <c r="W49" i="9"/>
  <c r="H48" i="9"/>
  <c r="W48" i="9"/>
  <c r="H47" i="9"/>
  <c r="W47" i="9"/>
  <c r="H46" i="9"/>
  <c r="W46" i="9"/>
  <c r="H40" i="9"/>
  <c r="H33" i="9"/>
  <c r="H45" i="9"/>
  <c r="W45" i="9"/>
  <c r="H44" i="9"/>
  <c r="W44" i="9"/>
  <c r="H43" i="9"/>
  <c r="W43" i="9"/>
  <c r="H42" i="9"/>
  <c r="W42" i="9"/>
  <c r="H41" i="9"/>
  <c r="W41" i="9"/>
  <c r="W40" i="9"/>
  <c r="W39" i="9"/>
  <c r="W38" i="9"/>
  <c r="W37" i="9"/>
  <c r="W36" i="9"/>
  <c r="W35" i="9"/>
  <c r="W34" i="9"/>
  <c r="W33" i="9"/>
  <c r="H32" i="9"/>
  <c r="W32" i="9"/>
  <c r="H31" i="9"/>
  <c r="W31" i="9"/>
  <c r="H30" i="9"/>
  <c r="W30" i="9"/>
  <c r="H29" i="9"/>
  <c r="W29" i="9"/>
  <c r="W28" i="9"/>
  <c r="W27" i="9"/>
  <c r="W26" i="9"/>
  <c r="W25" i="9"/>
  <c r="W24" i="9"/>
  <c r="W23" i="9"/>
  <c r="W22" i="9"/>
  <c r="W21" i="9"/>
  <c r="W20" i="9"/>
  <c r="W19" i="9"/>
  <c r="W18" i="9"/>
  <c r="W15" i="9"/>
  <c r="W14" i="9"/>
  <c r="W13" i="9"/>
  <c r="W12" i="9"/>
  <c r="W10" i="9"/>
  <c r="W9" i="9"/>
  <c r="W8" i="9"/>
  <c r="W7" i="9"/>
  <c r="W6" i="9"/>
  <c r="W5" i="9"/>
  <c r="W4" i="9"/>
  <c r="W3" i="9"/>
  <c r="V3" i="9"/>
  <c r="G3" i="9"/>
  <c r="V4" i="9"/>
  <c r="G4" i="9"/>
  <c r="V5" i="9"/>
  <c r="G5" i="9"/>
  <c r="V6" i="9"/>
  <c r="G6" i="9"/>
  <c r="V7" i="9"/>
  <c r="G7" i="9"/>
  <c r="V8" i="9"/>
  <c r="G8" i="9"/>
  <c r="V9" i="9"/>
  <c r="G9" i="9"/>
  <c r="V10" i="9"/>
  <c r="G10" i="9"/>
  <c r="V12" i="9"/>
  <c r="G12" i="9"/>
  <c r="V13" i="9"/>
  <c r="G13" i="9"/>
  <c r="V14" i="9"/>
  <c r="G14" i="9"/>
  <c r="V15" i="9"/>
  <c r="G15" i="9"/>
  <c r="V18" i="9"/>
  <c r="G18" i="9"/>
  <c r="V19" i="9"/>
  <c r="G19" i="9"/>
  <c r="V20" i="9"/>
  <c r="G20" i="9"/>
  <c r="V21" i="9"/>
  <c r="G21" i="9"/>
  <c r="V22" i="9"/>
  <c r="G22" i="9"/>
  <c r="V23" i="9"/>
  <c r="G23" i="9"/>
  <c r="V24" i="9"/>
  <c r="G24" i="9"/>
  <c r="V25" i="9"/>
  <c r="G25" i="9"/>
  <c r="V26" i="9"/>
  <c r="G26" i="9"/>
  <c r="V27" i="9"/>
  <c r="G27" i="9"/>
  <c r="V28" i="9"/>
  <c r="G28" i="9"/>
  <c r="V29" i="9"/>
  <c r="G29" i="9"/>
  <c r="V30" i="9"/>
  <c r="G30" i="9"/>
  <c r="V31" i="9"/>
  <c r="G31" i="9"/>
  <c r="V32" i="9"/>
  <c r="G32" i="9"/>
  <c r="V33" i="9"/>
  <c r="G33" i="9"/>
  <c r="V34" i="9"/>
  <c r="G34" i="9"/>
  <c r="V35" i="9"/>
  <c r="G35" i="9"/>
  <c r="V36" i="9"/>
  <c r="G36" i="9"/>
  <c r="V37" i="9"/>
  <c r="G37" i="9"/>
  <c r="V38" i="9"/>
  <c r="G38" i="9"/>
  <c r="V39" i="9"/>
  <c r="G39" i="9"/>
  <c r="V40" i="9"/>
  <c r="G40" i="9"/>
  <c r="V41" i="9"/>
  <c r="G41" i="9"/>
  <c r="V42" i="9"/>
  <c r="G42" i="9"/>
  <c r="V43" i="9"/>
  <c r="G43" i="9"/>
  <c r="V44" i="9"/>
  <c r="G44" i="9"/>
  <c r="V45" i="9"/>
  <c r="G45" i="9"/>
  <c r="V46" i="9"/>
  <c r="G46" i="9"/>
  <c r="V47" i="9"/>
  <c r="G47" i="9"/>
  <c r="V48" i="9"/>
  <c r="G48" i="9"/>
  <c r="V49" i="9"/>
  <c r="G49" i="9"/>
  <c r="V50" i="9"/>
  <c r="G50" i="9"/>
  <c r="Z23" i="2"/>
  <c r="H23" i="2"/>
  <c r="Q23" i="2"/>
  <c r="V23" i="2"/>
  <c r="U23" i="2"/>
  <c r="F23" i="2"/>
  <c r="H7" i="2"/>
  <c r="Q7" i="2"/>
  <c r="V7" i="2"/>
  <c r="U7" i="2"/>
  <c r="D7" i="2"/>
  <c r="F7" i="2"/>
  <c r="H15" i="2"/>
  <c r="V15" i="2"/>
  <c r="U15" i="2"/>
  <c r="D15" i="2"/>
  <c r="F15" i="2"/>
  <c r="D8" i="2"/>
  <c r="H8" i="2"/>
  <c r="Q8" i="2"/>
  <c r="V8" i="2"/>
  <c r="U8" i="2"/>
  <c r="F8" i="2"/>
  <c r="H14" i="2"/>
  <c r="V14" i="2"/>
  <c r="U14" i="2"/>
  <c r="F14" i="2"/>
  <c r="D14" i="2"/>
  <c r="Q6" i="2"/>
  <c r="Q3" i="2"/>
  <c r="E2" i="7"/>
  <c r="D20" i="2"/>
  <c r="D21" i="2"/>
  <c r="D24" i="2"/>
  <c r="D22" i="2"/>
  <c r="Q26" i="2"/>
  <c r="Q25" i="2"/>
  <c r="Q18" i="2"/>
  <c r="Q27" i="2"/>
  <c r="H27" i="2"/>
  <c r="H26" i="2"/>
  <c r="H25" i="2"/>
  <c r="Q4" i="2"/>
  <c r="Q9" i="2"/>
  <c r="Q10" i="2"/>
  <c r="Q11" i="2"/>
  <c r="Q12" i="2"/>
  <c r="Q16" i="2"/>
  <c r="Q17" i="2"/>
  <c r="Q22" i="2"/>
  <c r="H22" i="2"/>
  <c r="D4" i="2"/>
  <c r="D5" i="2"/>
  <c r="D6" i="2"/>
  <c r="D9" i="2"/>
  <c r="D10" i="2"/>
  <c r="D11" i="2"/>
  <c r="D12" i="2"/>
  <c r="D13" i="2"/>
  <c r="D16" i="2"/>
  <c r="D17" i="2"/>
  <c r="D18" i="2"/>
  <c r="D19" i="2"/>
  <c r="D3" i="2"/>
  <c r="H19" i="2"/>
  <c r="H18" i="2"/>
  <c r="H17" i="2"/>
  <c r="H16" i="2"/>
  <c r="H12" i="2"/>
  <c r="H5" i="2"/>
  <c r="H6" i="2"/>
  <c r="H4" i="2"/>
  <c r="H3" i="2"/>
  <c r="V27" i="2"/>
  <c r="U27" i="2"/>
  <c r="F27" i="2"/>
  <c r="V26" i="2"/>
  <c r="U26" i="2"/>
  <c r="F26" i="2"/>
  <c r="V25" i="2"/>
  <c r="U25" i="2"/>
  <c r="F25" i="2"/>
  <c r="V17" i="2"/>
  <c r="U17" i="2"/>
  <c r="F17" i="2"/>
  <c r="V22" i="2"/>
  <c r="U22" i="2"/>
  <c r="F22" i="2"/>
  <c r="V19" i="2"/>
  <c r="U19" i="2"/>
  <c r="F19" i="2"/>
  <c r="V18" i="2"/>
  <c r="U18" i="2"/>
  <c r="F18" i="2"/>
  <c r="V3" i="2"/>
  <c r="U3" i="2"/>
  <c r="F3" i="2"/>
  <c r="V16" i="2"/>
  <c r="U16" i="2"/>
  <c r="F16" i="2"/>
  <c r="V12" i="2"/>
  <c r="U12" i="2"/>
  <c r="F12" i="2"/>
  <c r="V6" i="2"/>
  <c r="U6" i="2"/>
  <c r="F6" i="2"/>
  <c r="V5" i="2"/>
  <c r="U5" i="2"/>
  <c r="F5" i="2"/>
  <c r="V4" i="2"/>
  <c r="U4" i="2"/>
  <c r="F4" i="2"/>
  <c r="F64" i="4"/>
  <c r="V64" i="4" s="1"/>
  <c r="F67" i="4"/>
  <c r="V67" i="4" s="1"/>
  <c r="W67" i="4" s="1"/>
  <c r="C67" i="4" s="1"/>
  <c r="F70" i="4"/>
  <c r="V70" i="4" s="1"/>
  <c r="W70" i="4" s="1"/>
  <c r="C70" i="4" s="1"/>
  <c r="F68" i="4"/>
  <c r="V68" i="4" s="1"/>
  <c r="W68" i="4" s="1"/>
  <c r="C68" i="4" s="1"/>
  <c r="F52" i="4"/>
  <c r="T52" i="4" s="1"/>
  <c r="O52" i="4"/>
  <c r="P52" i="4"/>
  <c r="R52" i="4" s="1"/>
  <c r="V58" i="4"/>
  <c r="D58" i="4" s="1"/>
  <c r="F49" i="4"/>
  <c r="T49" i="4" s="1"/>
  <c r="F74" i="4"/>
  <c r="V74" i="4" s="1"/>
  <c r="W74" i="4" s="1"/>
  <c r="C74" i="4" s="1"/>
  <c r="F65" i="4"/>
  <c r="T65" i="4" s="1"/>
  <c r="V65" i="4"/>
  <c r="W65" i="4" s="1"/>
  <c r="F69" i="4"/>
  <c r="V69" i="4" s="1"/>
  <c r="W69" i="4" s="1"/>
  <c r="C69" i="4" s="1"/>
  <c r="F73" i="4"/>
  <c r="T73" i="4" s="1"/>
  <c r="F48" i="4"/>
  <c r="T48" i="4" s="1"/>
  <c r="V13" i="4"/>
  <c r="C13" i="4" s="1"/>
  <c r="W13" i="4"/>
  <c r="V24" i="4"/>
  <c r="U24" i="4" s="1"/>
  <c r="D24" i="4"/>
  <c r="V6" i="4"/>
  <c r="U6" i="4" s="1"/>
  <c r="F66" i="4"/>
  <c r="T66" i="4" s="1"/>
  <c r="F72" i="4"/>
  <c r="V72" i="4" s="1"/>
  <c r="V28" i="4"/>
  <c r="W28" i="4"/>
  <c r="V34" i="4"/>
  <c r="U34" i="4" s="1"/>
  <c r="V27" i="4"/>
  <c r="C27" i="4" s="1"/>
  <c r="V15" i="4"/>
  <c r="D15" i="4" s="1"/>
  <c r="V35" i="4"/>
  <c r="U35" i="4" s="1"/>
  <c r="D35" i="4"/>
  <c r="V56" i="4"/>
  <c r="U56" i="4" s="1"/>
  <c r="D56" i="4"/>
  <c r="W24" i="4"/>
  <c r="U58" i="4"/>
  <c r="V57" i="4"/>
  <c r="W57" i="4" s="1"/>
  <c r="D37" i="4" l="1"/>
  <c r="U37" i="4"/>
  <c r="W37" i="4"/>
  <c r="W36" i="4"/>
  <c r="U36" i="4"/>
  <c r="D36" i="4"/>
  <c r="W43" i="4"/>
  <c r="C43" i="4"/>
  <c r="D27" i="2" s="1"/>
  <c r="T27" i="4"/>
  <c r="D27" i="4"/>
  <c r="U27" i="4"/>
  <c r="W44" i="4"/>
  <c r="C44" i="4"/>
  <c r="V46" i="4"/>
  <c r="T18" i="4"/>
  <c r="W27" i="4"/>
  <c r="D34" i="4"/>
  <c r="V47" i="4"/>
  <c r="V29" i="4"/>
  <c r="V53" i="4"/>
  <c r="W34" i="4"/>
  <c r="V16" i="4"/>
  <c r="V61" i="4"/>
  <c r="U61" i="4" s="1"/>
  <c r="V7" i="4"/>
  <c r="V33" i="4"/>
  <c r="V42" i="4"/>
  <c r="U42" i="4" s="1"/>
  <c r="T51" i="4"/>
  <c r="R25" i="4"/>
  <c r="V25" i="4" s="1"/>
  <c r="U25" i="4" s="1"/>
  <c r="W6" i="4"/>
  <c r="V55" i="4"/>
  <c r="V3" i="4"/>
  <c r="U3" i="4" s="1"/>
  <c r="U32" i="4"/>
  <c r="W56" i="4"/>
  <c r="R14" i="4"/>
  <c r="V14" i="4" s="1"/>
  <c r="D14" i="4" s="1"/>
  <c r="T38" i="4"/>
  <c r="V54" i="4"/>
  <c r="V63" i="4"/>
  <c r="V23" i="4"/>
  <c r="T40" i="4"/>
  <c r="V52" i="4"/>
  <c r="U52" i="4" s="1"/>
  <c r="W32" i="4"/>
  <c r="T53" i="4"/>
  <c r="T37" i="4"/>
  <c r="D6" i="4"/>
  <c r="W35" i="4"/>
  <c r="V9" i="4"/>
  <c r="T17" i="4"/>
  <c r="T72" i="4"/>
  <c r="W60" i="4"/>
  <c r="D60" i="4"/>
  <c r="U60" i="4"/>
  <c r="W17" i="4"/>
  <c r="U17" i="4"/>
  <c r="D17" i="4"/>
  <c r="U5" i="4"/>
  <c r="W5" i="4"/>
  <c r="D5" i="4"/>
  <c r="C45" i="4"/>
  <c r="W45" i="4"/>
  <c r="W8" i="4"/>
  <c r="U8" i="4"/>
  <c r="D8" i="4"/>
  <c r="U74" i="4"/>
  <c r="D74" i="4"/>
  <c r="T74" i="4"/>
  <c r="W72" i="4"/>
  <c r="U72" i="4"/>
  <c r="D72" i="4"/>
  <c r="P13" i="4"/>
  <c r="U13" i="4"/>
  <c r="D13" i="4"/>
  <c r="T13" i="4"/>
  <c r="W52" i="4"/>
  <c r="D52" i="4"/>
  <c r="D71" i="4"/>
  <c r="T71" i="4"/>
  <c r="U71" i="4"/>
  <c r="T70" i="4"/>
  <c r="U70" i="4"/>
  <c r="D70" i="4"/>
  <c r="D69" i="4"/>
  <c r="T69" i="4"/>
  <c r="U69" i="4"/>
  <c r="D68" i="4"/>
  <c r="T68" i="4"/>
  <c r="U68" i="4"/>
  <c r="W23" i="4"/>
  <c r="D23" i="4"/>
  <c r="U23" i="4"/>
  <c r="U39" i="4"/>
  <c r="W39" i="4"/>
  <c r="D39" i="4"/>
  <c r="W64" i="4"/>
  <c r="D64" i="4"/>
  <c r="U64" i="4"/>
  <c r="D53" i="4"/>
  <c r="U53" i="4"/>
  <c r="W53" i="4"/>
  <c r="D22" i="4"/>
  <c r="U22" i="4"/>
  <c r="W22" i="4"/>
  <c r="U31" i="4"/>
  <c r="W31" i="4"/>
  <c r="D31" i="4"/>
  <c r="D67" i="4"/>
  <c r="T67" i="4"/>
  <c r="U67" i="4"/>
  <c r="R21" i="4"/>
  <c r="D10" i="4"/>
  <c r="U10" i="4"/>
  <c r="W10" i="4"/>
  <c r="C62" i="4"/>
  <c r="W62" i="4"/>
  <c r="D19" i="4"/>
  <c r="W19" i="4"/>
  <c r="U19" i="4"/>
  <c r="D11" i="4"/>
  <c r="W11" i="4"/>
  <c r="U11" i="4"/>
  <c r="D61" i="4"/>
  <c r="V4" i="4"/>
  <c r="W40" i="4"/>
  <c r="W46" i="4"/>
  <c r="V21" i="4"/>
  <c r="T19" i="4"/>
  <c r="U65" i="4"/>
  <c r="U40" i="4"/>
  <c r="V26" i="4"/>
  <c r="V59" i="4"/>
  <c r="V66" i="4"/>
  <c r="T39" i="4"/>
  <c r="T5" i="4"/>
  <c r="U44" i="4"/>
  <c r="V12" i="4"/>
  <c r="U43" i="4"/>
  <c r="V41" i="4"/>
  <c r="T22" i="4"/>
  <c r="W42" i="4"/>
  <c r="V51" i="4"/>
  <c r="T60" i="4"/>
  <c r="V50" i="4"/>
  <c r="D38" i="4"/>
  <c r="V48" i="4"/>
  <c r="T10" i="4"/>
  <c r="T11" i="4"/>
  <c r="D43" i="4"/>
  <c r="W3" i="4"/>
  <c r="W58" i="4"/>
  <c r="U38" i="4"/>
  <c r="V49" i="4"/>
  <c r="D65" i="4"/>
  <c r="V73" i="4"/>
  <c r="T64" i="4"/>
  <c r="C57" i="4"/>
  <c r="P57" i="4" s="1"/>
  <c r="W15" i="4"/>
  <c r="U15" i="4"/>
  <c r="W9" i="4" l="1"/>
  <c r="D9" i="4"/>
  <c r="U9" i="4"/>
  <c r="D55" i="4"/>
  <c r="W55" i="4"/>
  <c r="U46" i="4"/>
  <c r="D46" i="4"/>
  <c r="D42" i="4"/>
  <c r="T44" i="4"/>
  <c r="D44" i="4"/>
  <c r="U14" i="4"/>
  <c r="W7" i="4"/>
  <c r="D7" i="4"/>
  <c r="U7" i="4"/>
  <c r="D25" i="4"/>
  <c r="D16" i="4"/>
  <c r="W16" i="4"/>
  <c r="U16" i="4"/>
  <c r="W25" i="4"/>
  <c r="W14" i="4"/>
  <c r="D33" i="4"/>
  <c r="U33" i="4"/>
  <c r="W33" i="4"/>
  <c r="U47" i="4"/>
  <c r="W47" i="4"/>
  <c r="D47" i="4"/>
  <c r="U55" i="4"/>
  <c r="D3" i="4"/>
  <c r="W63" i="4"/>
  <c r="D63" i="4"/>
  <c r="U63" i="4"/>
  <c r="T43" i="4"/>
  <c r="D54" i="4"/>
  <c r="W54" i="4"/>
  <c r="U54" i="4"/>
  <c r="W61" i="4"/>
  <c r="W29" i="4"/>
  <c r="U29" i="4"/>
  <c r="D29" i="4"/>
  <c r="T45" i="4"/>
  <c r="D45" i="4"/>
  <c r="U45" i="4"/>
  <c r="D66" i="4"/>
  <c r="W66" i="4"/>
  <c r="U66" i="4"/>
  <c r="W59" i="4"/>
  <c r="D59" i="4"/>
  <c r="U59" i="4"/>
  <c r="U48" i="4"/>
  <c r="W48" i="4"/>
  <c r="D48" i="4"/>
  <c r="U26" i="4"/>
  <c r="W26" i="4"/>
  <c r="D26" i="4"/>
  <c r="T62" i="4"/>
  <c r="U62" i="4"/>
  <c r="D62" i="4"/>
  <c r="W50" i="4"/>
  <c r="D50" i="4"/>
  <c r="U50" i="4"/>
  <c r="U57" i="4"/>
  <c r="D57" i="4"/>
  <c r="T57" i="4"/>
  <c r="W21" i="4"/>
  <c r="U21" i="4"/>
  <c r="D21" i="4"/>
  <c r="W51" i="4"/>
  <c r="D51" i="4"/>
  <c r="U51" i="4"/>
  <c r="D73" i="4"/>
  <c r="W73" i="4"/>
  <c r="U73" i="4"/>
  <c r="W12" i="4"/>
  <c r="D12" i="4"/>
  <c r="U12" i="4"/>
  <c r="U49" i="4"/>
  <c r="W49" i="4"/>
  <c r="D49" i="4"/>
  <c r="D41" i="4"/>
  <c r="W41" i="4"/>
  <c r="U41" i="4"/>
  <c r="U4" i="4"/>
  <c r="W4" i="4"/>
  <c r="D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tc={BFA87CC9-DE11-4541-BEA1-92BC8AB3336E}</author>
    <author>tc={42CC248B-C61E-403C-AE69-13698CD451F3}</author>
    <author>tc={A0E2C228-8A12-4C2B-87FC-3BD9EAA87320}</author>
    <author>tc={4768F245-0E10-49A4-96FE-24C790BEB1F4}</author>
    <author>tc={CBE2BDD4-9B15-42C9-AFB2-D26F1681B859}</author>
    <author>tc={C7DFEB3A-4EF8-45BC-98A7-7664004366E8}</author>
    <author>tc={C0C793F4-8274-426B-8E35-EEDCE34AB81D}</author>
  </authors>
  <commentList>
    <comment ref="C8" authorId="0" shapeId="0" xr:uid="{BFA87CC9-DE11-4541-BEA1-92BC8AB333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TACOS de 5,1 últimos 7 dias</t>
      </text>
    </comment>
    <comment ref="C12" authorId="1" shapeId="0" xr:uid="{42CC248B-C61E-403C-AE69-13698CD451F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TACOS está 5,84% nos últimos 7 dias. </t>
      </text>
    </comment>
    <comment ref="C14" authorId="2" shapeId="0" xr:uid="{A0E2C228-8A12-4C2B-87FC-3BD9EAA873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uma campanha dia 23/04 para diminuir o estoque que tenho no MELI</t>
      </text>
    </comment>
    <comment ref="C15" authorId="3" shapeId="0" xr:uid="{4768F245-0E10-49A4-96FE-24C790BEB1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Campanha ativa, TACOS 7 dias em 6,14%</t>
      </text>
    </comment>
    <comment ref="C18" authorId="4" shapeId="0" xr:uid="{CBE2BDD4-9B15-42C9-AFB2-D26F1681B8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campanha hoje, preciso vender o estoque que tenho no MELI.</t>
      </text>
    </comment>
    <comment ref="C25" authorId="5" shapeId="0" xr:uid="{C7DFEB3A-4EF8-45BC-98A7-7664004366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campanha dia 23/04 para diminuir estoque.</t>
      </text>
    </comment>
    <comment ref="C27" authorId="6" shapeId="0" xr:uid="{C0C793F4-8274-426B-8E35-EEDCE34AB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Reativei campanha, TACOS em 10,89%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tc={EA6CB097-6B60-4B00-8B74-81C15D3D8448}</author>
  </authors>
  <commentList>
    <comment ref="C18" authorId="0" shapeId="0" xr:uid="{EA6CB097-6B60-4B00-8B74-81C15D3D84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campanha hoje, preciso vender o estoque que tenho no MELI.</t>
      </text>
    </comment>
  </commentList>
</comments>
</file>

<file path=xl/sharedStrings.xml><?xml version="1.0" encoding="utf-8"?>
<sst xmlns="http://schemas.openxmlformats.org/spreadsheetml/2006/main" count="476" uniqueCount="148">
  <si>
    <t>DATA ATUALIZAÇÃO:</t>
  </si>
  <si>
    <t>Depósito</t>
  </si>
  <si>
    <t>Publicidade</t>
  </si>
  <si>
    <t>Produto</t>
  </si>
  <si>
    <t>EAN</t>
  </si>
  <si>
    <t>Preço de Venda Atual (R$)</t>
  </si>
  <si>
    <t>Lucro/
Prejuízo Real (%)</t>
  </si>
  <si>
    <t>Preço de Compra (R$)</t>
  </si>
  <si>
    <t>Frete até SP (R$)</t>
  </si>
  <si>
    <t>Rótulo (R$)</t>
  </si>
  <si>
    <t>Embalagem (R$)</t>
  </si>
  <si>
    <t>% Comissão Mercado Livre</t>
  </si>
  <si>
    <t>% Imposto Simples Nacional</t>
  </si>
  <si>
    <t>% Substituição Tributária</t>
  </si>
  <si>
    <t>% Marketing real</t>
  </si>
  <si>
    <t>Lucro/
Prejuízo Real (R$)</t>
  </si>
  <si>
    <t>Preço com marketing real (R$)</t>
  </si>
  <si>
    <t>Preço final</t>
  </si>
  <si>
    <t>full</t>
  </si>
  <si>
    <t>Mel 280g Silvestre</t>
  </si>
  <si>
    <t>Mel 280g aroeira</t>
  </si>
  <si>
    <t>Mel 280g Eucalipto</t>
  </si>
  <si>
    <t>Mel 280g Laranjeira</t>
  </si>
  <si>
    <t>Mel 280g Orgânico Aroeira</t>
  </si>
  <si>
    <t>Mel 280g Orgânico Silvestre</t>
  </si>
  <si>
    <t>Mel 560g Silvestre</t>
  </si>
  <si>
    <t>Mel 560g aroeira</t>
  </si>
  <si>
    <t>Nosso mel 220g</t>
  </si>
  <si>
    <t>Nosso mel 500g</t>
  </si>
  <si>
    <t>Nosso mel 1kg</t>
  </si>
  <si>
    <t>Mel balde 5 kg silvestre</t>
  </si>
  <si>
    <t>Mel kit 3 floradas</t>
  </si>
  <si>
    <t>Cera abelha 1kg</t>
  </si>
  <si>
    <t>depósito</t>
  </si>
  <si>
    <t>Breu</t>
  </si>
  <si>
    <t>Gel pós 1L</t>
  </si>
  <si>
    <t>Semente de uva 500ml</t>
  </si>
  <si>
    <t>Adstringente 1L</t>
  </si>
  <si>
    <t>Adstringente 250ml</t>
  </si>
  <si>
    <t>Cera hidrossoluvel 2,7kg</t>
  </si>
  <si>
    <t>Sache 5 sacolas</t>
  </si>
  <si>
    <t>Sache 700 gramas</t>
  </si>
  <si>
    <t>Bala com açucar</t>
  </si>
  <si>
    <t>Bala sem açucar</t>
  </si>
  <si>
    <t>Mel 500 gramas e própolis 20ml</t>
  </si>
  <si>
    <t>Mel 220 gramas e própolis verde 30ml</t>
  </si>
  <si>
    <t>Própolis 20 ml</t>
  </si>
  <si>
    <t>Própolis verde 30 ml</t>
  </si>
  <si>
    <t>Mel 300g Silvestre</t>
  </si>
  <si>
    <t>Mel 300g aroeira</t>
  </si>
  <si>
    <t>Mel 300g Eucalipto</t>
  </si>
  <si>
    <t>Mel 300g Laranjeira</t>
  </si>
  <si>
    <t>Mel 300g Orgânico Silvestre</t>
  </si>
  <si>
    <t>Silvestre Orgânico 300g + Laranjeira 300g</t>
  </si>
  <si>
    <t>3 x Nosso mel 500g</t>
  </si>
  <si>
    <t>2 x Nosso mel 1kg</t>
  </si>
  <si>
    <t>3 x Nosso mel 220g</t>
  </si>
  <si>
    <t>2 x Mel 300g Orgânico Silvestre</t>
  </si>
  <si>
    <t xml:space="preserve">Mel balde 5 kg orgânico </t>
  </si>
  <si>
    <t>CD Mercado Livre</t>
  </si>
  <si>
    <t>Frete até cd (R$)</t>
  </si>
  <si>
    <t>Rótulo</t>
  </si>
  <si>
    <t>Frete Mercado Livre (R$)</t>
  </si>
  <si>
    <t>Taxa Fixa Mercado Livre (R$)</t>
  </si>
  <si>
    <t>Desconto em Taxas ML (R$)</t>
  </si>
  <si>
    <t>% Margem de contribuição</t>
  </si>
  <si>
    <t>Araçariguama</t>
  </si>
  <si>
    <t>Extrema</t>
  </si>
  <si>
    <t>Mel 560g Eucalipto</t>
  </si>
  <si>
    <t>não tem full</t>
  </si>
  <si>
    <t>Mel balde 5 kg eucalipto</t>
  </si>
  <si>
    <t>Mel balde 5 kg aroeira</t>
  </si>
  <si>
    <t>Cera quente</t>
  </si>
  <si>
    <t>Cera hidrossoluvel 1,3kg</t>
  </si>
  <si>
    <t>Cera hidrossoluvel 0,6kg</t>
  </si>
  <si>
    <t>Cera hidrossoluvel 0,3kg</t>
  </si>
  <si>
    <t>Kit Mel 500 gramas e própolis 20ml</t>
  </si>
  <si>
    <t>Kit Mel 220 gramas e própolis verde 30ml</t>
  </si>
  <si>
    <t>Cera quente com Ester</t>
  </si>
  <si>
    <t>Pinati nuts Original</t>
  </si>
  <si>
    <t>Pinati nuts Banana</t>
  </si>
  <si>
    <t>Pinati Nuts Coco</t>
  </si>
  <si>
    <t>Pinati protein Cups Amendoim Unitário</t>
  </si>
  <si>
    <t>Pinati protein Cups Avela Unitário</t>
  </si>
  <si>
    <t>Pinati protein Cups Cookies and Cream Unitário</t>
  </si>
  <si>
    <t>Pinati Simple Whey Chocolate Belga</t>
  </si>
  <si>
    <t>Pinati Simple Whey Pistache</t>
  </si>
  <si>
    <t>Pinati Simple Whey Caramelo Salgado</t>
  </si>
  <si>
    <t>Pinati Simple Whey Beijinho</t>
  </si>
  <si>
    <t>Pinati Simple Whey Brigadeiro</t>
  </si>
  <si>
    <t>Pinati Simple Whey Churros</t>
  </si>
  <si>
    <t>Publicidade SP</t>
  </si>
  <si>
    <t>Ads 1kg nosso mel</t>
  </si>
  <si>
    <t>Ads 280 Silvestre Orgânico</t>
  </si>
  <si>
    <t>ads 500 nosso mel</t>
  </si>
  <si>
    <t>Publicidade MG</t>
  </si>
  <si>
    <t>Ads própolis verde</t>
  </si>
  <si>
    <t>ads 280 aroeira orgânico</t>
  </si>
  <si>
    <t>Preço em SP</t>
  </si>
  <si>
    <t>% Administrativo</t>
  </si>
  <si>
    <t>% Produção</t>
  </si>
  <si>
    <t>% Margem Líquida Desejada</t>
  </si>
  <si>
    <t>TACOS
7 dias</t>
  </si>
  <si>
    <t>Perdas por orçamento</t>
  </si>
  <si>
    <t>Perdas por classificação</t>
  </si>
  <si>
    <t>Investimento</t>
  </si>
  <si>
    <t>OBSERVAÇÃO</t>
  </si>
  <si>
    <t>Unidades no kit</t>
  </si>
  <si>
    <t>PESO</t>
  </si>
  <si>
    <t>KIT BALA DE MEL, PROPOLIS E MENTA - 5 UNIDADES</t>
  </si>
  <si>
    <t>Preço em MG</t>
  </si>
  <si>
    <t>Lucro/
Prejuízo (%)</t>
  </si>
  <si>
    <t>% Marketing</t>
  </si>
  <si>
    <t>Lucro/
Prejuízo (R$)</t>
  </si>
  <si>
    <t>Preço com marketing (R$)</t>
  </si>
  <si>
    <t>Observação</t>
  </si>
  <si>
    <t>sim</t>
  </si>
  <si>
    <t>Solicitei MELI acrescentei imagens e descrição.</t>
  </si>
  <si>
    <t>valor investido em 7 dias, vamos continuar verificando</t>
  </si>
  <si>
    <t>Aumentei ACOS objetivo pois entregou pouco nos últimos 7 dias</t>
  </si>
  <si>
    <t>dia 24/04, início campanha em aprendizado.</t>
  </si>
  <si>
    <t>x'</t>
  </si>
  <si>
    <t>Campanha em aprendizado desde 26/04</t>
  </si>
  <si>
    <t>Sache mel e própolis</t>
  </si>
  <si>
    <t>Sache mel</t>
  </si>
  <si>
    <t xml:space="preserve">Preço cheio </t>
  </si>
  <si>
    <t>Preço cheio atual</t>
  </si>
  <si>
    <t>Frete 3%</t>
  </si>
  <si>
    <t>Frete 8% preço compra</t>
  </si>
  <si>
    <t>% relação ao preço compra</t>
  </si>
  <si>
    <t>% Frete</t>
  </si>
  <si>
    <t>Silvestre Orgânico 300g + Aroeira 300g</t>
  </si>
  <si>
    <t>Silvestre Orgânico 300g + Aroeira 300g + Eucalipto 300g</t>
  </si>
  <si>
    <t>Silvestre orgânico 300g + Aroeira 300g + Laranjeira 300g</t>
  </si>
  <si>
    <t>Silvestre Orgânico 300g + Laranjeira 300g + própolis verde</t>
  </si>
  <si>
    <t>Silvestre Orgânico 300g + Laranjeira 300g + 2 própolis 20ml</t>
  </si>
  <si>
    <t>Valor recebido Gustavo</t>
  </si>
  <si>
    <t>% em relação preço de venda</t>
  </si>
  <si>
    <t>% Marketing do anúncio</t>
  </si>
  <si>
    <t>Alterei dia 09/07, verificar para abaixar ACOS. Não está consumindo grana pois preço SP mais baixo.</t>
  </si>
  <si>
    <t>Ads 560 aroeira</t>
  </si>
  <si>
    <t>Ads própolis marron</t>
  </si>
  <si>
    <t>Ads adstringente</t>
  </si>
  <si>
    <t>Ads Camomila 2,7</t>
  </si>
  <si>
    <t>Está errada, precisa ajuste</t>
  </si>
  <si>
    <t>Alterado TACOS para diminuir investimento e melhorar TACOS</t>
  </si>
  <si>
    <t>ads balde silvestre</t>
  </si>
  <si>
    <t>% Margem de contribuição sem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</si>
</sst>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9" fontId="0" fillId="3" borderId="1" xfId="0" applyNumberFormat="1" applyFill="1" applyBorder="1" applyAlignment="1">
      <alignment horizontal="left"/>
    </xf>
    <xf numFmtId="10" fontId="0" fillId="3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9" fontId="3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164" fontId="0" fillId="9" borderId="1" xfId="0" applyNumberFormat="1" applyFill="1" applyBorder="1" applyAlignment="1">
      <alignment horizontal="left"/>
    </xf>
    <xf numFmtId="10" fontId="0" fillId="9" borderId="1" xfId="0" applyNumberFormat="1" applyFill="1" applyBorder="1" applyAlignment="1">
      <alignment horizontal="left"/>
    </xf>
    <xf numFmtId="9" fontId="0" fillId="9" borderId="1" xfId="0" applyNumberFormat="1" applyFill="1" applyBorder="1" applyAlignment="1">
      <alignment horizontal="left"/>
    </xf>
    <xf numFmtId="9" fontId="3" fillId="9" borderId="1" xfId="0" applyNumberFormat="1" applyFont="1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0" fontId="0" fillId="10" borderId="1" xfId="0" applyFill="1" applyBorder="1"/>
    <xf numFmtId="14" fontId="0" fillId="10" borderId="1" xfId="0" applyNumberFormat="1" applyFill="1" applyBorder="1"/>
    <xf numFmtId="0" fontId="0" fillId="10" borderId="2" xfId="0" applyFill="1" applyBorder="1"/>
    <xf numFmtId="0" fontId="1" fillId="5" borderId="0" xfId="0" applyFont="1" applyFill="1" applyAlignment="1">
      <alignment horizontal="center" vertical="center" wrapText="1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1" fontId="0" fillId="0" borderId="0" xfId="0" applyNumberFormat="1"/>
    <xf numFmtId="0" fontId="1" fillId="11" borderId="1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" fontId="0" fillId="12" borderId="1" xfId="0" applyNumberFormat="1" applyFill="1" applyBorder="1" applyAlignment="1">
      <alignment horizontal="left"/>
    </xf>
    <xf numFmtId="1" fontId="0" fillId="12" borderId="5" xfId="0" applyNumberFormat="1" applyFill="1" applyBorder="1" applyAlignment="1">
      <alignment horizontal="left"/>
    </xf>
    <xf numFmtId="1" fontId="0" fillId="3" borderId="1" xfId="0" applyNumberFormat="1" applyFill="1" applyBorder="1"/>
    <xf numFmtId="164" fontId="0" fillId="0" borderId="0" xfId="0" applyNumberFormat="1"/>
    <xf numFmtId="164" fontId="3" fillId="3" borderId="1" xfId="0" applyNumberFormat="1" applyFont="1" applyFill="1" applyBorder="1" applyAlignment="1">
      <alignment horizontal="left"/>
    </xf>
    <xf numFmtId="9" fontId="0" fillId="10" borderId="0" xfId="0" applyNumberFormat="1" applyFill="1"/>
    <xf numFmtId="0" fontId="0" fillId="13" borderId="1" xfId="0" applyFill="1" applyBorder="1"/>
    <xf numFmtId="164" fontId="0" fillId="3" borderId="0" xfId="0" applyNumberFormat="1" applyFill="1"/>
    <xf numFmtId="9" fontId="0" fillId="0" borderId="0" xfId="0" applyNumberFormat="1"/>
    <xf numFmtId="164" fontId="0" fillId="3" borderId="6" xfId="0" applyNumberFormat="1" applyFill="1" applyBorder="1" applyAlignment="1">
      <alignment horizontal="left"/>
    </xf>
    <xf numFmtId="164" fontId="0" fillId="3" borderId="6" xfId="0" applyNumberFormat="1" applyFill="1" applyBorder="1"/>
    <xf numFmtId="164" fontId="0" fillId="3" borderId="2" xfId="0" applyNumberForma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8" xfId="0" applyNumberFormat="1" applyFill="1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1" xfId="2" applyBorder="1"/>
    <xf numFmtId="10" fontId="0" fillId="0" borderId="1" xfId="0" applyNumberFormat="1" applyBorder="1" applyAlignment="1">
      <alignment horizontal="left"/>
    </xf>
    <xf numFmtId="0" fontId="1" fillId="8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left"/>
    </xf>
    <xf numFmtId="0" fontId="0" fillId="14" borderId="1" xfId="0" applyFill="1" applyBorder="1" applyAlignment="1">
      <alignment wrapText="1"/>
    </xf>
    <xf numFmtId="0" fontId="4" fillId="14" borderId="1" xfId="2" applyFill="1" applyBorder="1"/>
    <xf numFmtId="9" fontId="0" fillId="14" borderId="1" xfId="0" applyNumberFormat="1" applyFill="1" applyBorder="1" applyAlignment="1">
      <alignment horizontal="left"/>
    </xf>
    <xf numFmtId="0" fontId="4" fillId="0" borderId="0" xfId="2" applyAlignment="1">
      <alignment horizontal="left" vertical="center" wrapText="1"/>
    </xf>
    <xf numFmtId="10" fontId="0" fillId="0" borderId="5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9" fontId="0" fillId="14" borderId="2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9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14" borderId="5" xfId="0" applyFill="1" applyBorder="1" applyAlignment="1">
      <alignment wrapText="1"/>
    </xf>
    <xf numFmtId="0" fontId="0" fillId="14" borderId="0" xfId="0" applyFill="1"/>
    <xf numFmtId="10" fontId="0" fillId="14" borderId="5" xfId="0" applyNumberFormat="1" applyFill="1" applyBorder="1" applyAlignment="1">
      <alignment horizontal="left"/>
    </xf>
    <xf numFmtId="164" fontId="0" fillId="14" borderId="2" xfId="0" applyNumberFormat="1" applyFill="1" applyBorder="1" applyAlignment="1">
      <alignment horizontal="left"/>
    </xf>
    <xf numFmtId="9" fontId="0" fillId="15" borderId="1" xfId="0" applyNumberFormat="1" applyFill="1" applyBorder="1" applyAlignment="1">
      <alignment horizontal="left"/>
    </xf>
    <xf numFmtId="9" fontId="0" fillId="16" borderId="1" xfId="0" applyNumberForma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4" fillId="3" borderId="1" xfId="2" applyFill="1" applyBorder="1"/>
    <xf numFmtId="9" fontId="0" fillId="17" borderId="1" xfId="0" applyNumberFormat="1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164" fontId="0" fillId="18" borderId="1" xfId="0" applyNumberFormat="1" applyFill="1" applyBorder="1" applyAlignment="1">
      <alignment horizontal="left"/>
    </xf>
    <xf numFmtId="10" fontId="0" fillId="18" borderId="1" xfId="0" applyNumberFormat="1" applyFill="1" applyBorder="1" applyAlignment="1">
      <alignment horizontal="left"/>
    </xf>
    <xf numFmtId="9" fontId="0" fillId="18" borderId="1" xfId="0" applyNumberFormat="1" applyFill="1" applyBorder="1" applyAlignment="1">
      <alignment horizontal="left"/>
    </xf>
    <xf numFmtId="9" fontId="3" fillId="18" borderId="1" xfId="0" applyNumberFormat="1" applyFont="1" applyFill="1" applyBorder="1" applyAlignment="1">
      <alignment horizontal="left"/>
    </xf>
    <xf numFmtId="164" fontId="0" fillId="18" borderId="0" xfId="0" applyNumberFormat="1" applyFill="1"/>
    <xf numFmtId="0" fontId="0" fillId="18" borderId="0" xfId="0" applyFill="1"/>
    <xf numFmtId="9" fontId="0" fillId="19" borderId="1" xfId="0" applyNumberFormat="1" applyFill="1" applyBorder="1" applyAlignment="1">
      <alignment horizontal="left"/>
    </xf>
    <xf numFmtId="164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</xdr:colOff>
      <xdr:row>0</xdr:row>
      <xdr:rowOff>0</xdr:rowOff>
    </xdr:from>
    <xdr:to>
      <xdr:col>1</xdr:col>
      <xdr:colOff>2562640</xdr:colOff>
      <xdr:row>1</xdr:row>
      <xdr:rowOff>1058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F580E4F6-86D8-A576-4BF3-98C83E2DD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" y="0"/>
          <a:ext cx="2465485" cy="11154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982980</xdr:colOff>
          <xdr:row>74</xdr:row>
          <xdr:rowOff>0</xdr:rowOff>
        </xdr:from>
        <xdr:to>
          <xdr:col>1</xdr:col>
          <xdr:colOff>1211580</xdr:colOff>
          <xdr:row>75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2</xdr:col>
      <xdr:colOff>483870</xdr:colOff>
      <xdr:row>0</xdr:row>
      <xdr:rowOff>1077176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ECAB848A-F7E8-4B88-A7A8-675671AF9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0"/>
          <a:ext cx="1741170" cy="10771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Martins Delfim" id="{C1D9D8DC-ED90-46B4-A4A4-E9C74A794031}" userId="08efa3ad722ed28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5-04-23T19:04:07.66" personId="{C1D9D8DC-ED90-46B4-A4A4-E9C74A794031}" id="{BFA87CC9-DE11-4541-BEA1-92BC8AB3336E}">
    <text>TACOS de 5,1 últimos 7 dias</text>
  </threadedComment>
  <threadedComment ref="C12" dT="2025-04-23T19:06:18.72" personId="{C1D9D8DC-ED90-46B4-A4A4-E9C74A794031}" id="{42CC248B-C61E-403C-AE69-13698CD451F3}">
    <text xml:space="preserve">TACOS está 5,84% nos últimos 7 dias. </text>
  </threadedComment>
  <threadedComment ref="C14" dT="2025-04-23T18:46:17.04" personId="{C1D9D8DC-ED90-46B4-A4A4-E9C74A794031}" id="{A0E2C228-8A12-4C2B-87FC-3BD9EAA87320}">
    <text>Criei uma campanha dia 23/04 para diminuir o estoque que tenho no MELI</text>
  </threadedComment>
  <threadedComment ref="C15" dT="2025-04-23T18:36:40.10" personId="{C1D9D8DC-ED90-46B4-A4A4-E9C74A794031}" id="{4768F245-0E10-49A4-96FE-24C790BEB1F4}">
    <text>Campanha ativa, TACOS 7 dias em 6,14%</text>
  </threadedComment>
  <threadedComment ref="C18" dT="2025-04-23T18:44:45.20" personId="{C1D9D8DC-ED90-46B4-A4A4-E9C74A794031}" id="{CBE2BDD4-9B15-42C9-AFB2-D26F1681B859}">
    <text>Criei campanha hoje, preciso vender o estoque que tenho no MELI.</text>
  </threadedComment>
  <threadedComment ref="C25" dT="2025-04-23T19:50:18.01" personId="{C1D9D8DC-ED90-46B4-A4A4-E9C74A794031}" id="{C7DFEB3A-4EF8-45BC-98A7-7664004366E8}">
    <text>Criei campanha dia 23/04 para diminuir estoque.</text>
  </threadedComment>
  <threadedComment ref="C27" dT="2025-04-23T17:40:04.35" personId="{C1D9D8DC-ED90-46B4-A4A4-E9C74A794031}" id="{C0C793F4-8274-426B-8E35-EEDCE34AB81D}">
    <text>Reativei campanha, TACOS em 10,89%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25-04-23T18:44:45.20" personId="{C1D9D8DC-ED90-46B4-A4A4-E9C74A794031}" id="{EA6CB097-6B60-4B00-8B74-81C15D3D8448}">
    <text>Criei campanha hoje, preciso vender o estoque que tenho no MELI.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s.mercadolivre.com.br/product-ads/admin/campaigns/352137547/dashboard" TargetMode="External"/><Relationship Id="rId13" Type="http://schemas.openxmlformats.org/officeDocument/2006/relationships/image" Target="../media/image1.emf"/><Relationship Id="rId3" Type="http://schemas.openxmlformats.org/officeDocument/2006/relationships/hyperlink" Target="https://ads.mercadolivre.com.br/product-ads/admin/campaigns/352749279/dashboard" TargetMode="External"/><Relationship Id="rId7" Type="http://schemas.openxmlformats.org/officeDocument/2006/relationships/hyperlink" Target="https://ads.mercadolivre.com.br/product-ads/admin/campaigns/352808685/dashboard" TargetMode="External"/><Relationship Id="rId12" Type="http://schemas.openxmlformats.org/officeDocument/2006/relationships/control" Target="../activeX/activeX1.xml"/><Relationship Id="rId2" Type="http://schemas.openxmlformats.org/officeDocument/2006/relationships/hyperlink" Target="https://ads.mercadolivre.com.br/product-ads/admin/campaigns/352525830/dashboard" TargetMode="External"/><Relationship Id="rId1" Type="http://schemas.openxmlformats.org/officeDocument/2006/relationships/hyperlink" Target="https://ads.mercadolivre.com.br/product-ads/admin/campaigns/351971450/dashboard" TargetMode="External"/><Relationship Id="rId6" Type="http://schemas.openxmlformats.org/officeDocument/2006/relationships/hyperlink" Target="https://ads.mercadolivre.com.br/product-ads/admin/campaigns/353157316/dashboar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ds.mercadolivre.com.br/product-ads/admin/campaigns/352808685/dashboar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ads.mercadolivre.com.br/product-ads/admin/campaigns/352526135/dashboard" TargetMode="External"/><Relationship Id="rId9" Type="http://schemas.openxmlformats.org/officeDocument/2006/relationships/hyperlink" Target="https://ads.mercadolivre.com.br/product-ads/admin/campaigns/352526135/dashboar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F463-67BE-4B40-B1D3-F7FDD3169699}">
  <sheetPr codeName="Planilha1"/>
  <dimension ref="A1:Z85"/>
  <sheetViews>
    <sheetView tabSelected="1" workbookViewId="0">
      <pane xSplit="4" ySplit="2" topLeftCell="P6" activePane="bottomRight" state="frozen"/>
      <selection pane="topRight" activeCell="E1" sqref="E1"/>
      <selection pane="bottomLeft" activeCell="A3" sqref="A3"/>
      <selection pane="bottomRight" activeCell="A5" sqref="A5"/>
    </sheetView>
  </sheetViews>
  <sheetFormatPr defaultRowHeight="14.4" x14ac:dyDescent="0.3"/>
  <cols>
    <col min="1" max="1" width="14.6640625" customWidth="1"/>
    <col min="2" max="2" width="54.44140625" customWidth="1"/>
    <col min="3" max="3" width="13.6640625" customWidth="1"/>
    <col min="4" max="4" width="12.88671875" customWidth="1"/>
    <col min="5" max="5" width="9.109375" customWidth="1"/>
    <col min="6" max="6" width="11.33203125" customWidth="1"/>
    <col min="7" max="7" width="21.5546875" customWidth="1"/>
    <col min="8" max="8" width="11" customWidth="1"/>
    <col min="9" max="13" width="10.88671875" customWidth="1"/>
    <col min="14" max="15" width="12.33203125" customWidth="1"/>
    <col min="16" max="16" width="14" customWidth="1"/>
    <col min="17" max="17" width="12.33203125" customWidth="1"/>
    <col min="18" max="18" width="10.88671875" customWidth="1"/>
    <col min="19" max="20" width="14.6640625" customWidth="1"/>
    <col min="21" max="21" width="11.44140625" customWidth="1"/>
    <col min="22" max="22" width="12.6640625" customWidth="1"/>
    <col min="23" max="23" width="10.88671875" customWidth="1"/>
    <col min="25" max="25" width="13.33203125" customWidth="1"/>
    <col min="16377" max="16377" width="9.109375" bestFit="1" customWidth="1"/>
    <col min="16378" max="16380" width="9.109375" customWidth="1"/>
    <col min="16381" max="16381" width="8.88671875" bestFit="1" customWidth="1"/>
    <col min="16382" max="16384" width="8.88671875" customWidth="1"/>
  </cols>
  <sheetData>
    <row r="1" spans="1:26" ht="87.75" customHeight="1" x14ac:dyDescent="0.3">
      <c r="A1" s="24"/>
      <c r="B1" s="25">
        <v>45824</v>
      </c>
      <c r="C1" s="24"/>
      <c r="D1" s="24"/>
      <c r="E1" s="24"/>
      <c r="F1" s="42">
        <v>0.08</v>
      </c>
      <c r="G1" s="42"/>
      <c r="H1" s="24"/>
      <c r="I1" s="24"/>
      <c r="J1" s="24"/>
      <c r="K1" s="24"/>
      <c r="L1" s="24"/>
      <c r="M1" s="42">
        <v>8.6999999999999994E-2</v>
      </c>
      <c r="N1" s="24"/>
      <c r="O1" s="42">
        <v>0.05</v>
      </c>
      <c r="P1" s="24"/>
      <c r="Q1" s="24"/>
      <c r="R1" s="42">
        <v>0.05</v>
      </c>
      <c r="S1" s="42">
        <v>0.25</v>
      </c>
      <c r="T1" s="42"/>
      <c r="U1" s="24"/>
      <c r="V1" s="24"/>
      <c r="W1" s="45">
        <v>0.1</v>
      </c>
      <c r="Z1" s="45"/>
    </row>
    <row r="2" spans="1:26" s="12" customFormat="1" ht="54.75" customHeight="1" x14ac:dyDescent="0.3">
      <c r="A2" s="13" t="s">
        <v>59</v>
      </c>
      <c r="B2" s="13" t="s">
        <v>3</v>
      </c>
      <c r="C2" s="13" t="s">
        <v>5</v>
      </c>
      <c r="D2" s="13" t="s">
        <v>6</v>
      </c>
      <c r="E2" s="13" t="s">
        <v>7</v>
      </c>
      <c r="F2" s="13" t="s">
        <v>60</v>
      </c>
      <c r="G2" s="13" t="s">
        <v>61</v>
      </c>
      <c r="H2" s="13" t="s">
        <v>10</v>
      </c>
      <c r="I2" s="13" t="s">
        <v>11</v>
      </c>
      <c r="J2" s="13" t="s">
        <v>62</v>
      </c>
      <c r="K2" s="13" t="s">
        <v>63</v>
      </c>
      <c r="L2" s="13" t="s">
        <v>64</v>
      </c>
      <c r="M2" s="13" t="s">
        <v>12</v>
      </c>
      <c r="N2" s="13" t="s">
        <v>13</v>
      </c>
      <c r="O2" s="54" t="s">
        <v>136</v>
      </c>
      <c r="P2" s="54" t="s">
        <v>137</v>
      </c>
      <c r="Q2" s="54" t="s">
        <v>138</v>
      </c>
      <c r="R2" s="13" t="s">
        <v>14</v>
      </c>
      <c r="S2" s="13" t="s">
        <v>65</v>
      </c>
      <c r="T2" s="13" t="s">
        <v>147</v>
      </c>
      <c r="U2" s="15" t="s">
        <v>15</v>
      </c>
      <c r="V2" s="15" t="s">
        <v>16</v>
      </c>
      <c r="W2" s="15" t="s">
        <v>17</v>
      </c>
    </row>
    <row r="3" spans="1:26" s="4" customFormat="1" x14ac:dyDescent="0.3">
      <c r="A3" s="5" t="s">
        <v>66</v>
      </c>
      <c r="B3" s="5" t="s">
        <v>19</v>
      </c>
      <c r="C3" s="9">
        <v>15</v>
      </c>
      <c r="D3" s="14">
        <f>(C3-V3)/V3</f>
        <v>5.030181086505436E-5</v>
      </c>
      <c r="E3" s="6">
        <v>8</v>
      </c>
      <c r="F3" s="6">
        <f t="shared" ref="F3" si="0">E3*$F$1</f>
        <v>0.64</v>
      </c>
      <c r="G3" s="6"/>
      <c r="H3" s="6">
        <v>0.3</v>
      </c>
      <c r="I3" s="7">
        <v>0.14000000000000001</v>
      </c>
      <c r="J3" s="6"/>
      <c r="K3" s="6">
        <v>1</v>
      </c>
      <c r="L3" s="6"/>
      <c r="M3" s="11">
        <v>0.1</v>
      </c>
      <c r="N3" s="5"/>
      <c r="O3" s="6">
        <f t="shared" ref="O3:O22" si="1">E3*0.05</f>
        <v>0.4</v>
      </c>
      <c r="P3" s="8">
        <f t="shared" ref="P3:P22" si="2">O3/C3</f>
        <v>2.6666666666666668E-2</v>
      </c>
      <c r="Q3" s="8"/>
      <c r="R3" s="11"/>
      <c r="S3" s="58">
        <v>9.7299999999999998E-2</v>
      </c>
      <c r="T3" s="11">
        <f t="shared" ref="T3:T22" si="3">(C3-((E3+F3+J3+K3+G3+H3 - L3)+(C3*I3) + (C3*M3) +(C3* N3)))/C3</f>
        <v>9.7333333333333272E-2</v>
      </c>
      <c r="U3" s="6">
        <f t="shared" ref="U3:U11" si="4">C3-V3</f>
        <v>7.5448921080223386E-4</v>
      </c>
      <c r="V3" s="6">
        <f t="shared" ref="V3:V19" si="5">(E3+F3+J3+K3+G3+H3 - L3)/(1 - (I3 + M3 + R3 + S3 + N3))</f>
        <v>14.999245510789198</v>
      </c>
      <c r="W3" s="44">
        <f t="shared" ref="W3" si="6">V3/(1-$W$1)</f>
        <v>16.66582834532133</v>
      </c>
      <c r="Y3" s="44"/>
      <c r="Z3" s="44"/>
    </row>
    <row r="4" spans="1:26" s="4" customFormat="1" x14ac:dyDescent="0.3">
      <c r="A4" s="5" t="s">
        <v>67</v>
      </c>
      <c r="B4" s="5" t="s">
        <v>19</v>
      </c>
      <c r="C4" s="9">
        <v>15.33</v>
      </c>
      <c r="D4" s="14">
        <f t="shared" ref="D4:D62" si="7">(C4-V4)/V4</f>
        <v>7.0915492957745862E-3</v>
      </c>
      <c r="E4" s="6">
        <v>8</v>
      </c>
      <c r="F4" s="6">
        <f t="shared" ref="F4:F19" si="8">E4*$F$1</f>
        <v>0.64</v>
      </c>
      <c r="G4" s="6"/>
      <c r="H4" s="6">
        <v>0.3</v>
      </c>
      <c r="I4" s="7">
        <v>0.14000000000000001</v>
      </c>
      <c r="J4" s="6"/>
      <c r="K4" s="6">
        <v>1</v>
      </c>
      <c r="L4" s="6"/>
      <c r="M4" s="11">
        <f t="shared" ref="M4:M19" si="9">$M$1</f>
        <v>8.6999999999999994E-2</v>
      </c>
      <c r="N4" s="5"/>
      <c r="O4" s="6">
        <f t="shared" si="1"/>
        <v>0.4</v>
      </c>
      <c r="P4" s="8">
        <f t="shared" si="2"/>
        <v>2.6092628832354862E-2</v>
      </c>
      <c r="Q4" s="8"/>
      <c r="R4" s="11"/>
      <c r="S4" s="58">
        <v>0.12</v>
      </c>
      <c r="T4" s="11">
        <f t="shared" si="3"/>
        <v>0.12459817351598164</v>
      </c>
      <c r="U4" s="6">
        <f t="shared" ref="U4:U17" si="10">C4-V4</f>
        <v>0.10794793261868207</v>
      </c>
      <c r="V4" s="6">
        <f t="shared" si="5"/>
        <v>15.222052067381318</v>
      </c>
      <c r="W4" s="44">
        <f t="shared" ref="W4:W74" si="11">V4/(1-$W$1)</f>
        <v>16.913391185979243</v>
      </c>
      <c r="Y4" s="44"/>
      <c r="Z4" s="44"/>
    </row>
    <row r="5" spans="1:26" s="4" customFormat="1" x14ac:dyDescent="0.3">
      <c r="A5" s="5" t="s">
        <v>66</v>
      </c>
      <c r="B5" s="5" t="s">
        <v>20</v>
      </c>
      <c r="C5" s="9">
        <v>17.010000000000002</v>
      </c>
      <c r="D5" s="14">
        <f t="shared" si="7"/>
        <v>6.2253521126759172E-3</v>
      </c>
      <c r="E5" s="6">
        <v>8</v>
      </c>
      <c r="F5" s="6">
        <f t="shared" si="8"/>
        <v>0.64</v>
      </c>
      <c r="G5" s="6"/>
      <c r="H5" s="6">
        <v>0.3</v>
      </c>
      <c r="I5" s="7">
        <v>0.14000000000000001</v>
      </c>
      <c r="J5" s="6"/>
      <c r="K5" s="6">
        <v>1</v>
      </c>
      <c r="L5" s="6"/>
      <c r="M5" s="11">
        <f t="shared" si="9"/>
        <v>8.6999999999999994E-2</v>
      </c>
      <c r="N5" s="5"/>
      <c r="O5" s="6">
        <f t="shared" si="1"/>
        <v>0.4</v>
      </c>
      <c r="P5" s="8">
        <f t="shared" si="2"/>
        <v>2.3515579071134624E-2</v>
      </c>
      <c r="Q5" s="8"/>
      <c r="R5" s="11"/>
      <c r="S5" s="71">
        <v>0.185</v>
      </c>
      <c r="T5" s="11">
        <f t="shared" si="3"/>
        <v>0.18863786008230446</v>
      </c>
      <c r="U5" s="6">
        <f t="shared" si="4"/>
        <v>0.10523809523809291</v>
      </c>
      <c r="V5" s="6">
        <f t="shared" si="5"/>
        <v>16.904761904761909</v>
      </c>
      <c r="W5" s="44">
        <f t="shared" si="11"/>
        <v>18.783068783068789</v>
      </c>
      <c r="Y5" s="44"/>
      <c r="Z5" s="44"/>
    </row>
    <row r="6" spans="1:26" s="4" customFormat="1" x14ac:dyDescent="0.3">
      <c r="A6" s="5" t="s">
        <v>66</v>
      </c>
      <c r="B6" s="5" t="s">
        <v>20</v>
      </c>
      <c r="C6" s="9">
        <v>17.78</v>
      </c>
      <c r="D6" s="14">
        <f t="shared" si="7"/>
        <v>3.5904365904364751E-3</v>
      </c>
      <c r="E6" s="6">
        <v>8</v>
      </c>
      <c r="F6" s="6">
        <f t="shared" ref="F6" si="12">E6*$F$1</f>
        <v>0.64</v>
      </c>
      <c r="G6" s="6"/>
      <c r="H6" s="6">
        <v>0.3</v>
      </c>
      <c r="I6" s="7">
        <v>0.14000000000000001</v>
      </c>
      <c r="J6" s="6"/>
      <c r="K6" s="6">
        <v>1</v>
      </c>
      <c r="L6" s="6">
        <v>0.32</v>
      </c>
      <c r="M6" s="11">
        <f t="shared" si="9"/>
        <v>8.6999999999999994E-2</v>
      </c>
      <c r="N6" s="5"/>
      <c r="O6" s="6">
        <f t="shared" si="1"/>
        <v>0.4</v>
      </c>
      <c r="P6" s="8">
        <f t="shared" si="2"/>
        <v>2.2497187851518559E-2</v>
      </c>
      <c r="Q6" s="8"/>
      <c r="R6" s="11"/>
      <c r="S6" s="72">
        <v>0.23</v>
      </c>
      <c r="T6" s="11">
        <f t="shared" si="3"/>
        <v>0.23194263217097857</v>
      </c>
      <c r="U6" s="6">
        <f t="shared" si="4"/>
        <v>6.3609576427253955E-2</v>
      </c>
      <c r="V6" s="6">
        <f t="shared" ref="V6" si="13">(E6+F6+J6+K6+G6+H6 - L6)/(1 - (I6 + M6 + R6 + S6 + N6))</f>
        <v>17.716390423572747</v>
      </c>
      <c r="W6" s="44">
        <f t="shared" ref="W6" si="14">V6/(1-$W$1)</f>
        <v>19.684878248414162</v>
      </c>
      <c r="Y6" s="44"/>
      <c r="Z6" s="44"/>
    </row>
    <row r="7" spans="1:26" s="82" customFormat="1" x14ac:dyDescent="0.3">
      <c r="A7" s="76" t="s">
        <v>67</v>
      </c>
      <c r="B7" s="76" t="s">
        <v>20</v>
      </c>
      <c r="C7" s="77">
        <v>16.41</v>
      </c>
      <c r="D7" s="78">
        <f t="shared" si="7"/>
        <v>-0.13657645875251517</v>
      </c>
      <c r="E7" s="77">
        <v>8</v>
      </c>
      <c r="F7" s="77">
        <f t="shared" si="8"/>
        <v>0.64</v>
      </c>
      <c r="G7" s="77"/>
      <c r="H7" s="77">
        <v>0.3</v>
      </c>
      <c r="I7" s="79">
        <v>0.14000000000000001</v>
      </c>
      <c r="J7" s="77"/>
      <c r="K7" s="77">
        <v>1</v>
      </c>
      <c r="L7" s="77"/>
      <c r="M7" s="80">
        <f t="shared" si="9"/>
        <v>8.6999999999999994E-2</v>
      </c>
      <c r="N7" s="76"/>
      <c r="O7" s="77">
        <f t="shared" si="1"/>
        <v>0.4</v>
      </c>
      <c r="P7" s="78">
        <f t="shared" si="2"/>
        <v>2.4375380865326021E-2</v>
      </c>
      <c r="Q7" s="78"/>
      <c r="R7" s="80"/>
      <c r="S7" s="79">
        <f t="shared" ref="S7:S62" si="15">$S$1</f>
        <v>0.25</v>
      </c>
      <c r="T7" s="80">
        <f t="shared" si="3"/>
        <v>0.1672717854966484</v>
      </c>
      <c r="U7" s="77">
        <f t="shared" si="10"/>
        <v>-2.5957361376673056</v>
      </c>
      <c r="V7" s="77">
        <f t="shared" si="5"/>
        <v>19.005736137667306</v>
      </c>
      <c r="W7" s="81">
        <f t="shared" si="11"/>
        <v>21.117484597408119</v>
      </c>
      <c r="Y7" s="81"/>
      <c r="Z7" s="81"/>
    </row>
    <row r="8" spans="1:26" s="4" customFormat="1" x14ac:dyDescent="0.3">
      <c r="A8" s="5" t="s">
        <v>66</v>
      </c>
      <c r="B8" s="5" t="s">
        <v>21</v>
      </c>
      <c r="C8" s="9">
        <v>15.33</v>
      </c>
      <c r="D8" s="14">
        <f t="shared" si="7"/>
        <v>7.0915492957745862E-3</v>
      </c>
      <c r="E8" s="6">
        <v>8</v>
      </c>
      <c r="F8" s="6">
        <f t="shared" si="8"/>
        <v>0.64</v>
      </c>
      <c r="G8" s="6"/>
      <c r="H8" s="6">
        <v>0.3</v>
      </c>
      <c r="I8" s="7">
        <v>0.14000000000000001</v>
      </c>
      <c r="J8" s="6"/>
      <c r="K8" s="6">
        <v>1</v>
      </c>
      <c r="L8" s="6"/>
      <c r="M8" s="11">
        <f t="shared" si="9"/>
        <v>8.6999999999999994E-2</v>
      </c>
      <c r="N8" s="5"/>
      <c r="O8" s="6">
        <f t="shared" si="1"/>
        <v>0.4</v>
      </c>
      <c r="P8" s="8">
        <f t="shared" si="2"/>
        <v>2.6092628832354862E-2</v>
      </c>
      <c r="Q8" s="8"/>
      <c r="R8" s="11"/>
      <c r="S8" s="58">
        <v>0.12</v>
      </c>
      <c r="T8" s="11">
        <f t="shared" si="3"/>
        <v>0.12459817351598164</v>
      </c>
      <c r="U8" s="6">
        <f t="shared" si="4"/>
        <v>0.10794793261868207</v>
      </c>
      <c r="V8" s="6">
        <f t="shared" si="5"/>
        <v>15.222052067381318</v>
      </c>
      <c r="W8" s="44">
        <f t="shared" si="11"/>
        <v>16.913391185979243</v>
      </c>
      <c r="Y8" s="44"/>
      <c r="Z8" s="44"/>
    </row>
    <row r="9" spans="1:26" s="4" customFormat="1" x14ac:dyDescent="0.3">
      <c r="A9" s="5" t="s">
        <v>67</v>
      </c>
      <c r="B9" s="5" t="s">
        <v>21</v>
      </c>
      <c r="C9" s="9">
        <v>16.38</v>
      </c>
      <c r="D9" s="14">
        <f t="shared" si="7"/>
        <v>1.9154929577462462E-3</v>
      </c>
      <c r="E9" s="6">
        <v>8</v>
      </c>
      <c r="F9" s="6">
        <f t="shared" ref="F9:F10" si="16">E9*$F$1</f>
        <v>0.64</v>
      </c>
      <c r="G9" s="6"/>
      <c r="H9" s="6">
        <v>0.3</v>
      </c>
      <c r="I9" s="7">
        <v>0.14000000000000001</v>
      </c>
      <c r="J9" s="6"/>
      <c r="K9" s="6">
        <v>1</v>
      </c>
      <c r="L9" s="6"/>
      <c r="M9" s="11">
        <f t="shared" si="9"/>
        <v>8.6999999999999994E-2</v>
      </c>
      <c r="N9" s="5"/>
      <c r="O9" s="6">
        <f t="shared" si="1"/>
        <v>0.4</v>
      </c>
      <c r="P9" s="8">
        <f t="shared" si="2"/>
        <v>2.4420024420024423E-2</v>
      </c>
      <c r="Q9" s="8"/>
      <c r="R9" s="11"/>
      <c r="S9" s="83">
        <v>0.16500000000000001</v>
      </c>
      <c r="T9" s="11">
        <f t="shared" si="3"/>
        <v>0.16616239316239298</v>
      </c>
      <c r="U9" s="6">
        <f t="shared" ref="U9" si="17">C9-V9</f>
        <v>3.1315789473680411E-2</v>
      </c>
      <c r="V9" s="6">
        <f t="shared" ref="V9:V10" si="18">(E9+F9+J9+K9+G9+H9 - L9)/(1 - (I9 + M9 + R9 + S9 + N9))</f>
        <v>16.348684210526319</v>
      </c>
      <c r="W9" s="44">
        <f t="shared" ref="W9:W10" si="19">V9/(1-$W$1)</f>
        <v>18.165204678362574</v>
      </c>
      <c r="Y9" s="44"/>
      <c r="Z9" s="44"/>
    </row>
    <row r="10" spans="1:26" s="4" customFormat="1" x14ac:dyDescent="0.3">
      <c r="A10" s="5" t="s">
        <v>66</v>
      </c>
      <c r="B10" s="5" t="s">
        <v>22</v>
      </c>
      <c r="C10" s="9">
        <v>20</v>
      </c>
      <c r="D10" s="14">
        <f t="shared" si="7"/>
        <v>4.2698548249358731E-3</v>
      </c>
      <c r="E10" s="6">
        <v>10</v>
      </c>
      <c r="F10" s="6">
        <f t="shared" si="16"/>
        <v>0.8</v>
      </c>
      <c r="G10" s="6"/>
      <c r="H10" s="6">
        <v>0.3</v>
      </c>
      <c r="I10" s="7">
        <v>0.14000000000000001</v>
      </c>
      <c r="J10" s="6"/>
      <c r="K10" s="6">
        <v>1</v>
      </c>
      <c r="L10" s="6">
        <v>0.39</v>
      </c>
      <c r="M10" s="11">
        <f t="shared" si="9"/>
        <v>8.6999999999999994E-2</v>
      </c>
      <c r="N10" s="5"/>
      <c r="O10" s="6">
        <f t="shared" si="1"/>
        <v>0.5</v>
      </c>
      <c r="P10" s="8">
        <f t="shared" si="2"/>
        <v>2.5000000000000001E-2</v>
      </c>
      <c r="Q10" s="8"/>
      <c r="R10" s="11"/>
      <c r="S10" s="83">
        <v>0.185</v>
      </c>
      <c r="T10" s="11">
        <f t="shared" si="3"/>
        <v>0.1875</v>
      </c>
      <c r="U10" s="6">
        <f t="shared" si="4"/>
        <v>8.5034013605440606E-2</v>
      </c>
      <c r="V10" s="6">
        <f t="shared" si="18"/>
        <v>19.914965986394559</v>
      </c>
      <c r="W10" s="44">
        <f t="shared" si="19"/>
        <v>22.127739984882844</v>
      </c>
      <c r="Y10" s="44"/>
      <c r="Z10" s="44"/>
    </row>
    <row r="11" spans="1:26" s="4" customFormat="1" x14ac:dyDescent="0.3">
      <c r="A11" s="5" t="s">
        <v>66</v>
      </c>
      <c r="B11" s="5" t="s">
        <v>23</v>
      </c>
      <c r="C11" s="9">
        <v>21.12</v>
      </c>
      <c r="D11" s="14">
        <f t="shared" si="7"/>
        <v>8.18570029382958E-2</v>
      </c>
      <c r="E11" s="6">
        <v>8.5</v>
      </c>
      <c r="F11" s="6">
        <f t="shared" si="8"/>
        <v>0.68</v>
      </c>
      <c r="G11" s="6"/>
      <c r="H11" s="6">
        <v>0.3</v>
      </c>
      <c r="I11" s="7">
        <v>0.14000000000000001</v>
      </c>
      <c r="J11" s="6"/>
      <c r="K11" s="6">
        <v>1</v>
      </c>
      <c r="L11" s="6">
        <v>0.27</v>
      </c>
      <c r="M11" s="11">
        <f t="shared" si="9"/>
        <v>8.6999999999999994E-2</v>
      </c>
      <c r="N11" s="5"/>
      <c r="O11" s="6">
        <f t="shared" si="1"/>
        <v>0.42500000000000004</v>
      </c>
      <c r="P11" s="8">
        <f t="shared" si="2"/>
        <v>2.012310606060606E-2</v>
      </c>
      <c r="Q11" s="8"/>
      <c r="R11" s="11"/>
      <c r="S11" s="7">
        <f t="shared" si="15"/>
        <v>0.25</v>
      </c>
      <c r="T11" s="11">
        <f t="shared" si="3"/>
        <v>0.28957196969696958</v>
      </c>
      <c r="U11" s="6">
        <f t="shared" si="4"/>
        <v>1.5980114722753349</v>
      </c>
      <c r="V11" s="6">
        <f t="shared" si="5"/>
        <v>19.521988527724666</v>
      </c>
      <c r="W11" s="44">
        <f t="shared" si="11"/>
        <v>21.691098364138519</v>
      </c>
      <c r="Y11" s="44"/>
      <c r="Z11" s="44"/>
    </row>
    <row r="12" spans="1:26" s="4" customFormat="1" x14ac:dyDescent="0.3">
      <c r="A12" s="5" t="s">
        <v>67</v>
      </c>
      <c r="B12" s="5" t="s">
        <v>23</v>
      </c>
      <c r="C12" s="9">
        <v>20.85</v>
      </c>
      <c r="D12" s="14">
        <f t="shared" si="7"/>
        <v>8.1767109295196906E-3</v>
      </c>
      <c r="E12" s="6">
        <v>8.5</v>
      </c>
      <c r="F12" s="6">
        <f t="shared" si="8"/>
        <v>0.68</v>
      </c>
      <c r="G12" s="6"/>
      <c r="H12" s="6">
        <v>0.3</v>
      </c>
      <c r="I12" s="7">
        <v>0.14000000000000001</v>
      </c>
      <c r="J12" s="6"/>
      <c r="K12" s="6">
        <v>1</v>
      </c>
      <c r="L12" s="6">
        <v>0.69</v>
      </c>
      <c r="M12" s="11">
        <f t="shared" si="9"/>
        <v>8.6999999999999994E-2</v>
      </c>
      <c r="N12" s="5"/>
      <c r="O12" s="6">
        <f t="shared" si="1"/>
        <v>0.42500000000000004</v>
      </c>
      <c r="P12" s="8">
        <f t="shared" si="2"/>
        <v>2.0383693045563551E-2</v>
      </c>
      <c r="Q12" s="8">
        <f>C83</f>
        <v>0.17</v>
      </c>
      <c r="R12" s="55">
        <f>Q12-P12</f>
        <v>0.14961630695443645</v>
      </c>
      <c r="S12" s="83">
        <v>0.15</v>
      </c>
      <c r="T12" s="11">
        <f t="shared" si="3"/>
        <v>0.3034556354916067</v>
      </c>
      <c r="U12" s="6">
        <f t="shared" si="10"/>
        <v>0.16910172694160153</v>
      </c>
      <c r="V12" s="6">
        <f t="shared" si="5"/>
        <v>20.6808982730584</v>
      </c>
      <c r="W12" s="44">
        <f t="shared" si="11"/>
        <v>22.978775858953778</v>
      </c>
      <c r="Y12" s="44"/>
      <c r="Z12" s="44"/>
    </row>
    <row r="13" spans="1:26" s="4" customFormat="1" x14ac:dyDescent="0.3">
      <c r="A13" s="5"/>
      <c r="B13" s="5" t="s">
        <v>23</v>
      </c>
      <c r="C13" s="9">
        <f>V13</f>
        <v>30.076481835564053</v>
      </c>
      <c r="D13" s="14">
        <f t="shared" si="7"/>
        <v>0</v>
      </c>
      <c r="E13" s="6">
        <v>8.5</v>
      </c>
      <c r="F13" s="6">
        <f>E13*$F$1</f>
        <v>0.68</v>
      </c>
      <c r="G13" s="6"/>
      <c r="H13" s="6">
        <v>0.3</v>
      </c>
      <c r="I13" s="7">
        <v>0.14000000000000001</v>
      </c>
      <c r="J13" s="6"/>
      <c r="K13" s="6">
        <v>6.25</v>
      </c>
      <c r="L13" s="6"/>
      <c r="M13" s="11">
        <f>$M$1</f>
        <v>8.6999999999999994E-2</v>
      </c>
      <c r="N13" s="5"/>
      <c r="O13" s="6">
        <f t="shared" si="1"/>
        <v>0.42500000000000004</v>
      </c>
      <c r="P13" s="8">
        <f t="shared" si="2"/>
        <v>1.4130642085187542E-2</v>
      </c>
      <c r="Q13" s="8"/>
      <c r="R13" s="11"/>
      <c r="S13" s="7">
        <f t="shared" si="15"/>
        <v>0.25</v>
      </c>
      <c r="T13" s="11">
        <f t="shared" si="3"/>
        <v>0.24999999999999989</v>
      </c>
      <c r="U13" s="6">
        <f>C13-V13</f>
        <v>0</v>
      </c>
      <c r="V13" s="6">
        <f>(E13+F13+J13+K13+G13+H13 - L13)/(1 - (I13 + M13 + R13 + S13 + N13))</f>
        <v>30.076481835564053</v>
      </c>
      <c r="W13" s="44">
        <f>V13/(1-$W$1)</f>
        <v>33.418313150626723</v>
      </c>
      <c r="Y13" s="44"/>
      <c r="Z13" s="44"/>
    </row>
    <row r="14" spans="1:26" s="4" customFormat="1" x14ac:dyDescent="0.3">
      <c r="A14" s="5" t="s">
        <v>66</v>
      </c>
      <c r="B14" s="5" t="s">
        <v>24</v>
      </c>
      <c r="C14" s="9">
        <v>20.239999999999998</v>
      </c>
      <c r="D14" s="14">
        <f t="shared" si="7"/>
        <v>7.1679389312975768E-3</v>
      </c>
      <c r="E14" s="6">
        <v>8.5</v>
      </c>
      <c r="F14" s="6">
        <f t="shared" si="8"/>
        <v>0.68</v>
      </c>
      <c r="G14" s="6"/>
      <c r="H14" s="6">
        <v>0.3</v>
      </c>
      <c r="I14" s="7">
        <v>0.14000000000000001</v>
      </c>
      <c r="J14" s="6"/>
      <c r="K14" s="6">
        <v>1</v>
      </c>
      <c r="L14" s="6"/>
      <c r="M14" s="11">
        <f t="shared" si="9"/>
        <v>8.6999999999999994E-2</v>
      </c>
      <c r="N14" s="5"/>
      <c r="O14" s="6">
        <f t="shared" si="1"/>
        <v>0.42500000000000004</v>
      </c>
      <c r="P14" s="8">
        <f t="shared" si="2"/>
        <v>2.0998023715415023E-2</v>
      </c>
      <c r="Q14" s="8">
        <f>C76</f>
        <v>0.14249999999999999</v>
      </c>
      <c r="R14" s="55">
        <f>Q14-P14</f>
        <v>0.12150197628458496</v>
      </c>
      <c r="S14" s="58">
        <v>0.13</v>
      </c>
      <c r="T14" s="11">
        <f t="shared" si="3"/>
        <v>0.25521343873517777</v>
      </c>
      <c r="U14" s="6">
        <f t="shared" ref="U14" si="20">C14-V14</f>
        <v>0.14404656697412932</v>
      </c>
      <c r="V14" s="6">
        <f t="shared" si="5"/>
        <v>20.095953433025869</v>
      </c>
      <c r="W14" s="44">
        <f t="shared" si="11"/>
        <v>22.328837147806521</v>
      </c>
      <c r="Y14" s="44"/>
      <c r="Z14" s="44"/>
    </row>
    <row r="15" spans="1:26" s="4" customFormat="1" x14ac:dyDescent="0.3">
      <c r="A15" s="5" t="s">
        <v>67</v>
      </c>
      <c r="B15" s="5" t="s">
        <v>24</v>
      </c>
      <c r="C15" s="9">
        <v>20.239999999999998</v>
      </c>
      <c r="D15" s="14">
        <f t="shared" si="7"/>
        <v>5.4334661354581593E-2</v>
      </c>
      <c r="E15" s="6">
        <v>8.5</v>
      </c>
      <c r="F15" s="6">
        <f t="shared" si="8"/>
        <v>0.68</v>
      </c>
      <c r="G15" s="6"/>
      <c r="H15" s="6">
        <v>0.3</v>
      </c>
      <c r="I15" s="7">
        <v>0.14000000000000001</v>
      </c>
      <c r="J15" s="6"/>
      <c r="K15" s="6">
        <v>1</v>
      </c>
      <c r="L15" s="6">
        <v>0.44</v>
      </c>
      <c r="M15" s="11">
        <f t="shared" si="9"/>
        <v>8.6999999999999994E-2</v>
      </c>
      <c r="N15" s="5"/>
      <c r="O15" s="6">
        <f t="shared" si="1"/>
        <v>0.42500000000000004</v>
      </c>
      <c r="P15" s="8">
        <f t="shared" si="2"/>
        <v>2.0998023715415023E-2</v>
      </c>
      <c r="Q15" s="8"/>
      <c r="R15" s="11"/>
      <c r="S15" s="7">
        <f t="shared" si="15"/>
        <v>0.25</v>
      </c>
      <c r="T15" s="11">
        <f t="shared" si="3"/>
        <v>0.27695256916996036</v>
      </c>
      <c r="U15" s="6">
        <f t="shared" si="10"/>
        <v>1.0430592734225606</v>
      </c>
      <c r="V15" s="6">
        <f t="shared" si="5"/>
        <v>19.196940726577438</v>
      </c>
      <c r="W15" s="44">
        <f t="shared" si="11"/>
        <v>21.329934140641598</v>
      </c>
      <c r="Y15" s="44"/>
      <c r="Z15" s="44"/>
    </row>
    <row r="16" spans="1:26" s="4" customFormat="1" x14ac:dyDescent="0.3">
      <c r="A16" s="5" t="s">
        <v>67</v>
      </c>
      <c r="B16" s="5" t="s">
        <v>25</v>
      </c>
      <c r="C16" s="9">
        <v>29.9</v>
      </c>
      <c r="D16" s="14">
        <f t="shared" si="7"/>
        <v>1.0906785034875944E-3</v>
      </c>
      <c r="E16" s="6">
        <v>14</v>
      </c>
      <c r="F16" s="6">
        <f t="shared" si="8"/>
        <v>1.1200000000000001</v>
      </c>
      <c r="G16" s="6"/>
      <c r="H16" s="6">
        <v>0.3</v>
      </c>
      <c r="I16" s="7">
        <v>0.14000000000000001</v>
      </c>
      <c r="J16" s="6"/>
      <c r="K16" s="6">
        <v>1</v>
      </c>
      <c r="L16" s="6">
        <v>0.65</v>
      </c>
      <c r="M16" s="11">
        <f t="shared" si="9"/>
        <v>8.6999999999999994E-2</v>
      </c>
      <c r="N16" s="5"/>
      <c r="O16" s="6">
        <f t="shared" si="1"/>
        <v>0.70000000000000007</v>
      </c>
      <c r="P16" s="8">
        <f t="shared" si="2"/>
        <v>2.3411371237458196E-2</v>
      </c>
      <c r="Q16" s="8"/>
      <c r="R16" s="11"/>
      <c r="S16" s="7">
        <v>0.245</v>
      </c>
      <c r="T16" s="11">
        <f t="shared" si="3"/>
        <v>0.24557525083612031</v>
      </c>
      <c r="U16" s="6">
        <f t="shared" si="10"/>
        <v>3.257575757575637E-2</v>
      </c>
      <c r="V16" s="6">
        <f t="shared" si="5"/>
        <v>29.867424242424242</v>
      </c>
      <c r="W16" s="44">
        <f t="shared" si="11"/>
        <v>33.186026936026934</v>
      </c>
      <c r="Y16" s="44"/>
      <c r="Z16" s="44"/>
    </row>
    <row r="17" spans="1:26" s="4" customFormat="1" x14ac:dyDescent="0.3">
      <c r="A17" s="5" t="s">
        <v>67</v>
      </c>
      <c r="B17" s="5" t="s">
        <v>26</v>
      </c>
      <c r="C17" s="9">
        <v>34</v>
      </c>
      <c r="D17" s="14">
        <f t="shared" si="7"/>
        <v>6.3093788063335009E-3</v>
      </c>
      <c r="E17" s="6">
        <v>14</v>
      </c>
      <c r="F17" s="6">
        <f t="shared" si="8"/>
        <v>1.1200000000000001</v>
      </c>
      <c r="G17" s="6"/>
      <c r="H17" s="6">
        <v>0.3</v>
      </c>
      <c r="I17" s="7">
        <v>0.14000000000000001</v>
      </c>
      <c r="J17" s="6"/>
      <c r="K17" s="6">
        <v>1</v>
      </c>
      <c r="L17" s="6"/>
      <c r="M17" s="11">
        <f t="shared" si="9"/>
        <v>8.6999999999999994E-2</v>
      </c>
      <c r="N17" s="5"/>
      <c r="O17" s="6">
        <f t="shared" si="1"/>
        <v>0.70000000000000007</v>
      </c>
      <c r="P17" s="8">
        <f t="shared" si="2"/>
        <v>2.058823529411765E-2</v>
      </c>
      <c r="Q17" s="8">
        <f>C84</f>
        <v>0.1376</v>
      </c>
      <c r="R17" s="55">
        <f>Q17-P17</f>
        <v>0.11701176470588234</v>
      </c>
      <c r="S17" s="83">
        <v>0.17</v>
      </c>
      <c r="T17" s="11">
        <f t="shared" si="3"/>
        <v>0.2900588235294117</v>
      </c>
      <c r="U17" s="6">
        <f t="shared" si="10"/>
        <v>0.21317388462561837</v>
      </c>
      <c r="V17" s="6">
        <f t="shared" si="5"/>
        <v>33.786826115374382</v>
      </c>
      <c r="W17" s="44">
        <f t="shared" si="11"/>
        <v>37.540917905971533</v>
      </c>
      <c r="Y17" s="44"/>
      <c r="Z17" s="44"/>
    </row>
    <row r="18" spans="1:26" s="4" customFormat="1" x14ac:dyDescent="0.3">
      <c r="A18" s="5"/>
      <c r="B18" s="5" t="s">
        <v>68</v>
      </c>
      <c r="C18" s="9"/>
      <c r="D18" s="14"/>
      <c r="E18" s="6"/>
      <c r="F18" s="6">
        <f t="shared" si="8"/>
        <v>0</v>
      </c>
      <c r="G18" s="6"/>
      <c r="H18" s="6"/>
      <c r="I18" s="7"/>
      <c r="J18" s="6"/>
      <c r="K18" s="6"/>
      <c r="L18" s="6"/>
      <c r="M18" s="11">
        <f t="shared" si="9"/>
        <v>8.6999999999999994E-2</v>
      </c>
      <c r="N18" s="5"/>
      <c r="O18" s="6"/>
      <c r="P18" s="8"/>
      <c r="Q18" s="8"/>
      <c r="R18" s="11"/>
      <c r="S18" s="7">
        <f t="shared" si="15"/>
        <v>0.25</v>
      </c>
      <c r="T18" s="11" t="e">
        <f t="shared" si="3"/>
        <v>#DIV/0!</v>
      </c>
      <c r="U18" s="6"/>
      <c r="V18" s="6">
        <f t="shared" si="5"/>
        <v>0</v>
      </c>
      <c r="W18" s="44">
        <f t="shared" si="11"/>
        <v>0</v>
      </c>
      <c r="Y18" s="44"/>
      <c r="Z18" s="44"/>
    </row>
    <row r="19" spans="1:26" s="4" customFormat="1" x14ac:dyDescent="0.3">
      <c r="A19" s="5" t="s">
        <v>66</v>
      </c>
      <c r="B19" s="5" t="s">
        <v>27</v>
      </c>
      <c r="C19" s="9">
        <v>12.9</v>
      </c>
      <c r="D19" s="14">
        <f t="shared" si="7"/>
        <v>-3.2037302725968331E-2</v>
      </c>
      <c r="E19" s="6">
        <v>5.25</v>
      </c>
      <c r="F19" s="6">
        <f t="shared" si="8"/>
        <v>0.42</v>
      </c>
      <c r="G19" s="6"/>
      <c r="H19" s="6">
        <v>0.3</v>
      </c>
      <c r="I19" s="7">
        <v>0.14000000000000001</v>
      </c>
      <c r="J19" s="6"/>
      <c r="K19" s="6">
        <v>1</v>
      </c>
      <c r="L19" s="6"/>
      <c r="M19" s="11">
        <f t="shared" si="9"/>
        <v>8.6999999999999994E-2</v>
      </c>
      <c r="N19" s="5"/>
      <c r="O19" s="6">
        <f t="shared" si="1"/>
        <v>0.26250000000000001</v>
      </c>
      <c r="P19" s="8">
        <f t="shared" si="2"/>
        <v>2.0348837209302327E-2</v>
      </c>
      <c r="Q19" s="8"/>
      <c r="R19" s="11"/>
      <c r="S19" s="7">
        <f t="shared" si="15"/>
        <v>0.25</v>
      </c>
      <c r="T19" s="11">
        <f t="shared" si="3"/>
        <v>0.23268992248062026</v>
      </c>
      <c r="U19" s="6">
        <f t="shared" ref="U19" si="21">C19-V19</f>
        <v>-0.42695984703632739</v>
      </c>
      <c r="V19" s="6">
        <f t="shared" si="5"/>
        <v>13.326959847036328</v>
      </c>
      <c r="W19" s="44">
        <f t="shared" si="11"/>
        <v>14.807733163373697</v>
      </c>
      <c r="Y19" s="44"/>
      <c r="Z19" s="44"/>
    </row>
    <row r="20" spans="1:26" s="4" customFormat="1" x14ac:dyDescent="0.3">
      <c r="A20" s="5" t="s">
        <v>67</v>
      </c>
      <c r="B20" s="5" t="s">
        <v>27</v>
      </c>
      <c r="C20" s="9" t="s">
        <v>69</v>
      </c>
      <c r="D20" s="14"/>
      <c r="E20" s="6">
        <v>5.25</v>
      </c>
      <c r="F20" s="6"/>
      <c r="G20" s="6"/>
      <c r="H20" s="6"/>
      <c r="I20" s="7"/>
      <c r="J20" s="6"/>
      <c r="K20" s="6"/>
      <c r="L20" s="6"/>
      <c r="M20" s="11"/>
      <c r="N20" s="5"/>
      <c r="O20" s="6"/>
      <c r="P20" s="8"/>
      <c r="Q20" s="8"/>
      <c r="R20" s="11"/>
      <c r="S20" s="7">
        <f t="shared" si="15"/>
        <v>0.25</v>
      </c>
      <c r="T20" s="11" t="e">
        <f t="shared" si="3"/>
        <v>#VALUE!</v>
      </c>
      <c r="U20" s="6"/>
      <c r="V20" s="6"/>
      <c r="W20" s="44">
        <f t="shared" si="11"/>
        <v>0</v>
      </c>
      <c r="Y20" s="44"/>
      <c r="Z20" s="44"/>
    </row>
    <row r="21" spans="1:26" s="4" customFormat="1" x14ac:dyDescent="0.3">
      <c r="A21" s="5" t="s">
        <v>66</v>
      </c>
      <c r="B21" s="5" t="s">
        <v>28</v>
      </c>
      <c r="C21" s="9">
        <v>24.6</v>
      </c>
      <c r="D21" s="14">
        <f t="shared" si="7"/>
        <v>1.2076331529478777E-3</v>
      </c>
      <c r="E21" s="6">
        <v>11.8</v>
      </c>
      <c r="F21" s="6">
        <f t="shared" ref="F21:F74" si="22">E21*$F$1</f>
        <v>0.94400000000000006</v>
      </c>
      <c r="G21" s="6"/>
      <c r="H21" s="6">
        <v>0.3</v>
      </c>
      <c r="I21" s="7">
        <v>0.14000000000000001</v>
      </c>
      <c r="J21" s="6"/>
      <c r="K21" s="6">
        <v>1</v>
      </c>
      <c r="L21" s="6"/>
      <c r="M21" s="11">
        <f t="shared" ref="M21:M74" si="23">$M$1</f>
        <v>8.6999999999999994E-2</v>
      </c>
      <c r="N21" s="5"/>
      <c r="O21" s="6">
        <f t="shared" si="1"/>
        <v>0.59000000000000008</v>
      </c>
      <c r="P21" s="8">
        <f t="shared" si="2"/>
        <v>2.3983739837398377E-2</v>
      </c>
      <c r="Q21" s="8">
        <f>C79</f>
        <v>0.1454</v>
      </c>
      <c r="R21" s="55">
        <f>Q21-P21</f>
        <v>0.12141626016260162</v>
      </c>
      <c r="S21" s="75">
        <v>0.08</v>
      </c>
      <c r="T21" s="11">
        <f t="shared" si="3"/>
        <v>0.20210569105691048</v>
      </c>
      <c r="U21" s="6">
        <f t="shared" ref="U21" si="24">C21-V21</f>
        <v>2.9671942740751689E-2</v>
      </c>
      <c r="V21" s="6">
        <f t="shared" ref="V21:V62" si="25">(E21+F21+J21+K21+G21+H21 - L21)/(1 - (I21 + M21 + R21 + S21 + N21))</f>
        <v>24.57032805725925</v>
      </c>
      <c r="W21" s="44">
        <f t="shared" si="11"/>
        <v>27.300364508065833</v>
      </c>
      <c r="Y21" s="44"/>
      <c r="Z21" s="44"/>
    </row>
    <row r="22" spans="1:26" s="4" customFormat="1" x14ac:dyDescent="0.3">
      <c r="A22" s="5" t="s">
        <v>67</v>
      </c>
      <c r="B22" s="5" t="s">
        <v>28</v>
      </c>
      <c r="C22" s="9">
        <v>25.14</v>
      </c>
      <c r="D22" s="14">
        <f t="shared" si="7"/>
        <v>7.8197094844770654E-3</v>
      </c>
      <c r="E22" s="6">
        <v>11.8</v>
      </c>
      <c r="F22" s="6">
        <f t="shared" si="22"/>
        <v>0.94400000000000006</v>
      </c>
      <c r="G22" s="6"/>
      <c r="H22" s="6">
        <v>0.3</v>
      </c>
      <c r="I22" s="7">
        <v>0.14000000000000001</v>
      </c>
      <c r="J22" s="6"/>
      <c r="K22" s="6">
        <v>1</v>
      </c>
      <c r="L22" s="6"/>
      <c r="M22" s="11">
        <f t="shared" si="23"/>
        <v>8.6999999999999994E-2</v>
      </c>
      <c r="N22" s="5"/>
      <c r="O22" s="6">
        <f t="shared" si="1"/>
        <v>0.59000000000000008</v>
      </c>
      <c r="P22" s="8">
        <f t="shared" si="2"/>
        <v>2.3468575974542563E-2</v>
      </c>
      <c r="Q22" s="8"/>
      <c r="R22" s="11"/>
      <c r="S22" s="72">
        <v>0.21</v>
      </c>
      <c r="T22" s="11">
        <f t="shared" si="3"/>
        <v>0.21436833731105814</v>
      </c>
      <c r="U22" s="6">
        <f t="shared" ref="U22:U26" si="26">C22-V22</f>
        <v>0.19506216696269263</v>
      </c>
      <c r="V22" s="6">
        <f t="shared" si="25"/>
        <v>24.944937833037308</v>
      </c>
      <c r="W22" s="44">
        <f t="shared" si="11"/>
        <v>27.716597592263675</v>
      </c>
      <c r="Y22" s="44"/>
      <c r="Z22" s="44"/>
    </row>
    <row r="23" spans="1:26" s="4" customFormat="1" x14ac:dyDescent="0.3">
      <c r="A23" s="5" t="s">
        <v>66</v>
      </c>
      <c r="B23" s="5" t="s">
        <v>29</v>
      </c>
      <c r="C23" s="9">
        <v>43.77</v>
      </c>
      <c r="D23" s="14">
        <f t="shared" si="7"/>
        <v>4.9668910920391664E-3</v>
      </c>
      <c r="E23" s="6">
        <v>22.9</v>
      </c>
      <c r="F23" s="6">
        <f t="shared" si="22"/>
        <v>1.8319999999999999</v>
      </c>
      <c r="G23" s="6"/>
      <c r="H23" s="6">
        <v>0.3</v>
      </c>
      <c r="I23" s="7">
        <v>0.14000000000000001</v>
      </c>
      <c r="J23" s="6"/>
      <c r="K23" s="6">
        <v>2</v>
      </c>
      <c r="L23" s="6"/>
      <c r="M23" s="11">
        <f t="shared" si="23"/>
        <v>8.6999999999999994E-2</v>
      </c>
      <c r="N23" s="5"/>
      <c r="O23" s="6">
        <f>E23*0.05</f>
        <v>1.145</v>
      </c>
      <c r="P23" s="8">
        <f>O23/C23</f>
        <v>2.6159469956591273E-2</v>
      </c>
      <c r="Q23" s="8">
        <f>C75</f>
        <v>6.3500000000000001E-2</v>
      </c>
      <c r="R23" s="55">
        <f>Q23-P23</f>
        <v>3.7340530043408732E-2</v>
      </c>
      <c r="S23" s="58">
        <v>0.115</v>
      </c>
      <c r="T23" s="11">
        <f>(C23-((E23+F23+J23+K23+G23+H23 - L23)+(C23*I23) + (C23*M23) +(C23* N23)))/C23</f>
        <v>0.15540804203792541</v>
      </c>
      <c r="U23" s="6">
        <f t="shared" ref="U23" si="27">C23-V23</f>
        <v>0.21632635365958919</v>
      </c>
      <c r="V23" s="6">
        <f>(E23+F23+J23+K23+G23+H23 - L23)/(1 - (I23 + M23 + R23 + S23 + N23))</f>
        <v>43.553673646340414</v>
      </c>
      <c r="W23" s="44">
        <f t="shared" si="11"/>
        <v>48.392970718156015</v>
      </c>
      <c r="X23" s="44"/>
      <c r="Y23" s="44"/>
      <c r="Z23" s="44"/>
    </row>
    <row r="24" spans="1:26" s="4" customFormat="1" x14ac:dyDescent="0.3">
      <c r="A24" s="5" t="s">
        <v>67</v>
      </c>
      <c r="B24" s="5" t="s">
        <v>29</v>
      </c>
      <c r="C24" s="9">
        <v>43.77</v>
      </c>
      <c r="D24" s="14">
        <f t="shared" si="7"/>
        <v>5.7332420834566564E-2</v>
      </c>
      <c r="E24" s="6">
        <v>22.9</v>
      </c>
      <c r="F24" s="6">
        <f t="shared" si="22"/>
        <v>1.8319999999999999</v>
      </c>
      <c r="G24" s="6"/>
      <c r="H24" s="6">
        <v>0.3</v>
      </c>
      <c r="I24" s="7">
        <v>0.14000000000000001</v>
      </c>
      <c r="J24" s="6"/>
      <c r="K24" s="6">
        <v>2</v>
      </c>
      <c r="L24" s="6"/>
      <c r="M24" s="11">
        <f t="shared" si="23"/>
        <v>8.6999999999999994E-2</v>
      </c>
      <c r="N24" s="5"/>
      <c r="O24" s="6"/>
      <c r="P24" s="8"/>
      <c r="Q24" s="8"/>
      <c r="R24" s="55"/>
      <c r="S24" s="58">
        <v>0.12</v>
      </c>
      <c r="T24" s="11">
        <f t="shared" ref="T24:T74" si="28">(C24-((E24+F24+J24+K24+G24+H24 - L24)+(C24*I24) + (C24*M24) +(C24* N24)))/C24</f>
        <v>0.15540804203792541</v>
      </c>
      <c r="U24" s="6">
        <f t="shared" si="26"/>
        <v>2.3733690658499285</v>
      </c>
      <c r="V24" s="6">
        <f>(E24+F24+J24+K24+G24+H24 - L24)/(1 - (I24 + M24 + R24 + S24 + N24))</f>
        <v>41.396630934150075</v>
      </c>
      <c r="W24" s="44">
        <f t="shared" si="11"/>
        <v>45.996256593500085</v>
      </c>
      <c r="Y24" s="44"/>
      <c r="Z24" s="44"/>
    </row>
    <row r="25" spans="1:26" s="4" customFormat="1" x14ac:dyDescent="0.3">
      <c r="A25" s="5" t="s">
        <v>66</v>
      </c>
      <c r="B25" s="3" t="s">
        <v>30</v>
      </c>
      <c r="C25" s="9">
        <v>162.80000000000001</v>
      </c>
      <c r="D25" s="14">
        <f t="shared" si="7"/>
        <v>1.0516172460512063E-2</v>
      </c>
      <c r="E25" s="6">
        <v>78.430000000000007</v>
      </c>
      <c r="F25" s="6">
        <f t="shared" si="22"/>
        <v>6.2744000000000009</v>
      </c>
      <c r="G25" s="6">
        <v>0.59</v>
      </c>
      <c r="H25" s="6">
        <v>2</v>
      </c>
      <c r="I25" s="7">
        <v>0.14000000000000001</v>
      </c>
      <c r="J25" s="6"/>
      <c r="K25" s="6">
        <v>6</v>
      </c>
      <c r="L25" s="6"/>
      <c r="M25" s="11">
        <f t="shared" si="23"/>
        <v>8.6999999999999994E-2</v>
      </c>
      <c r="N25" s="5"/>
      <c r="O25" s="6">
        <f>E25*0.05</f>
        <v>3.9215000000000004</v>
      </c>
      <c r="P25" s="8">
        <f>O25/C25</f>
        <v>2.4087837837837838E-2</v>
      </c>
      <c r="Q25" s="7">
        <f>C80</f>
        <v>7.8E-2</v>
      </c>
      <c r="R25" s="55">
        <f>Q25-P25</f>
        <v>5.3912162162162158E-2</v>
      </c>
      <c r="S25" s="58">
        <v>0.14000000000000001</v>
      </c>
      <c r="T25" s="11">
        <f t="shared" si="28"/>
        <v>0.199938574938575</v>
      </c>
      <c r="U25" s="6">
        <f t="shared" ref="U25" si="29">C25-V25</f>
        <v>1.6942162067557263</v>
      </c>
      <c r="V25" s="6">
        <f t="shared" si="25"/>
        <v>161.10578379324429</v>
      </c>
      <c r="W25" s="44">
        <f t="shared" si="11"/>
        <v>179.00642643693809</v>
      </c>
      <c r="Y25" s="44"/>
      <c r="Z25" s="44"/>
    </row>
    <row r="26" spans="1:26" s="4" customFormat="1" x14ac:dyDescent="0.3">
      <c r="A26" s="5" t="s">
        <v>67</v>
      </c>
      <c r="B26" s="3" t="s">
        <v>30</v>
      </c>
      <c r="C26" s="9">
        <v>168.35</v>
      </c>
      <c r="D26" s="14">
        <f t="shared" si="7"/>
        <v>1.5935040045275864E-2</v>
      </c>
      <c r="E26" s="6">
        <v>78.430000000000007</v>
      </c>
      <c r="F26" s="6">
        <f t="shared" si="22"/>
        <v>6.2744000000000009</v>
      </c>
      <c r="G26" s="6">
        <v>0.59</v>
      </c>
      <c r="H26" s="6">
        <v>2</v>
      </c>
      <c r="I26" s="7">
        <v>0.14000000000000001</v>
      </c>
      <c r="J26" s="6"/>
      <c r="K26" s="6">
        <v>6</v>
      </c>
      <c r="L26" s="6"/>
      <c r="M26" s="11">
        <f t="shared" si="23"/>
        <v>8.6999999999999994E-2</v>
      </c>
      <c r="N26" s="5"/>
      <c r="O26" s="5"/>
      <c r="P26" s="5"/>
      <c r="Q26" s="5"/>
      <c r="R26" s="11"/>
      <c r="S26" s="72">
        <v>0.21</v>
      </c>
      <c r="T26" s="11">
        <f t="shared" si="28"/>
        <v>0.21883070983070979</v>
      </c>
      <c r="U26" s="6">
        <f t="shared" si="26"/>
        <v>2.6405861456482853</v>
      </c>
      <c r="V26" s="6">
        <f t="shared" si="25"/>
        <v>165.70941385435171</v>
      </c>
      <c r="W26" s="44">
        <f t="shared" si="11"/>
        <v>184.12157094927969</v>
      </c>
      <c r="Y26" s="44"/>
      <c r="Z26" s="44"/>
    </row>
    <row r="27" spans="1:26" s="4" customFormat="1" x14ac:dyDescent="0.3">
      <c r="A27" s="5"/>
      <c r="B27" s="3" t="s">
        <v>30</v>
      </c>
      <c r="C27" s="9">
        <f>V27</f>
        <v>243.39273422562144</v>
      </c>
      <c r="D27" s="14">
        <f t="shared" si="7"/>
        <v>0</v>
      </c>
      <c r="E27" s="6">
        <v>78.430000000000007</v>
      </c>
      <c r="F27" s="6">
        <f>E27*$F$1</f>
        <v>6.2744000000000009</v>
      </c>
      <c r="G27" s="6">
        <v>0.59</v>
      </c>
      <c r="H27" s="6">
        <v>2</v>
      </c>
      <c r="I27" s="7">
        <v>0.14000000000000001</v>
      </c>
      <c r="J27" s="6">
        <v>40</v>
      </c>
      <c r="K27" s="6"/>
      <c r="L27" s="6"/>
      <c r="M27" s="11">
        <f>$M$1</f>
        <v>8.6999999999999994E-2</v>
      </c>
      <c r="N27" s="5"/>
      <c r="O27" s="5"/>
      <c r="P27" s="5"/>
      <c r="Q27" s="5"/>
      <c r="R27" s="11">
        <v>0</v>
      </c>
      <c r="S27" s="7">
        <f t="shared" si="15"/>
        <v>0.25</v>
      </c>
      <c r="T27" s="11">
        <f t="shared" si="28"/>
        <v>0.25</v>
      </c>
      <c r="U27" s="6">
        <f>C27-V27</f>
        <v>0</v>
      </c>
      <c r="V27" s="6">
        <f>(E27+F27+J27+K27+G27+H27 - L27)/(1 - (I27 + M27 + R27 + S27 + N27))</f>
        <v>243.39273422562144</v>
      </c>
      <c r="W27" s="44">
        <f>V27/(1-$W$1)</f>
        <v>270.4363713618016</v>
      </c>
      <c r="Y27" s="44"/>
      <c r="Z27" s="44"/>
    </row>
    <row r="28" spans="1:26" s="4" customFormat="1" x14ac:dyDescent="0.3">
      <c r="A28" s="5"/>
      <c r="B28" s="3" t="s">
        <v>70</v>
      </c>
      <c r="C28" s="9"/>
      <c r="D28" s="14"/>
      <c r="E28" s="6"/>
      <c r="F28" s="6">
        <f t="shared" si="22"/>
        <v>0</v>
      </c>
      <c r="G28" s="6"/>
      <c r="H28" s="6"/>
      <c r="I28" s="7"/>
      <c r="J28" s="6"/>
      <c r="K28" s="6"/>
      <c r="L28" s="6"/>
      <c r="M28" s="11">
        <f t="shared" si="23"/>
        <v>8.6999999999999994E-2</v>
      </c>
      <c r="N28" s="5"/>
      <c r="O28" s="5"/>
      <c r="P28" s="5"/>
      <c r="Q28" s="5"/>
      <c r="R28" s="11"/>
      <c r="S28" s="7">
        <f t="shared" si="15"/>
        <v>0.25</v>
      </c>
      <c r="T28" s="11"/>
      <c r="U28" s="6"/>
      <c r="V28" s="6">
        <f t="shared" si="25"/>
        <v>0</v>
      </c>
      <c r="W28" s="44">
        <f t="shared" si="11"/>
        <v>0</v>
      </c>
      <c r="Y28" s="44"/>
      <c r="Z28" s="44"/>
    </row>
    <row r="29" spans="1:26" s="4" customFormat="1" x14ac:dyDescent="0.3">
      <c r="A29" s="5" t="s">
        <v>66</v>
      </c>
      <c r="B29" s="3" t="s">
        <v>71</v>
      </c>
      <c r="C29" s="9">
        <v>170</v>
      </c>
      <c r="D29" s="14">
        <f t="shared" si="7"/>
        <v>8.5129884969909805E-3</v>
      </c>
      <c r="E29" s="6">
        <v>92.7</v>
      </c>
      <c r="F29" s="6">
        <f t="shared" si="22"/>
        <v>7.4160000000000004</v>
      </c>
      <c r="G29" s="6">
        <v>0.6</v>
      </c>
      <c r="H29" s="6">
        <v>2</v>
      </c>
      <c r="I29" s="7">
        <v>0.14000000000000001</v>
      </c>
      <c r="J29" s="6"/>
      <c r="K29" s="6">
        <v>6</v>
      </c>
      <c r="L29" s="6">
        <v>3.7</v>
      </c>
      <c r="M29" s="11">
        <f t="shared" si="23"/>
        <v>8.6999999999999994E-2</v>
      </c>
      <c r="N29" s="5"/>
      <c r="O29" s="5"/>
      <c r="P29" s="5"/>
      <c r="Q29" s="5"/>
      <c r="R29" s="11"/>
      <c r="S29" s="83">
        <v>0.15</v>
      </c>
      <c r="T29" s="11">
        <f t="shared" si="28"/>
        <v>0.15525882352941181</v>
      </c>
      <c r="U29" s="6">
        <f t="shared" ref="U29" si="30">C29-V29</f>
        <v>1.4349919743178248</v>
      </c>
      <c r="V29" s="6">
        <f t="shared" si="25"/>
        <v>168.56500802568218</v>
      </c>
      <c r="W29" s="44">
        <f t="shared" si="11"/>
        <v>187.29445336186907</v>
      </c>
      <c r="Y29" s="44"/>
      <c r="Z29" s="44"/>
    </row>
    <row r="30" spans="1:26" s="4" customFormat="1" x14ac:dyDescent="0.3">
      <c r="A30" s="5"/>
      <c r="B30" s="3" t="s">
        <v>31</v>
      </c>
      <c r="C30" s="9"/>
      <c r="D30" s="14"/>
      <c r="E30" s="6"/>
      <c r="F30" s="6">
        <f t="shared" si="22"/>
        <v>0</v>
      </c>
      <c r="G30" s="6"/>
      <c r="H30" s="6"/>
      <c r="I30" s="7"/>
      <c r="J30" s="6"/>
      <c r="K30" s="6"/>
      <c r="L30" s="6"/>
      <c r="M30" s="11">
        <f t="shared" si="23"/>
        <v>8.6999999999999994E-2</v>
      </c>
      <c r="N30" s="5"/>
      <c r="O30" s="5"/>
      <c r="P30" s="5"/>
      <c r="Q30" s="5"/>
      <c r="R30" s="11"/>
      <c r="S30" s="7">
        <f t="shared" si="15"/>
        <v>0.25</v>
      </c>
      <c r="T30" s="11"/>
      <c r="U30" s="6"/>
      <c r="V30" s="6">
        <f t="shared" si="25"/>
        <v>0</v>
      </c>
      <c r="W30" s="44">
        <f t="shared" si="11"/>
        <v>0</v>
      </c>
      <c r="Y30" s="44"/>
      <c r="Z30" s="44"/>
    </row>
    <row r="31" spans="1:26" s="4" customFormat="1" x14ac:dyDescent="0.3">
      <c r="A31" s="5" t="s">
        <v>66</v>
      </c>
      <c r="B31" s="3" t="s">
        <v>32</v>
      </c>
      <c r="C31" s="9">
        <v>87.36</v>
      </c>
      <c r="D31" s="14">
        <f t="shared" si="7"/>
        <v>2.7657333890513849E-2</v>
      </c>
      <c r="E31" s="6">
        <v>45</v>
      </c>
      <c r="F31" s="6">
        <f t="shared" si="22"/>
        <v>3.6</v>
      </c>
      <c r="G31" s="6"/>
      <c r="H31" s="6">
        <v>0.5</v>
      </c>
      <c r="I31" s="7">
        <v>0.13</v>
      </c>
      <c r="J31" s="6"/>
      <c r="K31" s="6">
        <v>4</v>
      </c>
      <c r="L31" s="6">
        <v>5.24</v>
      </c>
      <c r="M31" s="11">
        <f t="shared" si="23"/>
        <v>8.6999999999999994E-2</v>
      </c>
      <c r="N31" s="5"/>
      <c r="O31" s="5"/>
      <c r="P31" s="5"/>
      <c r="Q31" s="7"/>
      <c r="R31" s="11">
        <f>C78</f>
        <v>0.09</v>
      </c>
      <c r="S31" s="58">
        <v>0.13</v>
      </c>
      <c r="T31" s="11">
        <f t="shared" si="28"/>
        <v>0.23515201465201463</v>
      </c>
      <c r="U31" s="6">
        <f t="shared" ref="U31:U32" si="31">C31-V31</f>
        <v>2.3511190053285844</v>
      </c>
      <c r="V31" s="6">
        <f t="shared" si="25"/>
        <v>85.008880994671415</v>
      </c>
      <c r="W31" s="44">
        <f t="shared" si="11"/>
        <v>94.454312216301574</v>
      </c>
      <c r="Y31" s="44"/>
      <c r="Z31" s="44"/>
    </row>
    <row r="32" spans="1:26" s="4" customFormat="1" x14ac:dyDescent="0.3">
      <c r="A32" s="5" t="s">
        <v>67</v>
      </c>
      <c r="B32" s="3" t="s">
        <v>32</v>
      </c>
      <c r="C32" s="9">
        <v>85.8</v>
      </c>
      <c r="D32" s="14">
        <f t="shared" ref="D32" si="32">(C32-V32)/V32</f>
        <v>7.2018348623852108E-3</v>
      </c>
      <c r="E32" s="6">
        <v>45</v>
      </c>
      <c r="F32" s="6">
        <f t="shared" ref="F32" si="33">E32*$F$1</f>
        <v>3.6</v>
      </c>
      <c r="G32" s="6"/>
      <c r="H32" s="6">
        <v>0.5</v>
      </c>
      <c r="I32" s="7">
        <v>0.13</v>
      </c>
      <c r="J32" s="6"/>
      <c r="K32" s="6">
        <v>4</v>
      </c>
      <c r="L32" s="6">
        <v>5.14</v>
      </c>
      <c r="M32" s="11">
        <f t="shared" si="23"/>
        <v>8.6999999999999994E-2</v>
      </c>
      <c r="N32" s="5"/>
      <c r="O32" s="5"/>
      <c r="P32" s="5"/>
      <c r="Q32" s="5"/>
      <c r="R32" s="11"/>
      <c r="S32" s="72">
        <v>0.22</v>
      </c>
      <c r="T32" s="11">
        <f t="shared" si="28"/>
        <v>0.2240256410256409</v>
      </c>
      <c r="U32" s="6">
        <f t="shared" si="31"/>
        <v>0.61349911190052353</v>
      </c>
      <c r="V32" s="6">
        <f t="shared" ref="V32" si="34">(E32+F32+J32+K32+G32+H32 - L32)/(1 - (I32 + M32 + R32 + S32 + N32))</f>
        <v>85.186500888099474</v>
      </c>
      <c r="W32" s="44">
        <f t="shared" ref="W32" si="35">V32/(1-$W$1)</f>
        <v>94.651667653443852</v>
      </c>
      <c r="Y32" s="44"/>
      <c r="Z32" s="44"/>
    </row>
    <row r="33" spans="1:26" s="4" customFormat="1" x14ac:dyDescent="0.3">
      <c r="A33" s="5" t="s">
        <v>67</v>
      </c>
      <c r="B33" s="3" t="s">
        <v>34</v>
      </c>
      <c r="C33" s="9">
        <v>21.12</v>
      </c>
      <c r="D33" s="14">
        <f t="shared" si="7"/>
        <v>7.2041743814176809E-4</v>
      </c>
      <c r="E33" s="6">
        <v>9.15</v>
      </c>
      <c r="F33" s="6">
        <f t="shared" si="22"/>
        <v>0.7320000000000001</v>
      </c>
      <c r="G33" s="6"/>
      <c r="H33" s="6">
        <v>1</v>
      </c>
      <c r="I33" s="7">
        <v>0.13</v>
      </c>
      <c r="J33" s="6"/>
      <c r="K33" s="6">
        <v>1</v>
      </c>
      <c r="L33" s="6"/>
      <c r="M33" s="11">
        <f t="shared" si="23"/>
        <v>8.6999999999999994E-2</v>
      </c>
      <c r="N33" s="5"/>
      <c r="O33" s="5"/>
      <c r="P33" s="5"/>
      <c r="Q33" s="5"/>
      <c r="R33" s="11"/>
      <c r="S33" s="72">
        <v>0.22</v>
      </c>
      <c r="T33" s="11">
        <f t="shared" si="28"/>
        <v>0.22040530303030315</v>
      </c>
      <c r="U33" s="6">
        <f t="shared" ref="U33:U74" si="36">C33-V33</f>
        <v>1.5204262877443142E-2</v>
      </c>
      <c r="V33" s="6">
        <f t="shared" si="25"/>
        <v>21.104795737122558</v>
      </c>
      <c r="W33" s="44">
        <f t="shared" si="11"/>
        <v>23.449773041247287</v>
      </c>
      <c r="Y33" s="44"/>
      <c r="Z33" s="44"/>
    </row>
    <row r="34" spans="1:26" s="4" customFormat="1" x14ac:dyDescent="0.3">
      <c r="A34" s="5"/>
      <c r="B34" s="43" t="s">
        <v>35</v>
      </c>
      <c r="C34" s="9">
        <v>33.51</v>
      </c>
      <c r="D34" s="14">
        <f t="shared" si="7"/>
        <v>-7.9588996491817943E-2</v>
      </c>
      <c r="E34" s="6">
        <v>15.39</v>
      </c>
      <c r="F34" s="6">
        <f t="shared" si="22"/>
        <v>1.2312000000000001</v>
      </c>
      <c r="G34" s="6">
        <v>1.05</v>
      </c>
      <c r="H34" s="6"/>
      <c r="I34" s="7">
        <v>0.14000000000000001</v>
      </c>
      <c r="J34" s="6"/>
      <c r="K34" s="6">
        <v>2</v>
      </c>
      <c r="L34" s="6">
        <v>0.63</v>
      </c>
      <c r="M34" s="11">
        <f t="shared" si="23"/>
        <v>8.6999999999999994E-2</v>
      </c>
      <c r="N34" s="5"/>
      <c r="O34" s="5"/>
      <c r="P34" s="5"/>
      <c r="Q34" s="5"/>
      <c r="R34" s="11"/>
      <c r="S34" s="7">
        <f t="shared" si="15"/>
        <v>0.25</v>
      </c>
      <c r="T34" s="11">
        <f t="shared" si="28"/>
        <v>0.20477558937630541</v>
      </c>
      <c r="U34" s="6">
        <f t="shared" si="36"/>
        <v>-2.897648183556413</v>
      </c>
      <c r="V34" s="6">
        <f t="shared" si="25"/>
        <v>36.407648183556411</v>
      </c>
      <c r="W34" s="44">
        <f t="shared" si="11"/>
        <v>40.452942426173792</v>
      </c>
      <c r="Y34" s="44"/>
      <c r="Z34" s="44"/>
    </row>
    <row r="35" spans="1:26" s="4" customFormat="1" x14ac:dyDescent="0.3">
      <c r="A35" s="5" t="s">
        <v>67</v>
      </c>
      <c r="B35" s="43" t="s">
        <v>36</v>
      </c>
      <c r="C35" s="9">
        <v>31.28</v>
      </c>
      <c r="D35" s="14">
        <f t="shared" si="7"/>
        <v>2.4093366093366136E-2</v>
      </c>
      <c r="E35" s="6">
        <v>12.5</v>
      </c>
      <c r="F35" s="6">
        <f t="shared" si="22"/>
        <v>1</v>
      </c>
      <c r="G35" s="6">
        <v>1.05</v>
      </c>
      <c r="H35" s="6"/>
      <c r="I35" s="7">
        <v>0.13</v>
      </c>
      <c r="J35" s="6"/>
      <c r="K35" s="6">
        <v>2</v>
      </c>
      <c r="L35" s="6">
        <v>0.27</v>
      </c>
      <c r="M35" s="11">
        <f t="shared" si="23"/>
        <v>8.6999999999999994E-2</v>
      </c>
      <c r="N35" s="5"/>
      <c r="O35" s="5"/>
      <c r="P35" s="5"/>
      <c r="Q35" s="5"/>
      <c r="R35" s="11"/>
      <c r="S35" s="7">
        <f t="shared" si="15"/>
        <v>0.25</v>
      </c>
      <c r="T35" s="11">
        <f t="shared" si="28"/>
        <v>0.26253964194373391</v>
      </c>
      <c r="U35" s="6">
        <f t="shared" si="36"/>
        <v>0.7359099437148231</v>
      </c>
      <c r="V35" s="49">
        <f t="shared" si="25"/>
        <v>30.544090056285178</v>
      </c>
      <c r="W35" s="44">
        <f t="shared" si="11"/>
        <v>33.937877840316865</v>
      </c>
      <c r="Y35" s="44"/>
      <c r="Z35" s="44"/>
    </row>
    <row r="36" spans="1:26" s="4" customFormat="1" x14ac:dyDescent="0.3">
      <c r="A36" s="5" t="s">
        <v>66</v>
      </c>
      <c r="B36" s="43" t="s">
        <v>37</v>
      </c>
      <c r="C36" s="9">
        <v>34.44</v>
      </c>
      <c r="D36" s="14">
        <f t="shared" si="7"/>
        <v>0.10436051502145928</v>
      </c>
      <c r="E36" s="6">
        <v>13.5</v>
      </c>
      <c r="F36" s="6">
        <f t="shared" si="22"/>
        <v>1.08</v>
      </c>
      <c r="G36" s="6">
        <v>1.05</v>
      </c>
      <c r="H36" s="6"/>
      <c r="I36" s="7">
        <v>0.14000000000000001</v>
      </c>
      <c r="J36" s="6"/>
      <c r="K36" s="6">
        <v>2</v>
      </c>
      <c r="L36" s="6">
        <v>1.32</v>
      </c>
      <c r="M36" s="11">
        <f t="shared" si="23"/>
        <v>8.6999999999999994E-2</v>
      </c>
      <c r="N36" s="5"/>
      <c r="O36" s="5"/>
      <c r="P36" s="5"/>
      <c r="Q36" s="5"/>
      <c r="R36" s="11"/>
      <c r="S36" s="7">
        <f t="shared" si="15"/>
        <v>0.25</v>
      </c>
      <c r="T36" s="11">
        <f t="shared" si="28"/>
        <v>0.2994227642276423</v>
      </c>
      <c r="U36" s="6">
        <f t="shared" si="36"/>
        <v>3.2545315487571713</v>
      </c>
      <c r="V36" s="46">
        <f t="shared" si="25"/>
        <v>31.185468451242826</v>
      </c>
      <c r="W36" s="47">
        <f t="shared" si="11"/>
        <v>34.650520501380917</v>
      </c>
      <c r="Y36" s="44"/>
      <c r="Z36" s="44"/>
    </row>
    <row r="37" spans="1:26" s="4" customFormat="1" x14ac:dyDescent="0.3">
      <c r="A37" s="5" t="s">
        <v>67</v>
      </c>
      <c r="B37" s="43" t="s">
        <v>37</v>
      </c>
      <c r="C37" s="9">
        <v>36</v>
      </c>
      <c r="D37" s="14">
        <f t="shared" si="7"/>
        <v>6.7952353942144217E-2</v>
      </c>
      <c r="E37" s="6">
        <v>13.5</v>
      </c>
      <c r="F37" s="6">
        <f t="shared" si="22"/>
        <v>1.08</v>
      </c>
      <c r="G37" s="6">
        <v>1.05</v>
      </c>
      <c r="H37" s="6"/>
      <c r="I37" s="7">
        <v>0.14000000000000001</v>
      </c>
      <c r="J37" s="6"/>
      <c r="K37" s="6">
        <v>2</v>
      </c>
      <c r="L37" s="6"/>
      <c r="M37" s="11">
        <f t="shared" si="23"/>
        <v>8.6999999999999994E-2</v>
      </c>
      <c r="N37" s="5"/>
      <c r="O37" s="5"/>
      <c r="P37" s="5"/>
      <c r="Q37" s="5"/>
      <c r="R37" s="11"/>
      <c r="S37" s="7">
        <f t="shared" si="15"/>
        <v>0.25</v>
      </c>
      <c r="T37" s="11">
        <f t="shared" si="28"/>
        <v>0.28327777777777779</v>
      </c>
      <c r="U37" s="48">
        <f t="shared" si="36"/>
        <v>2.290630975143408</v>
      </c>
      <c r="V37" s="46">
        <f t="shared" si="25"/>
        <v>33.709369024856592</v>
      </c>
      <c r="W37" s="47">
        <f t="shared" si="11"/>
        <v>37.454854472062877</v>
      </c>
      <c r="Y37" s="44"/>
      <c r="Z37" s="44"/>
    </row>
    <row r="38" spans="1:26" s="4" customFormat="1" x14ac:dyDescent="0.3">
      <c r="A38" s="5" t="s">
        <v>66</v>
      </c>
      <c r="B38" s="43" t="s">
        <v>38</v>
      </c>
      <c r="C38" s="9">
        <v>17.12</v>
      </c>
      <c r="D38" s="14">
        <f t="shared" si="7"/>
        <v>2.5909494232477003E-3</v>
      </c>
      <c r="E38" s="6">
        <v>6.45</v>
      </c>
      <c r="F38" s="6">
        <f t="shared" si="22"/>
        <v>0.51600000000000001</v>
      </c>
      <c r="G38" s="6">
        <v>1.05</v>
      </c>
      <c r="H38" s="6"/>
      <c r="I38" s="7">
        <v>0.14000000000000001</v>
      </c>
      <c r="J38" s="6"/>
      <c r="K38" s="6">
        <v>1</v>
      </c>
      <c r="L38" s="6"/>
      <c r="M38" s="11">
        <f t="shared" si="23"/>
        <v>8.6999999999999994E-2</v>
      </c>
      <c r="N38" s="5"/>
      <c r="O38" s="5"/>
      <c r="P38" s="5"/>
      <c r="Q38" s="5"/>
      <c r="R38" s="11"/>
      <c r="S38" s="72">
        <v>0.245</v>
      </c>
      <c r="T38" s="11">
        <f t="shared" si="28"/>
        <v>0.24636448598130842</v>
      </c>
      <c r="U38" s="6">
        <f t="shared" si="36"/>
        <v>4.4242424242426637E-2</v>
      </c>
      <c r="V38" s="50">
        <f t="shared" si="25"/>
        <v>17.075757575757574</v>
      </c>
      <c r="W38" s="44">
        <f t="shared" si="11"/>
        <v>18.973063973063972</v>
      </c>
      <c r="Y38" s="44"/>
      <c r="Z38" s="44"/>
    </row>
    <row r="39" spans="1:26" s="4" customFormat="1" x14ac:dyDescent="0.3">
      <c r="A39" s="5" t="s">
        <v>67</v>
      </c>
      <c r="B39" s="43" t="s">
        <v>38</v>
      </c>
      <c r="C39" s="9">
        <v>17.27</v>
      </c>
      <c r="D39" s="14">
        <f t="shared" si="7"/>
        <v>0.1310055096418733</v>
      </c>
      <c r="E39" s="6">
        <v>6.45</v>
      </c>
      <c r="F39" s="6">
        <f t="shared" si="22"/>
        <v>0.51600000000000001</v>
      </c>
      <c r="G39" s="6">
        <v>1.05</v>
      </c>
      <c r="H39" s="6"/>
      <c r="I39" s="7">
        <v>0.14000000000000001</v>
      </c>
      <c r="J39" s="6"/>
      <c r="K39" s="6">
        <v>1</v>
      </c>
      <c r="L39" s="6">
        <v>1.03</v>
      </c>
      <c r="M39" s="11">
        <f t="shared" si="23"/>
        <v>8.6999999999999994E-2</v>
      </c>
      <c r="N39" s="5"/>
      <c r="O39" s="5"/>
      <c r="P39" s="5"/>
      <c r="Q39" s="5"/>
      <c r="R39" s="11"/>
      <c r="S39" s="7">
        <f t="shared" si="15"/>
        <v>0.25</v>
      </c>
      <c r="T39" s="11">
        <f t="shared" si="28"/>
        <v>0.31057961783439486</v>
      </c>
      <c r="U39" s="6">
        <f t="shared" si="36"/>
        <v>2.0004015296367115</v>
      </c>
      <c r="V39" s="6">
        <f t="shared" si="25"/>
        <v>15.269598470363288</v>
      </c>
      <c r="W39" s="44">
        <f t="shared" si="11"/>
        <v>16.966220522625875</v>
      </c>
      <c r="Y39" s="44"/>
      <c r="Z39" s="44"/>
    </row>
    <row r="40" spans="1:26" s="4" customFormat="1" x14ac:dyDescent="0.3">
      <c r="A40" s="5"/>
      <c r="B40" s="43" t="s">
        <v>72</v>
      </c>
      <c r="C40" s="9">
        <v>42</v>
      </c>
      <c r="D40" s="14">
        <f t="shared" si="7"/>
        <v>-0.10074716799228724</v>
      </c>
      <c r="E40" s="6">
        <v>18.05</v>
      </c>
      <c r="F40" s="6">
        <f>E40*$F$1</f>
        <v>1.4440000000000002</v>
      </c>
      <c r="G40" s="6">
        <v>0.7</v>
      </c>
      <c r="H40" s="6">
        <v>0.7</v>
      </c>
      <c r="I40" s="7">
        <v>0.13</v>
      </c>
      <c r="J40" s="6"/>
      <c r="K40" s="6">
        <v>4</v>
      </c>
      <c r="L40" s="6"/>
      <c r="M40" s="11">
        <f>$M$1</f>
        <v>8.6999999999999994E-2</v>
      </c>
      <c r="N40" s="5"/>
      <c r="O40" s="5"/>
      <c r="P40" s="5"/>
      <c r="Q40" s="5"/>
      <c r="R40" s="11"/>
      <c r="S40" s="7">
        <f t="shared" si="15"/>
        <v>0.25</v>
      </c>
      <c r="T40" s="11">
        <f t="shared" si="28"/>
        <v>0.19028571428571439</v>
      </c>
      <c r="U40" s="6">
        <f>C40-V40</f>
        <v>-4.7054409005628486</v>
      </c>
      <c r="V40" s="6">
        <f>(E40+F40+J40+K40+G40+H40 - L40)/(1 - (I40 + M40 + R40 + S40 + N40))</f>
        <v>46.705440900562849</v>
      </c>
      <c r="W40" s="44">
        <f>V40/(1-$W$1)</f>
        <v>51.894934333958716</v>
      </c>
      <c r="Y40" s="44"/>
      <c r="Z40" s="44"/>
    </row>
    <row r="41" spans="1:26" s="4" customFormat="1" x14ac:dyDescent="0.3">
      <c r="A41" s="5" t="s">
        <v>66</v>
      </c>
      <c r="B41" s="43" t="s">
        <v>73</v>
      </c>
      <c r="C41" s="9">
        <v>29.76</v>
      </c>
      <c r="D41" s="14">
        <f t="shared" ref="D41" si="37">(C41-V41)/V41</f>
        <v>5.5378823529412336E-3</v>
      </c>
      <c r="E41" s="6">
        <v>15</v>
      </c>
      <c r="F41" s="6">
        <f t="shared" ref="F41" si="38">E41*$F$1</f>
        <v>1.2</v>
      </c>
      <c r="G41" s="6">
        <v>1.05</v>
      </c>
      <c r="H41" s="6"/>
      <c r="I41" s="7">
        <v>0.13</v>
      </c>
      <c r="J41" s="6"/>
      <c r="K41" s="6">
        <v>4</v>
      </c>
      <c r="L41" s="6"/>
      <c r="M41" s="11">
        <f t="shared" si="23"/>
        <v>8.6999999999999994E-2</v>
      </c>
      <c r="N41" s="5"/>
      <c r="O41" s="5"/>
      <c r="P41" s="5"/>
      <c r="Q41" s="5"/>
      <c r="R41" s="11"/>
      <c r="S41" s="75">
        <v>6.5000000000000002E-2</v>
      </c>
      <c r="T41" s="11">
        <f t="shared" si="28"/>
        <v>6.8954301075268815E-2</v>
      </c>
      <c r="U41" s="6">
        <f t="shared" ref="U41" si="39">C41-V41</f>
        <v>0.16389972144846965</v>
      </c>
      <c r="V41" s="6">
        <f t="shared" ref="V41" si="40">(E41+F41+J41+K41+G41+H41 - L41)/(1 - (I41 + M41 + R41 + S41 + N41))</f>
        <v>29.596100278551532</v>
      </c>
      <c r="W41" s="44">
        <f t="shared" ref="W41" si="41">V41/(1-$W$1)</f>
        <v>32.884555865057258</v>
      </c>
      <c r="Y41" s="44"/>
      <c r="Z41" s="44"/>
    </row>
    <row r="42" spans="1:26" s="4" customFormat="1" x14ac:dyDescent="0.3">
      <c r="A42" s="5" t="s">
        <v>67</v>
      </c>
      <c r="B42" s="43" t="s">
        <v>73</v>
      </c>
      <c r="C42" s="9">
        <v>30.07</v>
      </c>
      <c r="D42" s="14">
        <f t="shared" si="7"/>
        <v>3.2985074626866381E-3</v>
      </c>
      <c r="E42" s="6">
        <v>15</v>
      </c>
      <c r="F42" s="6">
        <f t="shared" ref="F42" si="42">E42*$F$1</f>
        <v>1.2</v>
      </c>
      <c r="G42" s="6">
        <v>1.05</v>
      </c>
      <c r="H42" s="6"/>
      <c r="I42" s="7">
        <v>0.13</v>
      </c>
      <c r="J42" s="6"/>
      <c r="K42" s="6">
        <v>4</v>
      </c>
      <c r="L42" s="6">
        <v>0.48</v>
      </c>
      <c r="M42" s="11">
        <f t="shared" si="23"/>
        <v>8.6999999999999994E-2</v>
      </c>
      <c r="N42" s="5"/>
      <c r="O42" s="5"/>
      <c r="P42" s="5"/>
      <c r="Q42" s="5"/>
      <c r="R42" s="11"/>
      <c r="S42" s="75">
        <v>0.09</v>
      </c>
      <c r="T42" s="11">
        <f t="shared" si="28"/>
        <v>9.2278350515463986E-2</v>
      </c>
      <c r="U42" s="6">
        <f t="shared" ref="U42" si="43">C42-V42</f>
        <v>9.886002886003098E-2</v>
      </c>
      <c r="V42" s="6">
        <f t="shared" ref="V42" si="44">(E42+F42+J42+K42+G42+H42 - L42)/(1 - (I42 + M42 + R42 + S42 + N42))</f>
        <v>29.971139971139969</v>
      </c>
      <c r="W42" s="44">
        <f t="shared" ref="W42" si="45">V42/(1-$W$1)</f>
        <v>33.301266634599962</v>
      </c>
      <c r="Y42" s="44"/>
      <c r="Z42" s="44"/>
    </row>
    <row r="43" spans="1:26" s="4" customFormat="1" x14ac:dyDescent="0.3">
      <c r="A43" s="5"/>
      <c r="B43" s="43" t="s">
        <v>39</v>
      </c>
      <c r="C43" s="9">
        <f>V43</f>
        <v>58.105065666041277</v>
      </c>
      <c r="D43" s="14">
        <f t="shared" si="7"/>
        <v>0</v>
      </c>
      <c r="E43" s="6">
        <v>24</v>
      </c>
      <c r="F43" s="6">
        <f t="shared" si="22"/>
        <v>1.92</v>
      </c>
      <c r="G43" s="6">
        <v>1.05</v>
      </c>
      <c r="H43" s="6"/>
      <c r="I43" s="7">
        <v>0.13</v>
      </c>
      <c r="J43" s="6"/>
      <c r="K43" s="6">
        <v>4</v>
      </c>
      <c r="L43" s="6"/>
      <c r="M43" s="11">
        <f t="shared" si="23"/>
        <v>8.6999999999999994E-2</v>
      </c>
      <c r="N43" s="5"/>
      <c r="O43" s="5"/>
      <c r="P43" s="5"/>
      <c r="Q43" s="5"/>
      <c r="R43" s="11"/>
      <c r="S43" s="7">
        <f t="shared" si="15"/>
        <v>0.25</v>
      </c>
      <c r="T43" s="11">
        <f t="shared" si="28"/>
        <v>0.24999999999999997</v>
      </c>
      <c r="U43" s="6">
        <f t="shared" si="36"/>
        <v>0</v>
      </c>
      <c r="V43" s="6">
        <f t="shared" si="25"/>
        <v>58.105065666041277</v>
      </c>
      <c r="W43" s="44">
        <f t="shared" si="11"/>
        <v>64.561184073379195</v>
      </c>
      <c r="Y43" s="44"/>
      <c r="Z43" s="44"/>
    </row>
    <row r="44" spans="1:26" s="4" customFormat="1" x14ac:dyDescent="0.3">
      <c r="A44" s="5"/>
      <c r="B44" s="43" t="s">
        <v>74</v>
      </c>
      <c r="C44" s="9">
        <f>V44</f>
        <v>23.050656660412759</v>
      </c>
      <c r="D44" s="14">
        <f t="shared" si="7"/>
        <v>0</v>
      </c>
      <c r="E44" s="6">
        <v>6.7</v>
      </c>
      <c r="F44" s="6">
        <f>E44*$F$1</f>
        <v>0.53600000000000003</v>
      </c>
      <c r="G44" s="6">
        <v>1.05</v>
      </c>
      <c r="H44" s="6"/>
      <c r="I44" s="7">
        <v>0.13</v>
      </c>
      <c r="J44" s="6"/>
      <c r="K44" s="6">
        <v>4</v>
      </c>
      <c r="L44" s="6"/>
      <c r="M44" s="11">
        <f>$M$1</f>
        <v>8.6999999999999994E-2</v>
      </c>
      <c r="N44" s="5"/>
      <c r="O44" s="5"/>
      <c r="P44" s="5"/>
      <c r="Q44" s="5"/>
      <c r="R44" s="11"/>
      <c r="S44" s="7">
        <f t="shared" si="15"/>
        <v>0.25</v>
      </c>
      <c r="T44" s="11">
        <f t="shared" si="28"/>
        <v>0.24999999999999997</v>
      </c>
      <c r="U44" s="6">
        <f>C44-V44</f>
        <v>0</v>
      </c>
      <c r="V44" s="6">
        <f>(E44+F44+J44+K44+G44+H44 - L44)/(1 - (I44 + M44 + R44 + S44 + N44))</f>
        <v>23.050656660412759</v>
      </c>
      <c r="W44" s="44">
        <f>V44/(1-$W$1)</f>
        <v>25.611840733791954</v>
      </c>
      <c r="Y44" s="44"/>
      <c r="Z44" s="44"/>
    </row>
    <row r="45" spans="1:26" s="4" customFormat="1" x14ac:dyDescent="0.3">
      <c r="A45" s="5"/>
      <c r="B45" s="43" t="s">
        <v>75</v>
      </c>
      <c r="C45" s="9">
        <f>V45</f>
        <v>17.174484052532833</v>
      </c>
      <c r="D45" s="14">
        <f t="shared" si="7"/>
        <v>0</v>
      </c>
      <c r="E45" s="6">
        <v>3.8</v>
      </c>
      <c r="F45" s="6">
        <f>E45*$F$1</f>
        <v>0.30399999999999999</v>
      </c>
      <c r="G45" s="6">
        <v>1.05</v>
      </c>
      <c r="H45" s="6"/>
      <c r="I45" s="7">
        <v>0.13</v>
      </c>
      <c r="J45" s="6"/>
      <c r="K45" s="6">
        <v>4</v>
      </c>
      <c r="L45" s="6"/>
      <c r="M45" s="11">
        <f>$M$1</f>
        <v>8.6999999999999994E-2</v>
      </c>
      <c r="N45" s="5"/>
      <c r="O45" s="5"/>
      <c r="P45" s="5"/>
      <c r="Q45" s="5"/>
      <c r="R45" s="11"/>
      <c r="S45" s="7">
        <f t="shared" si="15"/>
        <v>0.25</v>
      </c>
      <c r="T45" s="11">
        <f t="shared" si="28"/>
        <v>0.25</v>
      </c>
      <c r="U45" s="6">
        <f>C45-V45</f>
        <v>0</v>
      </c>
      <c r="V45" s="6">
        <f>(E45+F45+J45+K45+G45+H45 - L45)/(1 - (I45 + M45 + R45 + S45 + N45))</f>
        <v>17.174484052532833</v>
      </c>
      <c r="W45" s="44">
        <f>V45/(1-$W$1)</f>
        <v>19.082760058369814</v>
      </c>
      <c r="Y45" s="44"/>
      <c r="Z45" s="44"/>
    </row>
    <row r="46" spans="1:26" s="4" customFormat="1" x14ac:dyDescent="0.3">
      <c r="A46" s="5"/>
      <c r="B46" s="3" t="s">
        <v>40</v>
      </c>
      <c r="C46" s="9">
        <v>28.599605522682452</v>
      </c>
      <c r="D46" s="14">
        <f t="shared" si="7"/>
        <v>3.155818540433953E-2</v>
      </c>
      <c r="E46" s="6">
        <f>5*2.5</f>
        <v>12.5</v>
      </c>
      <c r="F46" s="6">
        <f t="shared" si="22"/>
        <v>1</v>
      </c>
      <c r="G46" s="6"/>
      <c r="H46" s="6"/>
      <c r="I46" s="7">
        <v>0.14000000000000001</v>
      </c>
      <c r="J46" s="6"/>
      <c r="K46" s="6">
        <v>1</v>
      </c>
      <c r="L46" s="6"/>
      <c r="M46" s="11">
        <f t="shared" si="23"/>
        <v>8.6999999999999994E-2</v>
      </c>
      <c r="N46" s="5"/>
      <c r="O46" s="5"/>
      <c r="P46" s="5"/>
      <c r="Q46" s="5"/>
      <c r="R46" s="11"/>
      <c r="S46" s="7">
        <f t="shared" si="15"/>
        <v>0.25</v>
      </c>
      <c r="T46" s="11">
        <f t="shared" si="28"/>
        <v>0.26600000000000013</v>
      </c>
      <c r="U46" s="6">
        <f t="shared" si="36"/>
        <v>0.87494013071304622</v>
      </c>
      <c r="V46" s="6">
        <f t="shared" si="25"/>
        <v>27.724665391969406</v>
      </c>
      <c r="W46" s="44">
        <f t="shared" si="11"/>
        <v>30.805183768854896</v>
      </c>
      <c r="Y46" s="44"/>
      <c r="Z46" s="44"/>
    </row>
    <row r="47" spans="1:26" s="4" customFormat="1" x14ac:dyDescent="0.3">
      <c r="A47" s="5"/>
      <c r="B47" s="3" t="s">
        <v>41</v>
      </c>
      <c r="C47" s="9">
        <v>46.619439868204289</v>
      </c>
      <c r="D47" s="14">
        <f t="shared" si="7"/>
        <v>-0.13838550247116957</v>
      </c>
      <c r="E47" s="6">
        <v>24.35</v>
      </c>
      <c r="F47" s="6">
        <f t="shared" si="22"/>
        <v>1.9480000000000002</v>
      </c>
      <c r="G47" s="6"/>
      <c r="H47" s="6"/>
      <c r="I47" s="7">
        <v>0.14000000000000001</v>
      </c>
      <c r="J47" s="6"/>
      <c r="K47" s="6">
        <v>2</v>
      </c>
      <c r="L47" s="6"/>
      <c r="M47" s="11">
        <f t="shared" si="23"/>
        <v>8.6999999999999994E-2</v>
      </c>
      <c r="N47" s="5"/>
      <c r="O47" s="5"/>
      <c r="P47" s="5"/>
      <c r="Q47" s="5"/>
      <c r="R47" s="11"/>
      <c r="S47" s="7">
        <f t="shared" si="15"/>
        <v>0.25</v>
      </c>
      <c r="T47" s="11">
        <f t="shared" si="28"/>
        <v>0.16600000000000012</v>
      </c>
      <c r="U47" s="6">
        <f t="shared" si="36"/>
        <v>-7.4876347015853852</v>
      </c>
      <c r="V47" s="6">
        <f t="shared" si="25"/>
        <v>54.107074569789674</v>
      </c>
      <c r="W47" s="44">
        <f t="shared" si="11"/>
        <v>60.118971744210747</v>
      </c>
      <c r="Y47" s="44"/>
      <c r="Z47" s="44"/>
    </row>
    <row r="48" spans="1:26" s="4" customFormat="1" x14ac:dyDescent="0.3">
      <c r="A48" s="5"/>
      <c r="B48" s="3" t="s">
        <v>42</v>
      </c>
      <c r="C48" s="9">
        <v>28.599605522682452</v>
      </c>
      <c r="D48" s="14">
        <f t="shared" si="7"/>
        <v>3.155818540433953E-2</v>
      </c>
      <c r="E48" s="6">
        <f>5*2.5</f>
        <v>12.5</v>
      </c>
      <c r="F48" s="6">
        <f t="shared" si="22"/>
        <v>1</v>
      </c>
      <c r="G48" s="6"/>
      <c r="H48" s="6"/>
      <c r="I48" s="7">
        <v>0.14000000000000001</v>
      </c>
      <c r="J48" s="6"/>
      <c r="K48" s="6">
        <v>1</v>
      </c>
      <c r="L48" s="6"/>
      <c r="M48" s="11">
        <f t="shared" si="23"/>
        <v>8.6999999999999994E-2</v>
      </c>
      <c r="N48" s="5"/>
      <c r="O48" s="5"/>
      <c r="P48" s="5"/>
      <c r="Q48" s="5"/>
      <c r="R48" s="11"/>
      <c r="S48" s="7">
        <f t="shared" si="15"/>
        <v>0.25</v>
      </c>
      <c r="T48" s="11">
        <f t="shared" si="28"/>
        <v>0.26600000000000013</v>
      </c>
      <c r="U48" s="6">
        <f t="shared" si="36"/>
        <v>0.87494013071304622</v>
      </c>
      <c r="V48" s="6">
        <f t="shared" si="25"/>
        <v>27.724665391969406</v>
      </c>
      <c r="W48" s="44">
        <f t="shared" si="11"/>
        <v>30.805183768854896</v>
      </c>
      <c r="Y48" s="44"/>
      <c r="Z48" s="44"/>
    </row>
    <row r="49" spans="1:26" s="4" customFormat="1" x14ac:dyDescent="0.3">
      <c r="A49" s="5"/>
      <c r="B49" s="3" t="s">
        <v>43</v>
      </c>
      <c r="C49" s="9">
        <v>25.617357001972394</v>
      </c>
      <c r="D49" s="14">
        <f t="shared" si="7"/>
        <v>3.1558185404339412E-2</v>
      </c>
      <c r="E49" s="6">
        <f>3*3.7</f>
        <v>11.100000000000001</v>
      </c>
      <c r="F49" s="6">
        <f t="shared" si="22"/>
        <v>0.88800000000000012</v>
      </c>
      <c r="G49" s="6"/>
      <c r="H49" s="6"/>
      <c r="I49" s="7">
        <v>0.14000000000000001</v>
      </c>
      <c r="J49" s="6"/>
      <c r="K49" s="6">
        <v>1</v>
      </c>
      <c r="L49" s="6"/>
      <c r="M49" s="11">
        <f t="shared" si="23"/>
        <v>8.6999999999999994E-2</v>
      </c>
      <c r="N49" s="5"/>
      <c r="O49" s="5"/>
      <c r="P49" s="5"/>
      <c r="Q49" s="5"/>
      <c r="R49" s="11"/>
      <c r="S49" s="7">
        <f t="shared" si="15"/>
        <v>0.25</v>
      </c>
      <c r="T49" s="11">
        <f t="shared" si="28"/>
        <v>0.26600000000000018</v>
      </c>
      <c r="U49" s="6">
        <f t="shared" si="36"/>
        <v>0.78370499432420715</v>
      </c>
      <c r="V49" s="6">
        <f t="shared" si="25"/>
        <v>24.833652007648187</v>
      </c>
      <c r="W49" s="44">
        <f t="shared" si="11"/>
        <v>27.592946675164651</v>
      </c>
      <c r="Y49" s="44"/>
      <c r="Z49" s="44"/>
    </row>
    <row r="50" spans="1:26" x14ac:dyDescent="0.3">
      <c r="A50" s="5"/>
      <c r="B50" s="3" t="s">
        <v>76</v>
      </c>
      <c r="C50" s="9">
        <v>35.19</v>
      </c>
      <c r="D50" s="14">
        <f t="shared" si="7"/>
        <v>-5.0733959149989863E-2</v>
      </c>
      <c r="E50" s="6">
        <f>E22+(E52/2)</f>
        <v>16.100000000000001</v>
      </c>
      <c r="F50" s="6">
        <f t="shared" si="22"/>
        <v>1.288</v>
      </c>
      <c r="G50" s="6"/>
      <c r="H50" s="6"/>
      <c r="I50" s="7">
        <v>0.14000000000000001</v>
      </c>
      <c r="J50" s="6"/>
      <c r="K50" s="6">
        <v>2</v>
      </c>
      <c r="L50" s="6"/>
      <c r="M50" s="11">
        <f t="shared" si="23"/>
        <v>8.6999999999999994E-2</v>
      </c>
      <c r="N50" s="5"/>
      <c r="O50" s="5"/>
      <c r="P50" s="5"/>
      <c r="Q50" s="5"/>
      <c r="R50" s="11"/>
      <c r="S50" s="7">
        <f t="shared" si="15"/>
        <v>0.25</v>
      </c>
      <c r="T50" s="11">
        <f t="shared" si="28"/>
        <v>0.22204802500710413</v>
      </c>
      <c r="U50" s="6">
        <f t="shared" si="36"/>
        <v>-1.8807456978967565</v>
      </c>
      <c r="V50" s="6">
        <f t="shared" si="25"/>
        <v>37.070745697896754</v>
      </c>
      <c r="W50" s="44">
        <f t="shared" si="11"/>
        <v>41.189717442107501</v>
      </c>
      <c r="Y50" s="44"/>
      <c r="Z50" s="44"/>
    </row>
    <row r="51" spans="1:26" x14ac:dyDescent="0.3">
      <c r="A51" s="5"/>
      <c r="B51" s="3" t="s">
        <v>77</v>
      </c>
      <c r="C51" s="9">
        <v>27.51</v>
      </c>
      <c r="D51" s="14">
        <f t="shared" si="7"/>
        <v>-7.4652965438771229E-2</v>
      </c>
      <c r="E51" s="6">
        <f>E20+E53</f>
        <v>12.65</v>
      </c>
      <c r="F51" s="6">
        <f t="shared" si="22"/>
        <v>1.012</v>
      </c>
      <c r="G51" s="6"/>
      <c r="H51" s="6"/>
      <c r="I51" s="7">
        <v>0.14000000000000001</v>
      </c>
      <c r="J51" s="6"/>
      <c r="K51" s="6">
        <v>1</v>
      </c>
      <c r="L51" s="6">
        <v>0.6</v>
      </c>
      <c r="M51" s="11">
        <f t="shared" si="23"/>
        <v>8.6999999999999994E-2</v>
      </c>
      <c r="N51" s="5"/>
      <c r="O51" s="5"/>
      <c r="P51" s="5"/>
      <c r="Q51" s="5"/>
      <c r="R51" s="11">
        <v>0.05</v>
      </c>
      <c r="S51" s="7">
        <f t="shared" si="15"/>
        <v>0.25</v>
      </c>
      <c r="T51" s="11">
        <f t="shared" si="28"/>
        <v>0.26184042166484905</v>
      </c>
      <c r="U51" s="6">
        <f t="shared" si="36"/>
        <v>-2.2193868921775923</v>
      </c>
      <c r="V51" s="6">
        <f t="shared" si="25"/>
        <v>29.729386892177594</v>
      </c>
      <c r="W51" s="44">
        <f t="shared" si="11"/>
        <v>33.032652102419547</v>
      </c>
      <c r="Y51" s="44"/>
      <c r="Z51" s="44"/>
    </row>
    <row r="52" spans="1:26" x14ac:dyDescent="0.3">
      <c r="A52" s="5" t="s">
        <v>67</v>
      </c>
      <c r="B52" s="3" t="s">
        <v>46</v>
      </c>
      <c r="C52" s="9">
        <v>18.55</v>
      </c>
      <c r="D52" s="14">
        <f t="shared" si="7"/>
        <v>-0.86132069543359857</v>
      </c>
      <c r="E52" s="6">
        <f>2*4.3</f>
        <v>8.6</v>
      </c>
      <c r="F52" s="6">
        <f t="shared" si="22"/>
        <v>0.68799999999999994</v>
      </c>
      <c r="G52" s="6"/>
      <c r="H52" s="6">
        <v>0.3</v>
      </c>
      <c r="I52" s="7">
        <v>0.14000000000000001</v>
      </c>
      <c r="J52" s="6"/>
      <c r="K52" s="6">
        <v>1</v>
      </c>
      <c r="L52" s="6">
        <v>1.04</v>
      </c>
      <c r="M52" s="11">
        <f t="shared" si="23"/>
        <v>8.6999999999999994E-2</v>
      </c>
      <c r="N52" s="5"/>
      <c r="O52" s="6">
        <f>E52*$O$1</f>
        <v>0.43</v>
      </c>
      <c r="P52" s="8">
        <f>O52/C52</f>
        <v>2.3180592991913745E-2</v>
      </c>
      <c r="Q52" s="8">
        <f>C81</f>
        <v>0.4748</v>
      </c>
      <c r="R52" s="55">
        <f>Q52-P52</f>
        <v>0.45161940700808623</v>
      </c>
      <c r="S52" s="7">
        <f t="shared" si="15"/>
        <v>0.25</v>
      </c>
      <c r="T52" s="11">
        <f t="shared" si="28"/>
        <v>0.25828301886792443</v>
      </c>
      <c r="U52" s="6">
        <f t="shared" si="36"/>
        <v>-115.211847580639</v>
      </c>
      <c r="V52" s="6">
        <f t="shared" si="25"/>
        <v>133.761847580639</v>
      </c>
      <c r="W52" s="44">
        <f t="shared" si="11"/>
        <v>148.62427508959888</v>
      </c>
      <c r="Y52" s="44"/>
      <c r="Z52" s="44"/>
    </row>
    <row r="53" spans="1:26" x14ac:dyDescent="0.3">
      <c r="A53" s="5" t="s">
        <v>67</v>
      </c>
      <c r="B53" s="3" t="s">
        <v>47</v>
      </c>
      <c r="C53" s="9">
        <v>21.69</v>
      </c>
      <c r="D53" s="14">
        <f t="shared" si="7"/>
        <v>-0.46998555639286599</v>
      </c>
      <c r="E53" s="6">
        <v>7.4</v>
      </c>
      <c r="F53" s="6">
        <f t="shared" si="22"/>
        <v>0.59200000000000008</v>
      </c>
      <c r="G53" s="6"/>
      <c r="H53" s="6"/>
      <c r="I53" s="7">
        <v>0.14000000000000001</v>
      </c>
      <c r="J53" s="6"/>
      <c r="K53" s="6">
        <v>1</v>
      </c>
      <c r="L53" s="6">
        <v>1.03</v>
      </c>
      <c r="M53" s="11">
        <f t="shared" si="23"/>
        <v>8.6999999999999994E-2</v>
      </c>
      <c r="N53" s="5"/>
      <c r="O53" s="6">
        <f>E53*$O$1</f>
        <v>0.37000000000000005</v>
      </c>
      <c r="P53" s="8">
        <f t="shared" ref="P53:P56" si="46">O53/C53</f>
        <v>1.7058552328261874E-2</v>
      </c>
      <c r="Q53" s="8">
        <f>C82</f>
        <v>0.34549999999999997</v>
      </c>
      <c r="R53" s="55">
        <f t="shared" ref="R53" si="47">Q53-P53</f>
        <v>0.32844144767173811</v>
      </c>
      <c r="S53" s="7">
        <f t="shared" si="15"/>
        <v>0.25</v>
      </c>
      <c r="T53" s="11">
        <f t="shared" si="28"/>
        <v>0.40591839557399723</v>
      </c>
      <c r="U53" s="6">
        <f t="shared" si="36"/>
        <v>-19.233413053394859</v>
      </c>
      <c r="V53" s="6">
        <f t="shared" si="25"/>
        <v>40.92341305339486</v>
      </c>
      <c r="W53" s="44">
        <f t="shared" si="11"/>
        <v>45.47045894821651</v>
      </c>
      <c r="Y53" s="44"/>
      <c r="Z53" s="44"/>
    </row>
    <row r="54" spans="1:26" s="4" customFormat="1" x14ac:dyDescent="0.3">
      <c r="A54" s="5" t="s">
        <v>66</v>
      </c>
      <c r="B54" s="5" t="s">
        <v>49</v>
      </c>
      <c r="C54" s="9">
        <v>22.8</v>
      </c>
      <c r="D54" s="14">
        <f t="shared" si="7"/>
        <v>4.4109673921462325E-2</v>
      </c>
      <c r="E54" s="6">
        <v>8.36</v>
      </c>
      <c r="F54" s="6">
        <f t="shared" ref="F54" si="48">E54*$F$1</f>
        <v>0.66879999999999995</v>
      </c>
      <c r="G54" s="6"/>
      <c r="H54" s="6">
        <v>0.3</v>
      </c>
      <c r="I54" s="7">
        <v>0.14000000000000001</v>
      </c>
      <c r="J54" s="6"/>
      <c r="K54" s="6">
        <v>1</v>
      </c>
      <c r="L54" s="6"/>
      <c r="M54" s="11">
        <f t="shared" si="23"/>
        <v>8.6999999999999994E-2</v>
      </c>
      <c r="N54" s="5"/>
      <c r="O54" s="6">
        <f t="shared" ref="O54:O61" si="49">E54*$O$1</f>
        <v>0.41799999999999998</v>
      </c>
      <c r="P54" s="8">
        <f t="shared" si="46"/>
        <v>1.8333333333333333E-2</v>
      </c>
      <c r="Q54" s="7">
        <v>0.05</v>
      </c>
      <c r="R54" s="7">
        <v>0.05</v>
      </c>
      <c r="S54" s="7">
        <f t="shared" si="15"/>
        <v>0.25</v>
      </c>
      <c r="T54" s="11">
        <f t="shared" si="28"/>
        <v>0.31998245614035087</v>
      </c>
      <c r="U54" s="6">
        <f t="shared" si="36"/>
        <v>0.96321353065539128</v>
      </c>
      <c r="V54" s="6">
        <f t="shared" ref="V54" si="50">(E54+F54+J54+K54+G54+H54 - L54)/(1 - (I54 + M54 + R54 + S54 + N54))</f>
        <v>21.836786469344609</v>
      </c>
      <c r="W54" s="44">
        <f t="shared" ref="W54" si="51">V54/(1-$W$1)</f>
        <v>24.263096077049564</v>
      </c>
      <c r="Y54" s="44"/>
      <c r="Z54" s="44"/>
    </row>
    <row r="55" spans="1:26" s="4" customFormat="1" x14ac:dyDescent="0.3">
      <c r="A55" s="5" t="s">
        <v>67</v>
      </c>
      <c r="B55" s="5" t="s">
        <v>49</v>
      </c>
      <c r="C55" s="9">
        <v>22.8</v>
      </c>
      <c r="D55" s="14">
        <f t="shared" si="7"/>
        <v>4.4109673921462325E-2</v>
      </c>
      <c r="E55" s="6">
        <v>8.36</v>
      </c>
      <c r="F55" s="6">
        <f t="shared" si="22"/>
        <v>0.66879999999999995</v>
      </c>
      <c r="G55" s="6"/>
      <c r="H55" s="6">
        <v>0.3</v>
      </c>
      <c r="I55" s="7">
        <v>0.14000000000000001</v>
      </c>
      <c r="J55" s="6"/>
      <c r="K55" s="6">
        <v>1</v>
      </c>
      <c r="L55" s="6"/>
      <c r="M55" s="11">
        <f t="shared" si="23"/>
        <v>8.6999999999999994E-2</v>
      </c>
      <c r="N55" s="5"/>
      <c r="O55" s="6">
        <f t="shared" si="49"/>
        <v>0.41799999999999998</v>
      </c>
      <c r="P55" s="8">
        <f t="shared" si="46"/>
        <v>1.8333333333333333E-2</v>
      </c>
      <c r="Q55" s="7">
        <v>0.05</v>
      </c>
      <c r="R55" s="7">
        <v>0.05</v>
      </c>
      <c r="S55" s="7">
        <f t="shared" si="15"/>
        <v>0.25</v>
      </c>
      <c r="T55" s="11">
        <f t="shared" si="28"/>
        <v>0.31998245614035087</v>
      </c>
      <c r="U55" s="6">
        <f t="shared" si="36"/>
        <v>0.96321353065539128</v>
      </c>
      <c r="V55" s="6">
        <f t="shared" si="25"/>
        <v>21.836786469344609</v>
      </c>
      <c r="W55" s="44">
        <f t="shared" si="11"/>
        <v>24.263096077049564</v>
      </c>
      <c r="Y55" s="44"/>
      <c r="Z55" s="44"/>
    </row>
    <row r="56" spans="1:26" s="4" customFormat="1" x14ac:dyDescent="0.3">
      <c r="A56" s="5" t="s">
        <v>66</v>
      </c>
      <c r="B56" s="5" t="s">
        <v>50</v>
      </c>
      <c r="C56" s="9">
        <v>21</v>
      </c>
      <c r="D56" s="14">
        <f t="shared" si="7"/>
        <v>7.0227987760203392E-2</v>
      </c>
      <c r="E56" s="6">
        <v>7.39</v>
      </c>
      <c r="F56" s="6">
        <f t="shared" si="22"/>
        <v>0.59119999999999995</v>
      </c>
      <c r="G56" s="6"/>
      <c r="H56" s="6">
        <v>0.3</v>
      </c>
      <c r="I56" s="7">
        <v>0.14000000000000001</v>
      </c>
      <c r="J56" s="6"/>
      <c r="K56" s="6">
        <v>1</v>
      </c>
      <c r="L56" s="6"/>
      <c r="M56" s="11">
        <f t="shared" si="23"/>
        <v>8.6999999999999994E-2</v>
      </c>
      <c r="N56" s="5"/>
      <c r="O56" s="6">
        <f t="shared" si="49"/>
        <v>0.3695</v>
      </c>
      <c r="P56" s="8">
        <f t="shared" si="46"/>
        <v>1.7595238095238094E-2</v>
      </c>
      <c r="Q56" s="7">
        <v>0.05</v>
      </c>
      <c r="R56" s="7">
        <v>0.05</v>
      </c>
      <c r="S56" s="7">
        <f t="shared" si="15"/>
        <v>0.25</v>
      </c>
      <c r="T56" s="11">
        <f t="shared" si="28"/>
        <v>0.33103809523809524</v>
      </c>
      <c r="U56" s="6">
        <f t="shared" ref="U56" si="52">C56-V56</f>
        <v>1.3780126849894287</v>
      </c>
      <c r="V56" s="6">
        <f t="shared" si="25"/>
        <v>19.621987315010571</v>
      </c>
      <c r="W56" s="44">
        <f t="shared" si="11"/>
        <v>21.802208127789523</v>
      </c>
      <c r="Y56" s="44"/>
      <c r="Z56" s="44"/>
    </row>
    <row r="57" spans="1:26" s="4" customFormat="1" x14ac:dyDescent="0.3">
      <c r="A57" s="5" t="s">
        <v>67</v>
      </c>
      <c r="B57" s="5" t="s">
        <v>50</v>
      </c>
      <c r="C57" s="9">
        <f>V57</f>
        <v>30.721353065539112</v>
      </c>
      <c r="D57" s="14">
        <f t="shared" si="7"/>
        <v>0</v>
      </c>
      <c r="E57" s="6">
        <v>7.39</v>
      </c>
      <c r="F57" s="6">
        <f>E57*$F$1</f>
        <v>0.59119999999999995</v>
      </c>
      <c r="G57" s="6"/>
      <c r="H57" s="6">
        <v>0.3</v>
      </c>
      <c r="I57" s="7">
        <v>0.14000000000000001</v>
      </c>
      <c r="J57" s="6"/>
      <c r="K57" s="6">
        <v>6.25</v>
      </c>
      <c r="L57" s="6"/>
      <c r="M57" s="11">
        <f>$M$1</f>
        <v>8.6999999999999994E-2</v>
      </c>
      <c r="N57" s="5"/>
      <c r="O57" s="6">
        <f t="shared" si="49"/>
        <v>0.3695</v>
      </c>
      <c r="P57" s="8">
        <f t="shared" ref="P57:P61" si="53">O57/C57</f>
        <v>1.2027465040739925E-2</v>
      </c>
      <c r="Q57" s="7">
        <v>0.05</v>
      </c>
      <c r="R57" s="7">
        <v>0.05</v>
      </c>
      <c r="S57" s="7">
        <f t="shared" si="15"/>
        <v>0.25</v>
      </c>
      <c r="T57" s="11">
        <f t="shared" si="28"/>
        <v>0.30000000000000004</v>
      </c>
      <c r="U57" s="6">
        <f>C57-V57</f>
        <v>0</v>
      </c>
      <c r="V57" s="6">
        <f>(E57+F57+J57+K57+G57+H57 - L57)/(1 - (I57 + M57 + R57 + S57 + N57))</f>
        <v>30.721353065539112</v>
      </c>
      <c r="W57" s="44">
        <f>V57/(1-$W$1)</f>
        <v>34.134836739487902</v>
      </c>
      <c r="Y57" s="44"/>
      <c r="Z57" s="44"/>
    </row>
    <row r="58" spans="1:26" s="4" customFormat="1" x14ac:dyDescent="0.3">
      <c r="A58" s="5" t="s">
        <v>66</v>
      </c>
      <c r="B58" s="5" t="s">
        <v>51</v>
      </c>
      <c r="C58" s="9">
        <v>22.59</v>
      </c>
      <c r="D58" s="14">
        <f t="shared" si="7"/>
        <v>7.8068501406185209E-3</v>
      </c>
      <c r="E58" s="6">
        <v>10.09</v>
      </c>
      <c r="F58" s="6">
        <f t="shared" si="22"/>
        <v>0.80720000000000003</v>
      </c>
      <c r="G58" s="6">
        <v>0</v>
      </c>
      <c r="H58" s="6">
        <v>0.3</v>
      </c>
      <c r="I58" s="7">
        <v>0.14000000000000001</v>
      </c>
      <c r="J58" s="6"/>
      <c r="K58" s="6">
        <v>1</v>
      </c>
      <c r="L58" s="6">
        <v>0.25</v>
      </c>
      <c r="M58" s="11">
        <f t="shared" si="23"/>
        <v>8.6999999999999994E-2</v>
      </c>
      <c r="N58" s="5"/>
      <c r="O58" s="6">
        <f t="shared" si="49"/>
        <v>0.50450000000000006</v>
      </c>
      <c r="P58" s="8">
        <f t="shared" si="53"/>
        <v>2.2332890659583889E-2</v>
      </c>
      <c r="Q58" s="7">
        <v>0.05</v>
      </c>
      <c r="R58" s="7">
        <v>0.05</v>
      </c>
      <c r="S58" s="83">
        <v>0.19</v>
      </c>
      <c r="T58" s="11">
        <f t="shared" si="28"/>
        <v>0.24412881806108891</v>
      </c>
      <c r="U58" s="6">
        <f t="shared" ref="U58" si="54">C58-V58</f>
        <v>0.17499061913695613</v>
      </c>
      <c r="V58" s="6">
        <f t="shared" si="25"/>
        <v>22.415009380863044</v>
      </c>
      <c r="W58" s="44">
        <f t="shared" si="11"/>
        <v>24.905565978736714</v>
      </c>
      <c r="Y58" s="44"/>
      <c r="Z58" s="44"/>
    </row>
    <row r="59" spans="1:26" s="82" customFormat="1" x14ac:dyDescent="0.3">
      <c r="A59" s="76" t="s">
        <v>67</v>
      </c>
      <c r="B59" s="76" t="s">
        <v>51</v>
      </c>
      <c r="C59" s="77">
        <v>24.35</v>
      </c>
      <c r="D59" s="78">
        <f t="shared" si="7"/>
        <v>1.1790043584852966E-3</v>
      </c>
      <c r="E59" s="77">
        <v>10.09</v>
      </c>
      <c r="F59" s="77">
        <f t="shared" si="22"/>
        <v>0.80720000000000003</v>
      </c>
      <c r="G59" s="77"/>
      <c r="H59" s="77">
        <v>0.3</v>
      </c>
      <c r="I59" s="79">
        <v>0.14000000000000001</v>
      </c>
      <c r="J59" s="77"/>
      <c r="K59" s="77">
        <v>1</v>
      </c>
      <c r="L59" s="77">
        <v>0.45</v>
      </c>
      <c r="M59" s="80">
        <f t="shared" si="23"/>
        <v>8.6999999999999994E-2</v>
      </c>
      <c r="N59" s="76"/>
      <c r="O59" s="77">
        <f t="shared" si="49"/>
        <v>0.50450000000000006</v>
      </c>
      <c r="P59" s="78">
        <f t="shared" si="53"/>
        <v>2.0718685831622178E-2</v>
      </c>
      <c r="Q59" s="79">
        <v>0.05</v>
      </c>
      <c r="R59" s="79">
        <v>0.05</v>
      </c>
      <c r="S59" s="72">
        <v>0.24</v>
      </c>
      <c r="T59" s="80">
        <f t="shared" si="28"/>
        <v>0.29056878850102669</v>
      </c>
      <c r="U59" s="77">
        <f t="shared" si="36"/>
        <v>2.8674948240162479E-2</v>
      </c>
      <c r="V59" s="77">
        <f t="shared" si="25"/>
        <v>24.321325051759839</v>
      </c>
      <c r="W59" s="81">
        <f t="shared" si="11"/>
        <v>27.023694501955376</v>
      </c>
      <c r="Y59" s="81"/>
      <c r="Z59" s="81"/>
    </row>
    <row r="60" spans="1:26" s="4" customFormat="1" x14ac:dyDescent="0.3">
      <c r="A60" s="5" t="s">
        <v>66</v>
      </c>
      <c r="B60" s="5" t="s">
        <v>52</v>
      </c>
      <c r="C60" s="9">
        <v>20.32</v>
      </c>
      <c r="D60" s="14">
        <f t="shared" si="7"/>
        <v>7.9847766874367721E-4</v>
      </c>
      <c r="E60" s="6">
        <v>9.1300000000000008</v>
      </c>
      <c r="F60" s="6">
        <f t="shared" si="22"/>
        <v>0.73040000000000005</v>
      </c>
      <c r="G60" s="6"/>
      <c r="H60" s="6">
        <v>0.3</v>
      </c>
      <c r="I60" s="7">
        <v>0.14000000000000001</v>
      </c>
      <c r="J60" s="6"/>
      <c r="K60" s="6">
        <v>1</v>
      </c>
      <c r="L60" s="6">
        <v>0.44</v>
      </c>
      <c r="M60" s="11">
        <f t="shared" si="23"/>
        <v>8.6999999999999994E-2</v>
      </c>
      <c r="N60" s="5"/>
      <c r="O60" s="6">
        <f t="shared" si="49"/>
        <v>0.45650000000000007</v>
      </c>
      <c r="P60" s="8">
        <f t="shared" si="53"/>
        <v>2.2465551181102366E-2</v>
      </c>
      <c r="Q60" s="7">
        <v>0.05</v>
      </c>
      <c r="R60" s="7">
        <v>0.05</v>
      </c>
      <c r="S60" s="72">
        <v>0.19500000000000001</v>
      </c>
      <c r="T60" s="11">
        <f t="shared" si="28"/>
        <v>0.24542125984251967</v>
      </c>
      <c r="U60" s="6">
        <f t="shared" si="36"/>
        <v>1.6212121212120678E-2</v>
      </c>
      <c r="V60" s="6">
        <f t="shared" si="25"/>
        <v>20.30378787878788</v>
      </c>
      <c r="W60" s="44">
        <f t="shared" si="11"/>
        <v>22.559764309764311</v>
      </c>
      <c r="Y60" s="44"/>
      <c r="Z60" s="44"/>
    </row>
    <row r="61" spans="1:26" s="4" customFormat="1" x14ac:dyDescent="0.3">
      <c r="A61" s="5" t="s">
        <v>67</v>
      </c>
      <c r="B61" s="5" t="s">
        <v>52</v>
      </c>
      <c r="C61" s="9">
        <v>22.08</v>
      </c>
      <c r="D61" s="14">
        <f t="shared" si="7"/>
        <v>8.8610913448932457E-3</v>
      </c>
      <c r="E61" s="6">
        <v>9.1300000000000008</v>
      </c>
      <c r="F61" s="6">
        <f>E61*$F$1</f>
        <v>0.73040000000000005</v>
      </c>
      <c r="G61" s="6"/>
      <c r="H61" s="6">
        <v>0.3</v>
      </c>
      <c r="I61" s="7">
        <v>0.14000000000000001</v>
      </c>
      <c r="J61" s="6"/>
      <c r="K61" s="6">
        <v>1</v>
      </c>
      <c r="L61" s="6">
        <v>0.48</v>
      </c>
      <c r="M61" s="11">
        <f>$M$1</f>
        <v>8.6999999999999994E-2</v>
      </c>
      <c r="N61" s="5"/>
      <c r="O61" s="6">
        <f t="shared" si="49"/>
        <v>0.45650000000000007</v>
      </c>
      <c r="P61" s="8">
        <f t="shared" si="53"/>
        <v>2.0674818840579715E-2</v>
      </c>
      <c r="Q61" s="7">
        <v>0.05</v>
      </c>
      <c r="R61" s="7">
        <v>0.05</v>
      </c>
      <c r="S61" s="72">
        <v>0.23499999999999999</v>
      </c>
      <c r="T61" s="11">
        <f t="shared" si="28"/>
        <v>0.28928623188405789</v>
      </c>
      <c r="U61" s="6">
        <f>C61-V61</f>
        <v>0.19393442622950374</v>
      </c>
      <c r="V61" s="6">
        <f>(E61+F61+J61+K61+G61+H61 - L61)/(1 - (I61 + M61 + R61 + S61 + N61))</f>
        <v>21.886065573770495</v>
      </c>
      <c r="W61" s="44">
        <f>V61/(1-$W$1)</f>
        <v>24.317850637522771</v>
      </c>
      <c r="Y61" s="44"/>
      <c r="Z61" s="44"/>
    </row>
    <row r="62" spans="1:26" s="4" customFormat="1" x14ac:dyDescent="0.3">
      <c r="A62" s="5" t="s">
        <v>67</v>
      </c>
      <c r="B62" s="5" t="s">
        <v>78</v>
      </c>
      <c r="C62" s="9">
        <f>V62</f>
        <v>28.711281070745695</v>
      </c>
      <c r="D62" s="14">
        <f t="shared" si="7"/>
        <v>0</v>
      </c>
      <c r="E62" s="6">
        <v>12.7</v>
      </c>
      <c r="F62" s="6">
        <f t="shared" si="22"/>
        <v>1.016</v>
      </c>
      <c r="G62" s="6"/>
      <c r="H62" s="6">
        <v>0.3</v>
      </c>
      <c r="I62" s="7">
        <v>0.14000000000000001</v>
      </c>
      <c r="J62" s="6"/>
      <c r="K62" s="6">
        <v>1</v>
      </c>
      <c r="L62" s="6"/>
      <c r="M62" s="11">
        <f t="shared" si="23"/>
        <v>8.6999999999999994E-2</v>
      </c>
      <c r="N62" s="5"/>
      <c r="O62" s="5"/>
      <c r="P62" s="5"/>
      <c r="Q62" s="5"/>
      <c r="R62" s="11"/>
      <c r="S62" s="7">
        <f t="shared" si="15"/>
        <v>0.25</v>
      </c>
      <c r="T62" s="11">
        <f t="shared" si="28"/>
        <v>0.24999999999999992</v>
      </c>
      <c r="U62" s="6">
        <f t="shared" si="36"/>
        <v>0</v>
      </c>
      <c r="V62" s="6">
        <f t="shared" si="25"/>
        <v>28.711281070745695</v>
      </c>
      <c r="W62" s="44">
        <f t="shared" si="11"/>
        <v>31.90142341193966</v>
      </c>
      <c r="Y62" s="44"/>
      <c r="Z62" s="44"/>
    </row>
    <row r="63" spans="1:26" x14ac:dyDescent="0.3">
      <c r="A63" s="5" t="s">
        <v>66</v>
      </c>
      <c r="B63" s="5" t="s">
        <v>79</v>
      </c>
      <c r="C63" s="9">
        <v>54.42</v>
      </c>
      <c r="D63" s="14">
        <f t="shared" ref="D63:D74" si="55">(C63-V63)/V63</f>
        <v>-0.12130419748817556</v>
      </c>
      <c r="E63" s="6">
        <f>52.02/2</f>
        <v>26.01</v>
      </c>
      <c r="F63" s="6">
        <f t="shared" si="22"/>
        <v>2.0808</v>
      </c>
      <c r="G63" s="6"/>
      <c r="H63" s="6">
        <v>0.3</v>
      </c>
      <c r="I63" s="7">
        <v>0.14000000000000001</v>
      </c>
      <c r="J63" s="6"/>
      <c r="K63" s="6">
        <v>4</v>
      </c>
      <c r="L63" s="6"/>
      <c r="M63" s="11">
        <f t="shared" si="23"/>
        <v>8.6999999999999994E-2</v>
      </c>
      <c r="N63" s="5"/>
      <c r="O63" s="5"/>
      <c r="P63" s="5"/>
      <c r="Q63" s="5"/>
      <c r="R63" s="11"/>
      <c r="S63" s="7">
        <f t="shared" ref="S63:S74" si="56">$S$1</f>
        <v>0.25</v>
      </c>
      <c r="T63" s="11">
        <f t="shared" si="28"/>
        <v>0.17779970599044467</v>
      </c>
      <c r="U63" s="6">
        <f t="shared" si="36"/>
        <v>-7.5126959847036261</v>
      </c>
      <c r="V63" s="6">
        <f t="shared" ref="V63:V74" si="57">(E63+F63+J63+K63+G63+H63 - L63)/(1 - (I63 + M63 + R63 + S63 + N63))</f>
        <v>61.932695984703628</v>
      </c>
      <c r="W63" s="44">
        <f t="shared" si="11"/>
        <v>68.814106649670691</v>
      </c>
      <c r="Y63" s="44"/>
      <c r="Z63" s="44"/>
    </row>
    <row r="64" spans="1:26" x14ac:dyDescent="0.3">
      <c r="A64" s="5" t="s">
        <v>66</v>
      </c>
      <c r="B64" s="5" t="s">
        <v>80</v>
      </c>
      <c r="C64" s="9">
        <v>54.42</v>
      </c>
      <c r="D64" s="14">
        <f t="shared" si="55"/>
        <v>-0.12130419748817556</v>
      </c>
      <c r="E64" s="6">
        <f>52.02/2</f>
        <v>26.01</v>
      </c>
      <c r="F64" s="6">
        <f t="shared" si="22"/>
        <v>2.0808</v>
      </c>
      <c r="G64" s="6"/>
      <c r="H64" s="6">
        <v>0.3</v>
      </c>
      <c r="I64" s="7">
        <v>0.14000000000000001</v>
      </c>
      <c r="J64" s="6"/>
      <c r="K64" s="6">
        <v>4</v>
      </c>
      <c r="L64" s="6"/>
      <c r="M64" s="11">
        <f t="shared" si="23"/>
        <v>8.6999999999999994E-2</v>
      </c>
      <c r="N64" s="5"/>
      <c r="O64" s="5"/>
      <c r="P64" s="5"/>
      <c r="Q64" s="5"/>
      <c r="R64" s="11"/>
      <c r="S64" s="7">
        <f t="shared" si="56"/>
        <v>0.25</v>
      </c>
      <c r="T64" s="11">
        <f t="shared" si="28"/>
        <v>0.17779970599044467</v>
      </c>
      <c r="U64" s="6">
        <f t="shared" si="36"/>
        <v>-7.5126959847036261</v>
      </c>
      <c r="V64" s="6">
        <f t="shared" si="57"/>
        <v>61.932695984703628</v>
      </c>
      <c r="W64" s="44">
        <f t="shared" si="11"/>
        <v>68.814106649670691</v>
      </c>
      <c r="Y64" s="44"/>
      <c r="Z64" s="44"/>
    </row>
    <row r="65" spans="1:26" x14ac:dyDescent="0.3">
      <c r="A65" s="5" t="s">
        <v>66</v>
      </c>
      <c r="B65" s="5" t="s">
        <v>81</v>
      </c>
      <c r="C65" s="9">
        <v>45</v>
      </c>
      <c r="D65" s="14">
        <f t="shared" si="55"/>
        <v>-6.5012287439643213E-2</v>
      </c>
      <c r="E65" s="6">
        <f>52.02/2</f>
        <v>26.01</v>
      </c>
      <c r="F65" s="6">
        <f t="shared" si="22"/>
        <v>2.0808</v>
      </c>
      <c r="G65" s="6"/>
      <c r="H65" s="6">
        <v>0.3</v>
      </c>
      <c r="I65" s="7">
        <v>0.14000000000000001</v>
      </c>
      <c r="J65" s="6"/>
      <c r="K65" s="6">
        <v>4</v>
      </c>
      <c r="L65" s="6"/>
      <c r="M65" s="11">
        <f t="shared" si="23"/>
        <v>8.6999999999999994E-2</v>
      </c>
      <c r="N65" s="5"/>
      <c r="O65" s="5"/>
      <c r="P65" s="5"/>
      <c r="Q65" s="5"/>
      <c r="R65" s="11"/>
      <c r="S65" s="7">
        <v>0.1</v>
      </c>
      <c r="T65" s="11">
        <f t="shared" si="28"/>
        <v>5.3204444444444554E-2</v>
      </c>
      <c r="U65" s="6">
        <f t="shared" si="36"/>
        <v>-3.1289747399702748</v>
      </c>
      <c r="V65" s="6">
        <f t="shared" si="57"/>
        <v>48.128974739970275</v>
      </c>
      <c r="W65" s="44">
        <f t="shared" si="11"/>
        <v>53.476638599966968</v>
      </c>
      <c r="Y65" s="44"/>
      <c r="Z65" s="44"/>
    </row>
    <row r="66" spans="1:26" x14ac:dyDescent="0.3">
      <c r="A66" s="5" t="s">
        <v>66</v>
      </c>
      <c r="B66" s="5" t="s">
        <v>82</v>
      </c>
      <c r="C66" s="9">
        <v>147.71</v>
      </c>
      <c r="D66" s="14">
        <f t="shared" si="55"/>
        <v>-0.15472562510121107</v>
      </c>
      <c r="E66" s="6">
        <f>272.16/4</f>
        <v>68.040000000000006</v>
      </c>
      <c r="F66" s="6">
        <f t="shared" si="22"/>
        <v>5.4432000000000009</v>
      </c>
      <c r="G66" s="6"/>
      <c r="H66" s="6">
        <v>0.3</v>
      </c>
      <c r="I66" s="7">
        <v>0.14000000000000001</v>
      </c>
      <c r="J66" s="84">
        <v>17.61</v>
      </c>
      <c r="K66" s="6"/>
      <c r="L66" s="6"/>
      <c r="M66" s="11">
        <f t="shared" si="23"/>
        <v>8.6999999999999994E-2</v>
      </c>
      <c r="N66" s="5"/>
      <c r="O66" s="5"/>
      <c r="P66" s="5"/>
      <c r="Q66" s="5"/>
      <c r="R66" s="11"/>
      <c r="S66" s="7">
        <f t="shared" si="56"/>
        <v>0.25</v>
      </c>
      <c r="T66" s="11">
        <f t="shared" si="28"/>
        <v>0.15426599417778081</v>
      </c>
      <c r="U66" s="6">
        <f t="shared" si="36"/>
        <v>-27.037992351816456</v>
      </c>
      <c r="V66" s="6">
        <f t="shared" si="57"/>
        <v>174.74799235181646</v>
      </c>
      <c r="W66" s="44">
        <f t="shared" si="11"/>
        <v>194.16443594646273</v>
      </c>
      <c r="Y66" s="44"/>
      <c r="Z66" s="44"/>
    </row>
    <row r="67" spans="1:26" x14ac:dyDescent="0.3">
      <c r="A67" s="5" t="s">
        <v>66</v>
      </c>
      <c r="B67" s="5" t="s">
        <v>83</v>
      </c>
      <c r="C67" s="9">
        <f t="shared" ref="C67:C71" si="58">W67</f>
        <v>194.16443594646273</v>
      </c>
      <c r="D67" s="14">
        <f t="shared" si="55"/>
        <v>0.11111111111111108</v>
      </c>
      <c r="E67" s="6">
        <f t="shared" ref="E67:E68" si="59">272.16/4</f>
        <v>68.040000000000006</v>
      </c>
      <c r="F67" s="6">
        <f t="shared" si="22"/>
        <v>5.4432000000000009</v>
      </c>
      <c r="G67" s="6"/>
      <c r="H67" s="6">
        <v>0.3</v>
      </c>
      <c r="I67" s="7">
        <v>0.14000000000000001</v>
      </c>
      <c r="J67" s="84">
        <v>17.61</v>
      </c>
      <c r="K67" s="6"/>
      <c r="L67" s="6"/>
      <c r="M67" s="11">
        <f t="shared" si="23"/>
        <v>8.6999999999999994E-2</v>
      </c>
      <c r="N67" s="5"/>
      <c r="O67" s="5"/>
      <c r="P67" s="5"/>
      <c r="Q67" s="5"/>
      <c r="R67" s="11"/>
      <c r="S67" s="7">
        <f t="shared" si="56"/>
        <v>0.25</v>
      </c>
      <c r="T67" s="11">
        <f t="shared" si="28"/>
        <v>0.30229999999999996</v>
      </c>
      <c r="U67" s="6">
        <f t="shared" si="36"/>
        <v>19.416443594646267</v>
      </c>
      <c r="V67" s="6">
        <f t="shared" si="57"/>
        <v>174.74799235181646</v>
      </c>
      <c r="W67" s="44">
        <f t="shared" si="11"/>
        <v>194.16443594646273</v>
      </c>
      <c r="Y67" s="44"/>
      <c r="Z67" s="44"/>
    </row>
    <row r="68" spans="1:26" x14ac:dyDescent="0.3">
      <c r="A68" s="5" t="s">
        <v>66</v>
      </c>
      <c r="B68" s="5" t="s">
        <v>84</v>
      </c>
      <c r="C68" s="9">
        <f t="shared" si="58"/>
        <v>194.16443594646273</v>
      </c>
      <c r="D68" s="14">
        <f t="shared" si="55"/>
        <v>0.11111111111111108</v>
      </c>
      <c r="E68" s="6">
        <f t="shared" si="59"/>
        <v>68.040000000000006</v>
      </c>
      <c r="F68" s="6">
        <f t="shared" si="22"/>
        <v>5.4432000000000009</v>
      </c>
      <c r="G68" s="6"/>
      <c r="H68" s="6">
        <v>0.3</v>
      </c>
      <c r="I68" s="7">
        <v>0.14000000000000001</v>
      </c>
      <c r="J68" s="84">
        <v>17.61</v>
      </c>
      <c r="K68" s="6"/>
      <c r="L68" s="6"/>
      <c r="M68" s="11">
        <f t="shared" si="23"/>
        <v>8.6999999999999994E-2</v>
      </c>
      <c r="N68" s="5"/>
      <c r="O68" s="5"/>
      <c r="P68" s="5"/>
      <c r="Q68" s="5"/>
      <c r="R68" s="11"/>
      <c r="S68" s="7">
        <f t="shared" si="56"/>
        <v>0.25</v>
      </c>
      <c r="T68" s="11">
        <f t="shared" si="28"/>
        <v>0.30229999999999996</v>
      </c>
      <c r="U68" s="6">
        <f t="shared" si="36"/>
        <v>19.416443594646267</v>
      </c>
      <c r="V68" s="6">
        <f t="shared" si="57"/>
        <v>174.74799235181646</v>
      </c>
      <c r="W68" s="44">
        <f t="shared" si="11"/>
        <v>194.16443594646273</v>
      </c>
      <c r="Y68" s="44"/>
      <c r="Z68" s="44"/>
    </row>
    <row r="69" spans="1:26" x14ac:dyDescent="0.3">
      <c r="A69" s="5" t="s">
        <v>66</v>
      </c>
      <c r="B69" s="5" t="s">
        <v>85</v>
      </c>
      <c r="C69" s="9">
        <f t="shared" si="58"/>
        <v>84.437077961939821</v>
      </c>
      <c r="D69" s="14">
        <f t="shared" si="55"/>
        <v>0.11111111111111102</v>
      </c>
      <c r="E69" s="6">
        <f>63.36/2</f>
        <v>31.68</v>
      </c>
      <c r="F69" s="6">
        <f t="shared" si="22"/>
        <v>2.5344000000000002</v>
      </c>
      <c r="G69" s="6"/>
      <c r="H69" s="6">
        <v>0.3</v>
      </c>
      <c r="I69" s="7">
        <v>0.12</v>
      </c>
      <c r="J69" s="6"/>
      <c r="K69" s="6">
        <v>6.75</v>
      </c>
      <c r="L69" s="6"/>
      <c r="M69" s="11">
        <f t="shared" si="23"/>
        <v>8.6999999999999994E-2</v>
      </c>
      <c r="N69" s="5"/>
      <c r="O69" s="5"/>
      <c r="P69" s="5"/>
      <c r="Q69" s="5"/>
      <c r="R69" s="11"/>
      <c r="S69" s="7">
        <f t="shared" si="56"/>
        <v>0.25</v>
      </c>
      <c r="T69" s="11">
        <f t="shared" si="28"/>
        <v>0.30430000000000001</v>
      </c>
      <c r="U69" s="6">
        <f t="shared" si="36"/>
        <v>8.4437077961939764</v>
      </c>
      <c r="V69" s="6">
        <f t="shared" si="57"/>
        <v>75.993370165745844</v>
      </c>
      <c r="W69" s="44">
        <f t="shared" si="11"/>
        <v>84.437077961939821</v>
      </c>
      <c r="Y69" s="44"/>
      <c r="Z69" s="44"/>
    </row>
    <row r="70" spans="1:26" x14ac:dyDescent="0.3">
      <c r="A70" s="5" t="s">
        <v>66</v>
      </c>
      <c r="B70" s="5" t="s">
        <v>86</v>
      </c>
      <c r="C70" s="9">
        <f t="shared" si="58"/>
        <v>84.437077961939821</v>
      </c>
      <c r="D70" s="14">
        <f t="shared" si="55"/>
        <v>0.11111111111111102</v>
      </c>
      <c r="E70" s="6">
        <f t="shared" ref="E70:E71" si="60">63.36/2</f>
        <v>31.68</v>
      </c>
      <c r="F70" s="6">
        <f t="shared" si="22"/>
        <v>2.5344000000000002</v>
      </c>
      <c r="G70" s="6"/>
      <c r="H70" s="6">
        <v>0.3</v>
      </c>
      <c r="I70" s="7">
        <v>0.12</v>
      </c>
      <c r="J70" s="6"/>
      <c r="K70" s="6">
        <v>6.75</v>
      </c>
      <c r="L70" s="6"/>
      <c r="M70" s="11">
        <f t="shared" si="23"/>
        <v>8.6999999999999994E-2</v>
      </c>
      <c r="N70" s="5"/>
      <c r="O70" s="5"/>
      <c r="P70" s="5"/>
      <c r="Q70" s="5"/>
      <c r="R70" s="11"/>
      <c r="S70" s="7">
        <f t="shared" si="56"/>
        <v>0.25</v>
      </c>
      <c r="T70" s="11">
        <f t="shared" si="28"/>
        <v>0.30430000000000001</v>
      </c>
      <c r="U70" s="6">
        <f t="shared" si="36"/>
        <v>8.4437077961939764</v>
      </c>
      <c r="V70" s="6">
        <f t="shared" si="57"/>
        <v>75.993370165745844</v>
      </c>
      <c r="W70" s="44">
        <f t="shared" si="11"/>
        <v>84.437077961939821</v>
      </c>
      <c r="Y70" s="44"/>
      <c r="Z70" s="44"/>
    </row>
    <row r="71" spans="1:26" x14ac:dyDescent="0.3">
      <c r="A71" s="5" t="s">
        <v>66</v>
      </c>
      <c r="B71" s="5" t="s">
        <v>87</v>
      </c>
      <c r="C71" s="9">
        <f t="shared" si="58"/>
        <v>84.437077961939821</v>
      </c>
      <c r="D71" s="14">
        <f t="shared" si="55"/>
        <v>0.11111111111111102</v>
      </c>
      <c r="E71" s="6">
        <f t="shared" si="60"/>
        <v>31.68</v>
      </c>
      <c r="F71" s="6">
        <f t="shared" si="22"/>
        <v>2.5344000000000002</v>
      </c>
      <c r="G71" s="6"/>
      <c r="H71" s="6">
        <v>0.3</v>
      </c>
      <c r="I71" s="7">
        <v>0.12</v>
      </c>
      <c r="J71" s="6"/>
      <c r="K71" s="6">
        <v>6.75</v>
      </c>
      <c r="L71" s="6"/>
      <c r="M71" s="11">
        <f t="shared" si="23"/>
        <v>8.6999999999999994E-2</v>
      </c>
      <c r="N71" s="5"/>
      <c r="O71" s="5"/>
      <c r="P71" s="5"/>
      <c r="Q71" s="5"/>
      <c r="R71" s="11"/>
      <c r="S71" s="7">
        <f t="shared" si="56"/>
        <v>0.25</v>
      </c>
      <c r="T71" s="11">
        <f t="shared" si="28"/>
        <v>0.30430000000000001</v>
      </c>
      <c r="U71" s="6">
        <f t="shared" si="36"/>
        <v>8.4437077961939764</v>
      </c>
      <c r="V71" s="6">
        <f t="shared" si="57"/>
        <v>75.993370165745844</v>
      </c>
      <c r="W71" s="44">
        <f t="shared" si="11"/>
        <v>84.437077961939821</v>
      </c>
      <c r="Y71" s="44"/>
      <c r="Z71" s="44"/>
    </row>
    <row r="72" spans="1:26" x14ac:dyDescent="0.3">
      <c r="A72" s="5" t="s">
        <v>66</v>
      </c>
      <c r="B72" s="5" t="s">
        <v>88</v>
      </c>
      <c r="C72" s="9">
        <v>105</v>
      </c>
      <c r="D72" s="14">
        <f t="shared" si="55"/>
        <v>5.6513318728768948E-3</v>
      </c>
      <c r="E72" s="6">
        <f t="shared" ref="E72:E74" si="61">79.49/2</f>
        <v>39.744999999999997</v>
      </c>
      <c r="F72" s="6">
        <f t="shared" si="22"/>
        <v>3.1795999999999998</v>
      </c>
      <c r="G72" s="6"/>
      <c r="H72" s="6">
        <v>0.3</v>
      </c>
      <c r="I72" s="7">
        <v>0.12</v>
      </c>
      <c r="J72" s="84">
        <v>13.47</v>
      </c>
      <c r="K72" s="6"/>
      <c r="L72" s="6"/>
      <c r="M72" s="11">
        <f t="shared" si="23"/>
        <v>8.6999999999999994E-2</v>
      </c>
      <c r="N72" s="5"/>
      <c r="O72" s="5"/>
      <c r="P72" s="5"/>
      <c r="Q72" s="5"/>
      <c r="R72" s="11"/>
      <c r="S72" s="7">
        <f t="shared" si="56"/>
        <v>0.25</v>
      </c>
      <c r="T72" s="11">
        <f t="shared" si="28"/>
        <v>0.25305142857142865</v>
      </c>
      <c r="U72" s="6">
        <f t="shared" si="36"/>
        <v>0.59005524861879621</v>
      </c>
      <c r="V72" s="6">
        <f t="shared" si="57"/>
        <v>104.4099447513812</v>
      </c>
      <c r="W72" s="44">
        <f t="shared" si="11"/>
        <v>116.01104972375688</v>
      </c>
      <c r="Y72" s="44"/>
      <c r="Z72" s="44"/>
    </row>
    <row r="73" spans="1:26" x14ac:dyDescent="0.3">
      <c r="A73" s="5" t="s">
        <v>66</v>
      </c>
      <c r="B73" s="5" t="s">
        <v>89</v>
      </c>
      <c r="C73" s="9">
        <v>77</v>
      </c>
      <c r="D73" s="14">
        <f t="shared" si="55"/>
        <v>-0.26252235662655693</v>
      </c>
      <c r="E73" s="6">
        <f t="shared" si="61"/>
        <v>39.744999999999997</v>
      </c>
      <c r="F73" s="6">
        <f t="shared" si="22"/>
        <v>3.1795999999999998</v>
      </c>
      <c r="G73" s="6"/>
      <c r="H73" s="6">
        <v>0.3</v>
      </c>
      <c r="I73" s="7">
        <v>0.12</v>
      </c>
      <c r="J73" s="84">
        <v>13.47</v>
      </c>
      <c r="K73" s="6"/>
      <c r="L73" s="6"/>
      <c r="M73" s="11">
        <f t="shared" si="23"/>
        <v>8.6999999999999994E-2</v>
      </c>
      <c r="N73" s="5"/>
      <c r="O73" s="5"/>
      <c r="P73" s="5"/>
      <c r="Q73" s="5"/>
      <c r="R73" s="11"/>
      <c r="S73" s="7">
        <f t="shared" si="56"/>
        <v>0.25</v>
      </c>
      <c r="T73" s="11">
        <f t="shared" si="28"/>
        <v>5.6706493506493677E-2</v>
      </c>
      <c r="U73" s="6">
        <f t="shared" si="36"/>
        <v>-27.409944751381204</v>
      </c>
      <c r="V73" s="6">
        <f t="shared" si="57"/>
        <v>104.4099447513812</v>
      </c>
      <c r="W73" s="44">
        <f t="shared" si="11"/>
        <v>116.01104972375688</v>
      </c>
      <c r="Y73" s="44"/>
      <c r="Z73" s="44"/>
    </row>
    <row r="74" spans="1:26" x14ac:dyDescent="0.3">
      <c r="A74" s="5" t="s">
        <v>66</v>
      </c>
      <c r="B74" s="5" t="s">
        <v>90</v>
      </c>
      <c r="C74" s="9">
        <f>W74</f>
        <v>116.01104972375688</v>
      </c>
      <c r="D74" s="14">
        <f t="shared" si="55"/>
        <v>0.11111111111111102</v>
      </c>
      <c r="E74" s="49">
        <f t="shared" si="61"/>
        <v>39.744999999999997</v>
      </c>
      <c r="F74" s="49">
        <f t="shared" si="22"/>
        <v>3.1795999999999998</v>
      </c>
      <c r="G74" s="6"/>
      <c r="H74" s="6">
        <v>0.3</v>
      </c>
      <c r="I74" s="7">
        <v>0.12</v>
      </c>
      <c r="J74" s="84">
        <v>13.47</v>
      </c>
      <c r="K74" s="6"/>
      <c r="L74" s="6"/>
      <c r="M74" s="11">
        <f t="shared" si="23"/>
        <v>8.6999999999999994E-2</v>
      </c>
      <c r="N74" s="5"/>
      <c r="O74" s="5"/>
      <c r="P74" s="5"/>
      <c r="Q74" s="5"/>
      <c r="R74" s="11"/>
      <c r="S74" s="7">
        <f t="shared" si="56"/>
        <v>0.25</v>
      </c>
      <c r="T74" s="11">
        <f t="shared" si="28"/>
        <v>0.30429999999999985</v>
      </c>
      <c r="U74" s="6">
        <f t="shared" si="36"/>
        <v>11.60110497237568</v>
      </c>
      <c r="V74" s="6">
        <f t="shared" si="57"/>
        <v>104.4099447513812</v>
      </c>
      <c r="W74" s="44">
        <f t="shared" si="11"/>
        <v>116.01104972375688</v>
      </c>
      <c r="Y74" s="44"/>
      <c r="Z74" s="44"/>
    </row>
    <row r="75" spans="1:26" x14ac:dyDescent="0.3">
      <c r="A75" s="51" t="s">
        <v>91</v>
      </c>
      <c r="B75" s="52" t="s">
        <v>92</v>
      </c>
      <c r="C75" s="53">
        <v>6.3500000000000001E-2</v>
      </c>
      <c r="D75" s="61"/>
      <c r="E75" s="63"/>
      <c r="F75" s="63"/>
      <c r="G75" s="63"/>
      <c r="H75" s="63"/>
      <c r="I75" s="64"/>
      <c r="J75" s="63"/>
      <c r="K75" s="63"/>
      <c r="L75" s="63"/>
      <c r="M75" s="65"/>
      <c r="N75" s="66"/>
      <c r="O75" s="66"/>
      <c r="P75" s="66"/>
      <c r="Q75" s="66"/>
      <c r="R75" s="65"/>
      <c r="S75" s="64"/>
      <c r="T75" s="64"/>
      <c r="U75" s="63"/>
      <c r="V75" s="63"/>
      <c r="W75" s="40"/>
      <c r="Y75" s="44"/>
      <c r="Z75" s="44"/>
    </row>
    <row r="76" spans="1:26" x14ac:dyDescent="0.3">
      <c r="A76" s="51" t="s">
        <v>91</v>
      </c>
      <c r="B76" s="52" t="s">
        <v>93</v>
      </c>
      <c r="C76" s="53">
        <v>0.14249999999999999</v>
      </c>
      <c r="D76" s="61"/>
      <c r="E76" s="63"/>
      <c r="F76" s="63"/>
      <c r="G76" s="66"/>
      <c r="Y76" s="44"/>
      <c r="Z76" s="44"/>
    </row>
    <row r="77" spans="1:26" ht="15.75" customHeight="1" x14ac:dyDescent="0.3">
      <c r="A77" s="51" t="s">
        <v>91</v>
      </c>
      <c r="B77" s="59" t="s">
        <v>142</v>
      </c>
      <c r="C77" s="60"/>
    </row>
    <row r="78" spans="1:26" x14ac:dyDescent="0.3">
      <c r="A78" s="51" t="s">
        <v>91</v>
      </c>
      <c r="B78" s="52" t="s">
        <v>32</v>
      </c>
      <c r="C78" s="53">
        <v>0.09</v>
      </c>
      <c r="D78" s="61"/>
      <c r="E78" s="63"/>
      <c r="F78" s="63"/>
      <c r="G78" s="66"/>
      <c r="Y78" s="44"/>
      <c r="Z78" s="44"/>
    </row>
    <row r="79" spans="1:26" ht="16.5" customHeight="1" x14ac:dyDescent="0.3">
      <c r="A79" s="56" t="s">
        <v>91</v>
      </c>
      <c r="B79" s="57" t="s">
        <v>94</v>
      </c>
      <c r="C79" s="58">
        <v>0.1454</v>
      </c>
      <c r="D79" s="70"/>
      <c r="E79" s="63" t="s">
        <v>145</v>
      </c>
      <c r="F79" s="63"/>
      <c r="G79" s="66"/>
      <c r="Y79" s="44"/>
      <c r="Z79" s="44"/>
    </row>
    <row r="80" spans="1:26" ht="16.5" customHeight="1" x14ac:dyDescent="0.3">
      <c r="A80" s="73" t="s">
        <v>91</v>
      </c>
      <c r="B80" s="74" t="s">
        <v>146</v>
      </c>
      <c r="C80" s="7">
        <v>7.8E-2</v>
      </c>
      <c r="D80" s="48"/>
      <c r="E80" s="63"/>
      <c r="F80" s="63"/>
      <c r="G80" s="66"/>
      <c r="Y80" s="44"/>
      <c r="Z80" s="44"/>
    </row>
    <row r="81" spans="1:26" ht="16.5" customHeight="1" x14ac:dyDescent="0.3">
      <c r="A81" s="51" t="s">
        <v>95</v>
      </c>
      <c r="B81" s="52" t="s">
        <v>141</v>
      </c>
      <c r="C81" s="53">
        <v>0.4748</v>
      </c>
      <c r="D81" s="61"/>
      <c r="E81" s="63"/>
      <c r="F81" s="63"/>
      <c r="G81" s="66"/>
      <c r="Y81" s="44"/>
      <c r="Z81" s="44"/>
    </row>
    <row r="82" spans="1:26" ht="16.5" customHeight="1" x14ac:dyDescent="0.3">
      <c r="A82" s="51" t="s">
        <v>95</v>
      </c>
      <c r="B82" s="52" t="s">
        <v>96</v>
      </c>
      <c r="C82" s="53">
        <v>0.34549999999999997</v>
      </c>
      <c r="D82" s="61"/>
      <c r="E82" s="63"/>
      <c r="F82" s="63"/>
      <c r="G82" s="66"/>
      <c r="Y82" s="44"/>
      <c r="Z82" s="44"/>
    </row>
    <row r="83" spans="1:26" ht="16.5" customHeight="1" x14ac:dyDescent="0.3">
      <c r="A83" s="56" t="s">
        <v>95</v>
      </c>
      <c r="B83" s="57" t="s">
        <v>97</v>
      </c>
      <c r="C83" s="58">
        <v>0.17</v>
      </c>
      <c r="D83" s="62"/>
      <c r="E83" s="63" t="s">
        <v>139</v>
      </c>
      <c r="F83" s="63"/>
      <c r="G83" s="66"/>
      <c r="Y83" s="44"/>
      <c r="Z83" s="44"/>
    </row>
    <row r="84" spans="1:26" ht="15.75" customHeight="1" x14ac:dyDescent="0.3">
      <c r="A84" s="51" t="s">
        <v>95</v>
      </c>
      <c r="B84" s="52" t="s">
        <v>140</v>
      </c>
      <c r="C84" s="53">
        <v>0.1376</v>
      </c>
      <c r="D84" s="61"/>
    </row>
    <row r="85" spans="1:26" ht="18" customHeight="1" x14ac:dyDescent="0.3">
      <c r="A85" s="67" t="s">
        <v>95</v>
      </c>
      <c r="B85" s="68" t="s">
        <v>143</v>
      </c>
      <c r="C85" s="69">
        <v>0.11939999999999999</v>
      </c>
      <c r="D85" s="68"/>
      <c r="E85" t="s">
        <v>144</v>
      </c>
    </row>
  </sheetData>
  <autoFilter ref="A2:V85" xr:uid="{32ADF463-67BE-4B40-B1D3-F7FDD3169699}"/>
  <hyperlinks>
    <hyperlink ref="B76" r:id="rId1" display="https://ads.mercadolivre.com.br/product-ads/admin/campaigns/351971450/dashboard" xr:uid="{7F5E6588-E6BF-4637-B8CF-14A864D91A22}"/>
    <hyperlink ref="B75" r:id="rId2" display="https://ads.mercadolivre.com.br/product-ads/admin/campaigns/352525830/dashboard" xr:uid="{549DFAD7-F26C-4096-B412-1050CF057569}"/>
    <hyperlink ref="B83" r:id="rId3" display="https://ads.mercadolivre.com.br/product-ads/admin/campaigns/352749279/dashboard" xr:uid="{3C225E3D-E6A5-4EC9-8F5E-D3DC3B0D712A}"/>
    <hyperlink ref="B79" r:id="rId4" display="https://ads.mercadolivre.com.br/product-ads/admin/campaigns/352526135/dashboard" xr:uid="{8EDE24BD-BEDB-4539-A21C-088466337641}"/>
    <hyperlink ref="B82" r:id="rId5" display="https://ads.mercadolivre.com.br/product-ads/admin/campaigns/352808685/dashboard" xr:uid="{FD25FEB1-FF73-4CF6-AF6F-3EF8A00EB4DF}"/>
    <hyperlink ref="B84" r:id="rId6" display="https://ads.mercadolivre.com.br/product-ads/admin/campaigns/353157316/dashboard" xr:uid="{CDD17FEE-6DF9-4855-B804-9161134983AE}"/>
    <hyperlink ref="B81" r:id="rId7" display="https://ads.mercadolivre.com.br/product-ads/admin/campaigns/352808685/dashboard" xr:uid="{DECA4B66-9242-4434-A59A-6636F7567051}"/>
    <hyperlink ref="B77" r:id="rId8" display="https://ads.mercadolivre.com.br/product-ads/admin/campaigns/352137547/dashboard" xr:uid="{B9CE6232-CAA4-4158-8682-BCDDEB18E890}"/>
    <hyperlink ref="B80" r:id="rId9" display="https://ads.mercadolivre.com.br/product-ads/admin/campaigns/352526135/dashboard" xr:uid="{950A22E7-6DA3-406E-AD15-D6EBD8A12837}"/>
  </hyperlinks>
  <pageMargins left="0.75" right="0.75" top="1" bottom="1" header="0.5" footer="0.5"/>
  <drawing r:id="rId10"/>
  <legacyDrawing r:id="rId11"/>
  <controls>
    <mc:AlternateContent xmlns:mc="http://schemas.openxmlformats.org/markup-compatibility/2006">
      <mc:Choice Requires="x14">
        <control shapeId="1026" r:id="rId12" name="Control 2">
          <controlPr defaultSize="0" r:id="rId13">
            <anchor moveWithCells="1">
              <from>
                <xdr:col>1</xdr:col>
                <xdr:colOff>982980</xdr:colOff>
                <xdr:row>85</xdr:row>
                <xdr:rowOff>0</xdr:rowOff>
              </from>
              <to>
                <xdr:col>1</xdr:col>
                <xdr:colOff>1211580</xdr:colOff>
                <xdr:row>86</xdr:row>
                <xdr:rowOff>60960</xdr:rowOff>
              </to>
            </anchor>
          </controlPr>
        </control>
      </mc:Choice>
      <mc:Fallback>
        <control shapeId="1026" r:id="rId12" name="Control 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AF1010-7FA6-4083-A6C8-AF426179FC60}">
          <x14:formula1>
            <xm:f>#REF!</xm:f>
          </x14:formula1>
          <xm:sqref>A52:A74 A3:A49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707C-5E5B-4117-9C00-51B1F991C804}">
  <dimension ref="B1:E9"/>
  <sheetViews>
    <sheetView workbookViewId="0">
      <selection activeCell="B14" sqref="B14"/>
    </sheetView>
  </sheetViews>
  <sheetFormatPr defaultRowHeight="14.4" x14ac:dyDescent="0.3"/>
  <cols>
    <col min="2" max="2" width="47" bestFit="1" customWidth="1"/>
    <col min="3" max="3" width="14.88671875" bestFit="1" customWidth="1"/>
    <col min="4" max="4" width="28.33203125" bestFit="1" customWidth="1"/>
  </cols>
  <sheetData>
    <row r="1" spans="2:5" x14ac:dyDescent="0.3">
      <c r="C1" t="s">
        <v>107</v>
      </c>
      <c r="D1" t="s">
        <v>4</v>
      </c>
      <c r="E1" t="s">
        <v>108</v>
      </c>
    </row>
    <row r="2" spans="2:5" x14ac:dyDescent="0.3">
      <c r="B2" s="31" t="s">
        <v>40</v>
      </c>
      <c r="C2">
        <v>5</v>
      </c>
      <c r="D2" s="33">
        <v>7908812400373</v>
      </c>
      <c r="E2">
        <f>64*5</f>
        <v>320</v>
      </c>
    </row>
    <row r="3" spans="2:5" x14ac:dyDescent="0.3">
      <c r="B3" s="31" t="s">
        <v>44</v>
      </c>
      <c r="C3">
        <v>20</v>
      </c>
      <c r="D3" s="33">
        <v>7908812400380</v>
      </c>
      <c r="E3">
        <v>530</v>
      </c>
    </row>
    <row r="4" spans="2:5" x14ac:dyDescent="0.3">
      <c r="B4" s="31" t="s">
        <v>45</v>
      </c>
      <c r="C4">
        <v>2</v>
      </c>
      <c r="D4" s="33">
        <v>7908812400397</v>
      </c>
    </row>
    <row r="5" spans="2:5" x14ac:dyDescent="0.3">
      <c r="B5" s="31" t="s">
        <v>109</v>
      </c>
      <c r="C5">
        <v>5</v>
      </c>
      <c r="D5" s="33">
        <v>7908812400403</v>
      </c>
    </row>
    <row r="6" spans="2:5" x14ac:dyDescent="0.3">
      <c r="B6" s="31"/>
      <c r="D6" s="33"/>
    </row>
    <row r="7" spans="2:5" x14ac:dyDescent="0.3">
      <c r="B7" s="31"/>
      <c r="D7" s="33"/>
    </row>
    <row r="8" spans="2:5" x14ac:dyDescent="0.3">
      <c r="B8" s="31" t="s">
        <v>43</v>
      </c>
      <c r="C8">
        <v>3</v>
      </c>
      <c r="D8" s="33"/>
    </row>
    <row r="9" spans="2:5" x14ac:dyDescent="0.3">
      <c r="B9" s="31" t="s">
        <v>46</v>
      </c>
      <c r="C9">
        <v>2</v>
      </c>
      <c r="D9" s="3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9EAA-510B-49F3-AA74-41F87A19B1E8}">
  <dimension ref="A1:AA30"/>
  <sheetViews>
    <sheetView workbookViewId="0">
      <pane xSplit="6" ySplit="2" topLeftCell="H3" activePane="bottomRight" state="frozen"/>
      <selection pane="topRight" activeCell="E1" sqref="E1"/>
      <selection pane="bottomLeft" activeCell="A3" sqref="A3"/>
      <selection pane="bottomRight" activeCell="B32" sqref="B32"/>
    </sheetView>
  </sheetViews>
  <sheetFormatPr defaultRowHeight="14.4" x14ac:dyDescent="0.3"/>
  <cols>
    <col min="1" max="1" width="9.109375" customWidth="1"/>
    <col min="2" max="2" width="12.5546875" customWidth="1"/>
    <col min="3" max="3" width="29.33203125" bestFit="1" customWidth="1"/>
    <col min="4" max="4" width="12.109375" bestFit="1" customWidth="1"/>
    <col min="5" max="5" width="12.33203125" customWidth="1"/>
    <col min="7" max="9" width="9.109375" customWidth="1"/>
    <col min="10" max="10" width="11" customWidth="1"/>
    <col min="11" max="15" width="10.88671875" customWidth="1"/>
    <col min="16" max="16" width="12.33203125" customWidth="1"/>
    <col min="17" max="17" width="10.88671875" customWidth="1"/>
    <col min="18" max="18" width="14.88671875" customWidth="1"/>
    <col min="19" max="19" width="9.109375" customWidth="1"/>
    <col min="20" max="20" width="11.33203125" customWidth="1"/>
    <col min="21" max="21" width="11.44140625" customWidth="1"/>
    <col min="22" max="22" width="12.6640625" customWidth="1"/>
    <col min="23" max="23" width="9.44140625" bestFit="1" customWidth="1"/>
    <col min="24" max="26" width="13.44140625" customWidth="1"/>
    <col min="27" max="27" width="53.88671875" bestFit="1" customWidth="1"/>
  </cols>
  <sheetData>
    <row r="1" spans="1:27" s="1" customFormat="1" x14ac:dyDescent="0.3">
      <c r="A1" s="26" t="s">
        <v>0</v>
      </c>
      <c r="B1" s="26"/>
      <c r="C1" s="27">
        <v>45775</v>
      </c>
      <c r="D1" s="28"/>
      <c r="E1" s="26"/>
      <c r="F1" s="24"/>
      <c r="G1" s="86"/>
      <c r="H1" s="87"/>
      <c r="I1" s="87"/>
      <c r="J1" s="88"/>
      <c r="K1" s="85"/>
      <c r="L1" s="85"/>
      <c r="M1" s="85"/>
      <c r="N1" s="85"/>
      <c r="O1" s="85"/>
      <c r="P1" s="85"/>
      <c r="Q1" s="87"/>
      <c r="R1" s="87"/>
      <c r="S1" s="88"/>
      <c r="T1" s="26"/>
      <c r="U1" s="24"/>
      <c r="V1" s="26"/>
      <c r="W1" s="24"/>
      <c r="X1" s="24"/>
      <c r="Y1" s="24"/>
      <c r="Z1" s="24"/>
      <c r="AA1" s="24"/>
    </row>
    <row r="2" spans="1:27" s="2" customFormat="1" ht="43.2" x14ac:dyDescent="0.3">
      <c r="A2" s="13" t="s">
        <v>1</v>
      </c>
      <c r="B2" s="13" t="s">
        <v>2</v>
      </c>
      <c r="C2" s="13" t="s">
        <v>3</v>
      </c>
      <c r="D2" s="13" t="s">
        <v>110</v>
      </c>
      <c r="E2" s="13" t="s">
        <v>5</v>
      </c>
      <c r="F2" s="13" t="s">
        <v>111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62</v>
      </c>
      <c r="M2" s="13" t="s">
        <v>63</v>
      </c>
      <c r="N2" s="13" t="s">
        <v>64</v>
      </c>
      <c r="O2" s="13" t="s">
        <v>12</v>
      </c>
      <c r="P2" s="13" t="s">
        <v>13</v>
      </c>
      <c r="Q2" s="16" t="s">
        <v>112</v>
      </c>
      <c r="R2" s="13" t="s">
        <v>99</v>
      </c>
      <c r="S2" s="13" t="s">
        <v>100</v>
      </c>
      <c r="T2" s="13" t="s">
        <v>101</v>
      </c>
      <c r="U2" s="15" t="s">
        <v>113</v>
      </c>
      <c r="V2" s="15" t="s">
        <v>114</v>
      </c>
      <c r="W2" s="13" t="s">
        <v>102</v>
      </c>
      <c r="X2" s="29" t="s">
        <v>103</v>
      </c>
      <c r="Y2" s="13" t="s">
        <v>104</v>
      </c>
      <c r="Z2" s="13" t="s">
        <v>105</v>
      </c>
      <c r="AA2" s="13" t="s">
        <v>115</v>
      </c>
    </row>
    <row r="3" spans="1:27" s="4" customFormat="1" x14ac:dyDescent="0.3">
      <c r="A3" s="5"/>
      <c r="B3" s="5" t="s">
        <v>116</v>
      </c>
      <c r="C3" s="5" t="s">
        <v>19</v>
      </c>
      <c r="D3" s="6">
        <f>MELI!C4</f>
        <v>15.33</v>
      </c>
      <c r="E3" s="9">
        <v>17.87</v>
      </c>
      <c r="F3" s="14">
        <f t="shared" ref="F3:F6" si="0">U3/E3</f>
        <v>3.5804058709056841E-2</v>
      </c>
      <c r="G3" s="6">
        <v>8</v>
      </c>
      <c r="H3" s="6">
        <f t="shared" ref="H3:H6" si="1">G3*0.08</f>
        <v>0.64</v>
      </c>
      <c r="I3" s="6">
        <v>0</v>
      </c>
      <c r="J3" s="6">
        <v>0.3</v>
      </c>
      <c r="K3" s="7">
        <v>0.14000000000000001</v>
      </c>
      <c r="L3" s="6">
        <v>0</v>
      </c>
      <c r="M3" s="6">
        <v>1</v>
      </c>
      <c r="N3" s="6">
        <v>0.92</v>
      </c>
      <c r="O3" s="7">
        <v>8.3000000000000004E-2</v>
      </c>
      <c r="P3" s="5">
        <v>0</v>
      </c>
      <c r="Q3" s="11">
        <f>W3</f>
        <v>8.3500000000000005E-2</v>
      </c>
      <c r="R3" s="7">
        <v>0.05</v>
      </c>
      <c r="S3" s="7">
        <v>0.05</v>
      </c>
      <c r="T3" s="7">
        <v>7.0000000000000007E-2</v>
      </c>
      <c r="U3" s="6">
        <f t="shared" ref="U3:U6" si="2">E3-V3</f>
        <v>0.6398185291308458</v>
      </c>
      <c r="V3" s="6">
        <f t="shared" ref="V3:V6" si="3">(G3+H3+L3+M3+I3+J3 - N3)/(1 - (K3 + O3 + Q3 + R3 + S3 + T3 + P3))</f>
        <v>17.230181470869155</v>
      </c>
      <c r="W3" s="8">
        <v>8.3500000000000005E-2</v>
      </c>
      <c r="X3" s="8">
        <v>0</v>
      </c>
      <c r="Y3" s="8">
        <v>0.19</v>
      </c>
      <c r="Z3" s="6">
        <v>8.15</v>
      </c>
      <c r="AA3" s="3"/>
    </row>
    <row r="4" spans="1:27" s="4" customFormat="1" x14ac:dyDescent="0.3">
      <c r="A4" s="5"/>
      <c r="B4" s="5" t="s">
        <v>116</v>
      </c>
      <c r="C4" s="5" t="s">
        <v>20</v>
      </c>
      <c r="D4" s="6">
        <f>MELI!C7</f>
        <v>16.41</v>
      </c>
      <c r="E4" s="9">
        <v>15.55</v>
      </c>
      <c r="F4" s="14">
        <f t="shared" si="0"/>
        <v>-2.4674107618839269E-2</v>
      </c>
      <c r="G4" s="6">
        <v>8</v>
      </c>
      <c r="H4" s="6">
        <f t="shared" si="1"/>
        <v>0.64</v>
      </c>
      <c r="I4" s="6">
        <v>0</v>
      </c>
      <c r="J4" s="6">
        <v>0.3</v>
      </c>
      <c r="K4" s="7">
        <v>0.14000000000000001</v>
      </c>
      <c r="L4" s="6">
        <v>0</v>
      </c>
      <c r="M4" s="6">
        <v>1</v>
      </c>
      <c r="N4" s="6">
        <v>0.81</v>
      </c>
      <c r="O4" s="7">
        <v>8.3000000000000004E-2</v>
      </c>
      <c r="P4" s="5">
        <v>0</v>
      </c>
      <c r="Q4" s="11">
        <f t="shared" ref="Q4:Q22" si="4">W4</f>
        <v>3.4000000000000002E-2</v>
      </c>
      <c r="R4" s="7">
        <v>0.05</v>
      </c>
      <c r="S4" s="7">
        <v>0.05</v>
      </c>
      <c r="T4" s="7">
        <v>7.0000000000000007E-2</v>
      </c>
      <c r="U4" s="6">
        <f t="shared" si="2"/>
        <v>-0.38368237347295064</v>
      </c>
      <c r="V4" s="6">
        <f t="shared" si="3"/>
        <v>15.933682373472951</v>
      </c>
      <c r="W4" s="8">
        <v>3.4000000000000002E-2</v>
      </c>
      <c r="X4" s="8">
        <v>0</v>
      </c>
      <c r="Y4" s="8">
        <v>0.49</v>
      </c>
      <c r="Z4" s="6">
        <v>8.24</v>
      </c>
      <c r="AA4" s="3" t="s">
        <v>117</v>
      </c>
    </row>
    <row r="5" spans="1:27" s="4" customFormat="1" x14ac:dyDescent="0.3">
      <c r="A5" s="5"/>
      <c r="B5" s="5" t="s">
        <v>116</v>
      </c>
      <c r="C5" s="5" t="s">
        <v>21</v>
      </c>
      <c r="D5" s="6">
        <f>MELI!C8</f>
        <v>15.33</v>
      </c>
      <c r="E5" s="9">
        <v>15.86</v>
      </c>
      <c r="F5" s="14">
        <f t="shared" si="0"/>
        <v>-9.787876145598054E-2</v>
      </c>
      <c r="G5" s="6">
        <v>8</v>
      </c>
      <c r="H5" s="6">
        <f t="shared" si="1"/>
        <v>0.64</v>
      </c>
      <c r="I5" s="6">
        <v>0</v>
      </c>
      <c r="J5" s="6">
        <v>0.3</v>
      </c>
      <c r="K5" s="7">
        <v>0.14000000000000001</v>
      </c>
      <c r="L5" s="6">
        <v>0</v>
      </c>
      <c r="M5" s="6">
        <v>1</v>
      </c>
      <c r="N5" s="6">
        <v>0.95</v>
      </c>
      <c r="O5" s="7">
        <v>8.3000000000000004E-2</v>
      </c>
      <c r="P5" s="5">
        <v>0</v>
      </c>
      <c r="Q5" s="11">
        <v>9.0700000000000003E-2</v>
      </c>
      <c r="R5" s="7">
        <v>0.05</v>
      </c>
      <c r="S5" s="7">
        <v>0.05</v>
      </c>
      <c r="T5" s="7">
        <v>7.0000000000000007E-2</v>
      </c>
      <c r="U5" s="6">
        <f t="shared" si="2"/>
        <v>-1.5523571566918513</v>
      </c>
      <c r="V5" s="6">
        <f t="shared" si="3"/>
        <v>17.412357156691851</v>
      </c>
      <c r="W5" s="8">
        <v>5.8000000000000003E-2</v>
      </c>
      <c r="X5" s="8">
        <v>0</v>
      </c>
      <c r="Y5" s="8">
        <v>0.45</v>
      </c>
      <c r="Z5" s="6">
        <v>3.8</v>
      </c>
      <c r="AA5" s="3"/>
    </row>
    <row r="6" spans="1:27" s="4" customFormat="1" x14ac:dyDescent="0.3">
      <c r="A6" s="5"/>
      <c r="B6" s="5" t="s">
        <v>116</v>
      </c>
      <c r="C6" s="5" t="s">
        <v>22</v>
      </c>
      <c r="D6" s="6" t="e">
        <f>MELI!#REF!</f>
        <v>#REF!</v>
      </c>
      <c r="E6" s="9">
        <v>21.1</v>
      </c>
      <c r="F6" s="14">
        <f t="shared" si="0"/>
        <v>0.11693746730482434</v>
      </c>
      <c r="G6" s="6">
        <v>10</v>
      </c>
      <c r="H6" s="6">
        <f t="shared" si="1"/>
        <v>0.8</v>
      </c>
      <c r="I6" s="6">
        <v>0</v>
      </c>
      <c r="J6" s="6">
        <v>0.3</v>
      </c>
      <c r="K6" s="7">
        <v>0.14000000000000001</v>
      </c>
      <c r="L6" s="6">
        <v>0</v>
      </c>
      <c r="M6" s="6">
        <v>1</v>
      </c>
      <c r="N6" s="6">
        <v>0.79</v>
      </c>
      <c r="O6" s="7">
        <v>8.3000000000000004E-2</v>
      </c>
      <c r="P6" s="5">
        <v>0</v>
      </c>
      <c r="Q6" s="11">
        <f>W6</f>
        <v>0</v>
      </c>
      <c r="R6" s="7">
        <v>0.05</v>
      </c>
      <c r="S6" s="7">
        <v>0.05</v>
      </c>
      <c r="T6" s="7">
        <v>7.0000000000000007E-2</v>
      </c>
      <c r="U6" s="6">
        <f t="shared" si="2"/>
        <v>2.4673805601317937</v>
      </c>
      <c r="V6" s="6">
        <f t="shared" si="3"/>
        <v>18.632619439868208</v>
      </c>
      <c r="W6" s="8">
        <v>0</v>
      </c>
      <c r="X6" s="8"/>
      <c r="Y6" s="8">
        <v>0.99</v>
      </c>
      <c r="Z6" s="8"/>
      <c r="AA6" s="3"/>
    </row>
    <row r="7" spans="1:27" s="4" customFormat="1" x14ac:dyDescent="0.3">
      <c r="A7" s="5"/>
      <c r="B7" s="5" t="s">
        <v>116</v>
      </c>
      <c r="C7" s="5" t="s">
        <v>23</v>
      </c>
      <c r="D7" s="6">
        <f>MELI!C12</f>
        <v>20.85</v>
      </c>
      <c r="E7" s="9">
        <v>22.63</v>
      </c>
      <c r="F7" s="14">
        <f>U7/E7</f>
        <v>-1.349349173514874E-2</v>
      </c>
      <c r="G7" s="6">
        <v>8.5</v>
      </c>
      <c r="H7" s="6">
        <f>G7*0.08</f>
        <v>0.68</v>
      </c>
      <c r="I7" s="6">
        <v>0</v>
      </c>
      <c r="J7" s="6">
        <v>0.3</v>
      </c>
      <c r="K7" s="7">
        <v>0.14000000000000001</v>
      </c>
      <c r="L7" s="6">
        <v>0</v>
      </c>
      <c r="M7" s="6">
        <v>1</v>
      </c>
      <c r="N7" s="6">
        <v>0.51</v>
      </c>
      <c r="O7" s="7">
        <v>8.3000000000000004E-2</v>
      </c>
      <c r="P7" s="5">
        <v>0</v>
      </c>
      <c r="Q7" s="11">
        <f>W7</f>
        <v>0.17230000000000001</v>
      </c>
      <c r="R7" s="7">
        <v>0.05</v>
      </c>
      <c r="S7" s="7">
        <v>0.05</v>
      </c>
      <c r="T7" s="7">
        <v>7.0000000000000007E-2</v>
      </c>
      <c r="U7" s="6">
        <f>E7-V7</f>
        <v>-0.30535771796641598</v>
      </c>
      <c r="V7" s="6">
        <f>(G7+H7+L7+M7+I7+J7 - N7)/(1 - (K7 + O7 + Q7 + R7 + S7 + T7 + P7))</f>
        <v>22.935357717966415</v>
      </c>
      <c r="W7" s="11">
        <v>0.17230000000000001</v>
      </c>
      <c r="X7" s="8">
        <v>0</v>
      </c>
      <c r="Y7" s="8">
        <v>0.23</v>
      </c>
      <c r="Z7" s="6">
        <v>103.53</v>
      </c>
      <c r="AA7" s="3"/>
    </row>
    <row r="8" spans="1:27" s="4" customFormat="1" x14ac:dyDescent="0.3">
      <c r="A8" s="5"/>
      <c r="B8" s="5" t="s">
        <v>116</v>
      </c>
      <c r="C8" s="5" t="s">
        <v>24</v>
      </c>
      <c r="D8" s="6">
        <f>MELI!C50</f>
        <v>35.19</v>
      </c>
      <c r="E8" s="9">
        <v>20.9</v>
      </c>
      <c r="F8" s="14">
        <f>U8/E8</f>
        <v>-5.686736258653592E-3</v>
      </c>
      <c r="G8" s="6">
        <v>8.5</v>
      </c>
      <c r="H8" s="6">
        <f>G8*0.08</f>
        <v>0.68</v>
      </c>
      <c r="I8" s="6">
        <v>0</v>
      </c>
      <c r="J8" s="6">
        <v>0.3</v>
      </c>
      <c r="K8" s="7">
        <v>0.14000000000000001</v>
      </c>
      <c r="L8" s="6">
        <v>0</v>
      </c>
      <c r="M8" s="6">
        <v>1</v>
      </c>
      <c r="N8" s="6">
        <v>0</v>
      </c>
      <c r="O8" s="7">
        <v>8.3000000000000004E-2</v>
      </c>
      <c r="P8" s="5">
        <v>0</v>
      </c>
      <c r="Q8" s="11">
        <f>W8</f>
        <v>0.1084</v>
      </c>
      <c r="R8" s="7">
        <v>0.05</v>
      </c>
      <c r="S8" s="7">
        <v>0.05</v>
      </c>
      <c r="T8" s="7">
        <v>7.0000000000000007E-2</v>
      </c>
      <c r="U8" s="6">
        <f>E8-V8</f>
        <v>-0.11885278780586006</v>
      </c>
      <c r="V8" s="6">
        <f>(G8+H8+L8+M8+I8+J8 - N8)/(1 - (K8 + O8 + Q8 + R8 + S8 + T8 + P8))</f>
        <v>21.018852787805859</v>
      </c>
      <c r="W8" s="8">
        <v>0.1084</v>
      </c>
      <c r="X8" s="8">
        <v>0</v>
      </c>
      <c r="Y8" s="8">
        <v>0.35</v>
      </c>
      <c r="Z8" s="6">
        <v>197.04</v>
      </c>
      <c r="AA8" s="3"/>
    </row>
    <row r="9" spans="1:27" s="4" customFormat="1" x14ac:dyDescent="0.3">
      <c r="A9" s="5"/>
      <c r="B9" s="5"/>
      <c r="C9" s="5" t="s">
        <v>25</v>
      </c>
      <c r="D9" s="6">
        <f>MELI!C16</f>
        <v>29.9</v>
      </c>
      <c r="E9" s="9"/>
      <c r="F9" s="14"/>
      <c r="G9" s="6"/>
      <c r="H9" s="6"/>
      <c r="I9" s="6"/>
      <c r="J9" s="6"/>
      <c r="K9" s="7"/>
      <c r="L9" s="6"/>
      <c r="M9" s="6"/>
      <c r="N9" s="6"/>
      <c r="O9" s="7"/>
      <c r="P9" s="5"/>
      <c r="Q9" s="11">
        <f t="shared" si="4"/>
        <v>0</v>
      </c>
      <c r="R9" s="7"/>
      <c r="S9" s="7"/>
      <c r="T9" s="7"/>
      <c r="U9" s="6"/>
      <c r="V9" s="6"/>
      <c r="W9" s="8"/>
      <c r="X9" s="8"/>
      <c r="Y9" s="8"/>
      <c r="Z9" s="8"/>
      <c r="AA9" s="3"/>
    </row>
    <row r="10" spans="1:27" s="4" customFormat="1" x14ac:dyDescent="0.3">
      <c r="A10" s="5"/>
      <c r="B10" s="5"/>
      <c r="C10" s="5" t="s">
        <v>26</v>
      </c>
      <c r="D10" s="6">
        <f>MELI!C17</f>
        <v>34</v>
      </c>
      <c r="E10" s="9"/>
      <c r="F10" s="14"/>
      <c r="G10" s="6"/>
      <c r="H10" s="6"/>
      <c r="I10" s="6"/>
      <c r="J10" s="6"/>
      <c r="K10" s="7"/>
      <c r="L10" s="6"/>
      <c r="M10" s="6"/>
      <c r="N10" s="6"/>
      <c r="O10" s="7"/>
      <c r="P10" s="5"/>
      <c r="Q10" s="11">
        <f t="shared" si="4"/>
        <v>0</v>
      </c>
      <c r="R10" s="7"/>
      <c r="S10" s="7"/>
      <c r="T10" s="7"/>
      <c r="U10" s="6"/>
      <c r="V10" s="6"/>
      <c r="W10" s="8"/>
      <c r="X10" s="8"/>
      <c r="Y10" s="8"/>
      <c r="Z10" s="8"/>
      <c r="AA10" s="3"/>
    </row>
    <row r="11" spans="1:27" s="4" customFormat="1" x14ac:dyDescent="0.3">
      <c r="A11" s="5"/>
      <c r="B11" s="5"/>
      <c r="C11" s="5" t="s">
        <v>68</v>
      </c>
      <c r="D11" s="6">
        <f>MELI!C18</f>
        <v>0</v>
      </c>
      <c r="E11" s="9"/>
      <c r="F11" s="14"/>
      <c r="G11" s="6"/>
      <c r="H11" s="6"/>
      <c r="I11" s="6"/>
      <c r="J11" s="6"/>
      <c r="K11" s="7"/>
      <c r="L11" s="6"/>
      <c r="M11" s="6"/>
      <c r="N11" s="6"/>
      <c r="O11" s="7"/>
      <c r="P11" s="5"/>
      <c r="Q11" s="11">
        <f t="shared" si="4"/>
        <v>0</v>
      </c>
      <c r="R11" s="7"/>
      <c r="S11" s="7"/>
      <c r="T11" s="7"/>
      <c r="U11" s="6"/>
      <c r="V11" s="6"/>
      <c r="W11" s="8"/>
      <c r="X11" s="8"/>
      <c r="Y11" s="8"/>
      <c r="Z11" s="8"/>
      <c r="AA11" s="3"/>
    </row>
    <row r="12" spans="1:27" s="4" customFormat="1" x14ac:dyDescent="0.3">
      <c r="A12" s="5"/>
      <c r="B12" s="5" t="s">
        <v>116</v>
      </c>
      <c r="C12" s="5" t="s">
        <v>27</v>
      </c>
      <c r="D12" s="6" t="str">
        <f>MELI!C20</f>
        <v>não tem full</v>
      </c>
      <c r="E12" s="9">
        <v>12.38</v>
      </c>
      <c r="F12" s="14">
        <f t="shared" ref="F12:F19" si="5">U12/E12</f>
        <v>-8.2465016594839013E-3</v>
      </c>
      <c r="G12" s="6">
        <v>5.25</v>
      </c>
      <c r="H12" s="6">
        <f t="shared" ref="H12:H19" si="6">G12*0.08</f>
        <v>0.42</v>
      </c>
      <c r="I12" s="6">
        <v>0</v>
      </c>
      <c r="J12" s="6">
        <v>0.3</v>
      </c>
      <c r="K12" s="7">
        <v>0.14000000000000001</v>
      </c>
      <c r="L12" s="6">
        <v>0</v>
      </c>
      <c r="M12" s="6">
        <v>1</v>
      </c>
      <c r="N12" s="6">
        <v>0</v>
      </c>
      <c r="O12" s="7">
        <v>8.3000000000000004E-2</v>
      </c>
      <c r="P12" s="5">
        <v>0</v>
      </c>
      <c r="Q12" s="11">
        <f t="shared" si="4"/>
        <v>4.8599999999999997E-2</v>
      </c>
      <c r="R12" s="7">
        <v>0.05</v>
      </c>
      <c r="S12" s="7">
        <v>0.05</v>
      </c>
      <c r="T12" s="7">
        <v>7.0000000000000007E-2</v>
      </c>
      <c r="U12" s="6">
        <f t="shared" ref="U12:U19" si="7">E12-V12</f>
        <v>-0.1020916905444107</v>
      </c>
      <c r="V12" s="6">
        <f t="shared" ref="V12:V19" si="8">(G12+H12+L12+M12+I12+J12 - N12)/(1 - (K12 + O12 + Q12 + R12 + S12 + T12 + P12))</f>
        <v>12.482091690544411</v>
      </c>
      <c r="W12" s="8">
        <v>4.8599999999999997E-2</v>
      </c>
      <c r="X12" s="8">
        <v>0</v>
      </c>
      <c r="Y12" s="8">
        <v>0.6</v>
      </c>
      <c r="Z12" s="6">
        <v>10.26</v>
      </c>
      <c r="AA12" s="3"/>
    </row>
    <row r="13" spans="1:27" s="4" customFormat="1" x14ac:dyDescent="0.3">
      <c r="A13" s="5"/>
      <c r="B13" s="5" t="s">
        <v>116</v>
      </c>
      <c r="C13" s="5" t="s">
        <v>28</v>
      </c>
      <c r="D13" s="6">
        <f>MELI!C22</f>
        <v>25.14</v>
      </c>
      <c r="E13" s="9">
        <v>24.18</v>
      </c>
      <c r="F13" s="14">
        <f>U13/E13</f>
        <v>1.5575275826779186E-2</v>
      </c>
      <c r="G13" s="6">
        <v>11.8</v>
      </c>
      <c r="H13" s="6">
        <f t="shared" si="6"/>
        <v>0.94400000000000006</v>
      </c>
      <c r="I13" s="6">
        <v>0</v>
      </c>
      <c r="J13" s="6">
        <v>0.3</v>
      </c>
      <c r="K13" s="7">
        <v>0.14000000000000001</v>
      </c>
      <c r="L13" s="6">
        <v>0</v>
      </c>
      <c r="M13" s="6">
        <v>1</v>
      </c>
      <c r="N13" s="6">
        <v>0</v>
      </c>
      <c r="O13" s="7">
        <v>0.1</v>
      </c>
      <c r="P13" s="5">
        <v>0</v>
      </c>
      <c r="Q13" s="11">
        <v>0</v>
      </c>
      <c r="R13" s="7">
        <v>0.05</v>
      </c>
      <c r="S13" s="7">
        <v>0.05</v>
      </c>
      <c r="T13" s="7">
        <v>7.0000000000000007E-2</v>
      </c>
      <c r="U13" s="6">
        <f t="shared" si="7"/>
        <v>0.37661016949152071</v>
      </c>
      <c r="V13" s="6">
        <f t="shared" si="8"/>
        <v>23.803389830508479</v>
      </c>
      <c r="W13" s="8">
        <v>0</v>
      </c>
      <c r="X13" s="8">
        <v>0</v>
      </c>
      <c r="Y13" s="8">
        <v>0.5</v>
      </c>
      <c r="Z13" s="6">
        <v>37</v>
      </c>
      <c r="AA13" s="3"/>
    </row>
    <row r="14" spans="1:27" s="4" customFormat="1" x14ac:dyDescent="0.3">
      <c r="A14" s="5"/>
      <c r="B14" s="5" t="s">
        <v>116</v>
      </c>
      <c r="C14" s="5" t="s">
        <v>29</v>
      </c>
      <c r="D14" s="6">
        <f>MELI!C23</f>
        <v>43.77</v>
      </c>
      <c r="E14" s="9">
        <v>39.9</v>
      </c>
      <c r="F14" s="14">
        <f>U14/E14</f>
        <v>-8.8823754301006988E-2</v>
      </c>
      <c r="G14" s="6">
        <v>22.9</v>
      </c>
      <c r="H14" s="6">
        <f>G14*0.08</f>
        <v>1.8319999999999999</v>
      </c>
      <c r="I14" s="6">
        <v>0</v>
      </c>
      <c r="J14" s="6">
        <v>0.3</v>
      </c>
      <c r="K14" s="7">
        <v>0.14000000000000001</v>
      </c>
      <c r="L14" s="6">
        <v>0</v>
      </c>
      <c r="M14" s="6">
        <v>2</v>
      </c>
      <c r="N14" s="6">
        <v>1.4</v>
      </c>
      <c r="O14" s="7">
        <v>0.1</v>
      </c>
      <c r="P14" s="5">
        <v>0</v>
      </c>
      <c r="Q14" s="11">
        <v>0</v>
      </c>
      <c r="R14" s="7">
        <v>0.05</v>
      </c>
      <c r="S14" s="7">
        <v>0.05</v>
      </c>
      <c r="T14" s="7">
        <v>7.0000000000000007E-2</v>
      </c>
      <c r="U14" s="6">
        <f>E14-V14</f>
        <v>-3.5440677966101788</v>
      </c>
      <c r="V14" s="6">
        <f>(G14+H14+L14+M14+I14+J14 - N14)/(1 - (K14 + O14 + Q14 + R14 + S14 + T14 + P14))</f>
        <v>43.444067796610177</v>
      </c>
      <c r="W14" s="8">
        <v>0</v>
      </c>
      <c r="X14" s="8">
        <v>0.06</v>
      </c>
      <c r="Y14" s="8">
        <v>0.22</v>
      </c>
      <c r="Z14" s="6">
        <v>147.44999999999999</v>
      </c>
      <c r="AA14" s="3" t="s">
        <v>118</v>
      </c>
    </row>
    <row r="15" spans="1:27" x14ac:dyDescent="0.3">
      <c r="A15" s="5"/>
      <c r="B15" s="5" t="s">
        <v>116</v>
      </c>
      <c r="C15" s="3" t="s">
        <v>30</v>
      </c>
      <c r="D15" s="6">
        <f>MELI!C26</f>
        <v>168.35</v>
      </c>
      <c r="E15" s="9">
        <v>164.65</v>
      </c>
      <c r="F15" s="14">
        <f>U15/E15</f>
        <v>-0.15649646436163289</v>
      </c>
      <c r="G15" s="6">
        <v>78.430000000000007</v>
      </c>
      <c r="H15" s="6">
        <f>G15*0.08</f>
        <v>6.2744000000000009</v>
      </c>
      <c r="I15" s="6">
        <v>0.6</v>
      </c>
      <c r="J15" s="6">
        <v>2</v>
      </c>
      <c r="K15" s="7">
        <v>0.14000000000000001</v>
      </c>
      <c r="L15" s="6">
        <v>0</v>
      </c>
      <c r="M15" s="6">
        <v>6</v>
      </c>
      <c r="N15" s="6">
        <v>0</v>
      </c>
      <c r="O15" s="7">
        <v>0.1</v>
      </c>
      <c r="P15" s="5">
        <v>0</v>
      </c>
      <c r="Q15" s="11">
        <v>0.1</v>
      </c>
      <c r="R15" s="7">
        <v>0.05</v>
      </c>
      <c r="S15" s="7">
        <v>0.05</v>
      </c>
      <c r="T15" s="7">
        <v>7.0000000000000007E-2</v>
      </c>
      <c r="U15" s="6">
        <f>E15-V15</f>
        <v>-25.767142857142858</v>
      </c>
      <c r="V15" s="6">
        <f>(G15+H15+L15+M15+I15+J15 - N15)/(1 - (K15 + O15 + Q15 + R15 + S15 + T15 + P15))</f>
        <v>190.41714285714286</v>
      </c>
      <c r="W15" s="8">
        <v>0.13239999999999999</v>
      </c>
      <c r="X15" s="8">
        <v>0</v>
      </c>
      <c r="Y15" s="8">
        <v>0.56000000000000005</v>
      </c>
      <c r="Z15" s="6">
        <v>37.43</v>
      </c>
      <c r="AA15" s="30" t="s">
        <v>119</v>
      </c>
    </row>
    <row r="16" spans="1:27" s="4" customFormat="1" x14ac:dyDescent="0.3">
      <c r="A16" s="5"/>
      <c r="B16" s="5" t="s">
        <v>116</v>
      </c>
      <c r="C16" s="3" t="s">
        <v>70</v>
      </c>
      <c r="D16" s="6">
        <f>MELI!C28</f>
        <v>0</v>
      </c>
      <c r="E16" s="9">
        <v>159</v>
      </c>
      <c r="F16" s="14">
        <f t="shared" si="5"/>
        <v>9.1040585206137822E-2</v>
      </c>
      <c r="G16" s="6">
        <v>75.58</v>
      </c>
      <c r="H16" s="6">
        <f t="shared" si="6"/>
        <v>6.0464000000000002</v>
      </c>
      <c r="I16" s="6">
        <v>1.2</v>
      </c>
      <c r="J16" s="6">
        <v>2</v>
      </c>
      <c r="K16" s="7">
        <v>0.14000000000000001</v>
      </c>
      <c r="L16" s="6">
        <v>0</v>
      </c>
      <c r="M16" s="6">
        <v>6</v>
      </c>
      <c r="N16" s="6">
        <v>3.1</v>
      </c>
      <c r="O16" s="7">
        <v>8.3000000000000004E-2</v>
      </c>
      <c r="P16" s="5">
        <v>0</v>
      </c>
      <c r="Q16" s="11">
        <f t="shared" si="4"/>
        <v>0</v>
      </c>
      <c r="R16" s="7">
        <v>0.05</v>
      </c>
      <c r="S16" s="7">
        <v>0.05</v>
      </c>
      <c r="T16" s="7">
        <v>7.0000000000000007E-2</v>
      </c>
      <c r="U16" s="6">
        <f t="shared" si="7"/>
        <v>14.475453047775915</v>
      </c>
      <c r="V16" s="6">
        <f t="shared" si="8"/>
        <v>144.52454695222409</v>
      </c>
      <c r="W16" s="8">
        <v>0</v>
      </c>
      <c r="X16" s="8">
        <v>0</v>
      </c>
      <c r="Y16" s="8">
        <v>0.41</v>
      </c>
      <c r="Z16" s="6">
        <v>2.82</v>
      </c>
      <c r="AA16" s="3" t="s">
        <v>120</v>
      </c>
    </row>
    <row r="17" spans="1:27" s="4" customFormat="1" x14ac:dyDescent="0.3">
      <c r="A17" s="5"/>
      <c r="B17" s="5"/>
      <c r="C17" s="3" t="s">
        <v>71</v>
      </c>
      <c r="D17" s="6">
        <f>MELI!C29</f>
        <v>170</v>
      </c>
      <c r="E17" s="9">
        <v>170.2</v>
      </c>
      <c r="F17" s="14">
        <f t="shared" si="5"/>
        <v>-1.6499631212044303E-2</v>
      </c>
      <c r="G17" s="6">
        <v>92.7</v>
      </c>
      <c r="H17" s="6">
        <f t="shared" si="6"/>
        <v>7.4160000000000004</v>
      </c>
      <c r="I17" s="6">
        <v>0.6</v>
      </c>
      <c r="J17" s="6">
        <v>2</v>
      </c>
      <c r="K17" s="7">
        <v>0.14000000000000001</v>
      </c>
      <c r="L17" s="6">
        <v>0</v>
      </c>
      <c r="M17" s="6">
        <v>6</v>
      </c>
      <c r="N17" s="6">
        <v>3.7</v>
      </c>
      <c r="O17" s="7">
        <v>8.3000000000000004E-2</v>
      </c>
      <c r="P17" s="5">
        <v>0</v>
      </c>
      <c r="Q17" s="11">
        <f t="shared" si="4"/>
        <v>0</v>
      </c>
      <c r="R17" s="7">
        <v>0.05</v>
      </c>
      <c r="S17" s="7">
        <v>0.05</v>
      </c>
      <c r="T17" s="7">
        <v>7.0000000000000007E-2</v>
      </c>
      <c r="U17" s="6">
        <f t="shared" si="7"/>
        <v>-2.8082372322899403</v>
      </c>
      <c r="V17" s="6">
        <f t="shared" si="8"/>
        <v>173.00823723228993</v>
      </c>
      <c r="W17" s="8"/>
      <c r="X17" s="8"/>
      <c r="Y17" s="8"/>
      <c r="Z17" s="8"/>
      <c r="AA17" s="3"/>
    </row>
    <row r="18" spans="1:27" s="4" customFormat="1" x14ac:dyDescent="0.3">
      <c r="A18" s="5"/>
      <c r="B18" s="5" t="s">
        <v>116</v>
      </c>
      <c r="C18" s="3" t="s">
        <v>31</v>
      </c>
      <c r="D18" s="6">
        <f>MELI!C30</f>
        <v>0</v>
      </c>
      <c r="E18" s="9">
        <v>65.52</v>
      </c>
      <c r="F18" s="14">
        <f t="shared" si="5"/>
        <v>0.15071017212697596</v>
      </c>
      <c r="G18" s="6">
        <v>30.46</v>
      </c>
      <c r="H18" s="6">
        <f t="shared" si="6"/>
        <v>2.4368000000000003</v>
      </c>
      <c r="I18" s="6">
        <v>0</v>
      </c>
      <c r="J18" s="6">
        <v>0</v>
      </c>
      <c r="K18" s="7">
        <v>0.14000000000000001</v>
      </c>
      <c r="L18" s="6">
        <v>0</v>
      </c>
      <c r="M18" s="6">
        <v>4</v>
      </c>
      <c r="N18" s="6">
        <v>3.12</v>
      </c>
      <c r="O18" s="7">
        <v>8.3000000000000004E-2</v>
      </c>
      <c r="P18" s="5">
        <v>0</v>
      </c>
      <c r="Q18" s="11">
        <f>W18</f>
        <v>0</v>
      </c>
      <c r="R18" s="7">
        <v>0.05</v>
      </c>
      <c r="S18" s="7">
        <v>0.05</v>
      </c>
      <c r="T18" s="7">
        <v>7.0000000000000007E-2</v>
      </c>
      <c r="U18" s="6">
        <f t="shared" si="7"/>
        <v>9.874530477759464</v>
      </c>
      <c r="V18" s="6">
        <f t="shared" si="8"/>
        <v>55.645469522240532</v>
      </c>
      <c r="W18" s="8">
        <v>0</v>
      </c>
      <c r="X18" s="8">
        <v>0</v>
      </c>
      <c r="Y18" s="8">
        <v>0.55000000000000004</v>
      </c>
      <c r="Z18" s="6">
        <v>6.23</v>
      </c>
      <c r="AA18" s="3"/>
    </row>
    <row r="19" spans="1:27" s="4" customFormat="1" x14ac:dyDescent="0.3">
      <c r="A19" s="5"/>
      <c r="B19" s="5"/>
      <c r="C19" s="3" t="s">
        <v>32</v>
      </c>
      <c r="D19" s="6">
        <f>MELI!C31</f>
        <v>87.36</v>
      </c>
      <c r="E19" s="9">
        <v>109.6</v>
      </c>
      <c r="F19" s="14">
        <f t="shared" si="5"/>
        <v>4.2212180898312093E-2</v>
      </c>
      <c r="G19" s="6">
        <v>49</v>
      </c>
      <c r="H19" s="6">
        <f t="shared" si="6"/>
        <v>3.92</v>
      </c>
      <c r="I19" s="6">
        <v>0.6</v>
      </c>
      <c r="J19" s="6">
        <v>2</v>
      </c>
      <c r="K19" s="7">
        <v>0.13</v>
      </c>
      <c r="L19" s="6">
        <v>0</v>
      </c>
      <c r="M19" s="6">
        <v>4</v>
      </c>
      <c r="N19" s="6">
        <v>0</v>
      </c>
      <c r="O19" s="7">
        <v>8.3000000000000004E-2</v>
      </c>
      <c r="P19" s="5">
        <v>0</v>
      </c>
      <c r="Q19" s="11">
        <v>0</v>
      </c>
      <c r="R19" s="7">
        <v>0.05</v>
      </c>
      <c r="S19" s="7">
        <v>0.1</v>
      </c>
      <c r="T19" s="7">
        <v>7.0000000000000007E-2</v>
      </c>
      <c r="U19" s="6">
        <f t="shared" si="7"/>
        <v>4.6264550264550053</v>
      </c>
      <c r="V19" s="6">
        <f t="shared" si="8"/>
        <v>104.97354497354499</v>
      </c>
      <c r="W19" s="8"/>
      <c r="X19" s="8"/>
      <c r="Y19" s="8"/>
      <c r="Z19" s="8"/>
      <c r="AA19" s="3"/>
    </row>
    <row r="20" spans="1:27" x14ac:dyDescent="0.3">
      <c r="A20" s="5"/>
      <c r="B20" s="5"/>
      <c r="C20" s="3" t="s">
        <v>34</v>
      </c>
      <c r="D20" s="6">
        <f>MELI!C33</f>
        <v>21.12</v>
      </c>
      <c r="E20" s="9"/>
      <c r="F20" s="14"/>
      <c r="G20" s="6"/>
      <c r="H20" s="6"/>
      <c r="I20" s="6"/>
      <c r="J20" s="6"/>
      <c r="K20" s="7"/>
      <c r="L20" s="6"/>
      <c r="M20" s="6"/>
      <c r="N20" s="6"/>
      <c r="O20" s="7"/>
      <c r="P20" s="5"/>
      <c r="Q20" s="11"/>
      <c r="R20" s="7"/>
      <c r="S20" s="7"/>
      <c r="T20" s="7"/>
      <c r="U20" s="6"/>
      <c r="V20" s="6"/>
      <c r="W20" s="8"/>
      <c r="X20" s="8"/>
      <c r="Y20" s="8"/>
      <c r="Z20" s="8"/>
      <c r="AA20" s="30"/>
    </row>
    <row r="21" spans="1:27" x14ac:dyDescent="0.3">
      <c r="A21" s="5"/>
      <c r="B21" s="5"/>
      <c r="C21" s="3" t="s">
        <v>35</v>
      </c>
      <c r="D21" s="6">
        <f>MELI!C34</f>
        <v>33.51</v>
      </c>
      <c r="E21" s="9"/>
      <c r="F21" s="14"/>
      <c r="G21" s="6"/>
      <c r="H21" s="6"/>
      <c r="I21" s="6"/>
      <c r="J21" s="6"/>
      <c r="K21" s="7"/>
      <c r="L21" s="6"/>
      <c r="M21" s="6"/>
      <c r="N21" s="6"/>
      <c r="O21" s="7"/>
      <c r="P21" s="5"/>
      <c r="Q21" s="11"/>
      <c r="R21" s="7"/>
      <c r="S21" s="7"/>
      <c r="T21" s="7"/>
      <c r="U21" s="6"/>
      <c r="V21" s="6"/>
      <c r="W21" s="8"/>
      <c r="X21" s="8"/>
      <c r="Y21" s="8"/>
      <c r="Z21" s="8"/>
      <c r="AA21" s="30"/>
    </row>
    <row r="22" spans="1:27" s="23" customFormat="1" x14ac:dyDescent="0.3">
      <c r="A22" s="5"/>
      <c r="B22" s="17"/>
      <c r="C22" s="18" t="s">
        <v>36</v>
      </c>
      <c r="D22" s="19">
        <f>MELI!C35</f>
        <v>31.28</v>
      </c>
      <c r="E22" s="19">
        <v>32.6</v>
      </c>
      <c r="F22" s="20">
        <f>U22/E22</f>
        <v>-2.7387207561569798E-2</v>
      </c>
      <c r="G22" s="19">
        <v>12.5</v>
      </c>
      <c r="H22" s="19">
        <f>G22*0.08</f>
        <v>1</v>
      </c>
      <c r="I22" s="19">
        <v>1</v>
      </c>
      <c r="J22" s="19">
        <v>0</v>
      </c>
      <c r="K22" s="21">
        <v>0.12</v>
      </c>
      <c r="L22" s="19">
        <v>0</v>
      </c>
      <c r="M22" s="19">
        <v>6.5</v>
      </c>
      <c r="N22" s="19">
        <v>0</v>
      </c>
      <c r="O22" s="21">
        <v>8.3000000000000004E-2</v>
      </c>
      <c r="P22" s="17">
        <v>0</v>
      </c>
      <c r="Q22" s="22">
        <f t="shared" si="4"/>
        <v>0</v>
      </c>
      <c r="R22" s="21">
        <v>0.05</v>
      </c>
      <c r="S22" s="21">
        <v>0.05</v>
      </c>
      <c r="T22" s="21">
        <v>7.0000000000000007E-2</v>
      </c>
      <c r="U22" s="19">
        <f>E22-V22</f>
        <v>-0.89282296650717541</v>
      </c>
      <c r="V22" s="19">
        <f>(G22+H22+L22+M22+I22+J22 - N22)/(1 - (K22 + O22 + Q22 + R22 + S22 + T22 + P22))</f>
        <v>33.492822966507177</v>
      </c>
      <c r="W22" s="20"/>
      <c r="X22" s="20"/>
      <c r="Y22" s="20"/>
      <c r="Z22" s="20"/>
      <c r="AA22" s="18"/>
    </row>
    <row r="23" spans="1:27" x14ac:dyDescent="0.3">
      <c r="A23" s="5"/>
      <c r="B23" s="5" t="s">
        <v>116</v>
      </c>
      <c r="C23" s="3" t="s">
        <v>37</v>
      </c>
      <c r="D23" s="6" t="s">
        <v>121</v>
      </c>
      <c r="E23" s="9">
        <v>34.44</v>
      </c>
      <c r="F23" s="14">
        <f>U23/E23</f>
        <v>0.11694625046397748</v>
      </c>
      <c r="G23" s="6">
        <v>13.5</v>
      </c>
      <c r="H23" s="6">
        <f>G23*0.08</f>
        <v>1.08</v>
      </c>
      <c r="I23" s="6">
        <v>0</v>
      </c>
      <c r="J23" s="6">
        <v>0</v>
      </c>
      <c r="K23" s="7">
        <v>0.14000000000000001</v>
      </c>
      <c r="L23" s="6">
        <v>0</v>
      </c>
      <c r="M23" s="6">
        <v>2</v>
      </c>
      <c r="N23" s="6">
        <v>0.65</v>
      </c>
      <c r="O23" s="7">
        <v>8.3000000000000004E-2</v>
      </c>
      <c r="P23" s="5">
        <v>0</v>
      </c>
      <c r="Q23" s="11">
        <f>W23</f>
        <v>8.3199999999999996E-2</v>
      </c>
      <c r="R23" s="7">
        <v>0.05</v>
      </c>
      <c r="S23" s="7">
        <v>0.05</v>
      </c>
      <c r="T23" s="7">
        <v>7.0000000000000007E-2</v>
      </c>
      <c r="U23" s="6">
        <f>E23-V23</f>
        <v>4.0276288659793842</v>
      </c>
      <c r="V23" s="6">
        <f>(G23+H23+L23+M23+I23+J23 - N23)/(1 - (K23 + O23 + Q23 + R23 + S23 + T23 + P23))</f>
        <v>30.412371134020614</v>
      </c>
      <c r="W23" s="8">
        <v>8.3199999999999996E-2</v>
      </c>
      <c r="X23" s="8">
        <v>0.51</v>
      </c>
      <c r="Y23" s="8">
        <v>0.49</v>
      </c>
      <c r="Z23" s="6">
        <f>14.18</f>
        <v>14.18</v>
      </c>
      <c r="AA23" s="30" t="s">
        <v>122</v>
      </c>
    </row>
    <row r="24" spans="1:27" x14ac:dyDescent="0.3">
      <c r="A24" s="5"/>
      <c r="B24" s="5"/>
      <c r="C24" s="3" t="s">
        <v>38</v>
      </c>
      <c r="D24" s="6">
        <f>MELI!C39</f>
        <v>17.27</v>
      </c>
      <c r="E24" s="9"/>
      <c r="F24" s="14"/>
      <c r="G24" s="6"/>
      <c r="H24" s="6"/>
      <c r="I24" s="6"/>
      <c r="J24" s="6"/>
      <c r="K24" s="7"/>
      <c r="L24" s="6"/>
      <c r="M24" s="6"/>
      <c r="N24" s="6"/>
      <c r="O24" s="7"/>
      <c r="P24" s="5"/>
      <c r="Q24" s="11"/>
      <c r="R24" s="7"/>
      <c r="S24" s="7"/>
      <c r="T24" s="7"/>
      <c r="U24" s="6"/>
      <c r="V24" s="6"/>
      <c r="W24" s="8"/>
      <c r="X24" s="8"/>
      <c r="Y24" s="8"/>
      <c r="Z24" s="8"/>
      <c r="AA24" s="30"/>
    </row>
    <row r="25" spans="1:27" x14ac:dyDescent="0.3">
      <c r="A25" s="5"/>
      <c r="B25" s="5" t="s">
        <v>116</v>
      </c>
      <c r="C25" s="3" t="s">
        <v>123</v>
      </c>
      <c r="D25" s="6"/>
      <c r="E25" s="9">
        <v>8.4</v>
      </c>
      <c r="F25" s="14">
        <f>U25/E25</f>
        <v>-1.679637690718026E-2</v>
      </c>
      <c r="G25" s="6">
        <v>2.5</v>
      </c>
      <c r="H25" s="6">
        <f>G25*0.08</f>
        <v>0.2</v>
      </c>
      <c r="I25" s="6">
        <v>0</v>
      </c>
      <c r="J25" s="6">
        <v>0</v>
      </c>
      <c r="K25" s="7">
        <v>0.14000000000000001</v>
      </c>
      <c r="L25" s="6">
        <v>0</v>
      </c>
      <c r="M25" s="6">
        <v>1</v>
      </c>
      <c r="N25" s="6">
        <v>0</v>
      </c>
      <c r="O25" s="7">
        <v>8.3000000000000004E-2</v>
      </c>
      <c r="P25" s="5">
        <v>0</v>
      </c>
      <c r="Q25" s="11">
        <f>W25</f>
        <v>0.17380000000000001</v>
      </c>
      <c r="R25" s="7">
        <v>0.05</v>
      </c>
      <c r="S25" s="7">
        <v>0.05</v>
      </c>
      <c r="T25" s="7">
        <v>7.0000000000000007E-2</v>
      </c>
      <c r="U25" s="6">
        <f>E25-V25</f>
        <v>-0.14108956602031419</v>
      </c>
      <c r="V25" s="6">
        <f>(G25+H25+L25+M25+I25+J25 - N25)/(1 - (K25 + O25 + Q25 + R25 + S25 + T25 + P25))</f>
        <v>8.5410895660203145</v>
      </c>
      <c r="W25" s="8">
        <v>0.17380000000000001</v>
      </c>
      <c r="X25" s="8">
        <v>0</v>
      </c>
      <c r="Y25" s="8">
        <v>0.71</v>
      </c>
      <c r="Z25" s="6">
        <v>5.91</v>
      </c>
      <c r="AA25" s="30"/>
    </row>
    <row r="26" spans="1:27" x14ac:dyDescent="0.3">
      <c r="A26" s="5"/>
      <c r="B26" s="5" t="s">
        <v>116</v>
      </c>
      <c r="C26" s="3" t="s">
        <v>124</v>
      </c>
      <c r="D26" s="6"/>
      <c r="E26" s="9">
        <v>8.4</v>
      </c>
      <c r="F26" s="14">
        <f>U26/E26</f>
        <v>0.27433906017102061</v>
      </c>
      <c r="G26" s="6">
        <v>2.5</v>
      </c>
      <c r="H26" s="6">
        <f>G26*0.08</f>
        <v>0.2</v>
      </c>
      <c r="I26" s="6">
        <v>0</v>
      </c>
      <c r="J26" s="6">
        <v>0</v>
      </c>
      <c r="K26" s="7">
        <v>0.14000000000000001</v>
      </c>
      <c r="L26" s="6">
        <v>0</v>
      </c>
      <c r="M26" s="6">
        <v>1</v>
      </c>
      <c r="N26" s="6">
        <v>0</v>
      </c>
      <c r="O26" s="7">
        <v>8.3000000000000004E-2</v>
      </c>
      <c r="P26" s="5">
        <v>0</v>
      </c>
      <c r="Q26" s="11">
        <f>W26</f>
        <v>0</v>
      </c>
      <c r="R26" s="7">
        <v>0.05</v>
      </c>
      <c r="S26" s="7">
        <v>0.05</v>
      </c>
      <c r="T26" s="7">
        <v>7.0000000000000007E-2</v>
      </c>
      <c r="U26" s="6">
        <f>E26-V26</f>
        <v>2.3044481054365731</v>
      </c>
      <c r="V26" s="6">
        <f>(G26+H26+L26+M26+I26+J26 - N26)/(1 - (K26 + O26 + Q26 + R26 + S26 + T26 + P26))</f>
        <v>6.0955518945634273</v>
      </c>
      <c r="W26" s="8">
        <v>0</v>
      </c>
      <c r="X26" s="8">
        <v>0</v>
      </c>
      <c r="Y26" s="8">
        <v>0.71</v>
      </c>
      <c r="Z26" s="6">
        <v>9.4000000000000004E-3</v>
      </c>
      <c r="AA26" s="30"/>
    </row>
    <row r="27" spans="1:27" s="4" customFormat="1" x14ac:dyDescent="0.3">
      <c r="A27" s="5" t="s">
        <v>18</v>
      </c>
      <c r="B27" s="5" t="s">
        <v>116</v>
      </c>
      <c r="C27" s="3" t="s">
        <v>39</v>
      </c>
      <c r="D27" s="6">
        <f>MELI!C43</f>
        <v>58.105065666041277</v>
      </c>
      <c r="E27" s="9">
        <v>54</v>
      </c>
      <c r="F27" s="14">
        <f>U27/E27</f>
        <v>-1.9936930161369066E-2</v>
      </c>
      <c r="G27" s="6">
        <v>24</v>
      </c>
      <c r="H27" s="6">
        <f>G27*0.08</f>
        <v>1.92</v>
      </c>
      <c r="I27" s="6">
        <v>1</v>
      </c>
      <c r="J27" s="6">
        <v>0</v>
      </c>
      <c r="K27" s="7">
        <v>0.13</v>
      </c>
      <c r="L27" s="6">
        <v>0</v>
      </c>
      <c r="M27" s="6">
        <v>4</v>
      </c>
      <c r="N27" s="6">
        <v>0</v>
      </c>
      <c r="O27" s="7">
        <v>8.3000000000000004E-2</v>
      </c>
      <c r="P27" s="5">
        <v>0</v>
      </c>
      <c r="Q27" s="11">
        <f>W27</f>
        <v>5.5599999999999997E-2</v>
      </c>
      <c r="R27" s="7">
        <v>0.05</v>
      </c>
      <c r="S27" s="7">
        <v>0.05</v>
      </c>
      <c r="T27" s="7">
        <v>7.0000000000000007E-2</v>
      </c>
      <c r="U27" s="6">
        <f>E27-V27</f>
        <v>-1.0765942287139296</v>
      </c>
      <c r="V27" s="6">
        <f>(G27+H27+L27+M27+I27+J27 - N27)/(1 - (K27 + O27 + Q27 + R27 + S27 + T27 + P27))</f>
        <v>55.07659422871393</v>
      </c>
      <c r="W27" s="11">
        <v>5.5599999999999997E-2</v>
      </c>
      <c r="X27" s="8">
        <v>0</v>
      </c>
      <c r="Y27" s="8">
        <v>0.53</v>
      </c>
      <c r="Z27" s="6">
        <v>10.23</v>
      </c>
      <c r="AA27" s="3"/>
    </row>
    <row r="30" spans="1:27" s="4" customFormat="1" x14ac:dyDescent="0.3">
      <c r="A30" s="5"/>
      <c r="B30" s="5"/>
      <c r="C30" s="3" t="s">
        <v>32</v>
      </c>
      <c r="D30" s="6">
        <f>MELI!C49</f>
        <v>25.617357001972394</v>
      </c>
      <c r="E30" s="9">
        <v>87.36</v>
      </c>
      <c r="F30" s="14">
        <f>U30/E30</f>
        <v>-0.13379549343070363</v>
      </c>
      <c r="G30" s="6">
        <v>45</v>
      </c>
      <c r="H30" s="6">
        <f>G30*0.08</f>
        <v>3.6</v>
      </c>
      <c r="I30" s="6">
        <v>0.6</v>
      </c>
      <c r="J30" s="6">
        <v>2</v>
      </c>
      <c r="K30" s="7">
        <v>0.13</v>
      </c>
      <c r="L30" s="6">
        <v>0</v>
      </c>
      <c r="M30" s="6">
        <v>4</v>
      </c>
      <c r="N30" s="6">
        <v>5.24</v>
      </c>
      <c r="O30" s="7">
        <v>8.3000000000000004E-2</v>
      </c>
      <c r="P30" s="5">
        <v>0</v>
      </c>
      <c r="Q30" s="11">
        <v>6.2600000000000003E-2</v>
      </c>
      <c r="R30" s="7">
        <v>0.05</v>
      </c>
      <c r="S30" s="7">
        <v>0.1</v>
      </c>
      <c r="T30" s="7">
        <v>7.0000000000000007E-2</v>
      </c>
      <c r="U30" s="6">
        <f>E30-V30</f>
        <v>-11.688374306106269</v>
      </c>
      <c r="V30" s="6">
        <f>(G30+H30+L30+M30+I30+J30 - N30)/(1 - (K30 + O30 + Q30 + R30 + S30 + T30 + P30))</f>
        <v>99.048374306106268</v>
      </c>
      <c r="W30" s="8"/>
      <c r="X30" s="8"/>
      <c r="Y30" s="8"/>
      <c r="Z30" s="8"/>
      <c r="AA30" s="3"/>
    </row>
  </sheetData>
  <protectedRanges>
    <protectedRange algorithmName="SHA-512" hashValue="aEERJQJMzSjwyk85T8BB6RJ31PG9yww9W3guKd9+QEmDdpPLyQ7YOL1UJkf0y4KIl2a79DCYAvYCdlVp2mDjxg==" saltValue="aKgvfp76T60uU8TGfv8oiw==" spinCount="100000" sqref="V14" name="precosugerido_3"/>
  </protectedRanges>
  <autoFilter ref="A2:Y27" xr:uid="{0D4E9EAA-510B-49F3-AA74-41F87A19B1E8}"/>
  <mergeCells count="4">
    <mergeCell ref="K1:N1"/>
    <mergeCell ref="O1:P1"/>
    <mergeCell ref="G1:J1"/>
    <mergeCell ref="Q1:S1"/>
  </mergeCell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5D363DF-DFE8-4979-A17A-8B4A1046B33D}">
          <x14:formula1>
            <xm:f>#REF!</xm:f>
          </x14:formula1>
          <xm:sqref>B3:B30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25DD-8A83-447B-8670-F203B3F15772}">
  <dimension ref="A1:Y49"/>
  <sheetViews>
    <sheetView workbookViewId="0">
      <pane xSplit="4" ySplit="2" topLeftCell="M19" activePane="bottomRight" state="frozen"/>
      <selection pane="topRight" activeCell="E1" sqref="E1"/>
      <selection pane="bottomLeft" activeCell="A3" sqref="A3"/>
      <selection pane="bottomRight" activeCell="N19" sqref="N19"/>
    </sheetView>
  </sheetViews>
  <sheetFormatPr defaultRowHeight="14.4" x14ac:dyDescent="0.3"/>
  <cols>
    <col min="1" max="1" width="12.5546875" customWidth="1"/>
    <col min="2" max="2" width="23.5546875" customWidth="1"/>
    <col min="3" max="3" width="12.33203125" customWidth="1"/>
    <col min="4" max="4" width="8.88671875" customWidth="1"/>
    <col min="5" max="7" width="9.109375" customWidth="1"/>
    <col min="8" max="8" width="11" customWidth="1"/>
    <col min="9" max="11" width="10.88671875" customWidth="1"/>
    <col min="12" max="12" width="10.88671875" style="6" customWidth="1"/>
    <col min="13" max="13" width="10.88671875" customWidth="1"/>
    <col min="14" max="14" width="12.33203125" customWidth="1"/>
    <col min="15" max="15" width="10.88671875" customWidth="1"/>
    <col min="16" max="16" width="14.6640625" customWidth="1"/>
    <col min="17" max="17" width="11.44140625" customWidth="1"/>
    <col min="18" max="18" width="12.6640625" customWidth="1"/>
    <col min="19" max="22" width="13" customWidth="1"/>
    <col min="23" max="23" width="15.88671875" customWidth="1"/>
    <col min="24" max="24" width="8.88671875" bestFit="1" customWidth="1"/>
    <col min="16382" max="16382" width="9.109375" bestFit="1" customWidth="1"/>
    <col min="16383" max="16384" width="9.109375" customWidth="1"/>
  </cols>
  <sheetData>
    <row r="1" spans="1:25" ht="106.5" customHeight="1" x14ac:dyDescent="0.3">
      <c r="A1" s="24"/>
      <c r="B1" s="25">
        <v>45824</v>
      </c>
      <c r="C1" s="24"/>
      <c r="D1" s="24"/>
      <c r="E1" s="24"/>
      <c r="F1" s="42">
        <v>0.08</v>
      </c>
      <c r="G1" s="24"/>
      <c r="H1" s="24"/>
      <c r="I1" s="24"/>
      <c r="J1" s="24"/>
      <c r="K1" s="24"/>
      <c r="L1" s="24"/>
      <c r="M1" s="42">
        <v>0.1</v>
      </c>
      <c r="N1" s="24"/>
      <c r="O1" s="42">
        <v>0.05</v>
      </c>
      <c r="P1" s="42">
        <v>0.17</v>
      </c>
      <c r="Q1" s="24"/>
      <c r="R1" s="24"/>
      <c r="S1" s="42">
        <v>0.1</v>
      </c>
      <c r="T1" s="42"/>
      <c r="U1" s="42"/>
      <c r="V1" s="42"/>
      <c r="W1" s="24"/>
    </row>
    <row r="2" spans="1:25" s="12" customFormat="1" ht="57.6" x14ac:dyDescent="0.3">
      <c r="A2" s="13" t="s">
        <v>59</v>
      </c>
      <c r="B2" s="13" t="s">
        <v>3</v>
      </c>
      <c r="C2" s="13" t="s">
        <v>5</v>
      </c>
      <c r="D2" s="13" t="s">
        <v>6</v>
      </c>
      <c r="E2" s="13" t="s">
        <v>7</v>
      </c>
      <c r="F2" s="13" t="s">
        <v>60</v>
      </c>
      <c r="G2" s="13" t="s">
        <v>9</v>
      </c>
      <c r="H2" s="13" t="s">
        <v>10</v>
      </c>
      <c r="I2" s="13" t="s">
        <v>11</v>
      </c>
      <c r="J2" s="13" t="s">
        <v>62</v>
      </c>
      <c r="K2" s="13" t="s">
        <v>63</v>
      </c>
      <c r="L2" s="13" t="s">
        <v>64</v>
      </c>
      <c r="M2" s="13" t="s">
        <v>12</v>
      </c>
      <c r="N2" s="13" t="s">
        <v>13</v>
      </c>
      <c r="O2" s="16" t="s">
        <v>14</v>
      </c>
      <c r="P2" s="13" t="s">
        <v>65</v>
      </c>
      <c r="Q2" s="15" t="s">
        <v>15</v>
      </c>
      <c r="R2" s="15" t="s">
        <v>16</v>
      </c>
      <c r="S2" s="13" t="s">
        <v>125</v>
      </c>
      <c r="T2" s="13" t="s">
        <v>126</v>
      </c>
      <c r="U2" s="13" t="s">
        <v>127</v>
      </c>
      <c r="V2" s="13" t="s">
        <v>128</v>
      </c>
      <c r="W2" s="13" t="s">
        <v>127</v>
      </c>
      <c r="X2" s="12" t="s">
        <v>129</v>
      </c>
      <c r="Y2" s="12" t="s">
        <v>129</v>
      </c>
    </row>
    <row r="3" spans="1:25" s="4" customFormat="1" x14ac:dyDescent="0.3">
      <c r="A3" s="5"/>
      <c r="B3" s="5" t="s">
        <v>19</v>
      </c>
      <c r="C3" s="9">
        <f t="shared" ref="C3:C23" si="0">R3</f>
        <v>18.407407407407412</v>
      </c>
      <c r="D3" s="14">
        <f t="shared" ref="D3:D13" si="1">Q3/C3</f>
        <v>0</v>
      </c>
      <c r="E3" s="6">
        <v>8</v>
      </c>
      <c r="F3" s="6">
        <f t="shared" ref="F3:F15" si="2">E3*$F$1</f>
        <v>0.64</v>
      </c>
      <c r="G3" s="6">
        <v>0</v>
      </c>
      <c r="H3" s="6">
        <v>0.3</v>
      </c>
      <c r="I3" s="7">
        <v>0.14000000000000001</v>
      </c>
      <c r="J3" s="6">
        <v>0</v>
      </c>
      <c r="K3" s="6">
        <v>1</v>
      </c>
      <c r="L3" s="6">
        <v>0</v>
      </c>
      <c r="M3" s="11">
        <f t="shared" ref="M3:M15" si="3">$M$1</f>
        <v>0.1</v>
      </c>
      <c r="N3" s="5">
        <v>0</v>
      </c>
      <c r="O3" s="11">
        <f t="shared" ref="O3:O15" si="4">$O$1</f>
        <v>0.05</v>
      </c>
      <c r="P3" s="7">
        <f t="shared" ref="P3:P25" si="5">$P$1</f>
        <v>0.17</v>
      </c>
      <c r="Q3" s="6">
        <f t="shared" ref="Q3:Q13" si="6">C3-R3</f>
        <v>0</v>
      </c>
      <c r="R3" s="6">
        <f t="shared" ref="R3:R15" si="7">(E3+F3+J3+K3+G3+H3 - L3)/(1 - (I3 + M3 + O3 + P3 + N3))</f>
        <v>18.407407407407412</v>
      </c>
      <c r="S3" s="41">
        <f t="shared" ref="S3:S15" si="8">R3*(1+$S$1)</f>
        <v>20.248148148148154</v>
      </c>
      <c r="T3" s="4">
        <v>21</v>
      </c>
      <c r="U3" s="41">
        <f t="shared" ref="U3:U49" si="9">T3*0.03</f>
        <v>0.63</v>
      </c>
      <c r="V3" s="41">
        <f t="shared" ref="V3:V49" si="10">0.08*E3</f>
        <v>0.64</v>
      </c>
      <c r="W3" s="6">
        <f t="shared" ref="W3:W49" si="11">S3*0.03</f>
        <v>0.60744444444444456</v>
      </c>
      <c r="X3" s="7">
        <f t="shared" ref="X3:X49" si="12">IF(S3=0,"",W3/E3)</f>
        <v>7.5930555555555571E-2</v>
      </c>
    </row>
    <row r="4" spans="1:25" s="4" customFormat="1" x14ac:dyDescent="0.3">
      <c r="A4" s="5" t="s">
        <v>66</v>
      </c>
      <c r="B4" s="5" t="s">
        <v>20</v>
      </c>
      <c r="C4" s="9">
        <f t="shared" si="0"/>
        <v>18.407407407407412</v>
      </c>
      <c r="D4" s="14">
        <f t="shared" si="1"/>
        <v>0</v>
      </c>
      <c r="E4" s="6">
        <v>8</v>
      </c>
      <c r="F4" s="6">
        <f t="shared" si="2"/>
        <v>0.64</v>
      </c>
      <c r="G4" s="6">
        <v>0</v>
      </c>
      <c r="H4" s="6">
        <v>0.3</v>
      </c>
      <c r="I4" s="7">
        <v>0.14000000000000001</v>
      </c>
      <c r="J4" s="6">
        <v>0</v>
      </c>
      <c r="K4" s="6">
        <v>1</v>
      </c>
      <c r="L4" s="6">
        <v>0</v>
      </c>
      <c r="M4" s="11">
        <f t="shared" si="3"/>
        <v>0.1</v>
      </c>
      <c r="N4" s="5">
        <v>0</v>
      </c>
      <c r="O4" s="11">
        <f t="shared" si="4"/>
        <v>0.05</v>
      </c>
      <c r="P4" s="7">
        <f t="shared" si="5"/>
        <v>0.17</v>
      </c>
      <c r="Q4" s="6">
        <f t="shared" si="6"/>
        <v>0</v>
      </c>
      <c r="R4" s="6">
        <f t="shared" si="7"/>
        <v>18.407407407407412</v>
      </c>
      <c r="S4" s="41">
        <f t="shared" si="8"/>
        <v>20.248148148148154</v>
      </c>
      <c r="T4" s="4">
        <v>21</v>
      </c>
      <c r="U4" s="41">
        <f t="shared" si="9"/>
        <v>0.63</v>
      </c>
      <c r="V4" s="41">
        <f t="shared" si="10"/>
        <v>0.64</v>
      </c>
      <c r="W4" s="6">
        <f t="shared" si="11"/>
        <v>0.60744444444444456</v>
      </c>
      <c r="X4" s="7">
        <f t="shared" si="12"/>
        <v>7.5930555555555571E-2</v>
      </c>
    </row>
    <row r="5" spans="1:25" s="4" customFormat="1" x14ac:dyDescent="0.3">
      <c r="A5" s="5" t="s">
        <v>67</v>
      </c>
      <c r="B5" s="5" t="s">
        <v>20</v>
      </c>
      <c r="C5" s="9">
        <f t="shared" si="0"/>
        <v>18.407407407407412</v>
      </c>
      <c r="D5" s="14">
        <f t="shared" si="1"/>
        <v>0</v>
      </c>
      <c r="E5" s="6">
        <v>8</v>
      </c>
      <c r="F5" s="6">
        <f t="shared" si="2"/>
        <v>0.64</v>
      </c>
      <c r="G5" s="6">
        <v>0</v>
      </c>
      <c r="H5" s="6">
        <v>0.3</v>
      </c>
      <c r="I5" s="7">
        <v>0.14000000000000001</v>
      </c>
      <c r="J5" s="6">
        <v>0</v>
      </c>
      <c r="K5" s="6">
        <v>1</v>
      </c>
      <c r="L5" s="6">
        <v>0</v>
      </c>
      <c r="M5" s="11">
        <f t="shared" si="3"/>
        <v>0.1</v>
      </c>
      <c r="N5" s="5">
        <v>0</v>
      </c>
      <c r="O5" s="11">
        <f t="shared" si="4"/>
        <v>0.05</v>
      </c>
      <c r="P5" s="7">
        <f t="shared" si="5"/>
        <v>0.17</v>
      </c>
      <c r="Q5" s="6">
        <f t="shared" si="6"/>
        <v>0</v>
      </c>
      <c r="R5" s="6">
        <f t="shared" si="7"/>
        <v>18.407407407407412</v>
      </c>
      <c r="S5" s="41">
        <f t="shared" si="8"/>
        <v>20.248148148148154</v>
      </c>
      <c r="T5" s="41">
        <v>21</v>
      </c>
      <c r="U5" s="41">
        <f t="shared" si="9"/>
        <v>0.63</v>
      </c>
      <c r="V5" s="41">
        <f t="shared" si="10"/>
        <v>0.64</v>
      </c>
      <c r="W5" s="6">
        <f t="shared" si="11"/>
        <v>0.60744444444444456</v>
      </c>
      <c r="X5" s="7">
        <f t="shared" si="12"/>
        <v>7.5930555555555571E-2</v>
      </c>
    </row>
    <row r="6" spans="1:25" s="4" customFormat="1" x14ac:dyDescent="0.3">
      <c r="A6" s="5"/>
      <c r="B6" s="5" t="s">
        <v>21</v>
      </c>
      <c r="C6" s="9">
        <f t="shared" si="0"/>
        <v>18.407407407407412</v>
      </c>
      <c r="D6" s="14">
        <f t="shared" si="1"/>
        <v>0</v>
      </c>
      <c r="E6" s="6">
        <v>8</v>
      </c>
      <c r="F6" s="6">
        <f t="shared" si="2"/>
        <v>0.64</v>
      </c>
      <c r="G6" s="6">
        <v>0</v>
      </c>
      <c r="H6" s="6">
        <v>0.3</v>
      </c>
      <c r="I6" s="7">
        <v>0.14000000000000001</v>
      </c>
      <c r="J6" s="6">
        <v>0</v>
      </c>
      <c r="K6" s="6">
        <v>1</v>
      </c>
      <c r="L6" s="6">
        <v>0</v>
      </c>
      <c r="M6" s="11">
        <f t="shared" si="3"/>
        <v>0.1</v>
      </c>
      <c r="N6" s="5">
        <v>0</v>
      </c>
      <c r="O6" s="11">
        <f t="shared" si="4"/>
        <v>0.05</v>
      </c>
      <c r="P6" s="7">
        <f t="shared" si="5"/>
        <v>0.17</v>
      </c>
      <c r="Q6" s="6">
        <f t="shared" si="6"/>
        <v>0</v>
      </c>
      <c r="R6" s="6">
        <f t="shared" si="7"/>
        <v>18.407407407407412</v>
      </c>
      <c r="S6" s="41">
        <f t="shared" si="8"/>
        <v>20.248148148148154</v>
      </c>
      <c r="T6" s="41">
        <v>21</v>
      </c>
      <c r="U6" s="41">
        <f t="shared" si="9"/>
        <v>0.63</v>
      </c>
      <c r="V6" s="41">
        <f t="shared" si="10"/>
        <v>0.64</v>
      </c>
      <c r="W6" s="6">
        <f t="shared" si="11"/>
        <v>0.60744444444444456</v>
      </c>
      <c r="X6" s="7">
        <f t="shared" si="12"/>
        <v>7.5930555555555571E-2</v>
      </c>
    </row>
    <row r="7" spans="1:25" s="4" customFormat="1" x14ac:dyDescent="0.3">
      <c r="A7" s="5"/>
      <c r="B7" s="5" t="s">
        <v>22</v>
      </c>
      <c r="C7" s="9">
        <f t="shared" si="0"/>
        <v>22.407407407407412</v>
      </c>
      <c r="D7" s="14">
        <f t="shared" si="1"/>
        <v>0</v>
      </c>
      <c r="E7" s="6">
        <v>10</v>
      </c>
      <c r="F7" s="6">
        <f t="shared" si="2"/>
        <v>0.8</v>
      </c>
      <c r="G7" s="6">
        <v>0</v>
      </c>
      <c r="H7" s="6">
        <v>0.3</v>
      </c>
      <c r="I7" s="7">
        <v>0.14000000000000001</v>
      </c>
      <c r="J7" s="6">
        <v>0</v>
      </c>
      <c r="K7" s="6">
        <v>1</v>
      </c>
      <c r="L7" s="6">
        <v>0</v>
      </c>
      <c r="M7" s="11">
        <f t="shared" si="3"/>
        <v>0.1</v>
      </c>
      <c r="N7" s="5">
        <v>0</v>
      </c>
      <c r="O7" s="11">
        <f t="shared" si="4"/>
        <v>0.05</v>
      </c>
      <c r="P7" s="7">
        <f t="shared" si="5"/>
        <v>0.17</v>
      </c>
      <c r="Q7" s="6">
        <f t="shared" si="6"/>
        <v>0</v>
      </c>
      <c r="R7" s="6">
        <f t="shared" si="7"/>
        <v>22.407407407407412</v>
      </c>
      <c r="S7" s="41">
        <f t="shared" si="8"/>
        <v>24.648148148148156</v>
      </c>
      <c r="T7" s="41">
        <v>25</v>
      </c>
      <c r="U7" s="41">
        <f t="shared" si="9"/>
        <v>0.75</v>
      </c>
      <c r="V7" s="41">
        <f t="shared" si="10"/>
        <v>0.8</v>
      </c>
      <c r="W7" s="6">
        <f t="shared" si="11"/>
        <v>0.73944444444444468</v>
      </c>
      <c r="X7" s="7">
        <f t="shared" si="12"/>
        <v>7.3944444444444465E-2</v>
      </c>
    </row>
    <row r="8" spans="1:25" s="4" customFormat="1" x14ac:dyDescent="0.3">
      <c r="A8" s="5" t="s">
        <v>66</v>
      </c>
      <c r="B8" s="5" t="s">
        <v>23</v>
      </c>
      <c r="C8" s="9">
        <f t="shared" si="0"/>
        <v>19.407407407407412</v>
      </c>
      <c r="D8" s="14">
        <f t="shared" si="1"/>
        <v>0</v>
      </c>
      <c r="E8" s="6">
        <v>8.5</v>
      </c>
      <c r="F8" s="6">
        <f t="shared" si="2"/>
        <v>0.68</v>
      </c>
      <c r="G8" s="6">
        <v>0</v>
      </c>
      <c r="H8" s="6">
        <v>0.3</v>
      </c>
      <c r="I8" s="7">
        <v>0.14000000000000001</v>
      </c>
      <c r="J8" s="6">
        <v>0</v>
      </c>
      <c r="K8" s="6">
        <v>1</v>
      </c>
      <c r="L8" s="6">
        <v>0</v>
      </c>
      <c r="M8" s="11">
        <f t="shared" si="3"/>
        <v>0.1</v>
      </c>
      <c r="N8" s="5">
        <v>0</v>
      </c>
      <c r="O8" s="11">
        <f t="shared" si="4"/>
        <v>0.05</v>
      </c>
      <c r="P8" s="7">
        <f t="shared" si="5"/>
        <v>0.17</v>
      </c>
      <c r="Q8" s="6">
        <f t="shared" si="6"/>
        <v>0</v>
      </c>
      <c r="R8" s="6">
        <f t="shared" si="7"/>
        <v>19.407407407407412</v>
      </c>
      <c r="S8" s="41">
        <f t="shared" si="8"/>
        <v>21.348148148148155</v>
      </c>
      <c r="T8" s="4">
        <v>24</v>
      </c>
      <c r="U8" s="41">
        <f t="shared" si="9"/>
        <v>0.72</v>
      </c>
      <c r="V8" s="41">
        <f t="shared" si="10"/>
        <v>0.68</v>
      </c>
      <c r="W8" s="6">
        <f t="shared" si="11"/>
        <v>0.64044444444444459</v>
      </c>
      <c r="X8" s="7">
        <f t="shared" si="12"/>
        <v>7.5346405228758184E-2</v>
      </c>
    </row>
    <row r="9" spans="1:25" s="4" customFormat="1" x14ac:dyDescent="0.3">
      <c r="A9" s="5" t="s">
        <v>67</v>
      </c>
      <c r="B9" s="5" t="s">
        <v>23</v>
      </c>
      <c r="C9" s="9">
        <f t="shared" si="0"/>
        <v>19.407407407407412</v>
      </c>
      <c r="D9" s="14">
        <f t="shared" si="1"/>
        <v>0</v>
      </c>
      <c r="E9" s="6">
        <v>8.5</v>
      </c>
      <c r="F9" s="6">
        <f t="shared" si="2"/>
        <v>0.68</v>
      </c>
      <c r="G9" s="6">
        <v>0</v>
      </c>
      <c r="H9" s="6">
        <v>0.3</v>
      </c>
      <c r="I9" s="7">
        <v>0.14000000000000001</v>
      </c>
      <c r="J9" s="6">
        <v>0</v>
      </c>
      <c r="K9" s="6">
        <v>1</v>
      </c>
      <c r="L9" s="6">
        <v>0</v>
      </c>
      <c r="M9" s="11">
        <f t="shared" si="3"/>
        <v>0.1</v>
      </c>
      <c r="N9" s="5">
        <v>0</v>
      </c>
      <c r="O9" s="11">
        <f t="shared" si="4"/>
        <v>0.05</v>
      </c>
      <c r="P9" s="7">
        <f t="shared" si="5"/>
        <v>0.17</v>
      </c>
      <c r="Q9" s="6">
        <f t="shared" si="6"/>
        <v>0</v>
      </c>
      <c r="R9" s="6">
        <f t="shared" si="7"/>
        <v>19.407407407407412</v>
      </c>
      <c r="S9" s="41">
        <f t="shared" si="8"/>
        <v>21.348148148148155</v>
      </c>
      <c r="T9" s="4">
        <v>24</v>
      </c>
      <c r="U9" s="41">
        <f t="shared" si="9"/>
        <v>0.72</v>
      </c>
      <c r="V9" s="41">
        <f t="shared" si="10"/>
        <v>0.68</v>
      </c>
      <c r="W9" s="6">
        <f t="shared" si="11"/>
        <v>0.64044444444444459</v>
      </c>
      <c r="X9" s="7">
        <f t="shared" si="12"/>
        <v>7.5346405228758184E-2</v>
      </c>
    </row>
    <row r="10" spans="1:25" s="4" customFormat="1" x14ac:dyDescent="0.3">
      <c r="A10" s="5" t="s">
        <v>66</v>
      </c>
      <c r="B10" s="5" t="s">
        <v>24</v>
      </c>
      <c r="C10" s="9">
        <f t="shared" si="0"/>
        <v>19.407407407407412</v>
      </c>
      <c r="D10" s="14">
        <f t="shared" si="1"/>
        <v>0</v>
      </c>
      <c r="E10" s="6">
        <v>8.5</v>
      </c>
      <c r="F10" s="6">
        <f t="shared" si="2"/>
        <v>0.68</v>
      </c>
      <c r="G10" s="6">
        <v>0</v>
      </c>
      <c r="H10" s="6">
        <v>0.3</v>
      </c>
      <c r="I10" s="7">
        <v>0.14000000000000001</v>
      </c>
      <c r="J10" s="6">
        <v>0</v>
      </c>
      <c r="K10" s="6">
        <v>1</v>
      </c>
      <c r="L10" s="6">
        <v>0</v>
      </c>
      <c r="M10" s="11">
        <f t="shared" si="3"/>
        <v>0.1</v>
      </c>
      <c r="N10" s="5">
        <v>0</v>
      </c>
      <c r="O10" s="11">
        <f t="shared" si="4"/>
        <v>0.05</v>
      </c>
      <c r="P10" s="7">
        <f t="shared" si="5"/>
        <v>0.17</v>
      </c>
      <c r="Q10" s="6">
        <f t="shared" si="6"/>
        <v>0</v>
      </c>
      <c r="R10" s="6">
        <f t="shared" si="7"/>
        <v>19.407407407407412</v>
      </c>
      <c r="S10" s="41">
        <f t="shared" si="8"/>
        <v>21.348148148148155</v>
      </c>
      <c r="T10" s="4">
        <v>24</v>
      </c>
      <c r="U10" s="41">
        <f t="shared" si="9"/>
        <v>0.72</v>
      </c>
      <c r="V10" s="41">
        <f t="shared" si="10"/>
        <v>0.68</v>
      </c>
      <c r="W10" s="6">
        <f t="shared" si="11"/>
        <v>0.64044444444444459</v>
      </c>
      <c r="X10" s="7">
        <f t="shared" si="12"/>
        <v>7.5346405228758184E-2</v>
      </c>
    </row>
    <row r="11" spans="1:25" s="4" customFormat="1" x14ac:dyDescent="0.3">
      <c r="A11" s="5" t="s">
        <v>67</v>
      </c>
      <c r="B11" s="5" t="s">
        <v>24</v>
      </c>
      <c r="C11" s="9">
        <f t="shared" si="0"/>
        <v>19.407407407407412</v>
      </c>
      <c r="D11" s="14">
        <f t="shared" si="1"/>
        <v>0</v>
      </c>
      <c r="E11" s="6">
        <v>8.5</v>
      </c>
      <c r="F11" s="6">
        <f t="shared" si="2"/>
        <v>0.68</v>
      </c>
      <c r="G11" s="6">
        <v>0</v>
      </c>
      <c r="H11" s="6">
        <v>0.3</v>
      </c>
      <c r="I11" s="7">
        <v>0.14000000000000001</v>
      </c>
      <c r="J11" s="6">
        <v>0</v>
      </c>
      <c r="K11" s="6">
        <v>1</v>
      </c>
      <c r="L11" s="6">
        <v>0</v>
      </c>
      <c r="M11" s="11">
        <f t="shared" si="3"/>
        <v>0.1</v>
      </c>
      <c r="N11" s="5">
        <v>0</v>
      </c>
      <c r="O11" s="11">
        <f t="shared" si="4"/>
        <v>0.05</v>
      </c>
      <c r="P11" s="7">
        <f t="shared" si="5"/>
        <v>0.17</v>
      </c>
      <c r="Q11" s="6">
        <f t="shared" si="6"/>
        <v>0</v>
      </c>
      <c r="R11" s="6">
        <f t="shared" si="7"/>
        <v>19.407407407407412</v>
      </c>
      <c r="S11" s="41">
        <f t="shared" si="8"/>
        <v>21.348148148148155</v>
      </c>
      <c r="T11" s="4">
        <v>24</v>
      </c>
      <c r="U11" s="41">
        <f t="shared" si="9"/>
        <v>0.72</v>
      </c>
      <c r="V11" s="41">
        <f t="shared" si="10"/>
        <v>0.68</v>
      </c>
      <c r="W11" s="6">
        <f t="shared" si="11"/>
        <v>0.64044444444444459</v>
      </c>
      <c r="X11" s="7">
        <f t="shared" si="12"/>
        <v>7.5346405228758184E-2</v>
      </c>
    </row>
    <row r="12" spans="1:25" s="4" customFormat="1" x14ac:dyDescent="0.3">
      <c r="A12" s="5" t="s">
        <v>67</v>
      </c>
      <c r="B12" s="5" t="s">
        <v>25</v>
      </c>
      <c r="C12" s="9">
        <f t="shared" si="0"/>
        <v>30.407407407407415</v>
      </c>
      <c r="D12" s="14">
        <f t="shared" si="1"/>
        <v>0</v>
      </c>
      <c r="E12" s="6">
        <v>14</v>
      </c>
      <c r="F12" s="6">
        <f t="shared" si="2"/>
        <v>1.1200000000000001</v>
      </c>
      <c r="G12" s="6">
        <v>0</v>
      </c>
      <c r="H12" s="6">
        <v>0.3</v>
      </c>
      <c r="I12" s="7">
        <v>0.14000000000000001</v>
      </c>
      <c r="J12" s="6">
        <v>0</v>
      </c>
      <c r="K12" s="6">
        <v>1</v>
      </c>
      <c r="L12" s="6">
        <v>0</v>
      </c>
      <c r="M12" s="11">
        <f t="shared" si="3"/>
        <v>0.1</v>
      </c>
      <c r="N12" s="5">
        <v>0</v>
      </c>
      <c r="O12" s="11">
        <f t="shared" si="4"/>
        <v>0.05</v>
      </c>
      <c r="P12" s="7">
        <f t="shared" si="5"/>
        <v>0.17</v>
      </c>
      <c r="Q12" s="6">
        <f t="shared" si="6"/>
        <v>0</v>
      </c>
      <c r="R12" s="6">
        <f t="shared" si="7"/>
        <v>30.407407407407415</v>
      </c>
      <c r="S12" s="41">
        <f t="shared" si="8"/>
        <v>33.448148148148157</v>
      </c>
      <c r="T12" s="41"/>
      <c r="U12" s="41">
        <f t="shared" si="9"/>
        <v>0</v>
      </c>
      <c r="V12" s="41">
        <f t="shared" si="10"/>
        <v>1.1200000000000001</v>
      </c>
      <c r="W12" s="6">
        <f t="shared" si="11"/>
        <v>1.0034444444444446</v>
      </c>
      <c r="X12" s="7">
        <f t="shared" si="12"/>
        <v>7.1674603174603183E-2</v>
      </c>
    </row>
    <row r="13" spans="1:25" s="4" customFormat="1" x14ac:dyDescent="0.3">
      <c r="A13" s="5" t="s">
        <v>67</v>
      </c>
      <c r="B13" s="5" t="s">
        <v>26</v>
      </c>
      <c r="C13" s="9">
        <f t="shared" si="0"/>
        <v>30.407407407407415</v>
      </c>
      <c r="D13" s="14">
        <f t="shared" si="1"/>
        <v>0</v>
      </c>
      <c r="E13" s="6">
        <v>14</v>
      </c>
      <c r="F13" s="6">
        <f t="shared" si="2"/>
        <v>1.1200000000000001</v>
      </c>
      <c r="G13" s="6">
        <v>0</v>
      </c>
      <c r="H13" s="6">
        <v>0.3</v>
      </c>
      <c r="I13" s="7">
        <v>0.14000000000000001</v>
      </c>
      <c r="J13" s="6">
        <v>0</v>
      </c>
      <c r="K13" s="6">
        <v>1</v>
      </c>
      <c r="L13" s="6">
        <v>0</v>
      </c>
      <c r="M13" s="11">
        <f t="shared" si="3"/>
        <v>0.1</v>
      </c>
      <c r="N13" s="5">
        <v>0</v>
      </c>
      <c r="O13" s="11">
        <f t="shared" si="4"/>
        <v>0.05</v>
      </c>
      <c r="P13" s="7">
        <f t="shared" si="5"/>
        <v>0.17</v>
      </c>
      <c r="Q13" s="6">
        <f t="shared" si="6"/>
        <v>0</v>
      </c>
      <c r="R13" s="6">
        <f t="shared" si="7"/>
        <v>30.407407407407415</v>
      </c>
      <c r="S13" s="41">
        <f t="shared" si="8"/>
        <v>33.448148148148157</v>
      </c>
      <c r="T13" s="41"/>
      <c r="U13" s="41">
        <f t="shared" si="9"/>
        <v>0</v>
      </c>
      <c r="V13" s="41">
        <f t="shared" si="10"/>
        <v>1.1200000000000001</v>
      </c>
      <c r="W13" s="6">
        <f t="shared" si="11"/>
        <v>1.0034444444444446</v>
      </c>
      <c r="X13" s="7">
        <f t="shared" si="12"/>
        <v>7.1674603174603183E-2</v>
      </c>
    </row>
    <row r="14" spans="1:25" s="4" customFormat="1" x14ac:dyDescent="0.3">
      <c r="A14" s="5"/>
      <c r="B14" s="5" t="s">
        <v>68</v>
      </c>
      <c r="C14" s="9">
        <f t="shared" si="0"/>
        <v>0</v>
      </c>
      <c r="D14" s="14"/>
      <c r="E14" s="6"/>
      <c r="F14" s="6">
        <f t="shared" si="2"/>
        <v>0</v>
      </c>
      <c r="G14" s="6"/>
      <c r="H14" s="6"/>
      <c r="I14" s="7"/>
      <c r="J14" s="6"/>
      <c r="K14" s="6"/>
      <c r="L14" s="6">
        <v>0</v>
      </c>
      <c r="M14" s="11">
        <f t="shared" si="3"/>
        <v>0.1</v>
      </c>
      <c r="N14" s="5"/>
      <c r="O14" s="11">
        <f t="shared" si="4"/>
        <v>0.05</v>
      </c>
      <c r="P14" s="7">
        <f t="shared" si="5"/>
        <v>0.17</v>
      </c>
      <c r="Q14" s="6"/>
      <c r="R14" s="6">
        <f t="shared" si="7"/>
        <v>0</v>
      </c>
      <c r="S14" s="41">
        <f t="shared" si="8"/>
        <v>0</v>
      </c>
      <c r="T14" s="41"/>
      <c r="U14" s="41">
        <f t="shared" si="9"/>
        <v>0</v>
      </c>
      <c r="V14" s="41">
        <f t="shared" si="10"/>
        <v>0</v>
      </c>
      <c r="W14" s="6">
        <f t="shared" si="11"/>
        <v>0</v>
      </c>
      <c r="X14" s="7" t="str">
        <f t="shared" si="12"/>
        <v/>
      </c>
    </row>
    <row r="15" spans="1:25" s="4" customFormat="1" x14ac:dyDescent="0.3">
      <c r="A15" s="5" t="s">
        <v>66</v>
      </c>
      <c r="B15" s="5" t="s">
        <v>27</v>
      </c>
      <c r="C15" s="9">
        <f t="shared" si="0"/>
        <v>12.907407407407408</v>
      </c>
      <c r="D15" s="14">
        <f>Q15/C15</f>
        <v>0</v>
      </c>
      <c r="E15" s="6">
        <v>5.25</v>
      </c>
      <c r="F15" s="6">
        <f t="shared" si="2"/>
        <v>0.42</v>
      </c>
      <c r="G15" s="6">
        <v>0</v>
      </c>
      <c r="H15" s="6">
        <v>0.3</v>
      </c>
      <c r="I15" s="7">
        <v>0.14000000000000001</v>
      </c>
      <c r="J15" s="6">
        <v>0</v>
      </c>
      <c r="K15" s="6">
        <v>1</v>
      </c>
      <c r="L15" s="6">
        <v>0</v>
      </c>
      <c r="M15" s="11">
        <f t="shared" si="3"/>
        <v>0.1</v>
      </c>
      <c r="N15" s="5">
        <v>0</v>
      </c>
      <c r="O15" s="11">
        <f t="shared" si="4"/>
        <v>0.05</v>
      </c>
      <c r="P15" s="7">
        <f t="shared" si="5"/>
        <v>0.17</v>
      </c>
      <c r="Q15" s="6">
        <f>C15-R15</f>
        <v>0</v>
      </c>
      <c r="R15" s="6">
        <f t="shared" si="7"/>
        <v>12.907407407407408</v>
      </c>
      <c r="S15" s="41">
        <f t="shared" si="8"/>
        <v>14.19814814814815</v>
      </c>
      <c r="T15" s="41">
        <v>19.04</v>
      </c>
      <c r="U15" s="41">
        <f t="shared" si="9"/>
        <v>0.57119999999999993</v>
      </c>
      <c r="V15" s="41">
        <f t="shared" si="10"/>
        <v>0.42</v>
      </c>
      <c r="W15" s="6">
        <f t="shared" si="11"/>
        <v>0.42594444444444446</v>
      </c>
      <c r="X15" s="7">
        <f t="shared" si="12"/>
        <v>8.1132275132275139E-2</v>
      </c>
    </row>
    <row r="16" spans="1:25" s="4" customFormat="1" x14ac:dyDescent="0.3">
      <c r="A16" s="5" t="s">
        <v>67</v>
      </c>
      <c r="B16" s="5" t="s">
        <v>27</v>
      </c>
      <c r="C16" s="9">
        <f t="shared" si="0"/>
        <v>0</v>
      </c>
      <c r="D16" s="14"/>
      <c r="E16" s="6"/>
      <c r="F16" s="6"/>
      <c r="G16" s="6"/>
      <c r="H16" s="6"/>
      <c r="I16" s="7"/>
      <c r="J16" s="6"/>
      <c r="K16" s="6"/>
      <c r="L16" s="6">
        <v>0</v>
      </c>
      <c r="M16" s="11"/>
      <c r="N16" s="5"/>
      <c r="O16" s="11"/>
      <c r="P16" s="7">
        <f t="shared" si="5"/>
        <v>0.17</v>
      </c>
      <c r="Q16" s="6"/>
      <c r="R16" s="6"/>
      <c r="S16" s="41"/>
      <c r="T16" s="41"/>
      <c r="U16" s="41">
        <f t="shared" si="9"/>
        <v>0</v>
      </c>
      <c r="V16" s="41">
        <f t="shared" si="10"/>
        <v>0</v>
      </c>
      <c r="W16" s="6">
        <f t="shared" si="11"/>
        <v>0</v>
      </c>
      <c r="X16" s="7" t="str">
        <f t="shared" si="12"/>
        <v/>
      </c>
    </row>
    <row r="17" spans="1:24" s="4" customFormat="1" x14ac:dyDescent="0.3">
      <c r="A17" s="5" t="s">
        <v>66</v>
      </c>
      <c r="B17" s="5" t="s">
        <v>28</v>
      </c>
      <c r="C17" s="9">
        <f t="shared" si="0"/>
        <v>26.007407407407417</v>
      </c>
      <c r="D17" s="14">
        <f t="shared" ref="D17:D22" si="13">Q17/C17</f>
        <v>0</v>
      </c>
      <c r="E17" s="6">
        <v>11.8</v>
      </c>
      <c r="F17" s="6">
        <f t="shared" ref="F17:F49" si="14">E17*$F$1</f>
        <v>0.94400000000000006</v>
      </c>
      <c r="G17" s="6">
        <v>0</v>
      </c>
      <c r="H17" s="6">
        <v>0.3</v>
      </c>
      <c r="I17" s="7">
        <v>0.14000000000000001</v>
      </c>
      <c r="J17" s="6">
        <v>0</v>
      </c>
      <c r="K17" s="6">
        <v>1</v>
      </c>
      <c r="L17" s="6">
        <v>0</v>
      </c>
      <c r="M17" s="11">
        <f t="shared" ref="M17:M49" si="15">$M$1</f>
        <v>0.1</v>
      </c>
      <c r="N17" s="5">
        <v>0</v>
      </c>
      <c r="O17" s="11">
        <f t="shared" ref="O17:O49" si="16">$O$1</f>
        <v>0.05</v>
      </c>
      <c r="P17" s="7">
        <f t="shared" si="5"/>
        <v>0.17</v>
      </c>
      <c r="Q17" s="6">
        <f t="shared" ref="Q17:Q22" si="17">C17-R17</f>
        <v>0</v>
      </c>
      <c r="R17" s="6">
        <f t="shared" ref="R17:R49" si="18">(E17+F17+J17+K17+G17+H17 - L17)/(1 - (I17 + M17 + O17 + P17 + N17))</f>
        <v>26.007407407407417</v>
      </c>
      <c r="S17" s="41">
        <f t="shared" ref="S17:S46" si="19">R17*(1+$S$1)</f>
        <v>28.60814814814816</v>
      </c>
      <c r="T17" s="41">
        <v>31</v>
      </c>
      <c r="U17" s="41">
        <f t="shared" si="9"/>
        <v>0.92999999999999994</v>
      </c>
      <c r="V17" s="41">
        <f t="shared" si="10"/>
        <v>0.94400000000000006</v>
      </c>
      <c r="W17" s="6">
        <f t="shared" si="11"/>
        <v>0.85824444444444481</v>
      </c>
      <c r="X17" s="7">
        <f t="shared" si="12"/>
        <v>7.2732580037664807E-2</v>
      </c>
    </row>
    <row r="18" spans="1:24" s="4" customFormat="1" x14ac:dyDescent="0.3">
      <c r="A18" s="5" t="s">
        <v>67</v>
      </c>
      <c r="B18" s="5" t="s">
        <v>28</v>
      </c>
      <c r="C18" s="9">
        <f t="shared" si="0"/>
        <v>26.007407407407417</v>
      </c>
      <c r="D18" s="14">
        <f t="shared" si="13"/>
        <v>0</v>
      </c>
      <c r="E18" s="6">
        <v>11.8</v>
      </c>
      <c r="F18" s="6">
        <f t="shared" si="14"/>
        <v>0.94400000000000006</v>
      </c>
      <c r="G18" s="6">
        <v>0</v>
      </c>
      <c r="H18" s="6">
        <v>0.3</v>
      </c>
      <c r="I18" s="7">
        <v>0.14000000000000001</v>
      </c>
      <c r="J18" s="6">
        <v>0</v>
      </c>
      <c r="K18" s="6">
        <v>1</v>
      </c>
      <c r="L18" s="6">
        <v>0</v>
      </c>
      <c r="M18" s="11">
        <f t="shared" si="15"/>
        <v>0.1</v>
      </c>
      <c r="N18" s="5">
        <v>0</v>
      </c>
      <c r="O18" s="11">
        <f t="shared" si="16"/>
        <v>0.05</v>
      </c>
      <c r="P18" s="7">
        <f t="shared" si="5"/>
        <v>0.17</v>
      </c>
      <c r="Q18" s="6">
        <f t="shared" si="17"/>
        <v>0</v>
      </c>
      <c r="R18" s="6">
        <f t="shared" si="18"/>
        <v>26.007407407407417</v>
      </c>
      <c r="S18" s="41">
        <f t="shared" si="19"/>
        <v>28.60814814814816</v>
      </c>
      <c r="T18" s="41">
        <v>31</v>
      </c>
      <c r="U18" s="41">
        <f t="shared" si="9"/>
        <v>0.92999999999999994</v>
      </c>
      <c r="V18" s="41">
        <f t="shared" si="10"/>
        <v>0.94400000000000006</v>
      </c>
      <c r="W18" s="6">
        <f t="shared" si="11"/>
        <v>0.85824444444444481</v>
      </c>
      <c r="X18" s="7">
        <f t="shared" si="12"/>
        <v>7.2732580037664807E-2</v>
      </c>
    </row>
    <row r="19" spans="1:24" s="4" customFormat="1" x14ac:dyDescent="0.3">
      <c r="A19" s="5" t="s">
        <v>66</v>
      </c>
      <c r="B19" s="5" t="s">
        <v>29</v>
      </c>
      <c r="C19" s="9">
        <f t="shared" si="0"/>
        <v>50.059259259259264</v>
      </c>
      <c r="D19" s="14">
        <f t="shared" si="13"/>
        <v>0</v>
      </c>
      <c r="E19" s="6">
        <v>22.9</v>
      </c>
      <c r="F19" s="6">
        <f t="shared" si="14"/>
        <v>1.8319999999999999</v>
      </c>
      <c r="G19" s="6">
        <v>0</v>
      </c>
      <c r="H19" s="6">
        <v>0.3</v>
      </c>
      <c r="I19" s="7">
        <v>0.14000000000000001</v>
      </c>
      <c r="J19" s="6">
        <v>0</v>
      </c>
      <c r="K19" s="6">
        <v>2</v>
      </c>
      <c r="L19" s="6">
        <v>0</v>
      </c>
      <c r="M19" s="11">
        <f t="shared" si="15"/>
        <v>0.1</v>
      </c>
      <c r="N19" s="5">
        <v>0</v>
      </c>
      <c r="O19" s="11">
        <f t="shared" si="16"/>
        <v>0.05</v>
      </c>
      <c r="P19" s="7">
        <f t="shared" si="5"/>
        <v>0.17</v>
      </c>
      <c r="Q19" s="6">
        <f t="shared" si="17"/>
        <v>0</v>
      </c>
      <c r="R19" s="6">
        <f t="shared" si="18"/>
        <v>50.059259259259264</v>
      </c>
      <c r="S19" s="41">
        <f t="shared" si="19"/>
        <v>55.065185185185193</v>
      </c>
      <c r="T19" s="41">
        <v>54.04</v>
      </c>
      <c r="U19" s="41">
        <f t="shared" si="9"/>
        <v>1.6212</v>
      </c>
      <c r="V19" s="41">
        <f t="shared" si="10"/>
        <v>1.8319999999999999</v>
      </c>
      <c r="W19" s="6">
        <f t="shared" si="11"/>
        <v>1.6519555555555556</v>
      </c>
      <c r="X19" s="7">
        <f t="shared" si="12"/>
        <v>7.2137797185832131E-2</v>
      </c>
    </row>
    <row r="20" spans="1:24" s="4" customFormat="1" x14ac:dyDescent="0.3">
      <c r="A20" s="5" t="s">
        <v>67</v>
      </c>
      <c r="B20" s="5" t="s">
        <v>29</v>
      </c>
      <c r="C20" s="9">
        <f t="shared" si="0"/>
        <v>50.059259259259264</v>
      </c>
      <c r="D20" s="14">
        <f t="shared" si="13"/>
        <v>0</v>
      </c>
      <c r="E20" s="6">
        <v>22.9</v>
      </c>
      <c r="F20" s="6">
        <f t="shared" si="14"/>
        <v>1.8319999999999999</v>
      </c>
      <c r="G20" s="6">
        <v>0</v>
      </c>
      <c r="H20" s="6">
        <v>0.3</v>
      </c>
      <c r="I20" s="7">
        <v>0.14000000000000001</v>
      </c>
      <c r="J20" s="6">
        <v>0</v>
      </c>
      <c r="K20" s="6">
        <v>2</v>
      </c>
      <c r="L20" s="6">
        <v>0</v>
      </c>
      <c r="M20" s="11">
        <f t="shared" si="15"/>
        <v>0.1</v>
      </c>
      <c r="N20" s="5">
        <v>0</v>
      </c>
      <c r="O20" s="11">
        <f t="shared" si="16"/>
        <v>0.05</v>
      </c>
      <c r="P20" s="7">
        <f t="shared" si="5"/>
        <v>0.17</v>
      </c>
      <c r="Q20" s="6">
        <f t="shared" si="17"/>
        <v>0</v>
      </c>
      <c r="R20" s="6">
        <f t="shared" si="18"/>
        <v>50.059259259259264</v>
      </c>
      <c r="S20" s="41">
        <f t="shared" si="19"/>
        <v>55.065185185185193</v>
      </c>
      <c r="T20" s="41"/>
      <c r="U20" s="41">
        <f t="shared" si="9"/>
        <v>0</v>
      </c>
      <c r="V20" s="41">
        <f t="shared" si="10"/>
        <v>1.8319999999999999</v>
      </c>
      <c r="W20" s="6">
        <f t="shared" si="11"/>
        <v>1.6519555555555556</v>
      </c>
      <c r="X20" s="7">
        <f t="shared" si="12"/>
        <v>7.2137797185832131E-2</v>
      </c>
    </row>
    <row r="21" spans="1:24" s="4" customFormat="1" x14ac:dyDescent="0.3">
      <c r="A21" s="5" t="s">
        <v>66</v>
      </c>
      <c r="B21" s="3" t="s">
        <v>30</v>
      </c>
      <c r="C21" s="9">
        <f t="shared" si="0"/>
        <v>172.78592592592597</v>
      </c>
      <c r="D21" s="14">
        <f t="shared" si="13"/>
        <v>0</v>
      </c>
      <c r="E21" s="6">
        <v>78.430000000000007</v>
      </c>
      <c r="F21" s="6">
        <f t="shared" si="14"/>
        <v>6.2744000000000009</v>
      </c>
      <c r="G21" s="6">
        <v>0.6</v>
      </c>
      <c r="H21" s="6">
        <v>2</v>
      </c>
      <c r="I21" s="7">
        <v>0.14000000000000001</v>
      </c>
      <c r="J21" s="6">
        <v>0</v>
      </c>
      <c r="K21" s="6">
        <v>6</v>
      </c>
      <c r="L21" s="6">
        <v>0</v>
      </c>
      <c r="M21" s="11">
        <f t="shared" si="15"/>
        <v>0.1</v>
      </c>
      <c r="N21" s="5">
        <v>0</v>
      </c>
      <c r="O21" s="11">
        <f t="shared" si="16"/>
        <v>0.05</v>
      </c>
      <c r="P21" s="7">
        <f t="shared" si="5"/>
        <v>0.17</v>
      </c>
      <c r="Q21" s="6">
        <f t="shared" si="17"/>
        <v>0</v>
      </c>
      <c r="R21" s="6">
        <f t="shared" si="18"/>
        <v>172.78592592592597</v>
      </c>
      <c r="S21" s="41">
        <f t="shared" si="19"/>
        <v>190.06451851851858</v>
      </c>
      <c r="T21" s="41">
        <v>185</v>
      </c>
      <c r="U21" s="41">
        <f t="shared" si="9"/>
        <v>5.55</v>
      </c>
      <c r="V21" s="41">
        <f t="shared" si="10"/>
        <v>6.2744000000000009</v>
      </c>
      <c r="W21" s="6">
        <f t="shared" si="11"/>
        <v>5.7019355555555569</v>
      </c>
      <c r="X21" s="7">
        <f t="shared" si="12"/>
        <v>7.2700950599968839E-2</v>
      </c>
    </row>
    <row r="22" spans="1:24" s="4" customFormat="1" x14ac:dyDescent="0.3">
      <c r="A22" s="5" t="s">
        <v>67</v>
      </c>
      <c r="B22" s="3" t="s">
        <v>30</v>
      </c>
      <c r="C22" s="9">
        <f t="shared" si="0"/>
        <v>172.78592592592597</v>
      </c>
      <c r="D22" s="14">
        <f t="shared" si="13"/>
        <v>0</v>
      </c>
      <c r="E22" s="6">
        <v>78.430000000000007</v>
      </c>
      <c r="F22" s="6">
        <f t="shared" si="14"/>
        <v>6.2744000000000009</v>
      </c>
      <c r="G22" s="6">
        <v>0.6</v>
      </c>
      <c r="H22" s="6">
        <v>2</v>
      </c>
      <c r="I22" s="7">
        <v>0.14000000000000001</v>
      </c>
      <c r="J22" s="6">
        <v>0</v>
      </c>
      <c r="K22" s="6">
        <v>6</v>
      </c>
      <c r="L22" s="6">
        <v>0</v>
      </c>
      <c r="M22" s="11">
        <f t="shared" si="15"/>
        <v>0.1</v>
      </c>
      <c r="N22" s="5">
        <v>0</v>
      </c>
      <c r="O22" s="11">
        <f t="shared" si="16"/>
        <v>0.05</v>
      </c>
      <c r="P22" s="7">
        <f t="shared" si="5"/>
        <v>0.17</v>
      </c>
      <c r="Q22" s="6">
        <f t="shared" si="17"/>
        <v>0</v>
      </c>
      <c r="R22" s="6">
        <f t="shared" si="18"/>
        <v>172.78592592592597</v>
      </c>
      <c r="S22" s="41">
        <f t="shared" si="19"/>
        <v>190.06451851851858</v>
      </c>
      <c r="T22" s="41">
        <v>185</v>
      </c>
      <c r="U22" s="41">
        <f t="shared" si="9"/>
        <v>5.55</v>
      </c>
      <c r="V22" s="41">
        <f t="shared" si="10"/>
        <v>6.2744000000000009</v>
      </c>
      <c r="W22" s="6">
        <f t="shared" si="11"/>
        <v>5.7019355555555569</v>
      </c>
      <c r="X22" s="7">
        <f t="shared" si="12"/>
        <v>7.2700950599968839E-2</v>
      </c>
    </row>
    <row r="23" spans="1:24" s="4" customFormat="1" x14ac:dyDescent="0.3">
      <c r="A23" s="5"/>
      <c r="B23" s="3" t="s">
        <v>70</v>
      </c>
      <c r="C23" s="9">
        <f t="shared" si="0"/>
        <v>0</v>
      </c>
      <c r="D23" s="14"/>
      <c r="E23" s="6"/>
      <c r="F23" s="6">
        <f t="shared" si="14"/>
        <v>0</v>
      </c>
      <c r="G23" s="6"/>
      <c r="H23" s="6"/>
      <c r="I23" s="7"/>
      <c r="J23" s="6"/>
      <c r="K23" s="6"/>
      <c r="L23" s="6">
        <v>0</v>
      </c>
      <c r="M23" s="11">
        <f t="shared" si="15"/>
        <v>0.1</v>
      </c>
      <c r="N23" s="5"/>
      <c r="O23" s="11">
        <f t="shared" si="16"/>
        <v>0.05</v>
      </c>
      <c r="P23" s="7">
        <f t="shared" si="5"/>
        <v>0.17</v>
      </c>
      <c r="Q23" s="6"/>
      <c r="R23" s="6">
        <f t="shared" si="18"/>
        <v>0</v>
      </c>
      <c r="S23" s="41">
        <f t="shared" si="19"/>
        <v>0</v>
      </c>
      <c r="T23" s="41"/>
      <c r="U23" s="41">
        <f t="shared" si="9"/>
        <v>0</v>
      </c>
      <c r="V23" s="41">
        <f t="shared" si="10"/>
        <v>0</v>
      </c>
      <c r="W23" s="6">
        <f t="shared" si="11"/>
        <v>0</v>
      </c>
      <c r="X23" s="7" t="str">
        <f t="shared" si="12"/>
        <v/>
      </c>
    </row>
    <row r="24" spans="1:24" s="4" customFormat="1" x14ac:dyDescent="0.3">
      <c r="A24" s="5" t="s">
        <v>67</v>
      </c>
      <c r="B24" s="3" t="s">
        <v>71</v>
      </c>
      <c r="C24" s="9">
        <v>170</v>
      </c>
      <c r="D24" s="14">
        <f>Q24/C24</f>
        <v>-0.14396514161220048</v>
      </c>
      <c r="E24" s="6">
        <v>92.7</v>
      </c>
      <c r="F24" s="6">
        <f t="shared" si="14"/>
        <v>7.4160000000000004</v>
      </c>
      <c r="G24" s="6">
        <v>0.6</v>
      </c>
      <c r="H24" s="6">
        <v>2</v>
      </c>
      <c r="I24" s="7">
        <v>0.14000000000000001</v>
      </c>
      <c r="J24" s="6">
        <v>0</v>
      </c>
      <c r="K24" s="6">
        <v>6</v>
      </c>
      <c r="L24" s="6">
        <v>3.7</v>
      </c>
      <c r="M24" s="11">
        <f t="shared" si="15"/>
        <v>0.1</v>
      </c>
      <c r="N24" s="5">
        <v>0</v>
      </c>
      <c r="O24" s="11">
        <f t="shared" si="16"/>
        <v>0.05</v>
      </c>
      <c r="P24" s="7">
        <f t="shared" si="5"/>
        <v>0.17</v>
      </c>
      <c r="Q24" s="6">
        <f>C24-R24</f>
        <v>-24.474074074074082</v>
      </c>
      <c r="R24" s="6">
        <f t="shared" si="18"/>
        <v>194.47407407407408</v>
      </c>
      <c r="S24" s="41">
        <f t="shared" si="19"/>
        <v>213.92148148148152</v>
      </c>
      <c r="T24" s="41">
        <v>185</v>
      </c>
      <c r="U24" s="41">
        <f t="shared" si="9"/>
        <v>5.55</v>
      </c>
      <c r="V24" s="41">
        <f t="shared" si="10"/>
        <v>7.4160000000000004</v>
      </c>
      <c r="W24" s="6">
        <f t="shared" si="11"/>
        <v>6.4176444444444458</v>
      </c>
      <c r="X24" s="7">
        <f t="shared" si="12"/>
        <v>6.923025290662832E-2</v>
      </c>
    </row>
    <row r="25" spans="1:24" s="4" customFormat="1" x14ac:dyDescent="0.3">
      <c r="A25" s="5"/>
      <c r="B25" s="3" t="s">
        <v>31</v>
      </c>
      <c r="C25" s="9">
        <f t="shared" ref="C25:C46" si="20">R25</f>
        <v>0</v>
      </c>
      <c r="D25" s="14"/>
      <c r="E25" s="6"/>
      <c r="F25" s="6">
        <f t="shared" si="14"/>
        <v>0</v>
      </c>
      <c r="G25" s="6"/>
      <c r="H25" s="6"/>
      <c r="I25" s="7"/>
      <c r="J25" s="6"/>
      <c r="K25" s="6"/>
      <c r="L25" s="6">
        <v>0</v>
      </c>
      <c r="M25" s="11">
        <f t="shared" si="15"/>
        <v>0.1</v>
      </c>
      <c r="N25" s="5"/>
      <c r="O25" s="11">
        <f t="shared" si="16"/>
        <v>0.05</v>
      </c>
      <c r="P25" s="7">
        <f t="shared" si="5"/>
        <v>0.17</v>
      </c>
      <c r="Q25" s="6"/>
      <c r="R25" s="6">
        <f t="shared" si="18"/>
        <v>0</v>
      </c>
      <c r="S25" s="41">
        <f t="shared" si="19"/>
        <v>0</v>
      </c>
      <c r="T25" s="41"/>
      <c r="U25" s="41">
        <f t="shared" si="9"/>
        <v>0</v>
      </c>
      <c r="V25" s="41">
        <f t="shared" si="10"/>
        <v>0</v>
      </c>
      <c r="W25" s="6">
        <f t="shared" si="11"/>
        <v>0</v>
      </c>
      <c r="X25" s="7" t="str">
        <f t="shared" si="12"/>
        <v/>
      </c>
    </row>
    <row r="26" spans="1:24" s="4" customFormat="1" x14ac:dyDescent="0.3">
      <c r="A26" s="5" t="s">
        <v>66</v>
      </c>
      <c r="B26" s="3" t="s">
        <v>32</v>
      </c>
      <c r="C26" s="9">
        <f t="shared" si="20"/>
        <v>103.26923076923077</v>
      </c>
      <c r="D26" s="14">
        <f t="shared" ref="D26:D49" si="21">Q26/C26</f>
        <v>0</v>
      </c>
      <c r="E26" s="6">
        <v>45</v>
      </c>
      <c r="F26" s="6">
        <f t="shared" si="14"/>
        <v>3.6</v>
      </c>
      <c r="G26" s="6">
        <v>0.6</v>
      </c>
      <c r="H26" s="6">
        <v>0.5</v>
      </c>
      <c r="I26" s="7">
        <v>0.13</v>
      </c>
      <c r="J26" s="6">
        <v>0</v>
      </c>
      <c r="K26" s="6">
        <v>4</v>
      </c>
      <c r="L26" s="6">
        <v>0</v>
      </c>
      <c r="M26" s="11">
        <f t="shared" si="15"/>
        <v>0.1</v>
      </c>
      <c r="N26" s="5">
        <v>0</v>
      </c>
      <c r="O26" s="11">
        <f t="shared" si="16"/>
        <v>0.05</v>
      </c>
      <c r="P26" s="7">
        <v>0.2</v>
      </c>
      <c r="Q26" s="6">
        <f t="shared" ref="Q26:Q49" si="22">C26-R26</f>
        <v>0</v>
      </c>
      <c r="R26" s="6">
        <f t="shared" si="18"/>
        <v>103.26923076923077</v>
      </c>
      <c r="S26" s="41">
        <f t="shared" si="19"/>
        <v>113.59615384615385</v>
      </c>
      <c r="T26" s="41">
        <v>137</v>
      </c>
      <c r="U26" s="41">
        <f t="shared" si="9"/>
        <v>4.1099999999999994</v>
      </c>
      <c r="V26" s="41">
        <f t="shared" si="10"/>
        <v>3.6</v>
      </c>
      <c r="W26" s="6">
        <f t="shared" si="11"/>
        <v>3.4078846153846154</v>
      </c>
      <c r="X26" s="7">
        <f t="shared" si="12"/>
        <v>7.5730769230769227E-2</v>
      </c>
    </row>
    <row r="27" spans="1:24" s="4" customFormat="1" x14ac:dyDescent="0.3">
      <c r="A27" s="5" t="s">
        <v>67</v>
      </c>
      <c r="B27" s="3" t="s">
        <v>32</v>
      </c>
      <c r="C27" s="9">
        <f t="shared" si="20"/>
        <v>103.26923076923077</v>
      </c>
      <c r="D27" s="14">
        <f t="shared" si="21"/>
        <v>0</v>
      </c>
      <c r="E27" s="6">
        <v>45</v>
      </c>
      <c r="F27" s="6">
        <f t="shared" si="14"/>
        <v>3.6</v>
      </c>
      <c r="G27" s="6">
        <v>0.6</v>
      </c>
      <c r="H27" s="6">
        <v>0.5</v>
      </c>
      <c r="I27" s="7">
        <v>0.13</v>
      </c>
      <c r="J27" s="6">
        <v>0</v>
      </c>
      <c r="K27" s="6">
        <v>4</v>
      </c>
      <c r="L27" s="6">
        <v>0</v>
      </c>
      <c r="M27" s="11">
        <f t="shared" si="15"/>
        <v>0.1</v>
      </c>
      <c r="N27" s="5">
        <v>0</v>
      </c>
      <c r="O27" s="11">
        <f t="shared" si="16"/>
        <v>0.05</v>
      </c>
      <c r="P27" s="7">
        <v>0.2</v>
      </c>
      <c r="Q27" s="6">
        <f t="shared" si="22"/>
        <v>0</v>
      </c>
      <c r="R27" s="6">
        <f t="shared" si="18"/>
        <v>103.26923076923077</v>
      </c>
      <c r="S27" s="41">
        <f t="shared" si="19"/>
        <v>113.59615384615385</v>
      </c>
      <c r="T27" s="41">
        <v>137</v>
      </c>
      <c r="U27" s="41">
        <f t="shared" si="9"/>
        <v>4.1099999999999994</v>
      </c>
      <c r="V27" s="41">
        <f t="shared" si="10"/>
        <v>3.6</v>
      </c>
      <c r="W27" s="6">
        <f t="shared" si="11"/>
        <v>3.4078846153846154</v>
      </c>
      <c r="X27" s="7">
        <f t="shared" si="12"/>
        <v>7.5730769230769227E-2</v>
      </c>
    </row>
    <row r="28" spans="1:24" s="4" customFormat="1" x14ac:dyDescent="0.3">
      <c r="A28" s="5" t="s">
        <v>67</v>
      </c>
      <c r="B28" s="43" t="s">
        <v>34</v>
      </c>
      <c r="C28" s="9">
        <f t="shared" si="20"/>
        <v>22.149090909090912</v>
      </c>
      <c r="D28" s="14">
        <f t="shared" si="21"/>
        <v>0</v>
      </c>
      <c r="E28" s="6">
        <v>9.15</v>
      </c>
      <c r="F28" s="6">
        <f t="shared" si="14"/>
        <v>0.7320000000000001</v>
      </c>
      <c r="G28" s="6">
        <v>0.3</v>
      </c>
      <c r="H28" s="6">
        <v>1</v>
      </c>
      <c r="I28" s="7">
        <v>0.13</v>
      </c>
      <c r="J28" s="6">
        <v>0</v>
      </c>
      <c r="K28" s="6">
        <v>1</v>
      </c>
      <c r="L28" s="6">
        <v>0</v>
      </c>
      <c r="M28" s="11">
        <f t="shared" si="15"/>
        <v>0.1</v>
      </c>
      <c r="N28" s="5">
        <v>0</v>
      </c>
      <c r="O28" s="11">
        <f t="shared" si="16"/>
        <v>0.05</v>
      </c>
      <c r="P28" s="7">
        <f t="shared" ref="P28:P49" si="23">$P$1</f>
        <v>0.17</v>
      </c>
      <c r="Q28" s="6">
        <f t="shared" si="22"/>
        <v>0</v>
      </c>
      <c r="R28" s="6">
        <f t="shared" si="18"/>
        <v>22.149090909090912</v>
      </c>
      <c r="S28" s="41">
        <f t="shared" si="19"/>
        <v>24.364000000000004</v>
      </c>
      <c r="T28" s="41"/>
      <c r="U28" s="41">
        <f t="shared" si="9"/>
        <v>0</v>
      </c>
      <c r="V28" s="41">
        <f t="shared" si="10"/>
        <v>0.7320000000000001</v>
      </c>
      <c r="W28" s="6">
        <f t="shared" si="11"/>
        <v>0.73092000000000013</v>
      </c>
      <c r="X28" s="7">
        <f t="shared" si="12"/>
        <v>7.988196721311476E-2</v>
      </c>
    </row>
    <row r="29" spans="1:24" s="4" customFormat="1" x14ac:dyDescent="0.3">
      <c r="A29" s="5"/>
      <c r="B29" s="43" t="s">
        <v>35</v>
      </c>
      <c r="C29" s="9">
        <f t="shared" si="20"/>
        <v>36.335555555555565</v>
      </c>
      <c r="D29" s="14">
        <f t="shared" si="21"/>
        <v>0</v>
      </c>
      <c r="E29" s="6">
        <v>15.39</v>
      </c>
      <c r="F29" s="6">
        <f t="shared" si="14"/>
        <v>1.2312000000000001</v>
      </c>
      <c r="G29" s="6">
        <v>1</v>
      </c>
      <c r="H29" s="6">
        <v>0</v>
      </c>
      <c r="I29" s="7">
        <v>0.14000000000000001</v>
      </c>
      <c r="J29" s="6">
        <v>0</v>
      </c>
      <c r="K29" s="6">
        <v>2</v>
      </c>
      <c r="L29" s="6">
        <v>0</v>
      </c>
      <c r="M29" s="11">
        <f t="shared" si="15"/>
        <v>0.1</v>
      </c>
      <c r="N29" s="5">
        <v>0</v>
      </c>
      <c r="O29" s="11">
        <f t="shared" si="16"/>
        <v>0.05</v>
      </c>
      <c r="P29" s="7">
        <f t="shared" si="23"/>
        <v>0.17</v>
      </c>
      <c r="Q29" s="6">
        <f t="shared" si="22"/>
        <v>0</v>
      </c>
      <c r="R29" s="6">
        <f t="shared" si="18"/>
        <v>36.335555555555565</v>
      </c>
      <c r="S29" s="41">
        <f t="shared" si="19"/>
        <v>39.969111111111125</v>
      </c>
      <c r="T29" s="41"/>
      <c r="U29" s="41">
        <f t="shared" si="9"/>
        <v>0</v>
      </c>
      <c r="V29" s="41">
        <f t="shared" si="10"/>
        <v>1.2312000000000001</v>
      </c>
      <c r="W29" s="6">
        <f t="shared" si="11"/>
        <v>1.1990733333333337</v>
      </c>
      <c r="X29" s="7">
        <f t="shared" si="12"/>
        <v>7.7912497292614263E-2</v>
      </c>
    </row>
    <row r="30" spans="1:24" s="4" customFormat="1" x14ac:dyDescent="0.3">
      <c r="A30" s="5"/>
      <c r="B30" s="43" t="s">
        <v>36</v>
      </c>
      <c r="C30" s="9">
        <f t="shared" si="20"/>
        <v>30.000000000000004</v>
      </c>
      <c r="D30" s="14">
        <f t="shared" si="21"/>
        <v>0</v>
      </c>
      <c r="E30" s="6">
        <v>12.5</v>
      </c>
      <c r="F30" s="6">
        <f t="shared" si="14"/>
        <v>1</v>
      </c>
      <c r="G30" s="6">
        <v>1</v>
      </c>
      <c r="H30" s="6">
        <v>0</v>
      </c>
      <c r="I30" s="7">
        <v>0.13</v>
      </c>
      <c r="J30" s="6">
        <v>0</v>
      </c>
      <c r="K30" s="6">
        <v>2</v>
      </c>
      <c r="L30" s="6">
        <v>0</v>
      </c>
      <c r="M30" s="11">
        <f t="shared" si="15"/>
        <v>0.1</v>
      </c>
      <c r="N30" s="5">
        <v>0</v>
      </c>
      <c r="O30" s="11">
        <f t="shared" si="16"/>
        <v>0.05</v>
      </c>
      <c r="P30" s="7">
        <f t="shared" si="23"/>
        <v>0.17</v>
      </c>
      <c r="Q30" s="6">
        <f t="shared" si="22"/>
        <v>0</v>
      </c>
      <c r="R30" s="6">
        <f t="shared" si="18"/>
        <v>30.000000000000004</v>
      </c>
      <c r="S30" s="41">
        <f t="shared" si="19"/>
        <v>33.000000000000007</v>
      </c>
      <c r="T30" s="41"/>
      <c r="U30" s="41">
        <f t="shared" si="9"/>
        <v>0</v>
      </c>
      <c r="V30" s="41">
        <f t="shared" si="10"/>
        <v>1</v>
      </c>
      <c r="W30" s="6">
        <f t="shared" si="11"/>
        <v>0.99000000000000021</v>
      </c>
      <c r="X30" s="7">
        <f t="shared" si="12"/>
        <v>7.920000000000002E-2</v>
      </c>
    </row>
    <row r="31" spans="1:24" s="4" customFormat="1" x14ac:dyDescent="0.3">
      <c r="A31" s="5" t="s">
        <v>66</v>
      </c>
      <c r="B31" s="43" t="s">
        <v>37</v>
      </c>
      <c r="C31" s="9">
        <f t="shared" si="20"/>
        <v>32.555555555555557</v>
      </c>
      <c r="D31" s="14">
        <f t="shared" si="21"/>
        <v>0</v>
      </c>
      <c r="E31" s="6">
        <v>13.5</v>
      </c>
      <c r="F31" s="6">
        <f t="shared" si="14"/>
        <v>1.08</v>
      </c>
      <c r="G31" s="6">
        <v>1</v>
      </c>
      <c r="H31" s="6">
        <v>0</v>
      </c>
      <c r="I31" s="7">
        <v>0.14000000000000001</v>
      </c>
      <c r="J31" s="6">
        <v>0</v>
      </c>
      <c r="K31" s="6">
        <v>2</v>
      </c>
      <c r="L31" s="6">
        <v>0</v>
      </c>
      <c r="M31" s="11">
        <f t="shared" si="15"/>
        <v>0.1</v>
      </c>
      <c r="N31" s="5">
        <v>0</v>
      </c>
      <c r="O31" s="11">
        <f t="shared" si="16"/>
        <v>0.05</v>
      </c>
      <c r="P31" s="7">
        <f t="shared" si="23"/>
        <v>0.17</v>
      </c>
      <c r="Q31" s="6">
        <f t="shared" si="22"/>
        <v>0</v>
      </c>
      <c r="R31" s="6">
        <f t="shared" si="18"/>
        <v>32.555555555555557</v>
      </c>
      <c r="S31" s="41">
        <f t="shared" si="19"/>
        <v>35.811111111111117</v>
      </c>
      <c r="T31" s="41">
        <v>48</v>
      </c>
      <c r="U31" s="41">
        <f t="shared" si="9"/>
        <v>1.44</v>
      </c>
      <c r="V31" s="41">
        <f t="shared" si="10"/>
        <v>1.08</v>
      </c>
      <c r="W31" s="6">
        <f t="shared" si="11"/>
        <v>1.0743333333333336</v>
      </c>
      <c r="X31" s="7">
        <f t="shared" si="12"/>
        <v>7.958024691358026E-2</v>
      </c>
    </row>
    <row r="32" spans="1:24" s="4" customFormat="1" x14ac:dyDescent="0.3">
      <c r="A32" s="5" t="s">
        <v>67</v>
      </c>
      <c r="B32" s="43" t="s">
        <v>37</v>
      </c>
      <c r="C32" s="9">
        <f t="shared" si="20"/>
        <v>32.555555555555557</v>
      </c>
      <c r="D32" s="14">
        <f t="shared" si="21"/>
        <v>0</v>
      </c>
      <c r="E32" s="6">
        <v>13.5</v>
      </c>
      <c r="F32" s="6">
        <f t="shared" si="14"/>
        <v>1.08</v>
      </c>
      <c r="G32" s="6">
        <v>1</v>
      </c>
      <c r="H32" s="6">
        <v>0</v>
      </c>
      <c r="I32" s="7">
        <v>0.14000000000000001</v>
      </c>
      <c r="J32" s="6">
        <v>0</v>
      </c>
      <c r="K32" s="6">
        <v>2</v>
      </c>
      <c r="L32" s="6">
        <v>0</v>
      </c>
      <c r="M32" s="11">
        <f t="shared" si="15"/>
        <v>0.1</v>
      </c>
      <c r="N32" s="5">
        <v>0</v>
      </c>
      <c r="O32" s="11">
        <f t="shared" si="16"/>
        <v>0.05</v>
      </c>
      <c r="P32" s="7">
        <f t="shared" si="23"/>
        <v>0.17</v>
      </c>
      <c r="Q32" s="6">
        <f t="shared" si="22"/>
        <v>0</v>
      </c>
      <c r="R32" s="6">
        <f t="shared" si="18"/>
        <v>32.555555555555557</v>
      </c>
      <c r="S32" s="41">
        <f t="shared" si="19"/>
        <v>35.811111111111117</v>
      </c>
      <c r="T32" s="41"/>
      <c r="U32" s="41">
        <f t="shared" si="9"/>
        <v>0</v>
      </c>
      <c r="V32" s="41">
        <f t="shared" si="10"/>
        <v>1.08</v>
      </c>
      <c r="W32" s="6">
        <f t="shared" si="11"/>
        <v>1.0743333333333336</v>
      </c>
      <c r="X32" s="7">
        <f t="shared" si="12"/>
        <v>7.958024691358026E-2</v>
      </c>
    </row>
    <row r="33" spans="1:24" s="4" customFormat="1" x14ac:dyDescent="0.3">
      <c r="A33" s="5" t="s">
        <v>66</v>
      </c>
      <c r="B33" s="43" t="s">
        <v>38</v>
      </c>
      <c r="C33" s="9">
        <f t="shared" si="20"/>
        <v>16.603703703703708</v>
      </c>
      <c r="D33" s="14">
        <f t="shared" si="21"/>
        <v>0</v>
      </c>
      <c r="E33" s="6">
        <v>6.45</v>
      </c>
      <c r="F33" s="6">
        <f t="shared" si="14"/>
        <v>0.51600000000000001</v>
      </c>
      <c r="G33" s="6">
        <v>1</v>
      </c>
      <c r="H33" s="6">
        <v>0</v>
      </c>
      <c r="I33" s="7">
        <v>0.14000000000000001</v>
      </c>
      <c r="J33" s="6">
        <v>0</v>
      </c>
      <c r="K33" s="6">
        <v>1</v>
      </c>
      <c r="L33" s="6">
        <v>0</v>
      </c>
      <c r="M33" s="11">
        <f t="shared" si="15"/>
        <v>0.1</v>
      </c>
      <c r="N33" s="5">
        <v>0</v>
      </c>
      <c r="O33" s="11">
        <f t="shared" si="16"/>
        <v>0.05</v>
      </c>
      <c r="P33" s="7">
        <f t="shared" si="23"/>
        <v>0.17</v>
      </c>
      <c r="Q33" s="6">
        <f t="shared" si="22"/>
        <v>0</v>
      </c>
      <c r="R33" s="6">
        <f t="shared" si="18"/>
        <v>16.603703703703708</v>
      </c>
      <c r="S33" s="41">
        <f t="shared" si="19"/>
        <v>18.264074074074081</v>
      </c>
      <c r="T33" s="41"/>
      <c r="U33" s="41">
        <f t="shared" si="9"/>
        <v>0</v>
      </c>
      <c r="V33" s="41">
        <f t="shared" si="10"/>
        <v>0.51600000000000001</v>
      </c>
      <c r="W33" s="6">
        <f t="shared" si="11"/>
        <v>0.54792222222222242</v>
      </c>
      <c r="X33" s="7">
        <f t="shared" si="12"/>
        <v>8.4949181739879448E-2</v>
      </c>
    </row>
    <row r="34" spans="1:24" s="4" customFormat="1" x14ac:dyDescent="0.3">
      <c r="A34" s="5" t="s">
        <v>67</v>
      </c>
      <c r="B34" s="43" t="s">
        <v>38</v>
      </c>
      <c r="C34" s="9">
        <f t="shared" si="20"/>
        <v>16.603703703703708</v>
      </c>
      <c r="D34" s="14">
        <f t="shared" si="21"/>
        <v>0</v>
      </c>
      <c r="E34" s="6">
        <v>6.45</v>
      </c>
      <c r="F34" s="6">
        <f t="shared" si="14"/>
        <v>0.51600000000000001</v>
      </c>
      <c r="G34" s="6">
        <v>1</v>
      </c>
      <c r="H34" s="6">
        <v>0</v>
      </c>
      <c r="I34" s="7">
        <v>0.14000000000000001</v>
      </c>
      <c r="J34" s="6">
        <v>0</v>
      </c>
      <c r="K34" s="6">
        <v>1</v>
      </c>
      <c r="L34" s="6">
        <v>0</v>
      </c>
      <c r="M34" s="11">
        <f t="shared" si="15"/>
        <v>0.1</v>
      </c>
      <c r="N34" s="5">
        <v>0</v>
      </c>
      <c r="O34" s="11">
        <f t="shared" si="16"/>
        <v>0.05</v>
      </c>
      <c r="P34" s="7">
        <f t="shared" si="23"/>
        <v>0.17</v>
      </c>
      <c r="Q34" s="6">
        <f t="shared" si="22"/>
        <v>0</v>
      </c>
      <c r="R34" s="6">
        <f t="shared" si="18"/>
        <v>16.603703703703708</v>
      </c>
      <c r="S34" s="41">
        <f t="shared" si="19"/>
        <v>18.264074074074081</v>
      </c>
      <c r="T34" s="41"/>
      <c r="U34" s="41">
        <f t="shared" si="9"/>
        <v>0</v>
      </c>
      <c r="V34" s="41">
        <f t="shared" si="10"/>
        <v>0.51600000000000001</v>
      </c>
      <c r="W34" s="6">
        <f t="shared" si="11"/>
        <v>0.54792222222222242</v>
      </c>
      <c r="X34" s="7">
        <f t="shared" si="12"/>
        <v>8.4949181739879448E-2</v>
      </c>
    </row>
    <row r="35" spans="1:24" s="4" customFormat="1" x14ac:dyDescent="0.3">
      <c r="A35" s="5"/>
      <c r="B35" s="43" t="s">
        <v>39</v>
      </c>
      <c r="C35" s="9">
        <f t="shared" si="20"/>
        <v>56.218181818181826</v>
      </c>
      <c r="D35" s="14">
        <f t="shared" si="21"/>
        <v>0</v>
      </c>
      <c r="E35" s="6">
        <v>24</v>
      </c>
      <c r="F35" s="6">
        <f t="shared" si="14"/>
        <v>1.92</v>
      </c>
      <c r="G35" s="6">
        <v>1</v>
      </c>
      <c r="H35" s="6">
        <v>0</v>
      </c>
      <c r="I35" s="7">
        <v>0.13</v>
      </c>
      <c r="J35" s="6">
        <v>0</v>
      </c>
      <c r="K35" s="6">
        <v>4</v>
      </c>
      <c r="L35" s="6">
        <v>0</v>
      </c>
      <c r="M35" s="11">
        <f t="shared" si="15"/>
        <v>0.1</v>
      </c>
      <c r="N35" s="5">
        <v>0</v>
      </c>
      <c r="O35" s="11">
        <f t="shared" si="16"/>
        <v>0.05</v>
      </c>
      <c r="P35" s="7">
        <f t="shared" si="23"/>
        <v>0.17</v>
      </c>
      <c r="Q35" s="6">
        <f t="shared" si="22"/>
        <v>0</v>
      </c>
      <c r="R35" s="6">
        <f t="shared" si="18"/>
        <v>56.218181818181826</v>
      </c>
      <c r="S35" s="41">
        <f t="shared" si="19"/>
        <v>61.840000000000011</v>
      </c>
      <c r="T35" s="41"/>
      <c r="U35" s="41">
        <f t="shared" si="9"/>
        <v>0</v>
      </c>
      <c r="V35" s="41">
        <f t="shared" si="10"/>
        <v>1.92</v>
      </c>
      <c r="W35" s="6">
        <f t="shared" si="11"/>
        <v>1.8552000000000002</v>
      </c>
      <c r="X35" s="7">
        <f t="shared" si="12"/>
        <v>7.7300000000000008E-2</v>
      </c>
    </row>
    <row r="36" spans="1:24" s="4" customFormat="1" x14ac:dyDescent="0.3">
      <c r="A36" s="5"/>
      <c r="B36" s="3" t="s">
        <v>40</v>
      </c>
      <c r="C36" s="9">
        <f t="shared" si="20"/>
        <v>26.851851851851855</v>
      </c>
      <c r="D36" s="14">
        <f t="shared" si="21"/>
        <v>0</v>
      </c>
      <c r="E36" s="6">
        <f>5*2.5</f>
        <v>12.5</v>
      </c>
      <c r="F36" s="6">
        <f t="shared" si="14"/>
        <v>1</v>
      </c>
      <c r="G36" s="6">
        <v>0</v>
      </c>
      <c r="H36" s="6">
        <v>0</v>
      </c>
      <c r="I36" s="7">
        <v>0.14000000000000001</v>
      </c>
      <c r="J36" s="6">
        <v>0</v>
      </c>
      <c r="K36" s="6">
        <v>1</v>
      </c>
      <c r="L36" s="6">
        <v>0</v>
      </c>
      <c r="M36" s="11">
        <f t="shared" si="15"/>
        <v>0.1</v>
      </c>
      <c r="N36" s="5">
        <v>0</v>
      </c>
      <c r="O36" s="11">
        <f t="shared" si="16"/>
        <v>0.05</v>
      </c>
      <c r="P36" s="7">
        <f t="shared" si="23"/>
        <v>0.17</v>
      </c>
      <c r="Q36" s="6">
        <f t="shared" si="22"/>
        <v>0</v>
      </c>
      <c r="R36" s="6">
        <f t="shared" si="18"/>
        <v>26.851851851851855</v>
      </c>
      <c r="S36" s="41">
        <f t="shared" si="19"/>
        <v>29.537037037037042</v>
      </c>
      <c r="T36" s="41"/>
      <c r="U36" s="41">
        <f t="shared" si="9"/>
        <v>0</v>
      </c>
      <c r="V36" s="41">
        <f t="shared" si="10"/>
        <v>1</v>
      </c>
      <c r="W36" s="6">
        <f t="shared" si="11"/>
        <v>0.88611111111111118</v>
      </c>
      <c r="X36" s="7">
        <f t="shared" si="12"/>
        <v>7.088888888888889E-2</v>
      </c>
    </row>
    <row r="37" spans="1:24" s="4" customFormat="1" x14ac:dyDescent="0.3">
      <c r="A37" s="5"/>
      <c r="B37" s="3" t="s">
        <v>41</v>
      </c>
      <c r="C37" s="9">
        <f t="shared" si="20"/>
        <v>52.403703703703712</v>
      </c>
      <c r="D37" s="14">
        <f t="shared" si="21"/>
        <v>0</v>
      </c>
      <c r="E37" s="6">
        <v>24.35</v>
      </c>
      <c r="F37" s="6">
        <f t="shared" si="14"/>
        <v>1.9480000000000002</v>
      </c>
      <c r="G37" s="6">
        <v>0</v>
      </c>
      <c r="H37" s="6">
        <v>0</v>
      </c>
      <c r="I37" s="7">
        <v>0.14000000000000001</v>
      </c>
      <c r="J37" s="6">
        <v>0</v>
      </c>
      <c r="K37" s="6">
        <v>2</v>
      </c>
      <c r="L37" s="6">
        <v>0</v>
      </c>
      <c r="M37" s="11">
        <f t="shared" si="15"/>
        <v>0.1</v>
      </c>
      <c r="N37" s="5">
        <v>0</v>
      </c>
      <c r="O37" s="11">
        <f t="shared" si="16"/>
        <v>0.05</v>
      </c>
      <c r="P37" s="7">
        <f t="shared" si="23"/>
        <v>0.17</v>
      </c>
      <c r="Q37" s="6">
        <f t="shared" si="22"/>
        <v>0</v>
      </c>
      <c r="R37" s="6">
        <f t="shared" si="18"/>
        <v>52.403703703703712</v>
      </c>
      <c r="S37" s="41">
        <f t="shared" si="19"/>
        <v>57.644074074074091</v>
      </c>
      <c r="T37" s="41"/>
      <c r="U37" s="41">
        <f t="shared" si="9"/>
        <v>0</v>
      </c>
      <c r="V37" s="41">
        <f t="shared" si="10"/>
        <v>1.9480000000000002</v>
      </c>
      <c r="W37" s="6">
        <f t="shared" si="11"/>
        <v>1.7293222222222226</v>
      </c>
      <c r="X37" s="7">
        <f t="shared" si="12"/>
        <v>7.1019393109742202E-2</v>
      </c>
    </row>
    <row r="38" spans="1:24" s="4" customFormat="1" x14ac:dyDescent="0.3">
      <c r="A38" s="5"/>
      <c r="B38" s="3" t="s">
        <v>42</v>
      </c>
      <c r="C38" s="9">
        <f t="shared" si="20"/>
        <v>26.851851851851855</v>
      </c>
      <c r="D38" s="14">
        <f t="shared" si="21"/>
        <v>0</v>
      </c>
      <c r="E38" s="6">
        <f>5*2.5</f>
        <v>12.5</v>
      </c>
      <c r="F38" s="6">
        <f t="shared" si="14"/>
        <v>1</v>
      </c>
      <c r="G38" s="6">
        <v>0</v>
      </c>
      <c r="H38" s="6">
        <v>0</v>
      </c>
      <c r="I38" s="7">
        <v>0.14000000000000001</v>
      </c>
      <c r="J38" s="6">
        <v>0</v>
      </c>
      <c r="K38" s="6">
        <v>1</v>
      </c>
      <c r="L38" s="6">
        <v>0</v>
      </c>
      <c r="M38" s="11">
        <f t="shared" si="15"/>
        <v>0.1</v>
      </c>
      <c r="N38" s="5">
        <v>0</v>
      </c>
      <c r="O38" s="11">
        <f t="shared" si="16"/>
        <v>0.05</v>
      </c>
      <c r="P38" s="7">
        <f t="shared" si="23"/>
        <v>0.17</v>
      </c>
      <c r="Q38" s="6">
        <f t="shared" si="22"/>
        <v>0</v>
      </c>
      <c r="R38" s="6">
        <f t="shared" si="18"/>
        <v>26.851851851851855</v>
      </c>
      <c r="S38" s="41">
        <f t="shared" si="19"/>
        <v>29.537037037037042</v>
      </c>
      <c r="T38" s="41"/>
      <c r="U38" s="41">
        <f t="shared" si="9"/>
        <v>0</v>
      </c>
      <c r="V38" s="41">
        <f t="shared" si="10"/>
        <v>1</v>
      </c>
      <c r="W38" s="6">
        <f t="shared" si="11"/>
        <v>0.88611111111111118</v>
      </c>
      <c r="X38" s="7">
        <f t="shared" si="12"/>
        <v>7.088888888888889E-2</v>
      </c>
    </row>
    <row r="39" spans="1:24" s="4" customFormat="1" x14ac:dyDescent="0.3">
      <c r="A39" s="5"/>
      <c r="B39" s="3" t="s">
        <v>43</v>
      </c>
      <c r="C39" s="9">
        <f t="shared" si="20"/>
        <v>24.051851851851858</v>
      </c>
      <c r="D39" s="14">
        <f t="shared" si="21"/>
        <v>0</v>
      </c>
      <c r="E39" s="6">
        <f>3*3.7</f>
        <v>11.100000000000001</v>
      </c>
      <c r="F39" s="6">
        <f t="shared" si="14"/>
        <v>0.88800000000000012</v>
      </c>
      <c r="G39" s="6">
        <v>0</v>
      </c>
      <c r="H39" s="6">
        <v>0</v>
      </c>
      <c r="I39" s="7">
        <v>0.14000000000000001</v>
      </c>
      <c r="J39" s="6">
        <v>0</v>
      </c>
      <c r="K39" s="6">
        <v>1</v>
      </c>
      <c r="L39" s="6">
        <v>0</v>
      </c>
      <c r="M39" s="11">
        <f t="shared" si="15"/>
        <v>0.1</v>
      </c>
      <c r="N39" s="5">
        <v>0</v>
      </c>
      <c r="O39" s="11">
        <f t="shared" si="16"/>
        <v>0.05</v>
      </c>
      <c r="P39" s="7">
        <f t="shared" si="23"/>
        <v>0.17</v>
      </c>
      <c r="Q39" s="6">
        <f t="shared" si="22"/>
        <v>0</v>
      </c>
      <c r="R39" s="6">
        <f t="shared" si="18"/>
        <v>24.051851851851858</v>
      </c>
      <c r="S39" s="41">
        <f t="shared" si="19"/>
        <v>26.457037037037047</v>
      </c>
      <c r="T39" s="41"/>
      <c r="U39" s="41">
        <f t="shared" si="9"/>
        <v>0</v>
      </c>
      <c r="V39" s="41">
        <f t="shared" si="10"/>
        <v>0.88800000000000012</v>
      </c>
      <c r="W39" s="6">
        <f t="shared" si="11"/>
        <v>0.79371111111111137</v>
      </c>
      <c r="X39" s="7">
        <f t="shared" si="12"/>
        <v>7.1505505505505523E-2</v>
      </c>
    </row>
    <row r="40" spans="1:24" x14ac:dyDescent="0.3">
      <c r="A40" s="5"/>
      <c r="B40" s="3" t="s">
        <v>44</v>
      </c>
      <c r="C40" s="9">
        <f t="shared" si="20"/>
        <v>35.903703703703712</v>
      </c>
      <c r="D40" s="14">
        <f t="shared" si="21"/>
        <v>0</v>
      </c>
      <c r="E40" s="6">
        <f>E18+(E42/2)</f>
        <v>16.100000000000001</v>
      </c>
      <c r="F40" s="6">
        <f t="shared" si="14"/>
        <v>1.288</v>
      </c>
      <c r="G40" s="6">
        <v>0</v>
      </c>
      <c r="H40" s="6">
        <v>0</v>
      </c>
      <c r="I40" s="7">
        <v>0.14000000000000001</v>
      </c>
      <c r="J40" s="6">
        <v>0</v>
      </c>
      <c r="K40" s="6">
        <v>2</v>
      </c>
      <c r="L40" s="6">
        <v>0</v>
      </c>
      <c r="M40" s="11">
        <f t="shared" si="15"/>
        <v>0.1</v>
      </c>
      <c r="N40" s="5">
        <v>0</v>
      </c>
      <c r="O40" s="11">
        <f t="shared" si="16"/>
        <v>0.05</v>
      </c>
      <c r="P40" s="7">
        <f t="shared" si="23"/>
        <v>0.17</v>
      </c>
      <c r="Q40" s="6">
        <f t="shared" si="22"/>
        <v>0</v>
      </c>
      <c r="R40" s="6">
        <f t="shared" si="18"/>
        <v>35.903703703703712</v>
      </c>
      <c r="S40" s="41">
        <f t="shared" si="19"/>
        <v>39.494074074074085</v>
      </c>
      <c r="T40" s="41"/>
      <c r="U40" s="41">
        <f t="shared" si="9"/>
        <v>0</v>
      </c>
      <c r="V40" s="41">
        <f t="shared" si="10"/>
        <v>1.288</v>
      </c>
      <c r="W40" s="6">
        <f t="shared" si="11"/>
        <v>1.1848222222222224</v>
      </c>
      <c r="X40" s="7">
        <f t="shared" si="12"/>
        <v>7.3591442374051075E-2</v>
      </c>
    </row>
    <row r="41" spans="1:24" x14ac:dyDescent="0.3">
      <c r="A41" s="5"/>
      <c r="B41" s="3" t="s">
        <v>45</v>
      </c>
      <c r="C41" s="9">
        <f t="shared" si="20"/>
        <v>16.651851851851855</v>
      </c>
      <c r="D41" s="14">
        <f t="shared" si="21"/>
        <v>0</v>
      </c>
      <c r="E41" s="6">
        <f>E16+E43</f>
        <v>7.4</v>
      </c>
      <c r="F41" s="6">
        <f t="shared" si="14"/>
        <v>0.59200000000000008</v>
      </c>
      <c r="G41" s="6">
        <v>0</v>
      </c>
      <c r="H41" s="6">
        <v>0</v>
      </c>
      <c r="I41" s="7">
        <v>0.14000000000000001</v>
      </c>
      <c r="J41" s="6">
        <v>0</v>
      </c>
      <c r="K41" s="6">
        <v>1</v>
      </c>
      <c r="L41" s="6">
        <v>0</v>
      </c>
      <c r="M41" s="11">
        <f t="shared" si="15"/>
        <v>0.1</v>
      </c>
      <c r="N41" s="5">
        <v>0</v>
      </c>
      <c r="O41" s="11">
        <f t="shared" si="16"/>
        <v>0.05</v>
      </c>
      <c r="P41" s="7">
        <f t="shared" si="23"/>
        <v>0.17</v>
      </c>
      <c r="Q41" s="6">
        <f t="shared" si="22"/>
        <v>0</v>
      </c>
      <c r="R41" s="6">
        <f t="shared" si="18"/>
        <v>16.651851851851855</v>
      </c>
      <c r="S41" s="41">
        <f t="shared" si="19"/>
        <v>18.317037037037043</v>
      </c>
      <c r="T41" s="41"/>
      <c r="U41" s="41">
        <f t="shared" si="9"/>
        <v>0</v>
      </c>
      <c r="V41" s="41">
        <f t="shared" si="10"/>
        <v>0.59200000000000008</v>
      </c>
      <c r="W41" s="6">
        <f t="shared" si="11"/>
        <v>0.54951111111111128</v>
      </c>
      <c r="X41" s="7">
        <f t="shared" si="12"/>
        <v>7.4258258258258283E-2</v>
      </c>
    </row>
    <row r="42" spans="1:24" x14ac:dyDescent="0.3">
      <c r="A42" s="5"/>
      <c r="B42" s="3" t="s">
        <v>46</v>
      </c>
      <c r="C42" s="9">
        <f t="shared" si="20"/>
        <v>19.051851851851854</v>
      </c>
      <c r="D42" s="14">
        <f t="shared" si="21"/>
        <v>0</v>
      </c>
      <c r="E42" s="6">
        <f>2*4.3</f>
        <v>8.6</v>
      </c>
      <c r="F42" s="6">
        <f t="shared" si="14"/>
        <v>0.68799999999999994</v>
      </c>
      <c r="G42" s="6">
        <v>0</v>
      </c>
      <c r="H42" s="6">
        <v>0</v>
      </c>
      <c r="I42" s="7">
        <v>0.14000000000000001</v>
      </c>
      <c r="J42" s="6">
        <v>0</v>
      </c>
      <c r="K42" s="6">
        <v>1</v>
      </c>
      <c r="L42" s="6">
        <v>0</v>
      </c>
      <c r="M42" s="11">
        <f t="shared" si="15"/>
        <v>0.1</v>
      </c>
      <c r="N42" s="5">
        <v>0</v>
      </c>
      <c r="O42" s="11">
        <f t="shared" si="16"/>
        <v>0.05</v>
      </c>
      <c r="P42" s="7">
        <f t="shared" si="23"/>
        <v>0.17</v>
      </c>
      <c r="Q42" s="6">
        <f t="shared" si="22"/>
        <v>0</v>
      </c>
      <c r="R42" s="6">
        <f t="shared" si="18"/>
        <v>19.051851851851854</v>
      </c>
      <c r="S42" s="41">
        <f t="shared" si="19"/>
        <v>20.95703703703704</v>
      </c>
      <c r="T42" s="41"/>
      <c r="U42" s="41">
        <f t="shared" si="9"/>
        <v>0</v>
      </c>
      <c r="V42" s="41">
        <f t="shared" si="10"/>
        <v>0.68799999999999994</v>
      </c>
      <c r="W42" s="6">
        <f t="shared" si="11"/>
        <v>0.62871111111111122</v>
      </c>
      <c r="X42" s="7">
        <f t="shared" si="12"/>
        <v>7.3105943152454791E-2</v>
      </c>
    </row>
    <row r="43" spans="1:24" x14ac:dyDescent="0.3">
      <c r="A43" s="5"/>
      <c r="B43" s="3" t="s">
        <v>47</v>
      </c>
      <c r="C43" s="9">
        <f t="shared" si="20"/>
        <v>16.651851851851855</v>
      </c>
      <c r="D43" s="14">
        <f t="shared" si="21"/>
        <v>0</v>
      </c>
      <c r="E43" s="6">
        <v>7.4</v>
      </c>
      <c r="F43" s="6">
        <f t="shared" si="14"/>
        <v>0.59200000000000008</v>
      </c>
      <c r="G43" s="6">
        <v>0</v>
      </c>
      <c r="H43" s="6">
        <v>0</v>
      </c>
      <c r="I43" s="7">
        <v>0.14000000000000001</v>
      </c>
      <c r="J43" s="6">
        <v>0</v>
      </c>
      <c r="K43" s="6">
        <v>1</v>
      </c>
      <c r="L43" s="6">
        <v>0</v>
      </c>
      <c r="M43" s="11">
        <f t="shared" si="15"/>
        <v>0.1</v>
      </c>
      <c r="N43" s="5">
        <v>0</v>
      </c>
      <c r="O43" s="11">
        <f t="shared" si="16"/>
        <v>0.05</v>
      </c>
      <c r="P43" s="7">
        <f t="shared" si="23"/>
        <v>0.17</v>
      </c>
      <c r="Q43" s="6">
        <f t="shared" si="22"/>
        <v>0</v>
      </c>
      <c r="R43" s="6">
        <f t="shared" si="18"/>
        <v>16.651851851851855</v>
      </c>
      <c r="S43" s="41">
        <f t="shared" si="19"/>
        <v>18.317037037037043</v>
      </c>
      <c r="T43" s="41"/>
      <c r="U43" s="41">
        <f t="shared" si="9"/>
        <v>0</v>
      </c>
      <c r="V43" s="41">
        <f t="shared" si="10"/>
        <v>0.59200000000000008</v>
      </c>
      <c r="W43" s="6">
        <f t="shared" si="11"/>
        <v>0.54951111111111128</v>
      </c>
      <c r="X43" s="7">
        <f t="shared" si="12"/>
        <v>7.4258258258258283E-2</v>
      </c>
    </row>
    <row r="44" spans="1:24" s="4" customFormat="1" x14ac:dyDescent="0.3">
      <c r="A44" s="5"/>
      <c r="B44" s="5" t="s">
        <v>48</v>
      </c>
      <c r="C44" s="9">
        <f t="shared" si="20"/>
        <v>17.187407407407409</v>
      </c>
      <c r="D44" s="14">
        <f t="shared" si="21"/>
        <v>0</v>
      </c>
      <c r="E44" s="6">
        <v>7.39</v>
      </c>
      <c r="F44" s="6">
        <f t="shared" si="14"/>
        <v>0.59119999999999995</v>
      </c>
      <c r="G44" s="6">
        <v>0</v>
      </c>
      <c r="H44" s="6">
        <v>0.3</v>
      </c>
      <c r="I44" s="7">
        <v>0.14000000000000001</v>
      </c>
      <c r="J44" s="6">
        <v>0</v>
      </c>
      <c r="K44" s="6">
        <v>1</v>
      </c>
      <c r="L44" s="6">
        <v>0</v>
      </c>
      <c r="M44" s="11">
        <f t="shared" si="15"/>
        <v>0.1</v>
      </c>
      <c r="N44" s="5">
        <v>0</v>
      </c>
      <c r="O44" s="11">
        <f t="shared" si="16"/>
        <v>0.05</v>
      </c>
      <c r="P44" s="7">
        <f t="shared" si="23"/>
        <v>0.17</v>
      </c>
      <c r="Q44" s="6">
        <f t="shared" si="22"/>
        <v>0</v>
      </c>
      <c r="R44" s="6">
        <f t="shared" si="18"/>
        <v>17.187407407407409</v>
      </c>
      <c r="S44" s="41">
        <f t="shared" si="19"/>
        <v>18.906148148148151</v>
      </c>
      <c r="T44" s="41"/>
      <c r="U44" s="41">
        <f t="shared" si="9"/>
        <v>0</v>
      </c>
      <c r="V44" s="41">
        <f t="shared" si="10"/>
        <v>0.59119999999999995</v>
      </c>
      <c r="W44" s="6">
        <f t="shared" si="11"/>
        <v>0.56718444444444449</v>
      </c>
      <c r="X44" s="7">
        <f t="shared" si="12"/>
        <v>7.6750263118328083E-2</v>
      </c>
    </row>
    <row r="45" spans="1:24" s="4" customFormat="1" x14ac:dyDescent="0.3">
      <c r="A45" s="5" t="s">
        <v>67</v>
      </c>
      <c r="B45" s="5" t="s">
        <v>49</v>
      </c>
      <c r="C45" s="9">
        <f t="shared" si="20"/>
        <v>19.127407407407407</v>
      </c>
      <c r="D45" s="14">
        <f t="shared" si="21"/>
        <v>0</v>
      </c>
      <c r="E45" s="6">
        <v>8.36</v>
      </c>
      <c r="F45" s="6">
        <f t="shared" si="14"/>
        <v>0.66879999999999995</v>
      </c>
      <c r="G45" s="6">
        <v>0</v>
      </c>
      <c r="H45" s="6">
        <v>0.3</v>
      </c>
      <c r="I45" s="7">
        <v>0.14000000000000001</v>
      </c>
      <c r="J45" s="6">
        <v>0</v>
      </c>
      <c r="K45" s="6">
        <v>1</v>
      </c>
      <c r="L45" s="6">
        <v>0</v>
      </c>
      <c r="M45" s="11">
        <f t="shared" si="15"/>
        <v>0.1</v>
      </c>
      <c r="N45" s="5">
        <v>0</v>
      </c>
      <c r="O45" s="11">
        <f t="shared" si="16"/>
        <v>0.05</v>
      </c>
      <c r="P45" s="7">
        <f t="shared" si="23"/>
        <v>0.17</v>
      </c>
      <c r="Q45" s="6">
        <f t="shared" si="22"/>
        <v>0</v>
      </c>
      <c r="R45" s="6">
        <f t="shared" si="18"/>
        <v>19.127407407407407</v>
      </c>
      <c r="S45" s="41">
        <f t="shared" si="19"/>
        <v>21.040148148148148</v>
      </c>
      <c r="T45" s="41"/>
      <c r="U45" s="41">
        <f t="shared" si="9"/>
        <v>0</v>
      </c>
      <c r="V45" s="41">
        <f t="shared" si="10"/>
        <v>0.66879999999999995</v>
      </c>
      <c r="W45" s="6">
        <f t="shared" si="11"/>
        <v>0.63120444444444446</v>
      </c>
      <c r="X45" s="7">
        <f t="shared" si="12"/>
        <v>7.5502923976608197E-2</v>
      </c>
    </row>
    <row r="46" spans="1:24" s="4" customFormat="1" x14ac:dyDescent="0.3">
      <c r="A46" s="5"/>
      <c r="B46" s="5" t="s">
        <v>50</v>
      </c>
      <c r="C46" s="9">
        <f t="shared" si="20"/>
        <v>17.187407407407409</v>
      </c>
      <c r="D46" s="14">
        <f t="shared" si="21"/>
        <v>0</v>
      </c>
      <c r="E46" s="6">
        <v>7.39</v>
      </c>
      <c r="F46" s="6">
        <f t="shared" si="14"/>
        <v>0.59119999999999995</v>
      </c>
      <c r="G46" s="6">
        <v>0</v>
      </c>
      <c r="H46" s="6">
        <v>0.3</v>
      </c>
      <c r="I46" s="7">
        <v>0.14000000000000001</v>
      </c>
      <c r="J46" s="6">
        <v>0</v>
      </c>
      <c r="K46" s="6">
        <v>1</v>
      </c>
      <c r="L46" s="6">
        <v>0</v>
      </c>
      <c r="M46" s="11">
        <f t="shared" si="15"/>
        <v>0.1</v>
      </c>
      <c r="N46" s="5">
        <v>0</v>
      </c>
      <c r="O46" s="11">
        <f t="shared" si="16"/>
        <v>0.05</v>
      </c>
      <c r="P46" s="7">
        <f t="shared" si="23"/>
        <v>0.17</v>
      </c>
      <c r="Q46" s="6">
        <f t="shared" si="22"/>
        <v>0</v>
      </c>
      <c r="R46" s="6">
        <f t="shared" si="18"/>
        <v>17.187407407407409</v>
      </c>
      <c r="S46" s="41">
        <f t="shared" si="19"/>
        <v>18.906148148148151</v>
      </c>
      <c r="T46" s="41"/>
      <c r="U46" s="41">
        <f t="shared" si="9"/>
        <v>0</v>
      </c>
      <c r="V46" s="41">
        <f t="shared" si="10"/>
        <v>0.59119999999999995</v>
      </c>
      <c r="W46" s="6">
        <f t="shared" si="11"/>
        <v>0.56718444444444449</v>
      </c>
      <c r="X46" s="7">
        <f t="shared" si="12"/>
        <v>7.6750263118328083E-2</v>
      </c>
    </row>
    <row r="47" spans="1:24" s="4" customFormat="1" x14ac:dyDescent="0.3">
      <c r="A47" s="5" t="s">
        <v>66</v>
      </c>
      <c r="B47" s="5" t="s">
        <v>51</v>
      </c>
      <c r="C47" s="9">
        <v>22.59</v>
      </c>
      <c r="D47" s="14">
        <f t="shared" si="21"/>
        <v>1.1476726837486768E-4</v>
      </c>
      <c r="E47" s="6">
        <v>10.09</v>
      </c>
      <c r="F47" s="6">
        <f t="shared" si="14"/>
        <v>0.80720000000000003</v>
      </c>
      <c r="G47" s="6">
        <v>0</v>
      </c>
      <c r="H47" s="6">
        <v>0.3</v>
      </c>
      <c r="I47" s="7">
        <v>0.14000000000000001</v>
      </c>
      <c r="J47" s="6">
        <v>0</v>
      </c>
      <c r="K47" s="6">
        <v>1</v>
      </c>
      <c r="L47" s="6">
        <v>0</v>
      </c>
      <c r="M47" s="11">
        <f t="shared" si="15"/>
        <v>0.1</v>
      </c>
      <c r="N47" s="5">
        <v>0</v>
      </c>
      <c r="O47" s="11">
        <f t="shared" si="16"/>
        <v>0.05</v>
      </c>
      <c r="P47" s="7">
        <f t="shared" si="23"/>
        <v>0.17</v>
      </c>
      <c r="Q47" s="6">
        <f t="shared" si="22"/>
        <v>2.5925925925882609E-3</v>
      </c>
      <c r="R47" s="6">
        <f t="shared" si="18"/>
        <v>22.587407407407412</v>
      </c>
      <c r="S47" s="44">
        <f>R47/(1-$S$1)</f>
        <v>25.09711934156379</v>
      </c>
      <c r="T47" s="41">
        <v>25.1</v>
      </c>
      <c r="U47" s="41">
        <f t="shared" si="9"/>
        <v>0.753</v>
      </c>
      <c r="V47" s="41">
        <f t="shared" si="10"/>
        <v>0.80720000000000003</v>
      </c>
      <c r="W47" s="6">
        <f t="shared" si="11"/>
        <v>0.75291358024691368</v>
      </c>
      <c r="X47" s="7">
        <f t="shared" si="12"/>
        <v>7.4619780004649527E-2</v>
      </c>
    </row>
    <row r="48" spans="1:24" s="4" customFormat="1" x14ac:dyDescent="0.3">
      <c r="A48" s="5"/>
      <c r="B48" s="5" t="s">
        <v>52</v>
      </c>
      <c r="C48" s="9">
        <f>R48</f>
        <v>20.667407407407413</v>
      </c>
      <c r="D48" s="14">
        <f t="shared" si="21"/>
        <v>0</v>
      </c>
      <c r="E48" s="6">
        <v>9.1300000000000008</v>
      </c>
      <c r="F48" s="6">
        <f t="shared" si="14"/>
        <v>0.73040000000000005</v>
      </c>
      <c r="G48" s="6">
        <v>0</v>
      </c>
      <c r="H48" s="6">
        <v>0.3</v>
      </c>
      <c r="I48" s="7">
        <v>0.14000000000000001</v>
      </c>
      <c r="J48" s="6">
        <v>0</v>
      </c>
      <c r="K48" s="6">
        <v>1</v>
      </c>
      <c r="L48" s="6">
        <v>0</v>
      </c>
      <c r="M48" s="11">
        <f t="shared" si="15"/>
        <v>0.1</v>
      </c>
      <c r="N48" s="5">
        <v>0</v>
      </c>
      <c r="O48" s="11">
        <f t="shared" si="16"/>
        <v>0.05</v>
      </c>
      <c r="P48" s="7">
        <f t="shared" si="23"/>
        <v>0.17</v>
      </c>
      <c r="Q48" s="6">
        <f t="shared" si="22"/>
        <v>0</v>
      </c>
      <c r="R48" s="6">
        <f t="shared" si="18"/>
        <v>20.667407407407413</v>
      </c>
      <c r="S48" s="41">
        <f>R48*(1+$S$1)</f>
        <v>22.734148148148158</v>
      </c>
      <c r="T48" s="41"/>
      <c r="U48" s="41">
        <f t="shared" si="9"/>
        <v>0</v>
      </c>
      <c r="V48" s="41">
        <f t="shared" si="10"/>
        <v>0.73040000000000005</v>
      </c>
      <c r="W48" s="6">
        <f t="shared" si="11"/>
        <v>0.68202444444444477</v>
      </c>
      <c r="X48" s="7">
        <f t="shared" si="12"/>
        <v>7.4701472556894272E-2</v>
      </c>
    </row>
    <row r="49" spans="1:24" s="4" customFormat="1" x14ac:dyDescent="0.3">
      <c r="A49" s="5"/>
      <c r="B49" s="5" t="s">
        <v>78</v>
      </c>
      <c r="C49" s="9">
        <f>R49</f>
        <v>27.80740740740741</v>
      </c>
      <c r="D49" s="14">
        <f t="shared" si="21"/>
        <v>0</v>
      </c>
      <c r="E49" s="6">
        <v>12.7</v>
      </c>
      <c r="F49" s="6">
        <f t="shared" si="14"/>
        <v>1.016</v>
      </c>
      <c r="G49" s="6">
        <v>0</v>
      </c>
      <c r="H49" s="6">
        <v>0.3</v>
      </c>
      <c r="I49" s="7">
        <v>0.14000000000000001</v>
      </c>
      <c r="J49" s="6">
        <v>0</v>
      </c>
      <c r="K49" s="6">
        <v>1</v>
      </c>
      <c r="L49" s="6"/>
      <c r="M49" s="11">
        <f t="shared" si="15"/>
        <v>0.1</v>
      </c>
      <c r="N49" s="5">
        <v>0</v>
      </c>
      <c r="O49" s="11">
        <f t="shared" si="16"/>
        <v>0.05</v>
      </c>
      <c r="P49" s="7">
        <f t="shared" si="23"/>
        <v>0.17</v>
      </c>
      <c r="Q49" s="6">
        <f t="shared" si="22"/>
        <v>0</v>
      </c>
      <c r="R49" s="6">
        <f t="shared" si="18"/>
        <v>27.80740740740741</v>
      </c>
      <c r="S49" s="41">
        <f>R49*(1+$S$1)</f>
        <v>30.588148148148154</v>
      </c>
      <c r="T49" s="41"/>
      <c r="U49" s="41">
        <f t="shared" si="9"/>
        <v>0</v>
      </c>
      <c r="V49" s="41">
        <f t="shared" si="10"/>
        <v>1.016</v>
      </c>
      <c r="W49" s="6">
        <f t="shared" si="11"/>
        <v>0.9176444444444446</v>
      </c>
      <c r="X49" s="7">
        <f t="shared" si="12"/>
        <v>7.2255468066491704E-2</v>
      </c>
    </row>
  </sheetData>
  <autoFilter ref="A2:R49" xr:uid="{32ADF463-67BE-4B40-B1D3-F7FDD3169699}"/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F3A497-2195-4BD3-B00C-5BF8E41EF07C}">
          <x14:formula1>
            <xm:f>#REF!</xm:f>
          </x14:formula1>
          <xm:sqref>A3:A39 A44:A49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43E2-975E-4134-84DE-82A5B3730C1E}">
  <dimension ref="A1:AB50"/>
  <sheetViews>
    <sheetView workbookViewId="0">
      <pane xSplit="7" ySplit="2" topLeftCell="K33" activePane="bottomRight" state="frozen"/>
      <selection pane="topRight" activeCell="E1" sqref="E1"/>
      <selection pane="bottomLeft" activeCell="A3" sqref="A3"/>
      <selection pane="bottomRight" activeCell="H50" sqref="H50"/>
    </sheetView>
  </sheetViews>
  <sheetFormatPr defaultRowHeight="14.4" x14ac:dyDescent="0.3"/>
  <cols>
    <col min="1" max="1" width="9" bestFit="1" customWidth="1"/>
    <col min="2" max="2" width="12.5546875" customWidth="1"/>
    <col min="3" max="3" width="52.5546875" customWidth="1"/>
    <col min="4" max="4" width="14.44140625" bestFit="1" customWidth="1"/>
    <col min="5" max="5" width="11.44140625" style="4" bestFit="1" customWidth="1"/>
    <col min="6" max="6" width="12.33203125" customWidth="1"/>
    <col min="7" max="7" width="8.88671875" customWidth="1"/>
    <col min="8" max="8" width="9.109375" customWidth="1"/>
    <col min="9" max="9" width="9.109375" hidden="1" customWidth="1"/>
    <col min="10" max="10" width="9.109375" customWidth="1"/>
    <col min="11" max="11" width="11" customWidth="1"/>
    <col min="12" max="15" width="10.88671875" hidden="1" customWidth="1"/>
    <col min="16" max="16" width="10.88671875" customWidth="1"/>
    <col min="17" max="17" width="12.33203125" hidden="1" customWidth="1"/>
    <col min="18" max="18" width="10.88671875" customWidth="1"/>
    <col min="19" max="19" width="14.6640625" customWidth="1"/>
    <col min="20" max="20" width="9.109375" customWidth="1"/>
    <col min="21" max="21" width="11.33203125" customWidth="1"/>
    <col min="22" max="22" width="11.44140625" customWidth="1"/>
    <col min="23" max="23" width="12.6640625" customWidth="1"/>
    <col min="24" max="25" width="13" customWidth="1"/>
    <col min="26" max="27" width="15.88671875" customWidth="1"/>
    <col min="28" max="28" width="53.109375" bestFit="1" customWidth="1"/>
  </cols>
  <sheetData>
    <row r="1" spans="1:28" ht="106.5" customHeight="1" x14ac:dyDescent="0.3">
      <c r="A1" s="24" t="s">
        <v>0</v>
      </c>
      <c r="B1" s="24"/>
      <c r="C1" s="25">
        <v>45775</v>
      </c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s="12" customFormat="1" ht="43.2" x14ac:dyDescent="0.3">
      <c r="A2" s="13" t="s">
        <v>1</v>
      </c>
      <c r="B2" s="13" t="s">
        <v>2</v>
      </c>
      <c r="C2" s="13" t="s">
        <v>3</v>
      </c>
      <c r="D2" s="13" t="s">
        <v>4</v>
      </c>
      <c r="E2" s="13" t="s">
        <v>98</v>
      </c>
      <c r="F2" s="13" t="s">
        <v>5</v>
      </c>
      <c r="G2" s="13" t="s">
        <v>6</v>
      </c>
      <c r="H2" s="13" t="s">
        <v>7</v>
      </c>
      <c r="I2" s="13"/>
      <c r="J2" s="13" t="s">
        <v>9</v>
      </c>
      <c r="K2" s="13" t="s">
        <v>10</v>
      </c>
      <c r="L2" s="34"/>
      <c r="M2" s="34"/>
      <c r="N2" s="13"/>
      <c r="O2" s="13" t="s">
        <v>64</v>
      </c>
      <c r="P2" s="13" t="s">
        <v>12</v>
      </c>
      <c r="Q2" s="13" t="s">
        <v>13</v>
      </c>
      <c r="R2" s="16" t="s">
        <v>130</v>
      </c>
      <c r="S2" s="13" t="s">
        <v>99</v>
      </c>
      <c r="T2" s="13" t="s">
        <v>100</v>
      </c>
      <c r="U2" s="13" t="s">
        <v>101</v>
      </c>
      <c r="V2" s="15" t="s">
        <v>15</v>
      </c>
      <c r="W2" s="15" t="s">
        <v>16</v>
      </c>
      <c r="X2" s="13" t="s">
        <v>102</v>
      </c>
      <c r="Y2" s="13" t="s">
        <v>103</v>
      </c>
      <c r="Z2" s="13" t="s">
        <v>104</v>
      </c>
      <c r="AA2" s="13" t="s">
        <v>105</v>
      </c>
      <c r="AB2" s="12" t="s">
        <v>106</v>
      </c>
    </row>
    <row r="3" spans="1:28" s="4" customFormat="1" x14ac:dyDescent="0.3">
      <c r="A3" s="5" t="s">
        <v>18</v>
      </c>
      <c r="B3" s="5"/>
      <c r="C3" s="5" t="s">
        <v>19</v>
      </c>
      <c r="D3" s="5"/>
      <c r="E3" s="10"/>
      <c r="F3" s="9"/>
      <c r="G3" s="14" t="e">
        <f t="shared" ref="G3:G10" si="0">V3/F3</f>
        <v>#DIV/0!</v>
      </c>
      <c r="H3" s="6">
        <v>8</v>
      </c>
      <c r="I3" s="6"/>
      <c r="J3" s="6">
        <v>0</v>
      </c>
      <c r="K3" s="6">
        <v>0.3</v>
      </c>
      <c r="L3" s="7"/>
      <c r="M3" s="6"/>
      <c r="N3" s="6"/>
      <c r="O3" s="6"/>
      <c r="P3" s="7">
        <v>8.6999999999999994E-2</v>
      </c>
      <c r="Q3" s="5">
        <v>0</v>
      </c>
      <c r="R3" s="11">
        <v>0.1</v>
      </c>
      <c r="S3" s="7">
        <v>0.05</v>
      </c>
      <c r="T3" s="7">
        <v>0.05</v>
      </c>
      <c r="U3" s="7">
        <v>7.0000000000000007E-2</v>
      </c>
      <c r="V3" s="6">
        <f t="shared" ref="V3:V10" si="1">F3-W3</f>
        <v>-12.908242612752723</v>
      </c>
      <c r="W3" s="6">
        <f t="shared" ref="W3:W10" si="2">(H3+I3+M3+N3+J3+K3 - O3)/(1 - (L3 + P3 + R3 + S3 + T3 + U3 + Q3))</f>
        <v>12.908242612752723</v>
      </c>
      <c r="X3" s="11"/>
      <c r="Y3" s="11"/>
      <c r="Z3" s="8"/>
      <c r="AA3" s="6"/>
    </row>
    <row r="4" spans="1:28" s="4" customFormat="1" x14ac:dyDescent="0.3">
      <c r="A4" s="5" t="s">
        <v>18</v>
      </c>
      <c r="B4" s="5"/>
      <c r="C4" s="5" t="s">
        <v>20</v>
      </c>
      <c r="D4" s="5"/>
      <c r="E4" s="10"/>
      <c r="F4" s="9"/>
      <c r="G4" s="14" t="e">
        <f t="shared" si="0"/>
        <v>#DIV/0!</v>
      </c>
      <c r="H4" s="6">
        <v>8</v>
      </c>
      <c r="I4" s="6"/>
      <c r="J4" s="6">
        <v>0</v>
      </c>
      <c r="K4" s="6">
        <v>0.3</v>
      </c>
      <c r="L4" s="7"/>
      <c r="M4" s="6"/>
      <c r="N4" s="6"/>
      <c r="O4" s="6"/>
      <c r="P4" s="7">
        <v>8.6999999999999994E-2</v>
      </c>
      <c r="Q4" s="5">
        <v>0</v>
      </c>
      <c r="R4" s="11">
        <v>0.1</v>
      </c>
      <c r="S4" s="7">
        <v>0.05</v>
      </c>
      <c r="T4" s="7">
        <v>0.05</v>
      </c>
      <c r="U4" s="7">
        <v>7.0000000000000007E-2</v>
      </c>
      <c r="V4" s="6">
        <f t="shared" si="1"/>
        <v>-12.908242612752723</v>
      </c>
      <c r="W4" s="6">
        <f t="shared" si="2"/>
        <v>12.908242612752723</v>
      </c>
      <c r="X4" s="11"/>
      <c r="Y4" s="11"/>
      <c r="Z4" s="8"/>
      <c r="AA4" s="6"/>
    </row>
    <row r="5" spans="1:28" s="4" customFormat="1" x14ac:dyDescent="0.3">
      <c r="A5" s="5" t="s">
        <v>18</v>
      </c>
      <c r="B5" s="5"/>
      <c r="C5" s="5" t="s">
        <v>21</v>
      </c>
      <c r="D5" s="5"/>
      <c r="E5" s="10"/>
      <c r="F5" s="9"/>
      <c r="G5" s="14" t="e">
        <f t="shared" si="0"/>
        <v>#DIV/0!</v>
      </c>
      <c r="H5" s="6">
        <v>8</v>
      </c>
      <c r="I5" s="6"/>
      <c r="J5" s="6">
        <v>0</v>
      </c>
      <c r="K5" s="6">
        <v>0.3</v>
      </c>
      <c r="L5" s="7"/>
      <c r="M5" s="6"/>
      <c r="N5" s="6"/>
      <c r="O5" s="6"/>
      <c r="P5" s="7">
        <v>8.6999999999999994E-2</v>
      </c>
      <c r="Q5" s="5">
        <v>0</v>
      </c>
      <c r="R5" s="11">
        <v>0.1</v>
      </c>
      <c r="S5" s="7">
        <v>0.05</v>
      </c>
      <c r="T5" s="7">
        <v>0.05</v>
      </c>
      <c r="U5" s="7">
        <v>7.0000000000000007E-2</v>
      </c>
      <c r="V5" s="6">
        <f t="shared" si="1"/>
        <v>-12.908242612752723</v>
      </c>
      <c r="W5" s="6">
        <f t="shared" si="2"/>
        <v>12.908242612752723</v>
      </c>
      <c r="X5" s="11"/>
      <c r="Y5" s="11"/>
      <c r="Z5" s="8"/>
      <c r="AA5" s="6"/>
    </row>
    <row r="6" spans="1:28" s="4" customFormat="1" x14ac:dyDescent="0.3">
      <c r="A6" s="5"/>
      <c r="B6" s="5"/>
      <c r="C6" s="5" t="s">
        <v>22</v>
      </c>
      <c r="D6" s="5"/>
      <c r="E6" s="6"/>
      <c r="F6" s="9"/>
      <c r="G6" s="14" t="e">
        <f t="shared" si="0"/>
        <v>#DIV/0!</v>
      </c>
      <c r="H6" s="6">
        <v>10</v>
      </c>
      <c r="I6" s="6"/>
      <c r="J6" s="6">
        <v>0</v>
      </c>
      <c r="K6" s="6">
        <v>0.3</v>
      </c>
      <c r="L6" s="7"/>
      <c r="M6" s="6"/>
      <c r="N6" s="6"/>
      <c r="O6" s="6"/>
      <c r="P6" s="7">
        <v>8.3000000000000004E-2</v>
      </c>
      <c r="Q6" s="5">
        <v>0</v>
      </c>
      <c r="R6" s="11">
        <v>0.1</v>
      </c>
      <c r="S6" s="7">
        <v>0.05</v>
      </c>
      <c r="T6" s="7">
        <v>0.05</v>
      </c>
      <c r="U6" s="7">
        <v>7.0000000000000007E-2</v>
      </c>
      <c r="V6" s="6">
        <f t="shared" si="1"/>
        <v>-15.919629057187018</v>
      </c>
      <c r="W6" s="6">
        <f t="shared" si="2"/>
        <v>15.919629057187018</v>
      </c>
      <c r="X6" s="8">
        <v>7.51E-2</v>
      </c>
      <c r="Y6" s="8"/>
      <c r="Z6" s="8">
        <v>0.99</v>
      </c>
      <c r="AA6" s="8"/>
      <c r="AB6" s="3"/>
    </row>
    <row r="7" spans="1:28" s="4" customFormat="1" x14ac:dyDescent="0.3">
      <c r="A7" s="5" t="s">
        <v>18</v>
      </c>
      <c r="B7" s="5"/>
      <c r="C7" s="5" t="s">
        <v>23</v>
      </c>
      <c r="D7" s="5"/>
      <c r="E7" s="10"/>
      <c r="F7" s="9"/>
      <c r="G7" s="14" t="e">
        <f t="shared" si="0"/>
        <v>#DIV/0!</v>
      </c>
      <c r="H7" s="6">
        <v>8.5</v>
      </c>
      <c r="I7" s="6"/>
      <c r="J7" s="6">
        <v>0</v>
      </c>
      <c r="K7" s="6">
        <v>0.3</v>
      </c>
      <c r="L7" s="7"/>
      <c r="M7" s="6"/>
      <c r="N7" s="6"/>
      <c r="O7" s="6"/>
      <c r="P7" s="7">
        <v>8.6999999999999994E-2</v>
      </c>
      <c r="Q7" s="5">
        <v>0</v>
      </c>
      <c r="R7" s="11">
        <v>0.1</v>
      </c>
      <c r="S7" s="7">
        <v>0.05</v>
      </c>
      <c r="T7" s="7">
        <v>0.05</v>
      </c>
      <c r="U7" s="7">
        <v>7.0000000000000007E-2</v>
      </c>
      <c r="V7" s="6">
        <f t="shared" si="1"/>
        <v>-13.685847589424574</v>
      </c>
      <c r="W7" s="6">
        <f t="shared" si="2"/>
        <v>13.685847589424574</v>
      </c>
      <c r="X7" s="11"/>
      <c r="Y7" s="11"/>
      <c r="Z7" s="8"/>
      <c r="AA7" s="6"/>
    </row>
    <row r="8" spans="1:28" s="4" customFormat="1" x14ac:dyDescent="0.3">
      <c r="A8" s="5" t="s">
        <v>18</v>
      </c>
      <c r="B8" s="5"/>
      <c r="C8" s="5" t="s">
        <v>24</v>
      </c>
      <c r="D8" s="5"/>
      <c r="E8" s="10"/>
      <c r="F8" s="9"/>
      <c r="G8" s="14" t="e">
        <f t="shared" si="0"/>
        <v>#DIV/0!</v>
      </c>
      <c r="H8" s="6">
        <v>8.5</v>
      </c>
      <c r="I8" s="6"/>
      <c r="J8" s="6">
        <v>0</v>
      </c>
      <c r="K8" s="6">
        <v>0.3</v>
      </c>
      <c r="L8" s="7"/>
      <c r="M8" s="6"/>
      <c r="N8" s="6"/>
      <c r="O8" s="6"/>
      <c r="P8" s="7">
        <v>8.6999999999999994E-2</v>
      </c>
      <c r="Q8" s="5">
        <v>0</v>
      </c>
      <c r="R8" s="11">
        <v>0.1</v>
      </c>
      <c r="S8" s="7">
        <v>0.05</v>
      </c>
      <c r="T8" s="7">
        <v>0.05</v>
      </c>
      <c r="U8" s="7">
        <v>7.0000000000000007E-2</v>
      </c>
      <c r="V8" s="6">
        <f t="shared" si="1"/>
        <v>-13.685847589424574</v>
      </c>
      <c r="W8" s="6">
        <f t="shared" si="2"/>
        <v>13.685847589424574</v>
      </c>
      <c r="X8" s="11"/>
      <c r="Y8" s="11"/>
      <c r="Z8" s="8"/>
      <c r="AA8" s="6"/>
    </row>
    <row r="9" spans="1:28" s="4" customFormat="1" x14ac:dyDescent="0.3">
      <c r="A9" s="5" t="s">
        <v>18</v>
      </c>
      <c r="B9" s="5"/>
      <c r="C9" s="5" t="s">
        <v>25</v>
      </c>
      <c r="D9" s="5"/>
      <c r="E9" s="10"/>
      <c r="F9" s="9"/>
      <c r="G9" s="14" t="e">
        <f t="shared" si="0"/>
        <v>#DIV/0!</v>
      </c>
      <c r="H9" s="6">
        <v>14</v>
      </c>
      <c r="I9" s="6"/>
      <c r="J9" s="6">
        <v>0</v>
      </c>
      <c r="K9" s="6">
        <v>0.3</v>
      </c>
      <c r="L9" s="7"/>
      <c r="M9" s="6"/>
      <c r="N9" s="6"/>
      <c r="O9" s="6"/>
      <c r="P9" s="7">
        <v>8.6999999999999994E-2</v>
      </c>
      <c r="Q9" s="5">
        <v>0</v>
      </c>
      <c r="R9" s="11">
        <v>0.1</v>
      </c>
      <c r="S9" s="7">
        <v>0.05</v>
      </c>
      <c r="T9" s="7">
        <v>0.05</v>
      </c>
      <c r="U9" s="7">
        <v>7.0000000000000007E-2</v>
      </c>
      <c r="V9" s="6">
        <f t="shared" si="1"/>
        <v>-22.239502332814929</v>
      </c>
      <c r="W9" s="6">
        <f t="shared" si="2"/>
        <v>22.239502332814929</v>
      </c>
      <c r="X9" s="11"/>
      <c r="Y9" s="11"/>
      <c r="Z9" s="8"/>
      <c r="AA9" s="6"/>
    </row>
    <row r="10" spans="1:28" s="4" customFormat="1" x14ac:dyDescent="0.3">
      <c r="A10" s="5" t="s">
        <v>18</v>
      </c>
      <c r="B10" s="5"/>
      <c r="C10" s="5" t="s">
        <v>26</v>
      </c>
      <c r="D10" s="5"/>
      <c r="E10" s="10"/>
      <c r="F10" s="9"/>
      <c r="G10" s="14" t="e">
        <f t="shared" si="0"/>
        <v>#DIV/0!</v>
      </c>
      <c r="H10" s="6">
        <v>14</v>
      </c>
      <c r="I10" s="6"/>
      <c r="J10" s="6">
        <v>0</v>
      </c>
      <c r="K10" s="6">
        <v>0.3</v>
      </c>
      <c r="L10" s="7"/>
      <c r="M10" s="6"/>
      <c r="N10" s="6"/>
      <c r="O10" s="6"/>
      <c r="P10" s="7">
        <v>8.6999999999999994E-2</v>
      </c>
      <c r="Q10" s="5">
        <v>0</v>
      </c>
      <c r="R10" s="11">
        <v>0.1</v>
      </c>
      <c r="S10" s="7">
        <v>0.05</v>
      </c>
      <c r="T10" s="7">
        <v>0.05</v>
      </c>
      <c r="U10" s="7">
        <v>7.0000000000000007E-2</v>
      </c>
      <c r="V10" s="6">
        <f t="shared" si="1"/>
        <v>-22.239502332814929</v>
      </c>
      <c r="W10" s="6">
        <f t="shared" si="2"/>
        <v>22.239502332814929</v>
      </c>
      <c r="X10" s="11"/>
      <c r="Y10" s="11"/>
      <c r="Z10" s="8"/>
      <c r="AA10" s="6"/>
    </row>
    <row r="11" spans="1:28" s="4" customFormat="1" x14ac:dyDescent="0.3">
      <c r="A11" s="5" t="s">
        <v>18</v>
      </c>
      <c r="B11" s="5"/>
      <c r="C11" s="5" t="s">
        <v>68</v>
      </c>
      <c r="D11" s="5"/>
      <c r="E11" s="10"/>
      <c r="F11" s="9"/>
      <c r="G11" s="14"/>
      <c r="H11" s="6"/>
      <c r="I11" s="6"/>
      <c r="J11" s="6"/>
      <c r="K11" s="6"/>
      <c r="L11" s="7"/>
      <c r="M11" s="6"/>
      <c r="N11" s="6"/>
      <c r="O11" s="6"/>
      <c r="P11" s="7">
        <v>8.6999999999999994E-2</v>
      </c>
      <c r="Q11" s="5"/>
      <c r="R11" s="11">
        <v>0.1</v>
      </c>
      <c r="S11" s="7"/>
      <c r="T11" s="7"/>
      <c r="U11" s="7"/>
      <c r="V11" s="6"/>
      <c r="W11" s="6"/>
      <c r="X11" s="11"/>
      <c r="Y11" s="11"/>
      <c r="Z11" s="8"/>
      <c r="AA11" s="6"/>
    </row>
    <row r="12" spans="1:28" s="4" customFormat="1" x14ac:dyDescent="0.3">
      <c r="A12" s="5" t="s">
        <v>18</v>
      </c>
      <c r="B12" s="5"/>
      <c r="C12" s="5" t="s">
        <v>27</v>
      </c>
      <c r="D12" s="5"/>
      <c r="E12" s="10"/>
      <c r="F12" s="9">
        <f>108.36/12</f>
        <v>9.0299999999999994</v>
      </c>
      <c r="G12" s="14">
        <f>V12/F12</f>
        <v>4.4140061898389475E-2</v>
      </c>
      <c r="H12" s="6">
        <v>5.25</v>
      </c>
      <c r="I12" s="6"/>
      <c r="J12" s="6">
        <v>0</v>
      </c>
      <c r="K12" s="6">
        <v>0.3</v>
      </c>
      <c r="L12" s="7"/>
      <c r="M12" s="6"/>
      <c r="N12" s="6"/>
      <c r="O12" s="6"/>
      <c r="P12" s="7">
        <v>8.6999999999999994E-2</v>
      </c>
      <c r="Q12" s="5">
        <v>0</v>
      </c>
      <c r="R12" s="11">
        <v>0.1</v>
      </c>
      <c r="S12" s="7">
        <v>0.05</v>
      </c>
      <c r="T12" s="7">
        <v>0.05</v>
      </c>
      <c r="U12" s="7">
        <v>7.0000000000000007E-2</v>
      </c>
      <c r="V12" s="6">
        <f>F12-W12</f>
        <v>0.39858475894245693</v>
      </c>
      <c r="W12" s="6">
        <f>(H12+I12+M12+N12+J12+K12 - O12)/(1 - (L12 + P12 + R12 + S12 + T12 + U12 + Q12))</f>
        <v>8.6314152410575424</v>
      </c>
      <c r="X12" s="11"/>
      <c r="Y12" s="11"/>
      <c r="Z12" s="8"/>
      <c r="AA12" s="6"/>
    </row>
    <row r="13" spans="1:28" s="4" customFormat="1" x14ac:dyDescent="0.3">
      <c r="A13" s="5" t="s">
        <v>18</v>
      </c>
      <c r="B13" s="5"/>
      <c r="C13" s="5" t="s">
        <v>28</v>
      </c>
      <c r="D13" s="5"/>
      <c r="E13" s="10"/>
      <c r="F13" s="9">
        <f>243.6/12</f>
        <v>20.3</v>
      </c>
      <c r="G13" s="14">
        <f>V13/F13</f>
        <v>7.3002934213852885E-2</v>
      </c>
      <c r="H13" s="6">
        <v>11.8</v>
      </c>
      <c r="I13" s="6"/>
      <c r="J13" s="6">
        <v>0</v>
      </c>
      <c r="K13" s="6">
        <v>0.3</v>
      </c>
      <c r="L13" s="7"/>
      <c r="M13" s="6"/>
      <c r="N13" s="6"/>
      <c r="O13" s="6"/>
      <c r="P13" s="7">
        <v>8.6999999999999994E-2</v>
      </c>
      <c r="Q13" s="5">
        <v>0</v>
      </c>
      <c r="R13" s="11">
        <v>0.1</v>
      </c>
      <c r="S13" s="7">
        <v>0.05</v>
      </c>
      <c r="T13" s="7">
        <v>0.05</v>
      </c>
      <c r="U13" s="7">
        <v>7.0000000000000007E-2</v>
      </c>
      <c r="V13" s="6">
        <f>F13-W13</f>
        <v>1.4819595645412136</v>
      </c>
      <c r="W13" s="6">
        <f>(H13+I13+M13+N13+J13+K13 - O13)/(1 - (L13 + P13 + R13 + S13 + T13 + U13 + Q13))</f>
        <v>18.818040435458787</v>
      </c>
      <c r="X13" s="11"/>
      <c r="Y13" s="11"/>
      <c r="Z13" s="8"/>
      <c r="AA13" s="6"/>
    </row>
    <row r="14" spans="1:28" s="4" customFormat="1" x14ac:dyDescent="0.3">
      <c r="A14" s="5" t="s">
        <v>18</v>
      </c>
      <c r="B14" s="5"/>
      <c r="C14" s="5" t="s">
        <v>29</v>
      </c>
      <c r="D14" s="5"/>
      <c r="E14" s="10"/>
      <c r="F14" s="9">
        <f>472.56/12</f>
        <v>39.380000000000003</v>
      </c>
      <c r="G14" s="14">
        <f>V14/F14</f>
        <v>8.3776766948352815E-2</v>
      </c>
      <c r="H14" s="6">
        <v>22.9</v>
      </c>
      <c r="I14" s="6"/>
      <c r="J14" s="6">
        <v>0</v>
      </c>
      <c r="K14" s="6">
        <v>0.3</v>
      </c>
      <c r="L14" s="7"/>
      <c r="M14" s="6"/>
      <c r="N14" s="6"/>
      <c r="O14" s="6"/>
      <c r="P14" s="7">
        <v>8.6999999999999994E-2</v>
      </c>
      <c r="Q14" s="5">
        <v>0</v>
      </c>
      <c r="R14" s="11">
        <v>0.1</v>
      </c>
      <c r="S14" s="7">
        <v>0.05</v>
      </c>
      <c r="T14" s="7">
        <v>0.05</v>
      </c>
      <c r="U14" s="7">
        <v>7.0000000000000007E-2</v>
      </c>
      <c r="V14" s="6">
        <f>F14-W14</f>
        <v>3.2991290824261341</v>
      </c>
      <c r="W14" s="6">
        <f>(H14+I14+M14+N14+J14+K14 - O14)/(1 - (L14 + P14 + R14 + S14 + T14 + U14 + Q14))</f>
        <v>36.080870917573868</v>
      </c>
      <c r="X14" s="11"/>
      <c r="Y14" s="11"/>
      <c r="Z14" s="8"/>
      <c r="AA14" s="6"/>
    </row>
    <row r="15" spans="1:28" s="4" customFormat="1" x14ac:dyDescent="0.3">
      <c r="A15" s="5" t="s">
        <v>18</v>
      </c>
      <c r="B15" s="5"/>
      <c r="C15" s="3" t="s">
        <v>30</v>
      </c>
      <c r="D15" s="3"/>
      <c r="E15" s="10"/>
      <c r="F15" s="9"/>
      <c r="G15" s="14" t="e">
        <f>V15/F15</f>
        <v>#DIV/0!</v>
      </c>
      <c r="H15" s="6">
        <v>75.58</v>
      </c>
      <c r="I15" s="6"/>
      <c r="J15" s="6">
        <v>0.6</v>
      </c>
      <c r="K15" s="6">
        <v>2</v>
      </c>
      <c r="L15" s="7"/>
      <c r="M15" s="6"/>
      <c r="N15" s="6"/>
      <c r="O15" s="6"/>
      <c r="P15" s="7">
        <v>8.6999999999999994E-2</v>
      </c>
      <c r="Q15" s="5">
        <v>0</v>
      </c>
      <c r="R15" s="11">
        <v>0.1</v>
      </c>
      <c r="S15" s="7">
        <v>0.05</v>
      </c>
      <c r="T15" s="7">
        <v>0.05</v>
      </c>
      <c r="U15" s="7">
        <v>7.0000000000000007E-2</v>
      </c>
      <c r="V15" s="6">
        <f>F15-W15</f>
        <v>-121.58631415241057</v>
      </c>
      <c r="W15" s="6">
        <f>(H15+I15+M15+N15+J15+K15 - O15)/(1 - (L15 + P15 + R15 + S15 + T15 + U15 + Q15))</f>
        <v>121.58631415241057</v>
      </c>
      <c r="X15" s="11"/>
      <c r="Y15" s="11"/>
      <c r="Z15" s="8"/>
      <c r="AA15" s="6"/>
    </row>
    <row r="16" spans="1:28" s="4" customFormat="1" x14ac:dyDescent="0.3">
      <c r="A16" s="5" t="s">
        <v>18</v>
      </c>
      <c r="B16" s="5"/>
      <c r="C16" s="3" t="s">
        <v>70</v>
      </c>
      <c r="D16" s="3"/>
      <c r="E16" s="10"/>
      <c r="F16" s="9"/>
      <c r="G16" s="14"/>
      <c r="H16" s="6"/>
      <c r="I16" s="6"/>
      <c r="J16" s="6"/>
      <c r="K16" s="6"/>
      <c r="L16" s="7"/>
      <c r="M16" s="6"/>
      <c r="N16" s="6"/>
      <c r="O16" s="6"/>
      <c r="P16" s="7">
        <v>8.6999999999999994E-2</v>
      </c>
      <c r="Q16" s="5"/>
      <c r="R16" s="11">
        <v>0.1</v>
      </c>
      <c r="S16" s="7"/>
      <c r="T16" s="7"/>
      <c r="U16" s="7"/>
      <c r="V16" s="6"/>
      <c r="W16" s="6"/>
      <c r="X16" s="11"/>
      <c r="Y16" s="11"/>
      <c r="Z16" s="8"/>
      <c r="AA16" s="6"/>
    </row>
    <row r="17" spans="1:28" s="4" customFormat="1" x14ac:dyDescent="0.3">
      <c r="A17" s="5" t="s">
        <v>18</v>
      </c>
      <c r="B17" s="5"/>
      <c r="C17" s="3" t="s">
        <v>71</v>
      </c>
      <c r="D17" s="3"/>
      <c r="E17" s="10"/>
      <c r="F17" s="9"/>
      <c r="G17" s="14"/>
      <c r="H17" s="6"/>
      <c r="I17" s="6"/>
      <c r="J17" s="6"/>
      <c r="K17" s="6"/>
      <c r="L17" s="7"/>
      <c r="M17" s="6"/>
      <c r="N17" s="6"/>
      <c r="O17" s="6"/>
      <c r="P17" s="7">
        <v>8.6999999999999994E-2</v>
      </c>
      <c r="Q17" s="5"/>
      <c r="R17" s="11">
        <v>0.1</v>
      </c>
      <c r="S17" s="7"/>
      <c r="T17" s="7"/>
      <c r="U17" s="7"/>
      <c r="V17" s="6"/>
      <c r="W17" s="6"/>
      <c r="X17" s="11"/>
      <c r="Y17" s="11"/>
      <c r="Z17" s="8"/>
      <c r="AA17" s="6"/>
    </row>
    <row r="18" spans="1:28" s="4" customFormat="1" x14ac:dyDescent="0.3">
      <c r="A18" s="5"/>
      <c r="B18" s="5"/>
      <c r="C18" s="3" t="s">
        <v>31</v>
      </c>
      <c r="D18" s="3"/>
      <c r="E18" s="6"/>
      <c r="F18" s="9"/>
      <c r="G18" s="14" t="e">
        <f t="shared" ref="G18:G50" si="3">V18/F18</f>
        <v>#DIV/0!</v>
      </c>
      <c r="H18" s="6">
        <v>30.46</v>
      </c>
      <c r="I18" s="6"/>
      <c r="J18" s="6">
        <v>0</v>
      </c>
      <c r="K18" s="6">
        <v>0</v>
      </c>
      <c r="L18" s="7"/>
      <c r="M18" s="6"/>
      <c r="N18" s="6"/>
      <c r="O18" s="6"/>
      <c r="P18" s="7">
        <v>8.6999999999999994E-2</v>
      </c>
      <c r="Q18" s="5">
        <v>0</v>
      </c>
      <c r="R18" s="11">
        <v>0.1</v>
      </c>
      <c r="S18" s="7">
        <v>0.05</v>
      </c>
      <c r="T18" s="7">
        <v>0.05</v>
      </c>
      <c r="U18" s="7">
        <v>7.0000000000000007E-2</v>
      </c>
      <c r="V18" s="6">
        <f t="shared" ref="V18:V50" si="4">F18-W18</f>
        <v>-47.371695178849144</v>
      </c>
      <c r="W18" s="6">
        <f t="shared" ref="W18:W50" si="5">(H18+I18+M18+N18+J18+K18 - O18)/(1 - (L18 + P18 + R18 + S18 + T18 + U18 + Q18))</f>
        <v>47.371695178849144</v>
      </c>
      <c r="X18" s="8">
        <v>0</v>
      </c>
      <c r="Y18" s="8">
        <v>0</v>
      </c>
      <c r="Z18" s="8">
        <v>0.55000000000000004</v>
      </c>
      <c r="AA18" s="6">
        <v>6.23</v>
      </c>
      <c r="AB18" s="3"/>
    </row>
    <row r="19" spans="1:28" s="4" customFormat="1" x14ac:dyDescent="0.3">
      <c r="A19" s="5" t="s">
        <v>18</v>
      </c>
      <c r="B19" s="5"/>
      <c r="C19" s="3" t="s">
        <v>32</v>
      </c>
      <c r="D19" s="3"/>
      <c r="E19" s="10"/>
      <c r="F19" s="9"/>
      <c r="G19" s="14" t="e">
        <f t="shared" si="3"/>
        <v>#DIV/0!</v>
      </c>
      <c r="H19" s="6">
        <v>45</v>
      </c>
      <c r="I19" s="6"/>
      <c r="J19" s="6">
        <v>0.6</v>
      </c>
      <c r="K19" s="6">
        <v>0.5</v>
      </c>
      <c r="L19" s="7"/>
      <c r="M19" s="6"/>
      <c r="N19" s="6"/>
      <c r="O19" s="6"/>
      <c r="P19" s="7">
        <v>8.6999999999999994E-2</v>
      </c>
      <c r="Q19" s="5">
        <v>0</v>
      </c>
      <c r="R19" s="11">
        <v>0.1</v>
      </c>
      <c r="S19" s="7">
        <v>0.05</v>
      </c>
      <c r="T19" s="7">
        <v>0.1</v>
      </c>
      <c r="U19" s="7">
        <v>7.0000000000000007E-2</v>
      </c>
      <c r="V19" s="6">
        <f t="shared" si="4"/>
        <v>-77.740303541315356</v>
      </c>
      <c r="W19" s="6">
        <f t="shared" si="5"/>
        <v>77.740303541315356</v>
      </c>
      <c r="X19" s="11"/>
      <c r="Y19" s="11"/>
      <c r="Z19" s="8"/>
      <c r="AA19" s="6"/>
    </row>
    <row r="20" spans="1:28" s="4" customFormat="1" x14ac:dyDescent="0.3">
      <c r="A20" s="5" t="s">
        <v>33</v>
      </c>
      <c r="B20" s="5"/>
      <c r="C20" s="3" t="s">
        <v>32</v>
      </c>
      <c r="D20" s="3"/>
      <c r="E20" s="10"/>
      <c r="F20" s="9"/>
      <c r="G20" s="14" t="e">
        <f t="shared" si="3"/>
        <v>#DIV/0!</v>
      </c>
      <c r="H20" s="6">
        <v>49</v>
      </c>
      <c r="I20" s="6"/>
      <c r="J20" s="6">
        <v>0.6</v>
      </c>
      <c r="K20" s="6">
        <v>2</v>
      </c>
      <c r="L20" s="7"/>
      <c r="M20" s="6"/>
      <c r="N20" s="6"/>
      <c r="O20" s="6"/>
      <c r="P20" s="7">
        <v>8.6999999999999994E-2</v>
      </c>
      <c r="Q20" s="5">
        <v>0</v>
      </c>
      <c r="R20" s="11">
        <v>0.1</v>
      </c>
      <c r="S20" s="7">
        <v>0.05</v>
      </c>
      <c r="T20" s="7">
        <v>0.1</v>
      </c>
      <c r="U20" s="7">
        <v>7.0000000000000007E-2</v>
      </c>
      <c r="V20" s="6">
        <f t="shared" si="4"/>
        <v>-87.01517706576729</v>
      </c>
      <c r="W20" s="6">
        <f t="shared" si="5"/>
        <v>87.01517706576729</v>
      </c>
      <c r="X20" s="11"/>
      <c r="Y20" s="11"/>
      <c r="Z20" s="8"/>
      <c r="AA20" s="6"/>
    </row>
    <row r="21" spans="1:28" s="4" customFormat="1" x14ac:dyDescent="0.3">
      <c r="A21" s="5" t="s">
        <v>18</v>
      </c>
      <c r="B21" s="5"/>
      <c r="C21" s="3" t="s">
        <v>34</v>
      </c>
      <c r="D21" s="3"/>
      <c r="E21" s="10"/>
      <c r="F21" s="9"/>
      <c r="G21" s="14" t="e">
        <f t="shared" si="3"/>
        <v>#DIV/0!</v>
      </c>
      <c r="H21" s="6">
        <v>9.15</v>
      </c>
      <c r="I21" s="6"/>
      <c r="J21" s="6">
        <v>0.3</v>
      </c>
      <c r="K21" s="6">
        <v>1</v>
      </c>
      <c r="L21" s="7"/>
      <c r="M21" s="6"/>
      <c r="N21" s="6"/>
      <c r="O21" s="6"/>
      <c r="P21" s="7">
        <v>8.6999999999999994E-2</v>
      </c>
      <c r="Q21" s="5">
        <v>0</v>
      </c>
      <c r="R21" s="11">
        <v>0.1</v>
      </c>
      <c r="S21" s="7">
        <v>0.05</v>
      </c>
      <c r="T21" s="7">
        <v>0.05</v>
      </c>
      <c r="U21" s="7">
        <v>7.0000000000000007E-2</v>
      </c>
      <c r="V21" s="6">
        <f t="shared" si="4"/>
        <v>-16.25194401244168</v>
      </c>
      <c r="W21" s="6">
        <f t="shared" si="5"/>
        <v>16.25194401244168</v>
      </c>
      <c r="X21" s="11"/>
      <c r="Y21" s="11"/>
      <c r="Z21" s="8"/>
      <c r="AA21" s="6"/>
    </row>
    <row r="22" spans="1:28" s="4" customFormat="1" x14ac:dyDescent="0.3">
      <c r="A22" s="5" t="s">
        <v>18</v>
      </c>
      <c r="B22" s="5"/>
      <c r="C22" s="3" t="s">
        <v>35</v>
      </c>
      <c r="D22" s="3"/>
      <c r="E22" s="10"/>
      <c r="F22" s="9"/>
      <c r="G22" s="14" t="e">
        <f t="shared" si="3"/>
        <v>#DIV/0!</v>
      </c>
      <c r="H22" s="6">
        <v>15.39</v>
      </c>
      <c r="I22" s="6"/>
      <c r="J22" s="6">
        <v>1</v>
      </c>
      <c r="K22" s="6">
        <v>0</v>
      </c>
      <c r="L22" s="7"/>
      <c r="M22" s="6"/>
      <c r="N22" s="6"/>
      <c r="O22" s="6"/>
      <c r="P22" s="7">
        <v>8.6999999999999994E-2</v>
      </c>
      <c r="Q22" s="5">
        <v>0</v>
      </c>
      <c r="R22" s="11">
        <v>0.1</v>
      </c>
      <c r="S22" s="7">
        <v>0.05</v>
      </c>
      <c r="T22" s="7">
        <v>0.05</v>
      </c>
      <c r="U22" s="7">
        <v>7.0000000000000007E-2</v>
      </c>
      <c r="V22" s="6">
        <f t="shared" si="4"/>
        <v>-25.489891135303267</v>
      </c>
      <c r="W22" s="6">
        <f t="shared" si="5"/>
        <v>25.489891135303267</v>
      </c>
      <c r="X22" s="11"/>
      <c r="Y22" s="11"/>
      <c r="Z22" s="8"/>
      <c r="AA22" s="6"/>
    </row>
    <row r="23" spans="1:28" s="4" customFormat="1" x14ac:dyDescent="0.3">
      <c r="A23" s="5" t="s">
        <v>18</v>
      </c>
      <c r="B23" s="5"/>
      <c r="C23" s="3" t="s">
        <v>36</v>
      </c>
      <c r="D23" s="3"/>
      <c r="E23" s="10"/>
      <c r="F23" s="9"/>
      <c r="G23" s="14" t="e">
        <f t="shared" si="3"/>
        <v>#DIV/0!</v>
      </c>
      <c r="H23" s="6">
        <v>12.5</v>
      </c>
      <c r="I23" s="6"/>
      <c r="J23" s="6">
        <v>1</v>
      </c>
      <c r="K23" s="6">
        <v>0</v>
      </c>
      <c r="L23" s="7"/>
      <c r="M23" s="6"/>
      <c r="N23" s="6"/>
      <c r="O23" s="6"/>
      <c r="P23" s="7">
        <v>8.6999999999999994E-2</v>
      </c>
      <c r="Q23" s="5">
        <v>0</v>
      </c>
      <c r="R23" s="11">
        <v>0.1</v>
      </c>
      <c r="S23" s="7">
        <v>0.05</v>
      </c>
      <c r="T23" s="7">
        <v>0.05</v>
      </c>
      <c r="U23" s="7">
        <v>7.0000000000000007E-2</v>
      </c>
      <c r="V23" s="6">
        <f t="shared" si="4"/>
        <v>-20.995334370139968</v>
      </c>
      <c r="W23" s="6">
        <f t="shared" si="5"/>
        <v>20.995334370139968</v>
      </c>
      <c r="X23" s="11"/>
      <c r="Y23" s="11"/>
      <c r="Z23" s="8"/>
      <c r="AA23" s="6"/>
    </row>
    <row r="24" spans="1:28" s="4" customFormat="1" x14ac:dyDescent="0.3">
      <c r="A24" s="5" t="s">
        <v>18</v>
      </c>
      <c r="B24" s="5"/>
      <c r="C24" s="3" t="s">
        <v>37</v>
      </c>
      <c r="D24" s="3"/>
      <c r="E24" s="10"/>
      <c r="F24" s="9"/>
      <c r="G24" s="14" t="e">
        <f t="shared" si="3"/>
        <v>#DIV/0!</v>
      </c>
      <c r="H24" s="6">
        <v>13.5</v>
      </c>
      <c r="I24" s="6"/>
      <c r="J24" s="6">
        <v>1</v>
      </c>
      <c r="K24" s="6">
        <v>0</v>
      </c>
      <c r="L24" s="7"/>
      <c r="M24" s="6"/>
      <c r="N24" s="6"/>
      <c r="O24" s="6"/>
      <c r="P24" s="7">
        <v>8.6999999999999994E-2</v>
      </c>
      <c r="Q24" s="5">
        <v>0</v>
      </c>
      <c r="R24" s="11">
        <v>0.1</v>
      </c>
      <c r="S24" s="7">
        <v>0.05</v>
      </c>
      <c r="T24" s="7">
        <v>0.05</v>
      </c>
      <c r="U24" s="7">
        <v>7.0000000000000007E-2</v>
      </c>
      <c r="V24" s="6">
        <f t="shared" si="4"/>
        <v>-22.55054432348367</v>
      </c>
      <c r="W24" s="6">
        <f t="shared" si="5"/>
        <v>22.55054432348367</v>
      </c>
      <c r="X24" s="11"/>
      <c r="Y24" s="11"/>
      <c r="Z24" s="8"/>
      <c r="AA24" s="6"/>
    </row>
    <row r="25" spans="1:28" s="4" customFormat="1" x14ac:dyDescent="0.3">
      <c r="A25" s="5" t="s">
        <v>18</v>
      </c>
      <c r="B25" s="5"/>
      <c r="C25" s="3" t="s">
        <v>38</v>
      </c>
      <c r="D25" s="3"/>
      <c r="E25" s="10"/>
      <c r="F25" s="9"/>
      <c r="G25" s="14" t="e">
        <f t="shared" si="3"/>
        <v>#DIV/0!</v>
      </c>
      <c r="H25" s="6">
        <v>6.45</v>
      </c>
      <c r="I25" s="6"/>
      <c r="J25" s="6">
        <v>1</v>
      </c>
      <c r="K25" s="6">
        <v>0</v>
      </c>
      <c r="L25" s="7"/>
      <c r="M25" s="6"/>
      <c r="N25" s="6"/>
      <c r="O25" s="6"/>
      <c r="P25" s="7">
        <v>8.6999999999999994E-2</v>
      </c>
      <c r="Q25" s="5">
        <v>0</v>
      </c>
      <c r="R25" s="11">
        <v>0.1</v>
      </c>
      <c r="S25" s="7">
        <v>0.05</v>
      </c>
      <c r="T25" s="7">
        <v>0.05</v>
      </c>
      <c r="U25" s="7">
        <v>7.0000000000000007E-2</v>
      </c>
      <c r="V25" s="6">
        <f t="shared" si="4"/>
        <v>-11.586314152410575</v>
      </c>
      <c r="W25" s="6">
        <f t="shared" si="5"/>
        <v>11.586314152410575</v>
      </c>
      <c r="X25" s="11"/>
      <c r="Y25" s="11"/>
      <c r="Z25" s="8"/>
      <c r="AA25" s="6"/>
    </row>
    <row r="26" spans="1:28" s="4" customFormat="1" x14ac:dyDescent="0.3">
      <c r="A26" s="5" t="s">
        <v>18</v>
      </c>
      <c r="B26" s="5"/>
      <c r="C26" s="3" t="s">
        <v>39</v>
      </c>
      <c r="D26" s="3"/>
      <c r="E26" s="10"/>
      <c r="F26" s="9"/>
      <c r="G26" s="14" t="e">
        <f t="shared" si="3"/>
        <v>#DIV/0!</v>
      </c>
      <c r="H26" s="6">
        <v>24</v>
      </c>
      <c r="I26" s="6"/>
      <c r="J26" s="6">
        <v>1</v>
      </c>
      <c r="K26" s="6">
        <v>0</v>
      </c>
      <c r="L26" s="7"/>
      <c r="M26" s="6"/>
      <c r="N26" s="6"/>
      <c r="O26" s="6"/>
      <c r="P26" s="7">
        <v>8.6999999999999994E-2</v>
      </c>
      <c r="Q26" s="5">
        <v>0</v>
      </c>
      <c r="R26" s="11">
        <v>0.1</v>
      </c>
      <c r="S26" s="7">
        <v>0.05</v>
      </c>
      <c r="T26" s="7">
        <v>0.05</v>
      </c>
      <c r="U26" s="7">
        <v>7.0000000000000007E-2</v>
      </c>
      <c r="V26" s="6">
        <f t="shared" si="4"/>
        <v>-38.880248833592532</v>
      </c>
      <c r="W26" s="6">
        <f t="shared" si="5"/>
        <v>38.880248833592532</v>
      </c>
      <c r="X26" s="11"/>
      <c r="Y26" s="11"/>
      <c r="Z26" s="8"/>
      <c r="AA26" s="6"/>
    </row>
    <row r="27" spans="1:28" s="4" customFormat="1" x14ac:dyDescent="0.3">
      <c r="A27" s="5" t="s">
        <v>18</v>
      </c>
      <c r="B27" s="5"/>
      <c r="C27" s="31" t="s">
        <v>40</v>
      </c>
      <c r="D27" s="31"/>
      <c r="E27" s="10"/>
      <c r="F27" s="9">
        <f>103.2/24</f>
        <v>4.3</v>
      </c>
      <c r="G27" s="14">
        <f t="shared" si="3"/>
        <v>9.5808166660638697E-2</v>
      </c>
      <c r="H27" s="6">
        <f>2.5</f>
        <v>2.5</v>
      </c>
      <c r="I27" s="6"/>
      <c r="J27" s="6">
        <v>0</v>
      </c>
      <c r="K27" s="6">
        <v>0</v>
      </c>
      <c r="L27" s="7"/>
      <c r="M27" s="6"/>
      <c r="N27" s="6"/>
      <c r="O27" s="6"/>
      <c r="P27" s="7">
        <v>8.6999999999999994E-2</v>
      </c>
      <c r="Q27" s="5">
        <v>0</v>
      </c>
      <c r="R27" s="11">
        <v>0.1</v>
      </c>
      <c r="S27" s="7">
        <v>0.05</v>
      </c>
      <c r="T27" s="7">
        <v>0.05</v>
      </c>
      <c r="U27" s="7">
        <v>7.0000000000000007E-2</v>
      </c>
      <c r="V27" s="6">
        <f t="shared" si="4"/>
        <v>0.41197511664074637</v>
      </c>
      <c r="W27" s="6">
        <f t="shared" si="5"/>
        <v>3.8880248833592534</v>
      </c>
      <c r="X27" s="11"/>
      <c r="Y27" s="11"/>
      <c r="Z27" s="8"/>
      <c r="AA27" s="6"/>
    </row>
    <row r="28" spans="1:28" s="4" customFormat="1" x14ac:dyDescent="0.3">
      <c r="A28" s="5" t="s">
        <v>18</v>
      </c>
      <c r="B28" s="5"/>
      <c r="C28" s="31" t="s">
        <v>41</v>
      </c>
      <c r="D28" s="31"/>
      <c r="E28" s="10"/>
      <c r="F28" s="9"/>
      <c r="G28" s="14" t="e">
        <f t="shared" si="3"/>
        <v>#DIV/0!</v>
      </c>
      <c r="H28" s="6">
        <v>24.35</v>
      </c>
      <c r="I28" s="6"/>
      <c r="J28" s="6">
        <v>0</v>
      </c>
      <c r="K28" s="6">
        <v>0</v>
      </c>
      <c r="L28" s="7"/>
      <c r="M28" s="6"/>
      <c r="N28" s="6"/>
      <c r="O28" s="6"/>
      <c r="P28" s="7">
        <v>8.6999999999999994E-2</v>
      </c>
      <c r="Q28" s="5">
        <v>0</v>
      </c>
      <c r="R28" s="11">
        <v>0.1</v>
      </c>
      <c r="S28" s="7">
        <v>0.05</v>
      </c>
      <c r="T28" s="7">
        <v>0.05</v>
      </c>
      <c r="U28" s="7">
        <v>7.0000000000000007E-2</v>
      </c>
      <c r="V28" s="6">
        <f t="shared" si="4"/>
        <v>-37.86936236391913</v>
      </c>
      <c r="W28" s="6">
        <f t="shared" si="5"/>
        <v>37.86936236391913</v>
      </c>
      <c r="X28" s="11"/>
      <c r="Y28" s="11"/>
      <c r="Z28" s="8"/>
      <c r="AA28" s="6"/>
    </row>
    <row r="29" spans="1:28" s="4" customFormat="1" x14ac:dyDescent="0.3">
      <c r="A29" s="5" t="s">
        <v>18</v>
      </c>
      <c r="B29" s="5"/>
      <c r="C29" s="31" t="s">
        <v>42</v>
      </c>
      <c r="D29" s="31"/>
      <c r="E29" s="10"/>
      <c r="F29" s="9"/>
      <c r="G29" s="14" t="e">
        <f t="shared" si="3"/>
        <v>#DIV/0!</v>
      </c>
      <c r="H29" s="6">
        <f>5*2.5</f>
        <v>12.5</v>
      </c>
      <c r="I29" s="6"/>
      <c r="J29" s="6">
        <v>0</v>
      </c>
      <c r="K29" s="6">
        <v>0</v>
      </c>
      <c r="L29" s="7"/>
      <c r="M29" s="6"/>
      <c r="N29" s="6"/>
      <c r="O29" s="6"/>
      <c r="P29" s="7">
        <v>8.6999999999999994E-2</v>
      </c>
      <c r="Q29" s="5">
        <v>0</v>
      </c>
      <c r="R29" s="11">
        <v>0.1</v>
      </c>
      <c r="S29" s="7">
        <v>0.05</v>
      </c>
      <c r="T29" s="7">
        <v>0.05</v>
      </c>
      <c r="U29" s="7">
        <v>7.0000000000000007E-2</v>
      </c>
      <c r="V29" s="6">
        <f t="shared" si="4"/>
        <v>-19.440124416796266</v>
      </c>
      <c r="W29" s="6">
        <f t="shared" si="5"/>
        <v>19.440124416796266</v>
      </c>
      <c r="X29" s="11"/>
      <c r="Y29" s="11"/>
      <c r="Z29" s="8"/>
      <c r="AA29" s="6"/>
    </row>
    <row r="30" spans="1:28" s="4" customFormat="1" x14ac:dyDescent="0.3">
      <c r="A30" s="5" t="s">
        <v>18</v>
      </c>
      <c r="B30" s="5"/>
      <c r="C30" s="31" t="s">
        <v>43</v>
      </c>
      <c r="D30" s="31"/>
      <c r="E30" s="10"/>
      <c r="F30" s="9"/>
      <c r="G30" s="14" t="e">
        <f t="shared" si="3"/>
        <v>#DIV/0!</v>
      </c>
      <c r="H30" s="6">
        <f>3*3.7</f>
        <v>11.100000000000001</v>
      </c>
      <c r="I30" s="6"/>
      <c r="J30" s="6">
        <v>0</v>
      </c>
      <c r="K30" s="6">
        <v>0</v>
      </c>
      <c r="L30" s="7"/>
      <c r="M30" s="6"/>
      <c r="N30" s="6"/>
      <c r="O30" s="6"/>
      <c r="P30" s="7">
        <v>8.6999999999999994E-2</v>
      </c>
      <c r="Q30" s="5">
        <v>0</v>
      </c>
      <c r="R30" s="11">
        <v>0.1</v>
      </c>
      <c r="S30" s="7">
        <v>0.05</v>
      </c>
      <c r="T30" s="7">
        <v>0.05</v>
      </c>
      <c r="U30" s="7">
        <v>7.0000000000000007E-2</v>
      </c>
      <c r="V30" s="6">
        <f t="shared" si="4"/>
        <v>-17.262830482115088</v>
      </c>
      <c r="W30" s="6">
        <f t="shared" si="5"/>
        <v>17.262830482115088</v>
      </c>
      <c r="X30" s="11"/>
      <c r="Y30" s="11"/>
      <c r="Z30" s="8"/>
      <c r="AA30" s="6"/>
    </row>
    <row r="31" spans="1:28" x14ac:dyDescent="0.3">
      <c r="A31" s="5"/>
      <c r="B31" s="5"/>
      <c r="C31" s="31" t="s">
        <v>44</v>
      </c>
      <c r="D31" s="31"/>
      <c r="E31" s="10"/>
      <c r="F31" s="9"/>
      <c r="G31" s="14" t="e">
        <f t="shared" si="3"/>
        <v>#DIV/0!</v>
      </c>
      <c r="H31" s="6">
        <f>H13+(H33/2)</f>
        <v>16.100000000000001</v>
      </c>
      <c r="I31" s="6"/>
      <c r="J31" s="6">
        <v>0</v>
      </c>
      <c r="K31" s="6">
        <v>0</v>
      </c>
      <c r="L31" s="7"/>
      <c r="M31" s="6"/>
      <c r="N31" s="6"/>
      <c r="O31" s="6"/>
      <c r="P31" s="7">
        <v>8.6999999999999994E-2</v>
      </c>
      <c r="Q31" s="5">
        <v>0</v>
      </c>
      <c r="R31" s="11">
        <v>0.1</v>
      </c>
      <c r="S31" s="7">
        <v>0.05</v>
      </c>
      <c r="T31" s="7">
        <v>0.05</v>
      </c>
      <c r="U31" s="7">
        <v>7.0000000000000007E-2</v>
      </c>
      <c r="V31" s="6">
        <f t="shared" si="4"/>
        <v>-25.038880248833593</v>
      </c>
      <c r="W31" s="6">
        <f t="shared" si="5"/>
        <v>25.038880248833593</v>
      </c>
      <c r="X31" s="11"/>
      <c r="Y31" s="11"/>
      <c r="Z31" s="8"/>
      <c r="AA31" s="6"/>
    </row>
    <row r="32" spans="1:28" x14ac:dyDescent="0.3">
      <c r="A32" s="5"/>
      <c r="B32" s="5"/>
      <c r="C32" s="31" t="s">
        <v>45</v>
      </c>
      <c r="D32" s="31"/>
      <c r="E32" s="10"/>
      <c r="F32" s="9"/>
      <c r="G32" s="14" t="e">
        <f t="shared" si="3"/>
        <v>#DIV/0!</v>
      </c>
      <c r="H32" s="6">
        <f>H12+H34</f>
        <v>12.65</v>
      </c>
      <c r="I32" s="6"/>
      <c r="J32" s="6">
        <v>0</v>
      </c>
      <c r="K32" s="6">
        <v>0</v>
      </c>
      <c r="L32" s="7"/>
      <c r="M32" s="6"/>
      <c r="N32" s="6"/>
      <c r="O32" s="6"/>
      <c r="P32" s="7">
        <v>8.6999999999999994E-2</v>
      </c>
      <c r="Q32" s="5">
        <v>0</v>
      </c>
      <c r="R32" s="11">
        <v>0.1</v>
      </c>
      <c r="S32" s="7">
        <v>0.05</v>
      </c>
      <c r="T32" s="7">
        <v>0.05</v>
      </c>
      <c r="U32" s="7">
        <v>7.0000000000000007E-2</v>
      </c>
      <c r="V32" s="6">
        <f t="shared" si="4"/>
        <v>-19.673405909797822</v>
      </c>
      <c r="W32" s="6">
        <f t="shared" si="5"/>
        <v>19.673405909797822</v>
      </c>
      <c r="X32" s="11"/>
      <c r="Y32" s="11"/>
      <c r="Z32" s="8"/>
      <c r="AA32" s="6"/>
    </row>
    <row r="33" spans="1:27" x14ac:dyDescent="0.3">
      <c r="A33" s="5"/>
      <c r="B33" s="5"/>
      <c r="C33" s="31" t="s">
        <v>46</v>
      </c>
      <c r="D33" s="31"/>
      <c r="E33" s="10"/>
      <c r="F33" s="9"/>
      <c r="G33" s="14" t="e">
        <f t="shared" si="3"/>
        <v>#DIV/0!</v>
      </c>
      <c r="H33" s="6">
        <f>2*4.3</f>
        <v>8.6</v>
      </c>
      <c r="I33" s="6"/>
      <c r="J33" s="6">
        <v>0</v>
      </c>
      <c r="K33" s="6">
        <v>0</v>
      </c>
      <c r="L33" s="7"/>
      <c r="M33" s="6"/>
      <c r="N33" s="6"/>
      <c r="O33" s="6"/>
      <c r="P33" s="7">
        <v>8.6999999999999994E-2</v>
      </c>
      <c r="Q33" s="5">
        <v>0</v>
      </c>
      <c r="R33" s="11">
        <v>0.1</v>
      </c>
      <c r="S33" s="7">
        <v>0.05</v>
      </c>
      <c r="T33" s="7">
        <v>0.05</v>
      </c>
      <c r="U33" s="7">
        <v>7.0000000000000007E-2</v>
      </c>
      <c r="V33" s="6">
        <f t="shared" si="4"/>
        <v>-13.374805598755831</v>
      </c>
      <c r="W33" s="6">
        <f t="shared" si="5"/>
        <v>13.374805598755831</v>
      </c>
      <c r="X33" s="11"/>
      <c r="Y33" s="11"/>
      <c r="Z33" s="8"/>
      <c r="AA33" s="6"/>
    </row>
    <row r="34" spans="1:27" x14ac:dyDescent="0.3">
      <c r="A34" s="5"/>
      <c r="B34" s="5"/>
      <c r="C34" s="31" t="s">
        <v>47</v>
      </c>
      <c r="D34" s="31"/>
      <c r="E34" s="10"/>
      <c r="F34" s="9"/>
      <c r="G34" s="14" t="e">
        <f t="shared" si="3"/>
        <v>#DIV/0!</v>
      </c>
      <c r="H34" s="6">
        <v>7.4</v>
      </c>
      <c r="I34" s="6"/>
      <c r="J34" s="6">
        <v>0</v>
      </c>
      <c r="K34" s="6">
        <v>0</v>
      </c>
      <c r="L34" s="7"/>
      <c r="M34" s="6"/>
      <c r="N34" s="6"/>
      <c r="O34" s="6"/>
      <c r="P34" s="7">
        <v>8.6999999999999994E-2</v>
      </c>
      <c r="Q34" s="5">
        <v>0</v>
      </c>
      <c r="R34" s="11">
        <v>0.1</v>
      </c>
      <c r="S34" s="7">
        <v>0.05</v>
      </c>
      <c r="T34" s="7">
        <v>0.05</v>
      </c>
      <c r="U34" s="7">
        <v>7.0000000000000007E-2</v>
      </c>
      <c r="V34" s="6">
        <f t="shared" si="4"/>
        <v>-11.508553654743391</v>
      </c>
      <c r="W34" s="6">
        <f t="shared" si="5"/>
        <v>11.508553654743391</v>
      </c>
      <c r="X34" s="11"/>
      <c r="Y34" s="11"/>
      <c r="Z34" s="8"/>
      <c r="AA34" s="6"/>
    </row>
    <row r="35" spans="1:27" s="4" customFormat="1" x14ac:dyDescent="0.3">
      <c r="A35" s="5" t="s">
        <v>18</v>
      </c>
      <c r="B35" s="5"/>
      <c r="C35" s="32" t="s">
        <v>48</v>
      </c>
      <c r="D35" s="32"/>
      <c r="E35" s="10"/>
      <c r="F35" s="9"/>
      <c r="G35" s="14" t="e">
        <f t="shared" si="3"/>
        <v>#DIV/0!</v>
      </c>
      <c r="H35" s="6">
        <v>7.39</v>
      </c>
      <c r="I35" s="6"/>
      <c r="J35" s="6">
        <v>0</v>
      </c>
      <c r="K35" s="6">
        <v>0.3</v>
      </c>
      <c r="L35" s="7"/>
      <c r="M35" s="6"/>
      <c r="N35" s="6"/>
      <c r="O35" s="6"/>
      <c r="P35" s="7">
        <v>8.6999999999999994E-2</v>
      </c>
      <c r="Q35" s="5">
        <v>0</v>
      </c>
      <c r="R35" s="11">
        <v>0.1</v>
      </c>
      <c r="S35" s="7">
        <v>0.05</v>
      </c>
      <c r="T35" s="7">
        <v>0.05</v>
      </c>
      <c r="U35" s="7">
        <v>7.0000000000000007E-2</v>
      </c>
      <c r="V35" s="6">
        <f t="shared" si="4"/>
        <v>-11.959564541213062</v>
      </c>
      <c r="W35" s="6">
        <f t="shared" si="5"/>
        <v>11.959564541213062</v>
      </c>
      <c r="X35" s="11"/>
      <c r="Y35" s="11"/>
      <c r="Z35" s="8"/>
      <c r="AA35" s="6"/>
    </row>
    <row r="36" spans="1:27" s="4" customFormat="1" x14ac:dyDescent="0.3">
      <c r="A36" s="5" t="s">
        <v>18</v>
      </c>
      <c r="B36" s="5"/>
      <c r="C36" s="32" t="s">
        <v>49</v>
      </c>
      <c r="D36" s="32"/>
      <c r="E36" s="10"/>
      <c r="F36" s="9"/>
      <c r="G36" s="14" t="e">
        <f t="shared" si="3"/>
        <v>#DIV/0!</v>
      </c>
      <c r="H36" s="6">
        <v>8.36</v>
      </c>
      <c r="I36" s="6"/>
      <c r="J36" s="6">
        <v>0</v>
      </c>
      <c r="K36" s="6">
        <v>0.3</v>
      </c>
      <c r="L36" s="7"/>
      <c r="M36" s="6"/>
      <c r="N36" s="6"/>
      <c r="O36" s="6"/>
      <c r="P36" s="7">
        <v>8.6999999999999994E-2</v>
      </c>
      <c r="Q36" s="5">
        <v>0</v>
      </c>
      <c r="R36" s="11">
        <v>0.1</v>
      </c>
      <c r="S36" s="7">
        <v>0.05</v>
      </c>
      <c r="T36" s="7">
        <v>0.05</v>
      </c>
      <c r="U36" s="7">
        <v>7.0000000000000007E-2</v>
      </c>
      <c r="V36" s="6">
        <f t="shared" si="4"/>
        <v>-13.468118195956453</v>
      </c>
      <c r="W36" s="6">
        <f t="shared" si="5"/>
        <v>13.468118195956453</v>
      </c>
      <c r="X36" s="11"/>
      <c r="Y36" s="11"/>
      <c r="Z36" s="8"/>
      <c r="AA36" s="6"/>
    </row>
    <row r="37" spans="1:27" s="4" customFormat="1" x14ac:dyDescent="0.3">
      <c r="A37" s="5" t="s">
        <v>18</v>
      </c>
      <c r="B37" s="5"/>
      <c r="C37" s="32" t="s">
        <v>50</v>
      </c>
      <c r="D37" s="32"/>
      <c r="E37" s="10"/>
      <c r="F37" s="9"/>
      <c r="G37" s="14" t="e">
        <f t="shared" si="3"/>
        <v>#DIV/0!</v>
      </c>
      <c r="H37" s="6">
        <v>7.39</v>
      </c>
      <c r="I37" s="6"/>
      <c r="J37" s="6">
        <v>0</v>
      </c>
      <c r="K37" s="6">
        <v>0.3</v>
      </c>
      <c r="L37" s="7"/>
      <c r="M37" s="6"/>
      <c r="N37" s="6"/>
      <c r="O37" s="6"/>
      <c r="P37" s="7">
        <v>8.6999999999999994E-2</v>
      </c>
      <c r="Q37" s="5">
        <v>0</v>
      </c>
      <c r="R37" s="11">
        <v>0.1</v>
      </c>
      <c r="S37" s="7">
        <v>0.05</v>
      </c>
      <c r="T37" s="7">
        <v>0.05</v>
      </c>
      <c r="U37" s="7">
        <v>7.0000000000000007E-2</v>
      </c>
      <c r="V37" s="6">
        <f t="shared" si="4"/>
        <v>-11.959564541213062</v>
      </c>
      <c r="W37" s="6">
        <f t="shared" si="5"/>
        <v>11.959564541213062</v>
      </c>
      <c r="X37" s="11"/>
      <c r="Y37" s="11"/>
      <c r="Z37" s="8"/>
      <c r="AA37" s="6"/>
    </row>
    <row r="38" spans="1:27" s="4" customFormat="1" x14ac:dyDescent="0.3">
      <c r="A38" s="5" t="s">
        <v>18</v>
      </c>
      <c r="B38" s="5"/>
      <c r="C38" s="32" t="s">
        <v>51</v>
      </c>
      <c r="D38" s="32"/>
      <c r="E38" s="10"/>
      <c r="F38" s="9"/>
      <c r="G38" s="14" t="e">
        <f t="shared" si="3"/>
        <v>#DIV/0!</v>
      </c>
      <c r="H38" s="6">
        <v>10.09</v>
      </c>
      <c r="I38" s="6"/>
      <c r="J38" s="6">
        <v>0</v>
      </c>
      <c r="K38" s="6">
        <v>0.3</v>
      </c>
      <c r="L38" s="7"/>
      <c r="M38" s="6"/>
      <c r="N38" s="6"/>
      <c r="O38" s="6"/>
      <c r="P38" s="7">
        <v>8.6999999999999994E-2</v>
      </c>
      <c r="Q38" s="5">
        <v>0</v>
      </c>
      <c r="R38" s="11">
        <v>0.1</v>
      </c>
      <c r="S38" s="7">
        <v>0.05</v>
      </c>
      <c r="T38" s="7">
        <v>0.05</v>
      </c>
      <c r="U38" s="7">
        <v>7.0000000000000007E-2</v>
      </c>
      <c r="V38" s="6">
        <f t="shared" si="4"/>
        <v>-16.158631415241057</v>
      </c>
      <c r="W38" s="6">
        <f t="shared" si="5"/>
        <v>16.158631415241057</v>
      </c>
      <c r="X38" s="11"/>
      <c r="Y38" s="11"/>
      <c r="Z38" s="8"/>
      <c r="AA38" s="6"/>
    </row>
    <row r="39" spans="1:27" s="4" customFormat="1" x14ac:dyDescent="0.3">
      <c r="A39" s="5" t="s">
        <v>18</v>
      </c>
      <c r="B39" s="5"/>
      <c r="C39" s="32" t="s">
        <v>52</v>
      </c>
      <c r="D39" s="32"/>
      <c r="E39" s="10"/>
      <c r="F39" s="9"/>
      <c r="G39" s="14" t="e">
        <f t="shared" si="3"/>
        <v>#DIV/0!</v>
      </c>
      <c r="H39" s="6">
        <v>9.1300000000000008</v>
      </c>
      <c r="I39" s="6"/>
      <c r="J39" s="6">
        <v>0</v>
      </c>
      <c r="K39" s="6">
        <v>0.3</v>
      </c>
      <c r="L39" s="7"/>
      <c r="M39" s="6"/>
      <c r="N39" s="6"/>
      <c r="O39" s="6"/>
      <c r="P39" s="7">
        <v>8.6999999999999994E-2</v>
      </c>
      <c r="Q39" s="5">
        <v>0</v>
      </c>
      <c r="R39" s="11">
        <v>0.1</v>
      </c>
      <c r="S39" s="7">
        <v>0.05</v>
      </c>
      <c r="T39" s="7">
        <v>0.05</v>
      </c>
      <c r="U39" s="7">
        <v>7.0000000000000007E-2</v>
      </c>
      <c r="V39" s="6">
        <f t="shared" si="4"/>
        <v>-14.665629860031107</v>
      </c>
      <c r="W39" s="6">
        <f t="shared" si="5"/>
        <v>14.665629860031107</v>
      </c>
      <c r="X39" s="11"/>
      <c r="Y39" s="11"/>
      <c r="Z39" s="8"/>
      <c r="AA39" s="6"/>
    </row>
    <row r="40" spans="1:27" s="4" customFormat="1" x14ac:dyDescent="0.3">
      <c r="A40" s="5" t="s">
        <v>18</v>
      </c>
      <c r="B40" s="5"/>
      <c r="C40" s="36" t="s">
        <v>53</v>
      </c>
      <c r="D40" s="37">
        <v>7908812400410</v>
      </c>
      <c r="E40" s="10"/>
      <c r="F40" s="9"/>
      <c r="G40" s="14" t="e">
        <f t="shared" si="3"/>
        <v>#DIV/0!</v>
      </c>
      <c r="H40" s="6">
        <f>H35+H38</f>
        <v>17.48</v>
      </c>
      <c r="I40" s="6"/>
      <c r="J40" s="6">
        <v>0</v>
      </c>
      <c r="K40" s="6">
        <v>0.3</v>
      </c>
      <c r="L40" s="7"/>
      <c r="M40" s="6"/>
      <c r="N40" s="6"/>
      <c r="O40" s="6"/>
      <c r="P40" s="7">
        <v>8.6999999999999994E-2</v>
      </c>
      <c r="Q40" s="5">
        <v>0</v>
      </c>
      <c r="R40" s="11">
        <v>0.1</v>
      </c>
      <c r="S40" s="7">
        <v>0.05</v>
      </c>
      <c r="T40" s="7">
        <v>0.05</v>
      </c>
      <c r="U40" s="7">
        <v>7.0000000000000007E-2</v>
      </c>
      <c r="V40" s="6">
        <f t="shared" si="4"/>
        <v>-27.651632970451011</v>
      </c>
      <c r="W40" s="6">
        <f t="shared" si="5"/>
        <v>27.651632970451011</v>
      </c>
      <c r="X40" s="11"/>
      <c r="Y40" s="11"/>
      <c r="Z40" s="8"/>
      <c r="AA40" s="6"/>
    </row>
    <row r="41" spans="1:27" s="4" customFormat="1" x14ac:dyDescent="0.3">
      <c r="A41" s="5" t="s">
        <v>18</v>
      </c>
      <c r="B41" s="5"/>
      <c r="C41" s="36" t="s">
        <v>131</v>
      </c>
      <c r="D41" s="37">
        <v>7908812400427</v>
      </c>
      <c r="E41" s="10"/>
      <c r="F41" s="9"/>
      <c r="G41" s="14" t="e">
        <f t="shared" si="3"/>
        <v>#DIV/0!</v>
      </c>
      <c r="H41" s="6">
        <f>H36+H39</f>
        <v>17.490000000000002</v>
      </c>
      <c r="I41" s="6"/>
      <c r="J41" s="6">
        <v>0</v>
      </c>
      <c r="K41" s="6">
        <v>0.3</v>
      </c>
      <c r="L41" s="7"/>
      <c r="M41" s="6"/>
      <c r="N41" s="6"/>
      <c r="O41" s="6"/>
      <c r="P41" s="7">
        <v>8.6999999999999994E-2</v>
      </c>
      <c r="Q41" s="5">
        <v>0</v>
      </c>
      <c r="R41" s="11">
        <v>0.1</v>
      </c>
      <c r="S41" s="7">
        <v>0.05</v>
      </c>
      <c r="T41" s="7">
        <v>0.05</v>
      </c>
      <c r="U41" s="7">
        <v>7.0000000000000007E-2</v>
      </c>
      <c r="V41" s="6">
        <f t="shared" si="4"/>
        <v>-27.667185069984452</v>
      </c>
      <c r="W41" s="6">
        <f t="shared" si="5"/>
        <v>27.667185069984452</v>
      </c>
      <c r="X41" s="11"/>
      <c r="Y41" s="11"/>
      <c r="Z41" s="8"/>
      <c r="AA41" s="6"/>
    </row>
    <row r="42" spans="1:27" s="4" customFormat="1" x14ac:dyDescent="0.3">
      <c r="A42" s="5" t="s">
        <v>18</v>
      </c>
      <c r="B42" s="5"/>
      <c r="C42" s="36" t="s">
        <v>132</v>
      </c>
      <c r="D42" s="37">
        <v>7908812400441</v>
      </c>
      <c r="E42" s="10"/>
      <c r="F42" s="9"/>
      <c r="G42" s="14" t="e">
        <f t="shared" si="3"/>
        <v>#DIV/0!</v>
      </c>
      <c r="H42" s="6">
        <f>H35+H36+H37</f>
        <v>23.14</v>
      </c>
      <c r="I42" s="6"/>
      <c r="J42" s="6">
        <v>0</v>
      </c>
      <c r="K42" s="6">
        <v>0.3</v>
      </c>
      <c r="L42" s="7"/>
      <c r="M42" s="6"/>
      <c r="N42" s="6"/>
      <c r="O42" s="6"/>
      <c r="P42" s="7">
        <v>8.6999999999999994E-2</v>
      </c>
      <c r="Q42" s="5">
        <v>0</v>
      </c>
      <c r="R42" s="11">
        <v>0.1</v>
      </c>
      <c r="S42" s="7">
        <v>0.05</v>
      </c>
      <c r="T42" s="7">
        <v>0.05</v>
      </c>
      <c r="U42" s="7">
        <v>7.0000000000000007E-2</v>
      </c>
      <c r="V42" s="6">
        <f t="shared" si="4"/>
        <v>-36.454121306376365</v>
      </c>
      <c r="W42" s="6">
        <f t="shared" si="5"/>
        <v>36.454121306376365</v>
      </c>
      <c r="X42" s="11"/>
      <c r="Y42" s="11"/>
      <c r="Z42" s="8"/>
      <c r="AA42" s="6"/>
    </row>
    <row r="43" spans="1:27" s="4" customFormat="1" x14ac:dyDescent="0.3">
      <c r="A43" s="5" t="s">
        <v>18</v>
      </c>
      <c r="B43" s="5"/>
      <c r="C43" s="36" t="s">
        <v>133</v>
      </c>
      <c r="D43" s="37"/>
      <c r="E43" s="10"/>
      <c r="F43" s="9"/>
      <c r="G43" s="14" t="e">
        <f t="shared" si="3"/>
        <v>#DIV/0!</v>
      </c>
      <c r="H43" s="6">
        <f>H35+H36+H38</f>
        <v>25.84</v>
      </c>
      <c r="I43" s="6"/>
      <c r="J43" s="6">
        <v>0</v>
      </c>
      <c r="K43" s="6">
        <v>0.3</v>
      </c>
      <c r="L43" s="7"/>
      <c r="M43" s="6"/>
      <c r="N43" s="6"/>
      <c r="O43" s="6"/>
      <c r="P43" s="7">
        <v>8.6999999999999994E-2</v>
      </c>
      <c r="Q43" s="5">
        <v>0</v>
      </c>
      <c r="R43" s="11">
        <v>0.1</v>
      </c>
      <c r="S43" s="7">
        <v>0.05</v>
      </c>
      <c r="T43" s="7">
        <v>0.05</v>
      </c>
      <c r="U43" s="7">
        <v>7.0000000000000007E-2</v>
      </c>
      <c r="V43" s="6">
        <f t="shared" si="4"/>
        <v>-40.653188180404356</v>
      </c>
      <c r="W43" s="6">
        <f t="shared" si="5"/>
        <v>40.653188180404356</v>
      </c>
      <c r="X43" s="11"/>
      <c r="Y43" s="11"/>
      <c r="Z43" s="8"/>
      <c r="AA43" s="6"/>
    </row>
    <row r="44" spans="1:27" s="4" customFormat="1" x14ac:dyDescent="0.3">
      <c r="A44" s="5" t="s">
        <v>18</v>
      </c>
      <c r="B44" s="5"/>
      <c r="C44" s="36" t="s">
        <v>134</v>
      </c>
      <c r="D44" s="37"/>
      <c r="E44" s="10"/>
      <c r="F44" s="9"/>
      <c r="G44" s="14" t="e">
        <f t="shared" si="3"/>
        <v>#DIV/0!</v>
      </c>
      <c r="H44" s="6">
        <f>H40+H34</f>
        <v>24.880000000000003</v>
      </c>
      <c r="I44" s="6"/>
      <c r="J44" s="6">
        <v>0</v>
      </c>
      <c r="K44" s="6">
        <v>0.3</v>
      </c>
      <c r="L44" s="7"/>
      <c r="M44" s="6"/>
      <c r="N44" s="6"/>
      <c r="O44" s="6"/>
      <c r="P44" s="7">
        <v>8.6999999999999994E-2</v>
      </c>
      <c r="Q44" s="5">
        <v>0</v>
      </c>
      <c r="R44" s="11">
        <v>0.1</v>
      </c>
      <c r="S44" s="7">
        <v>0.05</v>
      </c>
      <c r="T44" s="7">
        <v>0.05</v>
      </c>
      <c r="U44" s="7">
        <v>7.0000000000000007E-2</v>
      </c>
      <c r="V44" s="6">
        <f t="shared" si="4"/>
        <v>-39.160186625194406</v>
      </c>
      <c r="W44" s="6">
        <f t="shared" si="5"/>
        <v>39.160186625194406</v>
      </c>
      <c r="X44" s="11"/>
      <c r="Y44" s="11"/>
      <c r="Z44" s="8"/>
      <c r="AA44" s="6"/>
    </row>
    <row r="45" spans="1:27" s="4" customFormat="1" x14ac:dyDescent="0.3">
      <c r="A45" s="5" t="s">
        <v>18</v>
      </c>
      <c r="B45" s="5"/>
      <c r="C45" s="36" t="s">
        <v>135</v>
      </c>
      <c r="D45" s="37"/>
      <c r="E45" s="10"/>
      <c r="F45" s="9"/>
      <c r="G45" s="14" t="e">
        <f t="shared" si="3"/>
        <v>#DIV/0!</v>
      </c>
      <c r="H45" s="6">
        <f>H40+H33</f>
        <v>26.08</v>
      </c>
      <c r="I45" s="6"/>
      <c r="J45" s="6">
        <v>0</v>
      </c>
      <c r="K45" s="6">
        <v>0.3</v>
      </c>
      <c r="L45" s="7"/>
      <c r="M45" s="6"/>
      <c r="N45" s="6"/>
      <c r="O45" s="6"/>
      <c r="P45" s="7">
        <v>8.6999999999999994E-2</v>
      </c>
      <c r="Q45" s="5">
        <v>0</v>
      </c>
      <c r="R45" s="11">
        <v>0.1</v>
      </c>
      <c r="S45" s="7">
        <v>0.05</v>
      </c>
      <c r="T45" s="7">
        <v>0.05</v>
      </c>
      <c r="U45" s="7">
        <v>7.0000000000000007E-2</v>
      </c>
      <c r="V45" s="6">
        <f t="shared" si="4"/>
        <v>-41.026438569206839</v>
      </c>
      <c r="W45" s="6">
        <f t="shared" si="5"/>
        <v>41.026438569206839</v>
      </c>
      <c r="X45" s="11"/>
      <c r="Y45" s="11"/>
      <c r="Z45" s="8"/>
      <c r="AA45" s="6"/>
    </row>
    <row r="46" spans="1:27" s="4" customFormat="1" x14ac:dyDescent="0.3">
      <c r="A46" s="5" t="s">
        <v>18</v>
      </c>
      <c r="B46" s="5"/>
      <c r="C46" s="36" t="s">
        <v>54</v>
      </c>
      <c r="D46" s="37"/>
      <c r="E46" s="10"/>
      <c r="F46" s="9"/>
      <c r="G46" s="14" t="e">
        <f t="shared" si="3"/>
        <v>#DIV/0!</v>
      </c>
      <c r="H46" s="6">
        <f>3*11.8</f>
        <v>35.400000000000006</v>
      </c>
      <c r="I46" s="6"/>
      <c r="J46" s="6">
        <v>0</v>
      </c>
      <c r="K46" s="6">
        <v>0.3</v>
      </c>
      <c r="L46" s="7"/>
      <c r="M46" s="6"/>
      <c r="N46" s="6"/>
      <c r="O46" s="6"/>
      <c r="P46" s="7">
        <v>8.6999999999999994E-2</v>
      </c>
      <c r="Q46" s="5">
        <v>0</v>
      </c>
      <c r="R46" s="11">
        <v>0.1</v>
      </c>
      <c r="S46" s="7">
        <v>0.05</v>
      </c>
      <c r="T46" s="7">
        <v>0.05</v>
      </c>
      <c r="U46" s="7">
        <v>7.0000000000000007E-2</v>
      </c>
      <c r="V46" s="6">
        <f t="shared" si="4"/>
        <v>-55.520995334370141</v>
      </c>
      <c r="W46" s="6">
        <f t="shared" si="5"/>
        <v>55.520995334370141</v>
      </c>
      <c r="X46" s="11"/>
      <c r="Y46" s="11"/>
      <c r="Z46" s="8"/>
      <c r="AA46" s="6"/>
    </row>
    <row r="47" spans="1:27" s="4" customFormat="1" x14ac:dyDescent="0.3">
      <c r="A47" s="5" t="s">
        <v>18</v>
      </c>
      <c r="B47" s="5"/>
      <c r="C47" s="36" t="s">
        <v>55</v>
      </c>
      <c r="D47" s="37"/>
      <c r="E47" s="10"/>
      <c r="F47" s="9"/>
      <c r="G47" s="14" t="e">
        <f t="shared" si="3"/>
        <v>#DIV/0!</v>
      </c>
      <c r="H47" s="6">
        <f>2*22.9</f>
        <v>45.8</v>
      </c>
      <c r="I47" s="6"/>
      <c r="J47" s="6">
        <v>0</v>
      </c>
      <c r="K47" s="6">
        <v>0.3</v>
      </c>
      <c r="L47" s="7"/>
      <c r="M47" s="6"/>
      <c r="N47" s="6"/>
      <c r="O47" s="6"/>
      <c r="P47" s="7">
        <v>8.6999999999999994E-2</v>
      </c>
      <c r="Q47" s="5">
        <v>0</v>
      </c>
      <c r="R47" s="11">
        <v>0.1</v>
      </c>
      <c r="S47" s="7">
        <v>0.05</v>
      </c>
      <c r="T47" s="7">
        <v>0.05</v>
      </c>
      <c r="U47" s="7">
        <v>7.0000000000000007E-2</v>
      </c>
      <c r="V47" s="6">
        <f t="shared" si="4"/>
        <v>-71.695178849144625</v>
      </c>
      <c r="W47" s="6">
        <f t="shared" si="5"/>
        <v>71.695178849144625</v>
      </c>
      <c r="X47" s="11"/>
      <c r="Y47" s="11"/>
      <c r="Z47" s="8"/>
      <c r="AA47" s="6"/>
    </row>
    <row r="48" spans="1:27" s="4" customFormat="1" x14ac:dyDescent="0.3">
      <c r="A48" s="5" t="s">
        <v>18</v>
      </c>
      <c r="B48" s="5"/>
      <c r="C48" s="36" t="s">
        <v>56</v>
      </c>
      <c r="D48" s="37"/>
      <c r="E48" s="10"/>
      <c r="F48" s="9"/>
      <c r="G48" s="14" t="e">
        <f t="shared" si="3"/>
        <v>#DIV/0!</v>
      </c>
      <c r="H48" s="6">
        <f>3*5.25</f>
        <v>15.75</v>
      </c>
      <c r="I48" s="6"/>
      <c r="J48" s="6">
        <v>0</v>
      </c>
      <c r="K48" s="6">
        <v>0.3</v>
      </c>
      <c r="L48" s="7"/>
      <c r="M48" s="6"/>
      <c r="N48" s="6"/>
      <c r="O48" s="6"/>
      <c r="P48" s="7">
        <v>8.6999999999999994E-2</v>
      </c>
      <c r="Q48" s="5">
        <v>0</v>
      </c>
      <c r="R48" s="11">
        <v>0.1</v>
      </c>
      <c r="S48" s="7">
        <v>0.05</v>
      </c>
      <c r="T48" s="7">
        <v>0.05</v>
      </c>
      <c r="U48" s="7">
        <v>7.0000000000000007E-2</v>
      </c>
      <c r="V48" s="6">
        <f t="shared" si="4"/>
        <v>-24.961119751166407</v>
      </c>
      <c r="W48" s="6">
        <f t="shared" si="5"/>
        <v>24.961119751166407</v>
      </c>
      <c r="X48" s="11"/>
      <c r="Y48" s="11"/>
      <c r="Z48" s="8"/>
      <c r="AA48" s="6"/>
    </row>
    <row r="49" spans="1:27" s="4" customFormat="1" x14ac:dyDescent="0.3">
      <c r="A49" s="5" t="s">
        <v>18</v>
      </c>
      <c r="B49" s="5"/>
      <c r="C49" s="35" t="s">
        <v>57</v>
      </c>
      <c r="D49" s="38">
        <v>7908812400434</v>
      </c>
      <c r="E49" s="10"/>
      <c r="F49" s="9"/>
      <c r="G49" s="14" t="e">
        <f t="shared" si="3"/>
        <v>#DIV/0!</v>
      </c>
      <c r="H49" s="6">
        <f>2*9.13</f>
        <v>18.260000000000002</v>
      </c>
      <c r="I49" s="6"/>
      <c r="J49" s="6">
        <v>0</v>
      </c>
      <c r="K49" s="6">
        <v>0.3</v>
      </c>
      <c r="L49" s="7"/>
      <c r="M49" s="6"/>
      <c r="N49" s="6"/>
      <c r="O49" s="6"/>
      <c r="P49" s="7">
        <v>8.6999999999999994E-2</v>
      </c>
      <c r="Q49" s="5">
        <v>0</v>
      </c>
      <c r="R49" s="11">
        <v>0.1</v>
      </c>
      <c r="S49" s="7">
        <v>0.05</v>
      </c>
      <c r="T49" s="7">
        <v>0.05</v>
      </c>
      <c r="U49" s="7">
        <v>7.0000000000000007E-2</v>
      </c>
      <c r="V49" s="6">
        <f t="shared" si="4"/>
        <v>-28.864696734059102</v>
      </c>
      <c r="W49" s="6">
        <f t="shared" si="5"/>
        <v>28.864696734059102</v>
      </c>
      <c r="X49" s="11"/>
      <c r="Y49" s="11"/>
      <c r="Z49" s="8"/>
      <c r="AA49" s="6"/>
    </row>
    <row r="50" spans="1:27" s="4" customFormat="1" x14ac:dyDescent="0.3">
      <c r="A50" s="5" t="s">
        <v>18</v>
      </c>
      <c r="B50" s="5"/>
      <c r="C50" s="3" t="s">
        <v>58</v>
      </c>
      <c r="D50" s="39"/>
      <c r="E50" s="10"/>
      <c r="F50" s="9"/>
      <c r="G50" s="14" t="e">
        <f t="shared" si="3"/>
        <v>#DIV/0!</v>
      </c>
      <c r="H50" s="6">
        <v>101</v>
      </c>
      <c r="I50" s="6"/>
      <c r="J50" s="6">
        <v>0</v>
      </c>
      <c r="K50" s="6">
        <v>0.3</v>
      </c>
      <c r="L50" s="7"/>
      <c r="M50" s="6"/>
      <c r="N50" s="6"/>
      <c r="O50" s="6"/>
      <c r="P50" s="7">
        <v>8.6999999999999994E-2</v>
      </c>
      <c r="Q50" s="5">
        <v>0</v>
      </c>
      <c r="R50" s="11">
        <v>0.1</v>
      </c>
      <c r="S50" s="7">
        <v>0.05</v>
      </c>
      <c r="T50" s="7">
        <v>0.05</v>
      </c>
      <c r="U50" s="7">
        <v>7.0000000000000007E-2</v>
      </c>
      <c r="V50" s="6">
        <f t="shared" si="4"/>
        <v>-157.54276827371694</v>
      </c>
      <c r="W50" s="6">
        <f t="shared" si="5"/>
        <v>157.54276827371694</v>
      </c>
      <c r="X50" s="11"/>
      <c r="Y50" s="11"/>
      <c r="Z50" s="8"/>
      <c r="AA50" s="6"/>
    </row>
  </sheetData>
  <protectedRanges>
    <protectedRange algorithmName="SHA-512" hashValue="aEERJQJMzSjwyk85T8BB6RJ31PG9yww9W3guKd9+QEmDdpPLyQ7YOL1UJkf0y4KIl2a79DCYAvYCdlVp2mDjxg==" saltValue="aKgvfp76T60uU8TGfv8oiw==" spinCount="100000" sqref="W14 W47" name="precosugerido_3"/>
  </protectedRanges>
  <autoFilter ref="A2:W39" xr:uid="{32ADF463-67BE-4B40-B1D3-F7FDD3169699}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C6D37C-1394-4B07-BD77-6EC09E4A05E5}">
          <x14:formula1>
            <xm:f>#REF!</xm:f>
          </x14:formula1>
          <xm:sqref>B3:B30 B35:B50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MELI</vt:lpstr>
      <vt:lpstr>EAN KIT</vt:lpstr>
      <vt:lpstr>MELI SP</vt:lpstr>
      <vt:lpstr>calcular preço cheio</vt:lpstr>
      <vt:lpstr>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Daniel Martins Delfim</cp:lastModifiedBy>
  <cp:revision/>
  <dcterms:created xsi:type="dcterms:W3CDTF">2025-04-12T12:26:26Z</dcterms:created>
  <dcterms:modified xsi:type="dcterms:W3CDTF">2025-07-21T19:50:54Z</dcterms:modified>
  <cp:category/>
  <cp:contentStatus/>
</cp:coreProperties>
</file>