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8efa3ad722ed28c/Aplicativos/"/>
    </mc:Choice>
  </mc:AlternateContent>
  <xr:revisionPtr revIDLastSave="6957" documentId="8_{6EA0C544-B725-4D1D-976F-C099C3F78CB2}" xr6:coauthVersionLast="47" xr6:coauthVersionMax="47" xr10:uidLastSave="{F46940D3-E5D2-4EA0-9D67-E917584CE627}"/>
  <bookViews>
    <workbookView xWindow="780" yWindow="780" windowWidth="28800" windowHeight="11295" firstSheet="2" activeTab="2" xr2:uid="{00000000-000D-0000-FFFF-FFFF00000000}"/>
  </bookViews>
  <sheets>
    <sheet name="EAN KIT" sheetId="7" state="hidden" r:id="rId1"/>
    <sheet name="MELI SP" sheetId="2" state="hidden" r:id="rId2"/>
    <sheet name="LOJISTA" sheetId="12" r:id="rId3"/>
    <sheet name="calcular preço cheio" sheetId="11" state="hidden" r:id="rId4"/>
    <sheet name="Site" sheetId="9" state="hidden" r:id="rId5"/>
  </sheets>
  <definedNames>
    <definedName name="_xlnm._FilterDatabase" localSheetId="3" hidden="1">'calcular preço cheio'!$A$2:$R$49</definedName>
    <definedName name="_xlnm._FilterDatabase" localSheetId="2" hidden="1">LOJISTA!$A$2:$J$69</definedName>
    <definedName name="_xlnm._FilterDatabase" localSheetId="1" hidden="1">'MELI SP'!$A$2:$Y$27</definedName>
    <definedName name="_xlnm._FilterDatabase" localSheetId="4" hidden="1">Site!$A$2:$W$39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I15" i="12"/>
  <c r="E15" i="12"/>
  <c r="E18" i="12"/>
  <c r="I18" i="12"/>
  <c r="J18" i="12"/>
  <c r="E16" i="12"/>
  <c r="E4" i="12"/>
  <c r="E3" i="12"/>
  <c r="D27" i="12"/>
  <c r="E27" i="12"/>
  <c r="B13" i="12"/>
  <c r="B12" i="12"/>
  <c r="D53" i="12"/>
  <c r="I53" i="12"/>
  <c r="J53" i="12"/>
  <c r="D52" i="12"/>
  <c r="I52" i="12"/>
  <c r="J52" i="12"/>
  <c r="D51" i="12"/>
  <c r="I51" i="12"/>
  <c r="J51" i="12"/>
  <c r="D50" i="12"/>
  <c r="I50" i="12"/>
  <c r="J50" i="12"/>
  <c r="D49" i="12"/>
  <c r="I49" i="12"/>
  <c r="J49" i="12"/>
  <c r="D48" i="12"/>
  <c r="I48" i="12"/>
  <c r="J48" i="12"/>
  <c r="D47" i="12"/>
  <c r="I47" i="12"/>
  <c r="J47" i="12"/>
  <c r="D46" i="12"/>
  <c r="I46" i="12"/>
  <c r="J46" i="12"/>
  <c r="D45" i="12"/>
  <c r="I45" i="12"/>
  <c r="J45" i="12"/>
  <c r="D44" i="12"/>
  <c r="I44" i="12"/>
  <c r="J44" i="12"/>
  <c r="D43" i="12"/>
  <c r="I43" i="12"/>
  <c r="J43" i="12"/>
  <c r="D42" i="12"/>
  <c r="I42" i="12"/>
  <c r="J42" i="12"/>
  <c r="I41" i="12"/>
  <c r="J41" i="12"/>
  <c r="I40" i="12"/>
  <c r="J40" i="12"/>
  <c r="I39" i="12"/>
  <c r="J39" i="12"/>
  <c r="I38" i="12"/>
  <c r="J38" i="12"/>
  <c r="I37" i="12"/>
  <c r="J37" i="12"/>
  <c r="I36" i="12"/>
  <c r="J36" i="12"/>
  <c r="I35" i="12"/>
  <c r="J35" i="12"/>
  <c r="D34" i="12"/>
  <c r="I34" i="12"/>
  <c r="J34" i="12"/>
  <c r="D33" i="12"/>
  <c r="I33" i="12"/>
  <c r="J33" i="12"/>
  <c r="I32" i="12"/>
  <c r="J32" i="12"/>
  <c r="D31" i="12"/>
  <c r="I31" i="12"/>
  <c r="J31" i="12"/>
  <c r="D30" i="12"/>
  <c r="I30" i="12"/>
  <c r="J30" i="12"/>
  <c r="I29" i="12"/>
  <c r="J29" i="12"/>
  <c r="D28" i="12"/>
  <c r="I28" i="12"/>
  <c r="J28" i="12"/>
  <c r="I26" i="12"/>
  <c r="J26" i="12"/>
  <c r="I25" i="12"/>
  <c r="J25" i="12"/>
  <c r="I24" i="12"/>
  <c r="J24" i="12"/>
  <c r="I23" i="12"/>
  <c r="J23" i="12"/>
  <c r="J22" i="12"/>
  <c r="I21" i="12"/>
  <c r="I20" i="12"/>
  <c r="I19" i="12"/>
  <c r="J19" i="12"/>
  <c r="I17" i="12"/>
  <c r="J17" i="12"/>
  <c r="I16" i="12"/>
  <c r="I14" i="12"/>
  <c r="I13" i="12"/>
  <c r="I12" i="12"/>
  <c r="J12" i="12"/>
  <c r="I11" i="12"/>
  <c r="J11" i="12"/>
  <c r="I10" i="12"/>
  <c r="J10" i="12"/>
  <c r="I9" i="12"/>
  <c r="J9" i="12"/>
  <c r="I8" i="12"/>
  <c r="J8" i="12"/>
  <c r="I7" i="12"/>
  <c r="J7" i="12"/>
  <c r="I6" i="12"/>
  <c r="J6" i="12"/>
  <c r="I5" i="12"/>
  <c r="J5" i="12"/>
  <c r="I4" i="12"/>
  <c r="J4" i="12"/>
  <c r="I3" i="12"/>
  <c r="J3" i="12"/>
  <c r="U47" i="11"/>
  <c r="V47" i="11"/>
  <c r="F47" i="11"/>
  <c r="M47" i="11"/>
  <c r="O47" i="11"/>
  <c r="P47" i="11"/>
  <c r="R47" i="11"/>
  <c r="S47" i="11"/>
  <c r="W47" i="11"/>
  <c r="X47" i="11"/>
  <c r="Q47" i="11"/>
  <c r="D47" i="11"/>
  <c r="F24" i="11"/>
  <c r="M24" i="11"/>
  <c r="O24" i="11"/>
  <c r="P24" i="11"/>
  <c r="R24" i="11"/>
  <c r="S24" i="11"/>
  <c r="U24" i="11"/>
  <c r="V24" i="11"/>
  <c r="W24" i="11"/>
  <c r="X24" i="11"/>
  <c r="Q24" i="11"/>
  <c r="D24" i="11"/>
  <c r="M7" i="11"/>
  <c r="O7" i="11"/>
  <c r="P7" i="11"/>
  <c r="F7" i="11"/>
  <c r="R7" i="11"/>
  <c r="C7" i="11"/>
  <c r="Q7" i="11"/>
  <c r="S7" i="11"/>
  <c r="U7" i="11"/>
  <c r="V7" i="11"/>
  <c r="W7" i="11"/>
  <c r="X7" i="11"/>
  <c r="D7" i="11"/>
  <c r="U45" i="11"/>
  <c r="P23" i="11"/>
  <c r="O29" i="11"/>
  <c r="O30" i="11"/>
  <c r="O31" i="11"/>
  <c r="O32" i="11"/>
  <c r="O33" i="11"/>
  <c r="O34" i="11"/>
  <c r="O35" i="11"/>
  <c r="U4" i="11"/>
  <c r="U5" i="11"/>
  <c r="U6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6" i="11"/>
  <c r="U48" i="11"/>
  <c r="U49" i="11"/>
  <c r="U3" i="11"/>
  <c r="V4" i="11"/>
  <c r="V5" i="11"/>
  <c r="V6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5" i="11"/>
  <c r="V26" i="11"/>
  <c r="V27" i="11"/>
  <c r="V28" i="11"/>
  <c r="V29" i="11"/>
  <c r="V30" i="11"/>
  <c r="V31" i="11"/>
  <c r="V32" i="11"/>
  <c r="V33" i="11"/>
  <c r="V34" i="11"/>
  <c r="V35" i="11"/>
  <c r="E36" i="11"/>
  <c r="V36" i="11"/>
  <c r="V37" i="11"/>
  <c r="E38" i="11"/>
  <c r="V38" i="11"/>
  <c r="E39" i="11"/>
  <c r="V39" i="11"/>
  <c r="E42" i="11"/>
  <c r="E40" i="11"/>
  <c r="V40" i="11"/>
  <c r="E41" i="11"/>
  <c r="V41" i="11"/>
  <c r="V42" i="11"/>
  <c r="V43" i="11"/>
  <c r="V44" i="11"/>
  <c r="V45" i="11"/>
  <c r="V46" i="11"/>
  <c r="V48" i="11"/>
  <c r="V49" i="11"/>
  <c r="V3" i="11"/>
  <c r="P4" i="11"/>
  <c r="P5" i="11"/>
  <c r="P6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5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8" i="11"/>
  <c r="P49" i="11"/>
  <c r="F4" i="11"/>
  <c r="M4" i="11"/>
  <c r="O4" i="11"/>
  <c r="R4" i="11"/>
  <c r="C4" i="11"/>
  <c r="F5" i="11"/>
  <c r="M5" i="11"/>
  <c r="O5" i="11"/>
  <c r="R5" i="11"/>
  <c r="C5" i="11"/>
  <c r="F6" i="11"/>
  <c r="M6" i="11"/>
  <c r="O6" i="11"/>
  <c r="R6" i="11"/>
  <c r="C6" i="11"/>
  <c r="F8" i="11"/>
  <c r="M8" i="11"/>
  <c r="O8" i="11"/>
  <c r="R8" i="11"/>
  <c r="C8" i="11"/>
  <c r="F9" i="11"/>
  <c r="M9" i="11"/>
  <c r="O9" i="11"/>
  <c r="R9" i="11"/>
  <c r="C9" i="11"/>
  <c r="F10" i="11"/>
  <c r="M10" i="11"/>
  <c r="O10" i="11"/>
  <c r="R10" i="11"/>
  <c r="C10" i="11"/>
  <c r="F11" i="11"/>
  <c r="M11" i="11"/>
  <c r="O11" i="11"/>
  <c r="R11" i="11"/>
  <c r="C11" i="11"/>
  <c r="F12" i="11"/>
  <c r="M12" i="11"/>
  <c r="O12" i="11"/>
  <c r="R12" i="11"/>
  <c r="C12" i="11"/>
  <c r="F13" i="11"/>
  <c r="M13" i="11"/>
  <c r="O13" i="11"/>
  <c r="R13" i="11"/>
  <c r="C13" i="11"/>
  <c r="F14" i="11"/>
  <c r="M14" i="11"/>
  <c r="O14" i="11"/>
  <c r="R14" i="11"/>
  <c r="C14" i="11"/>
  <c r="F15" i="11"/>
  <c r="M15" i="11"/>
  <c r="O15" i="11"/>
  <c r="R15" i="11"/>
  <c r="C15" i="11"/>
  <c r="C16" i="11"/>
  <c r="F17" i="11"/>
  <c r="M17" i="11"/>
  <c r="O17" i="11"/>
  <c r="R17" i="11"/>
  <c r="C17" i="11"/>
  <c r="F18" i="11"/>
  <c r="M18" i="11"/>
  <c r="O18" i="11"/>
  <c r="R18" i="11"/>
  <c r="C18" i="11"/>
  <c r="F19" i="11"/>
  <c r="M19" i="11"/>
  <c r="O19" i="11"/>
  <c r="R19" i="11"/>
  <c r="C19" i="11"/>
  <c r="F20" i="11"/>
  <c r="M20" i="11"/>
  <c r="O20" i="11"/>
  <c r="R20" i="11"/>
  <c r="C20" i="11"/>
  <c r="F21" i="11"/>
  <c r="M21" i="11"/>
  <c r="O21" i="11"/>
  <c r="R21" i="11"/>
  <c r="C21" i="11"/>
  <c r="F22" i="11"/>
  <c r="M22" i="11"/>
  <c r="O22" i="11"/>
  <c r="R22" i="11"/>
  <c r="C22" i="11"/>
  <c r="F23" i="11"/>
  <c r="M23" i="11"/>
  <c r="O23" i="11"/>
  <c r="R23" i="11"/>
  <c r="C23" i="11"/>
  <c r="F25" i="11"/>
  <c r="M25" i="11"/>
  <c r="O25" i="11"/>
  <c r="R25" i="11"/>
  <c r="C25" i="11"/>
  <c r="F26" i="11"/>
  <c r="M26" i="11"/>
  <c r="O26" i="11"/>
  <c r="R26" i="11"/>
  <c r="C26" i="11"/>
  <c r="F27" i="11"/>
  <c r="M27" i="11"/>
  <c r="O27" i="11"/>
  <c r="R27" i="11"/>
  <c r="C27" i="11"/>
  <c r="F28" i="11"/>
  <c r="M28" i="11"/>
  <c r="O28" i="11"/>
  <c r="R28" i="11"/>
  <c r="C28" i="11"/>
  <c r="F29" i="11"/>
  <c r="M29" i="11"/>
  <c r="R29" i="11"/>
  <c r="C29" i="11"/>
  <c r="F30" i="11"/>
  <c r="M30" i="11"/>
  <c r="R30" i="11"/>
  <c r="C30" i="11"/>
  <c r="F31" i="11"/>
  <c r="M31" i="11"/>
  <c r="R31" i="11"/>
  <c r="C31" i="11"/>
  <c r="F32" i="11"/>
  <c r="M32" i="11"/>
  <c r="R32" i="11"/>
  <c r="C32" i="11"/>
  <c r="F33" i="11"/>
  <c r="M33" i="11"/>
  <c r="R33" i="11"/>
  <c r="C33" i="11"/>
  <c r="F34" i="11"/>
  <c r="M34" i="11"/>
  <c r="R34" i="11"/>
  <c r="C34" i="11"/>
  <c r="F35" i="11"/>
  <c r="M35" i="11"/>
  <c r="R35" i="11"/>
  <c r="C35" i="11"/>
  <c r="F36" i="11"/>
  <c r="M36" i="11"/>
  <c r="O36" i="11"/>
  <c r="R36" i="11"/>
  <c r="C36" i="11"/>
  <c r="F37" i="11"/>
  <c r="M37" i="11"/>
  <c r="O37" i="11"/>
  <c r="R37" i="11"/>
  <c r="C37" i="11"/>
  <c r="F38" i="11"/>
  <c r="M38" i="11"/>
  <c r="O38" i="11"/>
  <c r="R38" i="11"/>
  <c r="C38" i="11"/>
  <c r="F39" i="11"/>
  <c r="M39" i="11"/>
  <c r="O39" i="11"/>
  <c r="R39" i="11"/>
  <c r="C39" i="11"/>
  <c r="F40" i="11"/>
  <c r="M40" i="11"/>
  <c r="O40" i="11"/>
  <c r="R40" i="11"/>
  <c r="C40" i="11"/>
  <c r="F41" i="11"/>
  <c r="M41" i="11"/>
  <c r="O41" i="11"/>
  <c r="R41" i="11"/>
  <c r="C41" i="11"/>
  <c r="F42" i="11"/>
  <c r="M42" i="11"/>
  <c r="O42" i="11"/>
  <c r="R42" i="11"/>
  <c r="C42" i="11"/>
  <c r="F43" i="11"/>
  <c r="M43" i="11"/>
  <c r="O43" i="11"/>
  <c r="R43" i="11"/>
  <c r="C43" i="11"/>
  <c r="F44" i="11"/>
  <c r="M44" i="11"/>
  <c r="O44" i="11"/>
  <c r="R44" i="11"/>
  <c r="C44" i="11"/>
  <c r="F45" i="11"/>
  <c r="M45" i="11"/>
  <c r="O45" i="11"/>
  <c r="R45" i="11"/>
  <c r="C45" i="11"/>
  <c r="F46" i="11"/>
  <c r="M46" i="11"/>
  <c r="O46" i="11"/>
  <c r="R46" i="11"/>
  <c r="C46" i="11"/>
  <c r="F48" i="11"/>
  <c r="M48" i="11"/>
  <c r="O48" i="11"/>
  <c r="R48" i="11"/>
  <c r="C48" i="11"/>
  <c r="F49" i="11"/>
  <c r="M49" i="11"/>
  <c r="O49" i="11"/>
  <c r="R49" i="11"/>
  <c r="C49" i="11"/>
  <c r="F3" i="11"/>
  <c r="M3" i="11"/>
  <c r="O3" i="11"/>
  <c r="P3" i="11"/>
  <c r="R3" i="11"/>
  <c r="C3" i="11"/>
  <c r="Q3" i="11"/>
  <c r="D3" i="11"/>
  <c r="S3" i="11"/>
  <c r="W3" i="11"/>
  <c r="X3" i="11"/>
  <c r="Q4" i="11"/>
  <c r="D4" i="11"/>
  <c r="S4" i="11"/>
  <c r="W4" i="11"/>
  <c r="X4" i="11"/>
  <c r="Q5" i="11"/>
  <c r="D5" i="11"/>
  <c r="S5" i="11"/>
  <c r="W5" i="11"/>
  <c r="X5" i="11"/>
  <c r="Q6" i="11"/>
  <c r="D6" i="11"/>
  <c r="S6" i="11"/>
  <c r="W6" i="11"/>
  <c r="X6" i="11"/>
  <c r="Q8" i="11"/>
  <c r="D8" i="11"/>
  <c r="S8" i="11"/>
  <c r="W8" i="11"/>
  <c r="X8" i="11"/>
  <c r="Q9" i="11"/>
  <c r="D9" i="11"/>
  <c r="S9" i="11"/>
  <c r="W9" i="11"/>
  <c r="X9" i="11"/>
  <c r="Q10" i="11"/>
  <c r="D10" i="11"/>
  <c r="S10" i="11"/>
  <c r="W10" i="11"/>
  <c r="X10" i="11"/>
  <c r="Q11" i="11"/>
  <c r="D11" i="11"/>
  <c r="S11" i="11"/>
  <c r="W11" i="11"/>
  <c r="X11" i="11"/>
  <c r="Q12" i="11"/>
  <c r="D12" i="11"/>
  <c r="S12" i="11"/>
  <c r="W12" i="11"/>
  <c r="X12" i="11"/>
  <c r="Q13" i="11"/>
  <c r="D13" i="11"/>
  <c r="S13" i="11"/>
  <c r="W13" i="11"/>
  <c r="X13" i="11"/>
  <c r="S14" i="11"/>
  <c r="W14" i="11"/>
  <c r="X14" i="11"/>
  <c r="Q15" i="11"/>
  <c r="D15" i="11"/>
  <c r="S15" i="11"/>
  <c r="W15" i="11"/>
  <c r="X15" i="11"/>
  <c r="W16" i="11"/>
  <c r="X16" i="11"/>
  <c r="Q17" i="11"/>
  <c r="D17" i="11"/>
  <c r="S17" i="11"/>
  <c r="W17" i="11"/>
  <c r="X17" i="11"/>
  <c r="Q18" i="11"/>
  <c r="D18" i="11"/>
  <c r="S18" i="11"/>
  <c r="W18" i="11"/>
  <c r="X18" i="11"/>
  <c r="Q19" i="11"/>
  <c r="D19" i="11"/>
  <c r="S19" i="11"/>
  <c r="W19" i="11"/>
  <c r="X19" i="11"/>
  <c r="Q20" i="11"/>
  <c r="D20" i="11"/>
  <c r="S20" i="11"/>
  <c r="W20" i="11"/>
  <c r="X20" i="11"/>
  <c r="Q21" i="11"/>
  <c r="D21" i="11"/>
  <c r="S21" i="11"/>
  <c r="W21" i="11"/>
  <c r="X21" i="11"/>
  <c r="Q22" i="11"/>
  <c r="D22" i="11"/>
  <c r="S22" i="11"/>
  <c r="W22" i="11"/>
  <c r="X22" i="11"/>
  <c r="S23" i="11"/>
  <c r="W23" i="11"/>
  <c r="X23" i="11"/>
  <c r="S25" i="11"/>
  <c r="W25" i="11"/>
  <c r="X25" i="11"/>
  <c r="Q26" i="11"/>
  <c r="D26" i="11"/>
  <c r="S26" i="11"/>
  <c r="W26" i="11"/>
  <c r="X26" i="11"/>
  <c r="Q27" i="11"/>
  <c r="D27" i="11"/>
  <c r="S27" i="11"/>
  <c r="W27" i="11"/>
  <c r="X27" i="11"/>
  <c r="Q28" i="11"/>
  <c r="D28" i="11"/>
  <c r="S28" i="11"/>
  <c r="W28" i="11"/>
  <c r="X28" i="11"/>
  <c r="Q29" i="11"/>
  <c r="D29" i="11"/>
  <c r="S29" i="11"/>
  <c r="W29" i="11"/>
  <c r="X29" i="11"/>
  <c r="Q30" i="11"/>
  <c r="D30" i="11"/>
  <c r="S30" i="11"/>
  <c r="W30" i="11"/>
  <c r="X30" i="11"/>
  <c r="Q31" i="11"/>
  <c r="D31" i="11"/>
  <c r="S31" i="11"/>
  <c r="W31" i="11"/>
  <c r="X31" i="11"/>
  <c r="Q32" i="11"/>
  <c r="D32" i="11"/>
  <c r="S32" i="11"/>
  <c r="W32" i="11"/>
  <c r="X32" i="11"/>
  <c r="Q33" i="11"/>
  <c r="D33" i="11"/>
  <c r="S33" i="11"/>
  <c r="W33" i="11"/>
  <c r="X33" i="11"/>
  <c r="Q34" i="11"/>
  <c r="D34" i="11"/>
  <c r="S34" i="11"/>
  <c r="W34" i="11"/>
  <c r="X34" i="11"/>
  <c r="Q35" i="11"/>
  <c r="D35" i="11"/>
  <c r="S35" i="11"/>
  <c r="W35" i="11"/>
  <c r="X35" i="11"/>
  <c r="Q36" i="11"/>
  <c r="D36" i="11"/>
  <c r="S36" i="11"/>
  <c r="W36" i="11"/>
  <c r="X36" i="11"/>
  <c r="Q37" i="11"/>
  <c r="D37" i="11"/>
  <c r="S37" i="11"/>
  <c r="W37" i="11"/>
  <c r="X37" i="11"/>
  <c r="Q38" i="11"/>
  <c r="D38" i="11"/>
  <c r="S38" i="11"/>
  <c r="W38" i="11"/>
  <c r="X38" i="11"/>
  <c r="Q39" i="11"/>
  <c r="D39" i="11"/>
  <c r="S39" i="11"/>
  <c r="W39" i="11"/>
  <c r="X39" i="11"/>
  <c r="Q40" i="11"/>
  <c r="D40" i="11"/>
  <c r="S40" i="11"/>
  <c r="W40" i="11"/>
  <c r="X40" i="11"/>
  <c r="Q41" i="11"/>
  <c r="D41" i="11"/>
  <c r="S41" i="11"/>
  <c r="W41" i="11"/>
  <c r="X41" i="11"/>
  <c r="Q42" i="11"/>
  <c r="D42" i="11"/>
  <c r="S42" i="11"/>
  <c r="W42" i="11"/>
  <c r="X42" i="11"/>
  <c r="Q43" i="11"/>
  <c r="D43" i="11"/>
  <c r="S43" i="11"/>
  <c r="W43" i="11"/>
  <c r="X43" i="11"/>
  <c r="Q44" i="11"/>
  <c r="D44" i="11"/>
  <c r="S44" i="11"/>
  <c r="W44" i="11"/>
  <c r="X44" i="11"/>
  <c r="Q45" i="11"/>
  <c r="D45" i="11"/>
  <c r="S45" i="11"/>
  <c r="W45" i="11"/>
  <c r="X45" i="11"/>
  <c r="Q46" i="11"/>
  <c r="D46" i="11"/>
  <c r="S46" i="11"/>
  <c r="W46" i="11"/>
  <c r="X46" i="11"/>
  <c r="Q48" i="11"/>
  <c r="D48" i="11"/>
  <c r="S48" i="11"/>
  <c r="W48" i="11"/>
  <c r="X48" i="11"/>
  <c r="Q49" i="11"/>
  <c r="D49" i="11"/>
  <c r="S49" i="11"/>
  <c r="W49" i="11"/>
  <c r="X49" i="11"/>
  <c r="D30" i="2"/>
  <c r="H30" i="2"/>
  <c r="V30" i="2"/>
  <c r="U30" i="2"/>
  <c r="F30" i="2"/>
  <c r="H13" i="2"/>
  <c r="V13" i="2"/>
  <c r="U13" i="2"/>
  <c r="F13" i="2"/>
  <c r="F27" i="9"/>
  <c r="H27" i="9"/>
  <c r="F14" i="9"/>
  <c r="F13" i="9"/>
  <c r="F12" i="9"/>
  <c r="W50" i="9"/>
  <c r="H49" i="9"/>
  <c r="W49" i="9"/>
  <c r="H48" i="9"/>
  <c r="W48" i="9"/>
  <c r="H47" i="9"/>
  <c r="W47" i="9"/>
  <c r="H46" i="9"/>
  <c r="W46" i="9"/>
  <c r="H40" i="9"/>
  <c r="H33" i="9"/>
  <c r="H45" i="9"/>
  <c r="W45" i="9"/>
  <c r="H44" i="9"/>
  <c r="W44" i="9"/>
  <c r="H43" i="9"/>
  <c r="W43" i="9"/>
  <c r="H42" i="9"/>
  <c r="W42" i="9"/>
  <c r="H41" i="9"/>
  <c r="W41" i="9"/>
  <c r="W40" i="9"/>
  <c r="W39" i="9"/>
  <c r="W38" i="9"/>
  <c r="W37" i="9"/>
  <c r="W36" i="9"/>
  <c r="W35" i="9"/>
  <c r="W34" i="9"/>
  <c r="W33" i="9"/>
  <c r="H32" i="9"/>
  <c r="W32" i="9"/>
  <c r="H31" i="9"/>
  <c r="W31" i="9"/>
  <c r="H30" i="9"/>
  <c r="W30" i="9"/>
  <c r="H29" i="9"/>
  <c r="W29" i="9"/>
  <c r="W28" i="9"/>
  <c r="W27" i="9"/>
  <c r="W26" i="9"/>
  <c r="W25" i="9"/>
  <c r="W24" i="9"/>
  <c r="W23" i="9"/>
  <c r="W22" i="9"/>
  <c r="W21" i="9"/>
  <c r="W20" i="9"/>
  <c r="W19" i="9"/>
  <c r="W18" i="9"/>
  <c r="W15" i="9"/>
  <c r="W14" i="9"/>
  <c r="W13" i="9"/>
  <c r="W12" i="9"/>
  <c r="W10" i="9"/>
  <c r="W9" i="9"/>
  <c r="W8" i="9"/>
  <c r="W7" i="9"/>
  <c r="W6" i="9"/>
  <c r="W5" i="9"/>
  <c r="W4" i="9"/>
  <c r="W3" i="9"/>
  <c r="V3" i="9"/>
  <c r="G3" i="9"/>
  <c r="V4" i="9"/>
  <c r="G4" i="9"/>
  <c r="V5" i="9"/>
  <c r="G5" i="9"/>
  <c r="V6" i="9"/>
  <c r="G6" i="9"/>
  <c r="V7" i="9"/>
  <c r="G7" i="9"/>
  <c r="V8" i="9"/>
  <c r="G8" i="9"/>
  <c r="V9" i="9"/>
  <c r="G9" i="9"/>
  <c r="V10" i="9"/>
  <c r="G10" i="9"/>
  <c r="V12" i="9"/>
  <c r="G12" i="9"/>
  <c r="V13" i="9"/>
  <c r="G13" i="9"/>
  <c r="V14" i="9"/>
  <c r="G14" i="9"/>
  <c r="V15" i="9"/>
  <c r="G15" i="9"/>
  <c r="V18" i="9"/>
  <c r="G18" i="9"/>
  <c r="V19" i="9"/>
  <c r="G19" i="9"/>
  <c r="V20" i="9"/>
  <c r="G20" i="9"/>
  <c r="V21" i="9"/>
  <c r="G21" i="9"/>
  <c r="V22" i="9"/>
  <c r="G22" i="9"/>
  <c r="V23" i="9"/>
  <c r="G23" i="9"/>
  <c r="V24" i="9"/>
  <c r="G24" i="9"/>
  <c r="V25" i="9"/>
  <c r="G25" i="9"/>
  <c r="V26" i="9"/>
  <c r="G26" i="9"/>
  <c r="V27" i="9"/>
  <c r="G27" i="9"/>
  <c r="V28" i="9"/>
  <c r="G28" i="9"/>
  <c r="V29" i="9"/>
  <c r="G29" i="9"/>
  <c r="V30" i="9"/>
  <c r="G30" i="9"/>
  <c r="V31" i="9"/>
  <c r="G31" i="9"/>
  <c r="V32" i="9"/>
  <c r="G32" i="9"/>
  <c r="V33" i="9"/>
  <c r="G33" i="9"/>
  <c r="V34" i="9"/>
  <c r="G34" i="9"/>
  <c r="V35" i="9"/>
  <c r="G35" i="9"/>
  <c r="V36" i="9"/>
  <c r="G36" i="9"/>
  <c r="V37" i="9"/>
  <c r="G37" i="9"/>
  <c r="V38" i="9"/>
  <c r="G38" i="9"/>
  <c r="V39" i="9"/>
  <c r="G39" i="9"/>
  <c r="V40" i="9"/>
  <c r="G40" i="9"/>
  <c r="V41" i="9"/>
  <c r="G41" i="9"/>
  <c r="V42" i="9"/>
  <c r="G42" i="9"/>
  <c r="V43" i="9"/>
  <c r="G43" i="9"/>
  <c r="V44" i="9"/>
  <c r="G44" i="9"/>
  <c r="V45" i="9"/>
  <c r="G45" i="9"/>
  <c r="V46" i="9"/>
  <c r="G46" i="9"/>
  <c r="V47" i="9"/>
  <c r="G47" i="9"/>
  <c r="V48" i="9"/>
  <c r="G48" i="9"/>
  <c r="V49" i="9"/>
  <c r="G49" i="9"/>
  <c r="V50" i="9"/>
  <c r="G50" i="9"/>
  <c r="Z23" i="2"/>
  <c r="H23" i="2"/>
  <c r="Q23" i="2"/>
  <c r="V23" i="2"/>
  <c r="U23" i="2"/>
  <c r="F23" i="2"/>
  <c r="H7" i="2"/>
  <c r="Q7" i="2"/>
  <c r="V7" i="2"/>
  <c r="U7" i="2"/>
  <c r="D7" i="2"/>
  <c r="F7" i="2"/>
  <c r="H15" i="2"/>
  <c r="V15" i="2"/>
  <c r="U15" i="2"/>
  <c r="D15" i="2"/>
  <c r="F15" i="2"/>
  <c r="D8" i="2"/>
  <c r="H8" i="2"/>
  <c r="Q8" i="2"/>
  <c r="V8" i="2"/>
  <c r="U8" i="2"/>
  <c r="F8" i="2"/>
  <c r="H14" i="2"/>
  <c r="V14" i="2"/>
  <c r="U14" i="2"/>
  <c r="F14" i="2"/>
  <c r="D14" i="2"/>
  <c r="Q6" i="2"/>
  <c r="Q3" i="2"/>
  <c r="E2" i="7"/>
  <c r="D20" i="2"/>
  <c r="D21" i="2"/>
  <c r="D24" i="2"/>
  <c r="D22" i="2"/>
  <c r="Q26" i="2"/>
  <c r="Q25" i="2"/>
  <c r="Q18" i="2"/>
  <c r="Q27" i="2"/>
  <c r="H27" i="2"/>
  <c r="H26" i="2"/>
  <c r="H25" i="2"/>
  <c r="Q4" i="2"/>
  <c r="Q9" i="2"/>
  <c r="Q10" i="2"/>
  <c r="Q11" i="2"/>
  <c r="Q12" i="2"/>
  <c r="Q16" i="2"/>
  <c r="Q17" i="2"/>
  <c r="Q22" i="2"/>
  <c r="H22" i="2"/>
  <c r="D4" i="2"/>
  <c r="D5" i="2"/>
  <c r="D6" i="2"/>
  <c r="D9" i="2"/>
  <c r="D10" i="2"/>
  <c r="D11" i="2"/>
  <c r="D12" i="2"/>
  <c r="D13" i="2"/>
  <c r="D16" i="2"/>
  <c r="D17" i="2"/>
  <c r="D18" i="2"/>
  <c r="D19" i="2"/>
  <c r="D3" i="2"/>
  <c r="H19" i="2"/>
  <c r="H18" i="2"/>
  <c r="H17" i="2"/>
  <c r="H16" i="2"/>
  <c r="H12" i="2"/>
  <c r="H5" i="2"/>
  <c r="H6" i="2"/>
  <c r="H4" i="2"/>
  <c r="H3" i="2"/>
  <c r="V27" i="2"/>
  <c r="U27" i="2"/>
  <c r="F27" i="2"/>
  <c r="V26" i="2"/>
  <c r="U26" i="2"/>
  <c r="F26" i="2"/>
  <c r="V25" i="2"/>
  <c r="U25" i="2"/>
  <c r="F25" i="2"/>
  <c r="V17" i="2"/>
  <c r="U17" i="2"/>
  <c r="F17" i="2"/>
  <c r="V22" i="2"/>
  <c r="U22" i="2"/>
  <c r="F22" i="2"/>
  <c r="V19" i="2"/>
  <c r="U19" i="2"/>
  <c r="F19" i="2"/>
  <c r="V18" i="2"/>
  <c r="U18" i="2"/>
  <c r="F18" i="2"/>
  <c r="V3" i="2"/>
  <c r="U3" i="2"/>
  <c r="F3" i="2"/>
  <c r="V16" i="2"/>
  <c r="U16" i="2"/>
  <c r="F16" i="2"/>
  <c r="V12" i="2"/>
  <c r="U12" i="2"/>
  <c r="F12" i="2"/>
  <c r="V6" i="2"/>
  <c r="U6" i="2"/>
  <c r="F6" i="2"/>
  <c r="V5" i="2"/>
  <c r="U5" i="2"/>
  <c r="F5" i="2"/>
  <c r="V4" i="2"/>
  <c r="U4" i="2"/>
  <c r="F4" i="2"/>
  <c r="B18" i="12" l="1"/>
  <c r="D3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tc={BFA87CC9-DE11-4541-BEA1-92BC8AB3336E}</author>
    <author>tc={42CC248B-C61E-403C-AE69-13698CD451F3}</author>
    <author>tc={A0E2C228-8A12-4C2B-87FC-3BD9EAA87320}</author>
    <author>tc={4768F245-0E10-49A4-96FE-24C790BEB1F4}</author>
    <author>tc={CBE2BDD4-9B15-42C9-AFB2-D26F1681B859}</author>
    <author>tc={C7DFEB3A-4EF8-45BC-98A7-7664004366E8}</author>
    <author>tc={C0C793F4-8274-426B-8E35-EEDCE34AB81D}</author>
  </authors>
  <commentList>
    <comment ref="C8" authorId="0" shapeId="0" xr:uid="{BFA87CC9-DE11-4541-BEA1-92BC8AB333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TACOS de 5,1 últimos 7 dias</t>
      </text>
    </comment>
    <comment ref="C12" authorId="1" shapeId="0" xr:uid="{42CC248B-C61E-403C-AE69-13698CD451F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TACOS está 5,84% nos últimos 7 dias. </t>
      </text>
    </comment>
    <comment ref="C14" authorId="2" shapeId="0" xr:uid="{A0E2C228-8A12-4C2B-87FC-3BD9EAA873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uma campanha dia 23/04 para diminuir o estoque que tenho no MELI</t>
      </text>
    </comment>
    <comment ref="C15" authorId="3" shapeId="0" xr:uid="{4768F245-0E10-49A4-96FE-24C790BEB1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Campanha ativa, TACOS 7 dias em 6,14%</t>
      </text>
    </comment>
    <comment ref="C18" authorId="4" shapeId="0" xr:uid="{CBE2BDD4-9B15-42C9-AFB2-D26F1681B8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hoje, preciso vender o estoque que tenho no MELI.</t>
      </text>
    </comment>
    <comment ref="C25" authorId="5" shapeId="0" xr:uid="{C7DFEB3A-4EF8-45BC-98A7-7664004366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dia 23/04 para diminuir estoque.</t>
      </text>
    </comment>
    <comment ref="C27" authorId="6" shapeId="0" xr:uid="{C0C793F4-8274-426B-8E35-EEDCE34AB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Reativei campanha, TACOS em 10,89%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tc={EA6CB097-6B60-4B00-8B74-81C15D3D8448}</author>
  </authors>
  <commentList>
    <comment ref="C18" authorId="0" shapeId="0" xr:uid="{EA6CB097-6B60-4B00-8B74-81C15D3D84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Criei campanha hoje, preciso vender o estoque que tenho no MELI.</t>
      </text>
    </comment>
  </commentList>
</comments>
</file>

<file path=xl/sharedStrings.xml><?xml version="1.0" encoding="utf-8"?>
<sst xmlns="http://schemas.openxmlformats.org/spreadsheetml/2006/main" count="361" uniqueCount="130">
  <si>
    <t>DATA ATUALIZAÇÃO:</t>
  </si>
  <si>
    <t>Depósito</t>
  </si>
  <si>
    <t>Publicidade</t>
  </si>
  <si>
    <t>Produto</t>
  </si>
  <si>
    <t>EAN</t>
  </si>
  <si>
    <t>Preço de Venda Atual (R$)</t>
  </si>
  <si>
    <t>Lucro/
Prejuízo Real (%)</t>
  </si>
  <si>
    <t>Preço de Compra (R$)</t>
  </si>
  <si>
    <t>Frete até SP (R$)</t>
  </si>
  <si>
    <t>Rótulo (R$)</t>
  </si>
  <si>
    <t>Embalagem (R$)</t>
  </si>
  <si>
    <t>% Comissão Mercado Livre</t>
  </si>
  <si>
    <t>% Imposto Simples Nacional</t>
  </si>
  <si>
    <t>% Substituição Tributária</t>
  </si>
  <si>
    <t>% Marketing real</t>
  </si>
  <si>
    <t>Lucro/
Prejuízo Real (R$)</t>
  </si>
  <si>
    <t>Preço com marketing real (R$)</t>
  </si>
  <si>
    <t>full</t>
  </si>
  <si>
    <t>Mel 280g Silvestre</t>
  </si>
  <si>
    <t>Mel 280g aroeira</t>
  </si>
  <si>
    <t>Mel 280g Eucalipto</t>
  </si>
  <si>
    <t>Mel 280g Laranjeira</t>
  </si>
  <si>
    <t>Mel 280g Orgânico Aroeira</t>
  </si>
  <si>
    <t>Mel 280g Orgânico Silvestre</t>
  </si>
  <si>
    <t>Mel 560g Silvestre</t>
  </si>
  <si>
    <t>Mel 560g aroeira</t>
  </si>
  <si>
    <t>Nosso mel 220g</t>
  </si>
  <si>
    <t>Nosso mel 500g</t>
  </si>
  <si>
    <t>Nosso mel 1kg</t>
  </si>
  <si>
    <t>Mel balde 5 kg silvestre</t>
  </si>
  <si>
    <t>Mel kit 3 floradas</t>
  </si>
  <si>
    <t>Cera abelha 1kg</t>
  </si>
  <si>
    <t>depósito</t>
  </si>
  <si>
    <t>Breu</t>
  </si>
  <si>
    <t>Gel pós 1L</t>
  </si>
  <si>
    <t>Semente de uva 500ml</t>
  </si>
  <si>
    <t>Adstringente 1L</t>
  </si>
  <si>
    <t>Adstringente 250ml</t>
  </si>
  <si>
    <t>Cera hidrossoluvel 2,7kg</t>
  </si>
  <si>
    <t>Sache 5 sacolas</t>
  </si>
  <si>
    <t>Sache 700 gramas</t>
  </si>
  <si>
    <t>Bala com açucar</t>
  </si>
  <si>
    <t>Bala sem açucar</t>
  </si>
  <si>
    <t>Mel 500 gramas e própolis 20ml</t>
  </si>
  <si>
    <t>Mel 220 gramas e própolis verde 30ml</t>
  </si>
  <si>
    <t>Própolis 20 ml</t>
  </si>
  <si>
    <t>Própolis verde 30 ml</t>
  </si>
  <si>
    <t>Mel 300g Silvestre</t>
  </si>
  <si>
    <t>Mel 300g aroeira</t>
  </si>
  <si>
    <t>Mel 300g Eucalipto</t>
  </si>
  <si>
    <t>Mel 300g Laranjeira</t>
  </si>
  <si>
    <t>Mel 300g Orgânico Silvestre</t>
  </si>
  <si>
    <t>Silvestre Orgânico 300g + Laranjeira 300g</t>
  </si>
  <si>
    <t>3 x Nosso mel 500g</t>
  </si>
  <si>
    <t>2 x Nosso mel 1kg</t>
  </si>
  <si>
    <t>3 x Nosso mel 220g</t>
  </si>
  <si>
    <t>2 x Mel 300g Orgânico Silvestre</t>
  </si>
  <si>
    <t xml:space="preserve">Mel balde 5 kg orgânico </t>
  </si>
  <si>
    <t>CD Mercado Livre</t>
  </si>
  <si>
    <t>Frete até cd (R$)</t>
  </si>
  <si>
    <t>Frete Mercado Livre (R$)</t>
  </si>
  <si>
    <t>Taxa Fixa Mercado Livre (R$)</t>
  </si>
  <si>
    <t>Desconto em Taxas ML (R$)</t>
  </si>
  <si>
    <t>% Margem de contribuição</t>
  </si>
  <si>
    <t>Araçariguama</t>
  </si>
  <si>
    <t>Extrema</t>
  </si>
  <si>
    <t>Mel 560g Eucalipto</t>
  </si>
  <si>
    <t>Mel balde 5 kg eucalipto</t>
  </si>
  <si>
    <t>Mel balde 5 kg aroeira</t>
  </si>
  <si>
    <t>Kit Mel 500 gramas e própolis 20ml</t>
  </si>
  <si>
    <t>Kit Mel 220 gramas e própolis verde 30ml</t>
  </si>
  <si>
    <t>Cera quente com Ester</t>
  </si>
  <si>
    <t>Pinati nuts Original</t>
  </si>
  <si>
    <t>Pinati nuts Banana</t>
  </si>
  <si>
    <t>Pinati Nuts Coco</t>
  </si>
  <si>
    <t>Pinati protein Cups Amendoim Unitário</t>
  </si>
  <si>
    <t>Pinati protein Cups Avela Unitário</t>
  </si>
  <si>
    <t>Pinati protein Cups Cookies and Cream Unitário</t>
  </si>
  <si>
    <t>Pinati Simple Whey Chocolate Belga</t>
  </si>
  <si>
    <t>Pinati Simple Whey Pistache</t>
  </si>
  <si>
    <t>Pinati Simple Whey Caramelo Salgado</t>
  </si>
  <si>
    <t>Pinati Simple Whey Beijinho</t>
  </si>
  <si>
    <t>Pinati Simple Whey Brigadeiro</t>
  </si>
  <si>
    <t>Pinati Simple Whey Churros</t>
  </si>
  <si>
    <t>Preço em SP</t>
  </si>
  <si>
    <t>% Administrativo</t>
  </si>
  <si>
    <t>% Produção</t>
  </si>
  <si>
    <t>% Margem Líquida Desejada</t>
  </si>
  <si>
    <t>TACOS
7 dias</t>
  </si>
  <si>
    <t>Perdas por orçamento</t>
  </si>
  <si>
    <t>Perdas por classificação</t>
  </si>
  <si>
    <t>Investimento</t>
  </si>
  <si>
    <t>OBSERVAÇÃO</t>
  </si>
  <si>
    <t>Unidades no kit</t>
  </si>
  <si>
    <t>PESO</t>
  </si>
  <si>
    <t>KIT BALA DE MEL, PROPOLIS E MENTA - 5 UNIDADES</t>
  </si>
  <si>
    <t>Preço em MG</t>
  </si>
  <si>
    <t>Lucro/
Prejuízo (%)</t>
  </si>
  <si>
    <t>% Marketing</t>
  </si>
  <si>
    <t>Lucro/
Prejuízo (R$)</t>
  </si>
  <si>
    <t>Preço com marketing (R$)</t>
  </si>
  <si>
    <t>Observação</t>
  </si>
  <si>
    <t>sim</t>
  </si>
  <si>
    <t>Solicitei MELI acrescentei imagens e descrição.</t>
  </si>
  <si>
    <t>valor investido em 7 dias, vamos continuar verificando</t>
  </si>
  <si>
    <t>Aumentei ACOS objetivo pois entregou pouco nos últimos 7 dias</t>
  </si>
  <si>
    <t>dia 24/04, início campanha em aprendizado.</t>
  </si>
  <si>
    <t>x'</t>
  </si>
  <si>
    <t>Campanha em aprendizado desde 26/04</t>
  </si>
  <si>
    <t>Sache mel e própolis</t>
  </si>
  <si>
    <t>Sache mel</t>
  </si>
  <si>
    <t>Rótulo R$</t>
  </si>
  <si>
    <t>% Comissão Representante</t>
  </si>
  <si>
    <t>Mel balde 25 kg silvestre</t>
  </si>
  <si>
    <t>Cera quente 1kg</t>
  </si>
  <si>
    <t xml:space="preserve">Preço cheio </t>
  </si>
  <si>
    <t>Preço cheio atual</t>
  </si>
  <si>
    <t>Frete 3%</t>
  </si>
  <si>
    <t>Frete 8% preço compra</t>
  </si>
  <si>
    <t>% relação ao preço compra</t>
  </si>
  <si>
    <t>% Frete</t>
  </si>
  <si>
    <t>Silvestre Orgânico 300g + Aroeira 300g</t>
  </si>
  <si>
    <t>Silvestre Orgânico 300g + Aroeira 300g + Eucalipto 300g</t>
  </si>
  <si>
    <t>Silvestre orgânico 300g + Aroeira 300g + Laranjeira 300g</t>
  </si>
  <si>
    <t>Silvestre Orgânico 300g + Laranjeira 300g + própolis verde</t>
  </si>
  <si>
    <t>Silvestre Orgânico 300g + Laranjeira 300g + 2 própolis 20ml</t>
  </si>
  <si>
    <t>Frete</t>
  </si>
  <si>
    <t>Frete R$</t>
  </si>
  <si>
    <t>Preço de Venda</t>
  </si>
  <si>
    <t>Frete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</si>
</sst>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10" fontId="0" fillId="3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9" fontId="3" fillId="3" borderId="1" xfId="0" applyNumberFormat="1" applyFont="1" applyFill="1" applyBorder="1" applyAlignment="1">
      <alignment horizontal="left"/>
    </xf>
    <xf numFmtId="0" fontId="0" fillId="3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left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164" fontId="0" fillId="9" borderId="1" xfId="0" applyNumberFormat="1" applyFill="1" applyBorder="1" applyAlignment="1">
      <alignment horizontal="left"/>
    </xf>
    <xf numFmtId="10" fontId="0" fillId="9" borderId="1" xfId="0" applyNumberFormat="1" applyFill="1" applyBorder="1" applyAlignment="1">
      <alignment horizontal="left"/>
    </xf>
    <xf numFmtId="9" fontId="0" fillId="9" borderId="1" xfId="0" applyNumberFormat="1" applyFill="1" applyBorder="1" applyAlignment="1">
      <alignment horizontal="left"/>
    </xf>
    <xf numFmtId="9" fontId="3" fillId="9" borderId="1" xfId="0" applyNumberFormat="1" applyFont="1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0" fillId="10" borderId="1" xfId="0" applyFill="1" applyBorder="1"/>
    <xf numFmtId="14" fontId="0" fillId="10" borderId="1" xfId="0" applyNumberFormat="1" applyFill="1" applyBorder="1"/>
    <xf numFmtId="0" fontId="0" fillId="10" borderId="2" xfId="0" applyFill="1" applyBorder="1"/>
    <xf numFmtId="0" fontId="1" fillId="5" borderId="0" xfId="0" applyFont="1" applyFill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1" fontId="0" fillId="0" borderId="0" xfId="0" applyNumberFormat="1"/>
    <xf numFmtId="0" fontId="1" fillId="11" borderId="1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" fontId="0" fillId="12" borderId="1" xfId="0" applyNumberFormat="1" applyFill="1" applyBorder="1" applyAlignment="1">
      <alignment horizontal="left"/>
    </xf>
    <xf numFmtId="1" fontId="0" fillId="12" borderId="5" xfId="0" applyNumberFormat="1" applyFill="1" applyBorder="1" applyAlignment="1">
      <alignment horizontal="left"/>
    </xf>
    <xf numFmtId="1" fontId="0" fillId="3" borderId="1" xfId="0" applyNumberFormat="1" applyFill="1" applyBorder="1"/>
    <xf numFmtId="164" fontId="3" fillId="3" borderId="1" xfId="0" applyNumberFormat="1" applyFont="1" applyFill="1" applyBorder="1" applyAlignment="1">
      <alignment horizontal="left"/>
    </xf>
    <xf numFmtId="9" fontId="0" fillId="10" borderId="0" xfId="0" applyNumberFormat="1" applyFill="1"/>
    <xf numFmtId="0" fontId="0" fillId="13" borderId="1" xfId="0" applyFill="1" applyBorder="1"/>
    <xf numFmtId="164" fontId="0" fillId="3" borderId="0" xfId="0" applyNumberFormat="1" applyFill="1"/>
    <xf numFmtId="0" fontId="4" fillId="0" borderId="0" xfId="1"/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981075</xdr:colOff>
          <xdr:row>68</xdr:row>
          <xdr:rowOff>0</xdr:rowOff>
        </xdr:from>
        <xdr:to>
          <xdr:col>0</xdr:col>
          <xdr:colOff>1238250</xdr:colOff>
          <xdr:row>69</xdr:row>
          <xdr:rowOff>76200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2</xdr:col>
      <xdr:colOff>483870</xdr:colOff>
      <xdr:row>0</xdr:row>
      <xdr:rowOff>1077176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ECAB848A-F7E8-4B88-A7A8-675671AF9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1741170" cy="10771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Martins Delfim" id="{C1D9D8DC-ED90-46B4-A4A4-E9C74A794031}" userId="08efa3ad722ed28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5-04-23T19:04:07.66" personId="{C1D9D8DC-ED90-46B4-A4A4-E9C74A794031}" id="{BFA87CC9-DE11-4541-BEA1-92BC8AB3336E}">
    <text>TACOS de 5,1 últimos 7 dias</text>
  </threadedComment>
  <threadedComment ref="C12" dT="2025-04-23T19:06:18.72" personId="{C1D9D8DC-ED90-46B4-A4A4-E9C74A794031}" id="{42CC248B-C61E-403C-AE69-13698CD451F3}">
    <text xml:space="preserve">TACOS está 5,84% nos últimos 7 dias. </text>
  </threadedComment>
  <threadedComment ref="C14" dT="2025-04-23T18:46:17.04" personId="{C1D9D8DC-ED90-46B4-A4A4-E9C74A794031}" id="{A0E2C228-8A12-4C2B-87FC-3BD9EAA87320}">
    <text>Criei uma campanha dia 23/04 para diminuir o estoque que tenho no MELI</text>
  </threadedComment>
  <threadedComment ref="C15" dT="2025-04-23T18:36:40.10" personId="{C1D9D8DC-ED90-46B4-A4A4-E9C74A794031}" id="{4768F245-0E10-49A4-96FE-24C790BEB1F4}">
    <text>Campanha ativa, TACOS 7 dias em 6,14%</text>
  </threadedComment>
  <threadedComment ref="C18" dT="2025-04-23T18:44:45.20" personId="{C1D9D8DC-ED90-46B4-A4A4-E9C74A794031}" id="{CBE2BDD4-9B15-42C9-AFB2-D26F1681B859}">
    <text>Criei campanha hoje, preciso vender o estoque que tenho no MELI.</text>
  </threadedComment>
  <threadedComment ref="C25" dT="2025-04-23T19:50:18.01" personId="{C1D9D8DC-ED90-46B4-A4A4-E9C74A794031}" id="{C7DFEB3A-4EF8-45BC-98A7-7664004366E8}">
    <text>Criei campanha dia 23/04 para diminuir estoque.</text>
  </threadedComment>
  <threadedComment ref="C27" dT="2025-04-23T17:40:04.35" personId="{C1D9D8DC-ED90-46B4-A4A4-E9C74A794031}" id="{C0C793F4-8274-426B-8E35-EEDCE34AB81D}">
    <text>Reativei campanha, TACOS em 10,89%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8" dT="2025-04-23T18:44:45.20" personId="{C1D9D8DC-ED90-46B4-A4A4-E9C74A794031}" id="{EA6CB097-6B60-4B00-8B74-81C15D3D8448}">
    <text>Criei campanha hoje, preciso vender o estoque que tenho no MELI.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707C-5E5B-4117-9C00-51B1F991C804}">
  <dimension ref="B1:E9"/>
  <sheetViews>
    <sheetView workbookViewId="0">
      <selection activeCell="B14" sqref="B14"/>
    </sheetView>
  </sheetViews>
  <sheetFormatPr defaultRowHeight="15" x14ac:dyDescent="0.25"/>
  <cols>
    <col min="2" max="2" width="47" bestFit="1" customWidth="1"/>
    <col min="3" max="3" width="14.85546875" bestFit="1" customWidth="1"/>
    <col min="4" max="4" width="28.28515625" bestFit="1" customWidth="1"/>
  </cols>
  <sheetData>
    <row r="1" spans="2:5" x14ac:dyDescent="0.25">
      <c r="C1" t="s">
        <v>93</v>
      </c>
      <c r="D1" t="s">
        <v>4</v>
      </c>
      <c r="E1" t="s">
        <v>94</v>
      </c>
    </row>
    <row r="2" spans="2:5" x14ac:dyDescent="0.25">
      <c r="B2" s="31" t="s">
        <v>39</v>
      </c>
      <c r="C2">
        <v>5</v>
      </c>
      <c r="D2" s="33">
        <v>7908812400373</v>
      </c>
      <c r="E2">
        <f>64*5</f>
        <v>320</v>
      </c>
    </row>
    <row r="3" spans="2:5" x14ac:dyDescent="0.25">
      <c r="B3" s="31" t="s">
        <v>43</v>
      </c>
      <c r="C3">
        <v>20</v>
      </c>
      <c r="D3" s="33">
        <v>7908812400380</v>
      </c>
      <c r="E3">
        <v>530</v>
      </c>
    </row>
    <row r="4" spans="2:5" x14ac:dyDescent="0.25">
      <c r="B4" s="31" t="s">
        <v>44</v>
      </c>
      <c r="C4">
        <v>2</v>
      </c>
      <c r="D4" s="33">
        <v>7908812400397</v>
      </c>
    </row>
    <row r="5" spans="2:5" x14ac:dyDescent="0.25">
      <c r="B5" s="31" t="s">
        <v>95</v>
      </c>
      <c r="C5">
        <v>5</v>
      </c>
      <c r="D5" s="33">
        <v>7908812400403</v>
      </c>
    </row>
    <row r="6" spans="2:5" x14ac:dyDescent="0.25">
      <c r="B6" s="31"/>
      <c r="D6" s="33"/>
    </row>
    <row r="7" spans="2:5" x14ac:dyDescent="0.25">
      <c r="B7" s="31"/>
      <c r="D7" s="33"/>
    </row>
    <row r="8" spans="2:5" x14ac:dyDescent="0.25">
      <c r="B8" s="31" t="s">
        <v>42</v>
      </c>
      <c r="C8">
        <v>3</v>
      </c>
      <c r="D8" s="33"/>
    </row>
    <row r="9" spans="2:5" x14ac:dyDescent="0.25">
      <c r="B9" s="31" t="s">
        <v>45</v>
      </c>
      <c r="C9">
        <v>2</v>
      </c>
      <c r="D9" s="3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9EAA-510B-49F3-AA74-41F87A19B1E8}">
  <dimension ref="A1:AA30"/>
  <sheetViews>
    <sheetView workbookViewId="0">
      <pane xSplit="6" ySplit="2" topLeftCell="H3" activePane="bottomRight" state="frozen"/>
      <selection pane="topRight" activeCell="E1" sqref="E1"/>
      <selection pane="bottomLeft" activeCell="A3" sqref="A3"/>
      <selection pane="bottomRight" activeCell="B32" sqref="B32"/>
    </sheetView>
  </sheetViews>
  <sheetFormatPr defaultRowHeight="15" x14ac:dyDescent="0.25"/>
  <cols>
    <col min="1" max="1" width="9.140625" customWidth="1"/>
    <col min="2" max="2" width="12.5703125" customWidth="1"/>
    <col min="3" max="3" width="29.28515625" bestFit="1" customWidth="1"/>
    <col min="4" max="4" width="12.140625" bestFit="1" customWidth="1"/>
    <col min="5" max="5" width="12.28515625" customWidth="1"/>
    <col min="7" max="9" width="9.140625" customWidth="1"/>
    <col min="10" max="10" width="11" customWidth="1"/>
    <col min="11" max="15" width="10.85546875" customWidth="1"/>
    <col min="16" max="16" width="12.28515625" customWidth="1"/>
    <col min="17" max="17" width="10.85546875" customWidth="1"/>
    <col min="18" max="18" width="14.85546875" customWidth="1"/>
    <col min="19" max="19" width="9.140625" customWidth="1"/>
    <col min="20" max="20" width="11.28515625" customWidth="1"/>
    <col min="21" max="21" width="11.42578125" customWidth="1"/>
    <col min="22" max="22" width="12.7109375" customWidth="1"/>
    <col min="23" max="23" width="9.42578125" bestFit="1" customWidth="1"/>
    <col min="24" max="26" width="13.42578125" customWidth="1"/>
    <col min="27" max="27" width="53.85546875" bestFit="1" customWidth="1"/>
  </cols>
  <sheetData>
    <row r="1" spans="1:27" s="1" customFormat="1" x14ac:dyDescent="0.25">
      <c r="A1" s="26" t="s">
        <v>0</v>
      </c>
      <c r="B1" s="26"/>
      <c r="C1" s="27">
        <v>45775</v>
      </c>
      <c r="D1" s="28"/>
      <c r="E1" s="26"/>
      <c r="F1" s="24"/>
      <c r="G1" s="46"/>
      <c r="H1" s="47"/>
      <c r="I1" s="47"/>
      <c r="J1" s="48"/>
      <c r="K1" s="45"/>
      <c r="L1" s="45"/>
      <c r="M1" s="45"/>
      <c r="N1" s="45"/>
      <c r="O1" s="45"/>
      <c r="P1" s="45"/>
      <c r="Q1" s="47"/>
      <c r="R1" s="47"/>
      <c r="S1" s="48"/>
      <c r="T1" s="26"/>
      <c r="U1" s="24"/>
      <c r="V1" s="26"/>
      <c r="W1" s="24"/>
      <c r="X1" s="24"/>
      <c r="Y1" s="24"/>
      <c r="Z1" s="24"/>
      <c r="AA1" s="24"/>
    </row>
    <row r="2" spans="1:27" s="2" customFormat="1" ht="60" x14ac:dyDescent="0.25">
      <c r="A2" s="13" t="s">
        <v>1</v>
      </c>
      <c r="B2" s="13" t="s">
        <v>2</v>
      </c>
      <c r="C2" s="13" t="s">
        <v>3</v>
      </c>
      <c r="D2" s="13" t="s">
        <v>96</v>
      </c>
      <c r="E2" s="13" t="s">
        <v>5</v>
      </c>
      <c r="F2" s="13" t="s">
        <v>97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60</v>
      </c>
      <c r="M2" s="13" t="s">
        <v>61</v>
      </c>
      <c r="N2" s="13" t="s">
        <v>62</v>
      </c>
      <c r="O2" s="13" t="s">
        <v>12</v>
      </c>
      <c r="P2" s="13" t="s">
        <v>13</v>
      </c>
      <c r="Q2" s="16" t="s">
        <v>98</v>
      </c>
      <c r="R2" s="13" t="s">
        <v>85</v>
      </c>
      <c r="S2" s="13" t="s">
        <v>86</v>
      </c>
      <c r="T2" s="13" t="s">
        <v>87</v>
      </c>
      <c r="U2" s="15" t="s">
        <v>99</v>
      </c>
      <c r="V2" s="15" t="s">
        <v>100</v>
      </c>
      <c r="W2" s="13" t="s">
        <v>88</v>
      </c>
      <c r="X2" s="29" t="s">
        <v>89</v>
      </c>
      <c r="Y2" s="13" t="s">
        <v>90</v>
      </c>
      <c r="Z2" s="13" t="s">
        <v>91</v>
      </c>
      <c r="AA2" s="13" t="s">
        <v>101</v>
      </c>
    </row>
    <row r="3" spans="1:27" s="4" customFormat="1" x14ac:dyDescent="0.25">
      <c r="A3" s="5"/>
      <c r="B3" s="5" t="s">
        <v>102</v>
      </c>
      <c r="C3" s="5" t="s">
        <v>18</v>
      </c>
      <c r="D3" s="6" t="e">
        <f>#REF!</f>
        <v>#REF!</v>
      </c>
      <c r="E3" s="9">
        <v>17.87</v>
      </c>
      <c r="F3" s="14">
        <f t="shared" ref="F3:F6" si="0">U3/E3</f>
        <v>3.5804058709056841E-2</v>
      </c>
      <c r="G3" s="6">
        <v>8</v>
      </c>
      <c r="H3" s="6">
        <f t="shared" ref="H3:H6" si="1">G3*0.08</f>
        <v>0.64</v>
      </c>
      <c r="I3" s="6">
        <v>0</v>
      </c>
      <c r="J3" s="6">
        <v>0.3</v>
      </c>
      <c r="K3" s="7">
        <v>0.14000000000000001</v>
      </c>
      <c r="L3" s="6">
        <v>0</v>
      </c>
      <c r="M3" s="6">
        <v>1</v>
      </c>
      <c r="N3" s="6">
        <v>0.92</v>
      </c>
      <c r="O3" s="7">
        <v>8.3000000000000004E-2</v>
      </c>
      <c r="P3" s="5">
        <v>0</v>
      </c>
      <c r="Q3" s="11">
        <f>W3</f>
        <v>8.3500000000000005E-2</v>
      </c>
      <c r="R3" s="7">
        <v>0.05</v>
      </c>
      <c r="S3" s="7">
        <v>0.05</v>
      </c>
      <c r="T3" s="7">
        <v>7.0000000000000007E-2</v>
      </c>
      <c r="U3" s="6">
        <f t="shared" ref="U3:U6" si="2">E3-V3</f>
        <v>0.6398185291308458</v>
      </c>
      <c r="V3" s="6">
        <f t="shared" ref="V3:V6" si="3">(G3+H3+L3+M3+I3+J3 - N3)/(1 - (K3 + O3 + Q3 + R3 + S3 + T3 + P3))</f>
        <v>17.230181470869155</v>
      </c>
      <c r="W3" s="8">
        <v>8.3500000000000005E-2</v>
      </c>
      <c r="X3" s="8">
        <v>0</v>
      </c>
      <c r="Y3" s="8">
        <v>0.19</v>
      </c>
      <c r="Z3" s="6">
        <v>8.15</v>
      </c>
      <c r="AA3" s="3"/>
    </row>
    <row r="4" spans="1:27" s="4" customFormat="1" x14ac:dyDescent="0.25">
      <c r="A4" s="5"/>
      <c r="B4" s="5" t="s">
        <v>102</v>
      </c>
      <c r="C4" s="5" t="s">
        <v>19</v>
      </c>
      <c r="D4" s="6" t="e">
        <f>#REF!</f>
        <v>#REF!</v>
      </c>
      <c r="E4" s="9">
        <v>15.55</v>
      </c>
      <c r="F4" s="14">
        <f t="shared" si="0"/>
        <v>-2.4674107618839269E-2</v>
      </c>
      <c r="G4" s="6">
        <v>8</v>
      </c>
      <c r="H4" s="6">
        <f t="shared" si="1"/>
        <v>0.64</v>
      </c>
      <c r="I4" s="6">
        <v>0</v>
      </c>
      <c r="J4" s="6">
        <v>0.3</v>
      </c>
      <c r="K4" s="7">
        <v>0.14000000000000001</v>
      </c>
      <c r="L4" s="6">
        <v>0</v>
      </c>
      <c r="M4" s="6">
        <v>1</v>
      </c>
      <c r="N4" s="6">
        <v>0.81</v>
      </c>
      <c r="O4" s="7">
        <v>8.3000000000000004E-2</v>
      </c>
      <c r="P4" s="5">
        <v>0</v>
      </c>
      <c r="Q4" s="11">
        <f t="shared" ref="Q4:Q22" si="4">W4</f>
        <v>3.4000000000000002E-2</v>
      </c>
      <c r="R4" s="7">
        <v>0.05</v>
      </c>
      <c r="S4" s="7">
        <v>0.05</v>
      </c>
      <c r="T4" s="7">
        <v>7.0000000000000007E-2</v>
      </c>
      <c r="U4" s="6">
        <f t="shared" si="2"/>
        <v>-0.38368237347295064</v>
      </c>
      <c r="V4" s="6">
        <f t="shared" si="3"/>
        <v>15.933682373472951</v>
      </c>
      <c r="W4" s="8">
        <v>3.4000000000000002E-2</v>
      </c>
      <c r="X4" s="8">
        <v>0</v>
      </c>
      <c r="Y4" s="8">
        <v>0.49</v>
      </c>
      <c r="Z4" s="6">
        <v>8.24</v>
      </c>
      <c r="AA4" s="3" t="s">
        <v>103</v>
      </c>
    </row>
    <row r="5" spans="1:27" s="4" customFormat="1" x14ac:dyDescent="0.25">
      <c r="A5" s="5"/>
      <c r="B5" s="5" t="s">
        <v>102</v>
      </c>
      <c r="C5" s="5" t="s">
        <v>20</v>
      </c>
      <c r="D5" s="6" t="e">
        <f>#REF!</f>
        <v>#REF!</v>
      </c>
      <c r="E5" s="9">
        <v>15.86</v>
      </c>
      <c r="F5" s="14">
        <f t="shared" si="0"/>
        <v>-9.787876145598054E-2</v>
      </c>
      <c r="G5" s="6">
        <v>8</v>
      </c>
      <c r="H5" s="6">
        <f t="shared" si="1"/>
        <v>0.64</v>
      </c>
      <c r="I5" s="6">
        <v>0</v>
      </c>
      <c r="J5" s="6">
        <v>0.3</v>
      </c>
      <c r="K5" s="7">
        <v>0.14000000000000001</v>
      </c>
      <c r="L5" s="6">
        <v>0</v>
      </c>
      <c r="M5" s="6">
        <v>1</v>
      </c>
      <c r="N5" s="6">
        <v>0.95</v>
      </c>
      <c r="O5" s="7">
        <v>8.3000000000000004E-2</v>
      </c>
      <c r="P5" s="5">
        <v>0</v>
      </c>
      <c r="Q5" s="11">
        <v>9.0700000000000003E-2</v>
      </c>
      <c r="R5" s="7">
        <v>0.05</v>
      </c>
      <c r="S5" s="7">
        <v>0.05</v>
      </c>
      <c r="T5" s="7">
        <v>7.0000000000000007E-2</v>
      </c>
      <c r="U5" s="6">
        <f t="shared" si="2"/>
        <v>-1.5523571566918513</v>
      </c>
      <c r="V5" s="6">
        <f t="shared" si="3"/>
        <v>17.412357156691851</v>
      </c>
      <c r="W5" s="8">
        <v>5.8000000000000003E-2</v>
      </c>
      <c r="X5" s="8">
        <v>0</v>
      </c>
      <c r="Y5" s="8">
        <v>0.45</v>
      </c>
      <c r="Z5" s="6">
        <v>3.8</v>
      </c>
      <c r="AA5" s="3"/>
    </row>
    <row r="6" spans="1:27" s="4" customFormat="1" x14ac:dyDescent="0.25">
      <c r="A6" s="5"/>
      <c r="B6" s="5" t="s">
        <v>102</v>
      </c>
      <c r="C6" s="5" t="s">
        <v>21</v>
      </c>
      <c r="D6" s="6" t="e">
        <f>#REF!</f>
        <v>#REF!</v>
      </c>
      <c r="E6" s="9">
        <v>21.1</v>
      </c>
      <c r="F6" s="14">
        <f t="shared" si="0"/>
        <v>0.11693746730482434</v>
      </c>
      <c r="G6" s="6">
        <v>10</v>
      </c>
      <c r="H6" s="6">
        <f t="shared" si="1"/>
        <v>0.8</v>
      </c>
      <c r="I6" s="6">
        <v>0</v>
      </c>
      <c r="J6" s="6">
        <v>0.3</v>
      </c>
      <c r="K6" s="7">
        <v>0.14000000000000001</v>
      </c>
      <c r="L6" s="6">
        <v>0</v>
      </c>
      <c r="M6" s="6">
        <v>1</v>
      </c>
      <c r="N6" s="6">
        <v>0.79</v>
      </c>
      <c r="O6" s="7">
        <v>8.3000000000000004E-2</v>
      </c>
      <c r="P6" s="5">
        <v>0</v>
      </c>
      <c r="Q6" s="11">
        <f>W6</f>
        <v>0</v>
      </c>
      <c r="R6" s="7">
        <v>0.05</v>
      </c>
      <c r="S6" s="7">
        <v>0.05</v>
      </c>
      <c r="T6" s="7">
        <v>7.0000000000000007E-2</v>
      </c>
      <c r="U6" s="6">
        <f t="shared" si="2"/>
        <v>2.4673805601317937</v>
      </c>
      <c r="V6" s="6">
        <f t="shared" si="3"/>
        <v>18.632619439868208</v>
      </c>
      <c r="W6" s="8">
        <v>0</v>
      </c>
      <c r="X6" s="8"/>
      <c r="Y6" s="8">
        <v>0.99</v>
      </c>
      <c r="Z6" s="8"/>
      <c r="AA6" s="3"/>
    </row>
    <row r="7" spans="1:27" s="4" customFormat="1" x14ac:dyDescent="0.25">
      <c r="A7" s="5"/>
      <c r="B7" s="5" t="s">
        <v>102</v>
      </c>
      <c r="C7" s="5" t="s">
        <v>22</v>
      </c>
      <c r="D7" s="6" t="e">
        <f>#REF!</f>
        <v>#REF!</v>
      </c>
      <c r="E7" s="9">
        <v>22.63</v>
      </c>
      <c r="F7" s="14">
        <f>U7/E7</f>
        <v>-1.349349173514874E-2</v>
      </c>
      <c r="G7" s="6">
        <v>8.5</v>
      </c>
      <c r="H7" s="6">
        <f>G7*0.08</f>
        <v>0.68</v>
      </c>
      <c r="I7" s="6">
        <v>0</v>
      </c>
      <c r="J7" s="6">
        <v>0.3</v>
      </c>
      <c r="K7" s="7">
        <v>0.14000000000000001</v>
      </c>
      <c r="L7" s="6">
        <v>0</v>
      </c>
      <c r="M7" s="6">
        <v>1</v>
      </c>
      <c r="N7" s="6">
        <v>0.51</v>
      </c>
      <c r="O7" s="7">
        <v>8.3000000000000004E-2</v>
      </c>
      <c r="P7" s="5">
        <v>0</v>
      </c>
      <c r="Q7" s="11">
        <f>W7</f>
        <v>0.17230000000000001</v>
      </c>
      <c r="R7" s="7">
        <v>0.05</v>
      </c>
      <c r="S7" s="7">
        <v>0.05</v>
      </c>
      <c r="T7" s="7">
        <v>7.0000000000000007E-2</v>
      </c>
      <c r="U7" s="6">
        <f>E7-V7</f>
        <v>-0.30535771796641598</v>
      </c>
      <c r="V7" s="6">
        <f>(G7+H7+L7+M7+I7+J7 - N7)/(1 - (K7 + O7 + Q7 + R7 + S7 + T7 + P7))</f>
        <v>22.935357717966415</v>
      </c>
      <c r="W7" s="11">
        <v>0.17230000000000001</v>
      </c>
      <c r="X7" s="8">
        <v>0</v>
      </c>
      <c r="Y7" s="8">
        <v>0.23</v>
      </c>
      <c r="Z7" s="6">
        <v>103.53</v>
      </c>
      <c r="AA7" s="3"/>
    </row>
    <row r="8" spans="1:27" s="4" customFormat="1" x14ac:dyDescent="0.25">
      <c r="A8" s="5"/>
      <c r="B8" s="5" t="s">
        <v>102</v>
      </c>
      <c r="C8" s="5" t="s">
        <v>23</v>
      </c>
      <c r="D8" s="6" t="e">
        <f>#REF!</f>
        <v>#REF!</v>
      </c>
      <c r="E8" s="9">
        <v>20.9</v>
      </c>
      <c r="F8" s="14">
        <f>U8/E8</f>
        <v>-5.686736258653592E-3</v>
      </c>
      <c r="G8" s="6">
        <v>8.5</v>
      </c>
      <c r="H8" s="6">
        <f>G8*0.08</f>
        <v>0.68</v>
      </c>
      <c r="I8" s="6">
        <v>0</v>
      </c>
      <c r="J8" s="6">
        <v>0.3</v>
      </c>
      <c r="K8" s="7">
        <v>0.14000000000000001</v>
      </c>
      <c r="L8" s="6">
        <v>0</v>
      </c>
      <c r="M8" s="6">
        <v>1</v>
      </c>
      <c r="N8" s="6">
        <v>0</v>
      </c>
      <c r="O8" s="7">
        <v>8.3000000000000004E-2</v>
      </c>
      <c r="P8" s="5">
        <v>0</v>
      </c>
      <c r="Q8" s="11">
        <f>W8</f>
        <v>0.1084</v>
      </c>
      <c r="R8" s="7">
        <v>0.05</v>
      </c>
      <c r="S8" s="7">
        <v>0.05</v>
      </c>
      <c r="T8" s="7">
        <v>7.0000000000000007E-2</v>
      </c>
      <c r="U8" s="6">
        <f>E8-V8</f>
        <v>-0.11885278780586006</v>
      </c>
      <c r="V8" s="6">
        <f>(G8+H8+L8+M8+I8+J8 - N8)/(1 - (K8 + O8 + Q8 + R8 + S8 + T8 + P8))</f>
        <v>21.018852787805859</v>
      </c>
      <c r="W8" s="8">
        <v>0.1084</v>
      </c>
      <c r="X8" s="8">
        <v>0</v>
      </c>
      <c r="Y8" s="8">
        <v>0.35</v>
      </c>
      <c r="Z8" s="6">
        <v>197.04</v>
      </c>
      <c r="AA8" s="3"/>
    </row>
    <row r="9" spans="1:27" s="4" customFormat="1" x14ac:dyDescent="0.25">
      <c r="A9" s="5"/>
      <c r="B9" s="5"/>
      <c r="C9" s="5" t="s">
        <v>24</v>
      </c>
      <c r="D9" s="6" t="e">
        <f>#REF!</f>
        <v>#REF!</v>
      </c>
      <c r="E9" s="9"/>
      <c r="F9" s="14"/>
      <c r="G9" s="6"/>
      <c r="H9" s="6"/>
      <c r="I9" s="6"/>
      <c r="J9" s="6"/>
      <c r="K9" s="7"/>
      <c r="L9" s="6"/>
      <c r="M9" s="6"/>
      <c r="N9" s="6"/>
      <c r="O9" s="7"/>
      <c r="P9" s="5"/>
      <c r="Q9" s="11">
        <f t="shared" si="4"/>
        <v>0</v>
      </c>
      <c r="R9" s="7"/>
      <c r="S9" s="7"/>
      <c r="T9" s="7"/>
      <c r="U9" s="6"/>
      <c r="V9" s="6"/>
      <c r="W9" s="8"/>
      <c r="X9" s="8"/>
      <c r="Y9" s="8"/>
      <c r="Z9" s="8"/>
      <c r="AA9" s="3"/>
    </row>
    <row r="10" spans="1:27" s="4" customFormat="1" x14ac:dyDescent="0.25">
      <c r="A10" s="5"/>
      <c r="B10" s="5"/>
      <c r="C10" s="5" t="s">
        <v>25</v>
      </c>
      <c r="D10" s="6" t="e">
        <f>#REF!</f>
        <v>#REF!</v>
      </c>
      <c r="E10" s="9"/>
      <c r="F10" s="14"/>
      <c r="G10" s="6"/>
      <c r="H10" s="6"/>
      <c r="I10" s="6"/>
      <c r="J10" s="6"/>
      <c r="K10" s="7"/>
      <c r="L10" s="6"/>
      <c r="M10" s="6"/>
      <c r="N10" s="6"/>
      <c r="O10" s="7"/>
      <c r="P10" s="5"/>
      <c r="Q10" s="11">
        <f t="shared" si="4"/>
        <v>0</v>
      </c>
      <c r="R10" s="7"/>
      <c r="S10" s="7"/>
      <c r="T10" s="7"/>
      <c r="U10" s="6"/>
      <c r="V10" s="6"/>
      <c r="W10" s="8"/>
      <c r="X10" s="8"/>
      <c r="Y10" s="8"/>
      <c r="Z10" s="8"/>
      <c r="AA10" s="3"/>
    </row>
    <row r="11" spans="1:27" s="4" customFormat="1" x14ac:dyDescent="0.25">
      <c r="A11" s="5"/>
      <c r="B11" s="5"/>
      <c r="C11" s="5" t="s">
        <v>66</v>
      </c>
      <c r="D11" s="6" t="e">
        <f>#REF!</f>
        <v>#REF!</v>
      </c>
      <c r="E11" s="9"/>
      <c r="F11" s="14"/>
      <c r="G11" s="6"/>
      <c r="H11" s="6"/>
      <c r="I11" s="6"/>
      <c r="J11" s="6"/>
      <c r="K11" s="7"/>
      <c r="L11" s="6"/>
      <c r="M11" s="6"/>
      <c r="N11" s="6"/>
      <c r="O11" s="7"/>
      <c r="P11" s="5"/>
      <c r="Q11" s="11">
        <f t="shared" si="4"/>
        <v>0</v>
      </c>
      <c r="R11" s="7"/>
      <c r="S11" s="7"/>
      <c r="T11" s="7"/>
      <c r="U11" s="6"/>
      <c r="V11" s="6"/>
      <c r="W11" s="8"/>
      <c r="X11" s="8"/>
      <c r="Y11" s="8"/>
      <c r="Z11" s="8"/>
      <c r="AA11" s="3"/>
    </row>
    <row r="12" spans="1:27" s="4" customFormat="1" x14ac:dyDescent="0.25">
      <c r="A12" s="5"/>
      <c r="B12" s="5" t="s">
        <v>102</v>
      </c>
      <c r="C12" s="5" t="s">
        <v>26</v>
      </c>
      <c r="D12" s="6" t="e">
        <f>#REF!</f>
        <v>#REF!</v>
      </c>
      <c r="E12" s="9">
        <v>12.38</v>
      </c>
      <c r="F12" s="14">
        <f t="shared" ref="F12:F19" si="5">U12/E12</f>
        <v>-8.2465016594839013E-3</v>
      </c>
      <c r="G12" s="6">
        <v>5.25</v>
      </c>
      <c r="H12" s="6">
        <f t="shared" ref="H12:H19" si="6">G12*0.08</f>
        <v>0.42</v>
      </c>
      <c r="I12" s="6">
        <v>0</v>
      </c>
      <c r="J12" s="6">
        <v>0.3</v>
      </c>
      <c r="K12" s="7">
        <v>0.14000000000000001</v>
      </c>
      <c r="L12" s="6">
        <v>0</v>
      </c>
      <c r="M12" s="6">
        <v>1</v>
      </c>
      <c r="N12" s="6">
        <v>0</v>
      </c>
      <c r="O12" s="7">
        <v>8.3000000000000004E-2</v>
      </c>
      <c r="P12" s="5">
        <v>0</v>
      </c>
      <c r="Q12" s="11">
        <f t="shared" si="4"/>
        <v>4.8599999999999997E-2</v>
      </c>
      <c r="R12" s="7">
        <v>0.05</v>
      </c>
      <c r="S12" s="7">
        <v>0.05</v>
      </c>
      <c r="T12" s="7">
        <v>7.0000000000000007E-2</v>
      </c>
      <c r="U12" s="6">
        <f t="shared" ref="U12:U19" si="7">E12-V12</f>
        <v>-0.1020916905444107</v>
      </c>
      <c r="V12" s="6">
        <f t="shared" ref="V12:V19" si="8">(G12+H12+L12+M12+I12+J12 - N12)/(1 - (K12 + O12 + Q12 + R12 + S12 + T12 + P12))</f>
        <v>12.482091690544411</v>
      </c>
      <c r="W12" s="8">
        <v>4.8599999999999997E-2</v>
      </c>
      <c r="X12" s="8">
        <v>0</v>
      </c>
      <c r="Y12" s="8">
        <v>0.6</v>
      </c>
      <c r="Z12" s="6">
        <v>10.26</v>
      </c>
      <c r="AA12" s="3"/>
    </row>
    <row r="13" spans="1:27" s="4" customFormat="1" x14ac:dyDescent="0.25">
      <c r="A13" s="5"/>
      <c r="B13" s="5" t="s">
        <v>102</v>
      </c>
      <c r="C13" s="5" t="s">
        <v>27</v>
      </c>
      <c r="D13" s="6" t="e">
        <f>#REF!</f>
        <v>#REF!</v>
      </c>
      <c r="E13" s="9">
        <v>24.18</v>
      </c>
      <c r="F13" s="14">
        <f>U13/E13</f>
        <v>1.5575275826779186E-2</v>
      </c>
      <c r="G13" s="6">
        <v>11.8</v>
      </c>
      <c r="H13" s="6">
        <f t="shared" si="6"/>
        <v>0.94400000000000006</v>
      </c>
      <c r="I13" s="6">
        <v>0</v>
      </c>
      <c r="J13" s="6">
        <v>0.3</v>
      </c>
      <c r="K13" s="7">
        <v>0.14000000000000001</v>
      </c>
      <c r="L13" s="6">
        <v>0</v>
      </c>
      <c r="M13" s="6">
        <v>1</v>
      </c>
      <c r="N13" s="6">
        <v>0</v>
      </c>
      <c r="O13" s="7">
        <v>0.1</v>
      </c>
      <c r="P13" s="5">
        <v>0</v>
      </c>
      <c r="Q13" s="11">
        <v>0</v>
      </c>
      <c r="R13" s="7">
        <v>0.05</v>
      </c>
      <c r="S13" s="7">
        <v>0.05</v>
      </c>
      <c r="T13" s="7">
        <v>7.0000000000000007E-2</v>
      </c>
      <c r="U13" s="6">
        <f t="shared" si="7"/>
        <v>0.37661016949152071</v>
      </c>
      <c r="V13" s="6">
        <f t="shared" si="8"/>
        <v>23.803389830508479</v>
      </c>
      <c r="W13" s="8">
        <v>0</v>
      </c>
      <c r="X13" s="8">
        <v>0</v>
      </c>
      <c r="Y13" s="8">
        <v>0.5</v>
      </c>
      <c r="Z13" s="6">
        <v>37</v>
      </c>
      <c r="AA13" s="3"/>
    </row>
    <row r="14" spans="1:27" s="4" customFormat="1" x14ac:dyDescent="0.25">
      <c r="A14" s="5"/>
      <c r="B14" s="5" t="s">
        <v>102</v>
      </c>
      <c r="C14" s="5" t="s">
        <v>28</v>
      </c>
      <c r="D14" s="6" t="e">
        <f>#REF!</f>
        <v>#REF!</v>
      </c>
      <c r="E14" s="9">
        <v>39.9</v>
      </c>
      <c r="F14" s="14">
        <f>U14/E14</f>
        <v>-8.8823754301006988E-2</v>
      </c>
      <c r="G14" s="6">
        <v>22.9</v>
      </c>
      <c r="H14" s="6">
        <f>G14*0.08</f>
        <v>1.8319999999999999</v>
      </c>
      <c r="I14" s="6">
        <v>0</v>
      </c>
      <c r="J14" s="6">
        <v>0.3</v>
      </c>
      <c r="K14" s="7">
        <v>0.14000000000000001</v>
      </c>
      <c r="L14" s="6">
        <v>0</v>
      </c>
      <c r="M14" s="6">
        <v>2</v>
      </c>
      <c r="N14" s="6">
        <v>1.4</v>
      </c>
      <c r="O14" s="7">
        <v>0.1</v>
      </c>
      <c r="P14" s="5">
        <v>0</v>
      </c>
      <c r="Q14" s="11">
        <v>0</v>
      </c>
      <c r="R14" s="7">
        <v>0.05</v>
      </c>
      <c r="S14" s="7">
        <v>0.05</v>
      </c>
      <c r="T14" s="7">
        <v>7.0000000000000007E-2</v>
      </c>
      <c r="U14" s="6">
        <f>E14-V14</f>
        <v>-3.5440677966101788</v>
      </c>
      <c r="V14" s="6">
        <f>(G14+H14+L14+M14+I14+J14 - N14)/(1 - (K14 + O14 + Q14 + R14 + S14 + T14 + P14))</f>
        <v>43.444067796610177</v>
      </c>
      <c r="W14" s="8">
        <v>0</v>
      </c>
      <c r="X14" s="8">
        <v>0.06</v>
      </c>
      <c r="Y14" s="8">
        <v>0.22</v>
      </c>
      <c r="Z14" s="6">
        <v>147.44999999999999</v>
      </c>
      <c r="AA14" s="3" t="s">
        <v>104</v>
      </c>
    </row>
    <row r="15" spans="1:27" x14ac:dyDescent="0.25">
      <c r="A15" s="5"/>
      <c r="B15" s="5" t="s">
        <v>102</v>
      </c>
      <c r="C15" s="3" t="s">
        <v>29</v>
      </c>
      <c r="D15" s="6" t="e">
        <f>#REF!</f>
        <v>#REF!</v>
      </c>
      <c r="E15" s="9">
        <v>164.65</v>
      </c>
      <c r="F15" s="14">
        <f>U15/E15</f>
        <v>-0.15649646436163289</v>
      </c>
      <c r="G15" s="6">
        <v>78.430000000000007</v>
      </c>
      <c r="H15" s="6">
        <f>G15*0.08</f>
        <v>6.2744000000000009</v>
      </c>
      <c r="I15" s="6">
        <v>0.6</v>
      </c>
      <c r="J15" s="6">
        <v>2</v>
      </c>
      <c r="K15" s="7">
        <v>0.14000000000000001</v>
      </c>
      <c r="L15" s="6">
        <v>0</v>
      </c>
      <c r="M15" s="6">
        <v>6</v>
      </c>
      <c r="N15" s="6">
        <v>0</v>
      </c>
      <c r="O15" s="7">
        <v>0.1</v>
      </c>
      <c r="P15" s="5">
        <v>0</v>
      </c>
      <c r="Q15" s="11">
        <v>0.1</v>
      </c>
      <c r="R15" s="7">
        <v>0.05</v>
      </c>
      <c r="S15" s="7">
        <v>0.05</v>
      </c>
      <c r="T15" s="7">
        <v>7.0000000000000007E-2</v>
      </c>
      <c r="U15" s="6">
        <f>E15-V15</f>
        <v>-25.767142857142858</v>
      </c>
      <c r="V15" s="6">
        <f>(G15+H15+L15+M15+I15+J15 - N15)/(1 - (K15 + O15 + Q15 + R15 + S15 + T15 + P15))</f>
        <v>190.41714285714286</v>
      </c>
      <c r="W15" s="8">
        <v>0.13239999999999999</v>
      </c>
      <c r="X15" s="8">
        <v>0</v>
      </c>
      <c r="Y15" s="8">
        <v>0.56000000000000005</v>
      </c>
      <c r="Z15" s="6">
        <v>37.43</v>
      </c>
      <c r="AA15" s="30" t="s">
        <v>105</v>
      </c>
    </row>
    <row r="16" spans="1:27" s="4" customFormat="1" x14ac:dyDescent="0.25">
      <c r="A16" s="5"/>
      <c r="B16" s="5" t="s">
        <v>102</v>
      </c>
      <c r="C16" s="3" t="s">
        <v>67</v>
      </c>
      <c r="D16" s="6" t="e">
        <f>#REF!</f>
        <v>#REF!</v>
      </c>
      <c r="E16" s="9">
        <v>159</v>
      </c>
      <c r="F16" s="14">
        <f t="shared" si="5"/>
        <v>9.1040585206137822E-2</v>
      </c>
      <c r="G16" s="6">
        <v>75.58</v>
      </c>
      <c r="H16" s="6">
        <f t="shared" si="6"/>
        <v>6.0464000000000002</v>
      </c>
      <c r="I16" s="6">
        <v>1.2</v>
      </c>
      <c r="J16" s="6">
        <v>2</v>
      </c>
      <c r="K16" s="7">
        <v>0.14000000000000001</v>
      </c>
      <c r="L16" s="6">
        <v>0</v>
      </c>
      <c r="M16" s="6">
        <v>6</v>
      </c>
      <c r="N16" s="6">
        <v>3.1</v>
      </c>
      <c r="O16" s="7">
        <v>8.3000000000000004E-2</v>
      </c>
      <c r="P16" s="5">
        <v>0</v>
      </c>
      <c r="Q16" s="11">
        <f t="shared" si="4"/>
        <v>0</v>
      </c>
      <c r="R16" s="7">
        <v>0.05</v>
      </c>
      <c r="S16" s="7">
        <v>0.05</v>
      </c>
      <c r="T16" s="7">
        <v>7.0000000000000007E-2</v>
      </c>
      <c r="U16" s="6">
        <f t="shared" si="7"/>
        <v>14.475453047775915</v>
      </c>
      <c r="V16" s="6">
        <f t="shared" si="8"/>
        <v>144.52454695222409</v>
      </c>
      <c r="W16" s="8">
        <v>0</v>
      </c>
      <c r="X16" s="8">
        <v>0</v>
      </c>
      <c r="Y16" s="8">
        <v>0.41</v>
      </c>
      <c r="Z16" s="6">
        <v>2.82</v>
      </c>
      <c r="AA16" s="3" t="s">
        <v>106</v>
      </c>
    </row>
    <row r="17" spans="1:27" s="4" customFormat="1" x14ac:dyDescent="0.25">
      <c r="A17" s="5"/>
      <c r="B17" s="5"/>
      <c r="C17" s="3" t="s">
        <v>68</v>
      </c>
      <c r="D17" s="6" t="e">
        <f>#REF!</f>
        <v>#REF!</v>
      </c>
      <c r="E17" s="9">
        <v>170.2</v>
      </c>
      <c r="F17" s="14">
        <f t="shared" si="5"/>
        <v>-1.6499631212044303E-2</v>
      </c>
      <c r="G17" s="6">
        <v>92.7</v>
      </c>
      <c r="H17" s="6">
        <f t="shared" si="6"/>
        <v>7.4160000000000004</v>
      </c>
      <c r="I17" s="6">
        <v>0.6</v>
      </c>
      <c r="J17" s="6">
        <v>2</v>
      </c>
      <c r="K17" s="7">
        <v>0.14000000000000001</v>
      </c>
      <c r="L17" s="6">
        <v>0</v>
      </c>
      <c r="M17" s="6">
        <v>6</v>
      </c>
      <c r="N17" s="6">
        <v>3.7</v>
      </c>
      <c r="O17" s="7">
        <v>8.3000000000000004E-2</v>
      </c>
      <c r="P17" s="5">
        <v>0</v>
      </c>
      <c r="Q17" s="11">
        <f t="shared" si="4"/>
        <v>0</v>
      </c>
      <c r="R17" s="7">
        <v>0.05</v>
      </c>
      <c r="S17" s="7">
        <v>0.05</v>
      </c>
      <c r="T17" s="7">
        <v>7.0000000000000007E-2</v>
      </c>
      <c r="U17" s="6">
        <f t="shared" si="7"/>
        <v>-2.8082372322899403</v>
      </c>
      <c r="V17" s="6">
        <f t="shared" si="8"/>
        <v>173.00823723228993</v>
      </c>
      <c r="W17" s="8"/>
      <c r="X17" s="8"/>
      <c r="Y17" s="8"/>
      <c r="Z17" s="8"/>
      <c r="AA17" s="3"/>
    </row>
    <row r="18" spans="1:27" s="4" customFormat="1" x14ac:dyDescent="0.25">
      <c r="A18" s="5"/>
      <c r="B18" s="5" t="s">
        <v>102</v>
      </c>
      <c r="C18" s="3" t="s">
        <v>30</v>
      </c>
      <c r="D18" s="6" t="e">
        <f>#REF!</f>
        <v>#REF!</v>
      </c>
      <c r="E18" s="9">
        <v>65.52</v>
      </c>
      <c r="F18" s="14">
        <f t="shared" si="5"/>
        <v>0.15071017212697596</v>
      </c>
      <c r="G18" s="6">
        <v>30.46</v>
      </c>
      <c r="H18" s="6">
        <f t="shared" si="6"/>
        <v>2.4368000000000003</v>
      </c>
      <c r="I18" s="6">
        <v>0</v>
      </c>
      <c r="J18" s="6">
        <v>0</v>
      </c>
      <c r="K18" s="7">
        <v>0.14000000000000001</v>
      </c>
      <c r="L18" s="6">
        <v>0</v>
      </c>
      <c r="M18" s="6">
        <v>4</v>
      </c>
      <c r="N18" s="6">
        <v>3.12</v>
      </c>
      <c r="O18" s="7">
        <v>8.3000000000000004E-2</v>
      </c>
      <c r="P18" s="5">
        <v>0</v>
      </c>
      <c r="Q18" s="11">
        <f>W18</f>
        <v>0</v>
      </c>
      <c r="R18" s="7">
        <v>0.05</v>
      </c>
      <c r="S18" s="7">
        <v>0.05</v>
      </c>
      <c r="T18" s="7">
        <v>7.0000000000000007E-2</v>
      </c>
      <c r="U18" s="6">
        <f t="shared" si="7"/>
        <v>9.874530477759464</v>
      </c>
      <c r="V18" s="6">
        <f t="shared" si="8"/>
        <v>55.645469522240532</v>
      </c>
      <c r="W18" s="8">
        <v>0</v>
      </c>
      <c r="X18" s="8">
        <v>0</v>
      </c>
      <c r="Y18" s="8">
        <v>0.55000000000000004</v>
      </c>
      <c r="Z18" s="6">
        <v>6.23</v>
      </c>
      <c r="AA18" s="3"/>
    </row>
    <row r="19" spans="1:27" s="4" customFormat="1" x14ac:dyDescent="0.25">
      <c r="A19" s="5"/>
      <c r="B19" s="5"/>
      <c r="C19" s="3" t="s">
        <v>31</v>
      </c>
      <c r="D19" s="6" t="e">
        <f>#REF!</f>
        <v>#REF!</v>
      </c>
      <c r="E19" s="9">
        <v>109.6</v>
      </c>
      <c r="F19" s="14">
        <f t="shared" si="5"/>
        <v>4.2212180898312093E-2</v>
      </c>
      <c r="G19" s="6">
        <v>49</v>
      </c>
      <c r="H19" s="6">
        <f t="shared" si="6"/>
        <v>3.92</v>
      </c>
      <c r="I19" s="6">
        <v>0.6</v>
      </c>
      <c r="J19" s="6">
        <v>2</v>
      </c>
      <c r="K19" s="7">
        <v>0.13</v>
      </c>
      <c r="L19" s="6">
        <v>0</v>
      </c>
      <c r="M19" s="6">
        <v>4</v>
      </c>
      <c r="N19" s="6">
        <v>0</v>
      </c>
      <c r="O19" s="7">
        <v>8.3000000000000004E-2</v>
      </c>
      <c r="P19" s="5">
        <v>0</v>
      </c>
      <c r="Q19" s="11">
        <v>0</v>
      </c>
      <c r="R19" s="7">
        <v>0.05</v>
      </c>
      <c r="S19" s="7">
        <v>0.1</v>
      </c>
      <c r="T19" s="7">
        <v>7.0000000000000007E-2</v>
      </c>
      <c r="U19" s="6">
        <f t="shared" si="7"/>
        <v>4.6264550264550053</v>
      </c>
      <c r="V19" s="6">
        <f t="shared" si="8"/>
        <v>104.97354497354499</v>
      </c>
      <c r="W19" s="8"/>
      <c r="X19" s="8"/>
      <c r="Y19" s="8"/>
      <c r="Z19" s="8"/>
      <c r="AA19" s="3"/>
    </row>
    <row r="20" spans="1:27" x14ac:dyDescent="0.25">
      <c r="A20" s="5"/>
      <c r="B20" s="5"/>
      <c r="C20" s="3" t="s">
        <v>33</v>
      </c>
      <c r="D20" s="6" t="e">
        <f>#REF!</f>
        <v>#REF!</v>
      </c>
      <c r="E20" s="9"/>
      <c r="F20" s="14"/>
      <c r="G20" s="6"/>
      <c r="H20" s="6"/>
      <c r="I20" s="6"/>
      <c r="J20" s="6"/>
      <c r="K20" s="7"/>
      <c r="L20" s="6"/>
      <c r="M20" s="6"/>
      <c r="N20" s="6"/>
      <c r="O20" s="7"/>
      <c r="P20" s="5"/>
      <c r="Q20" s="11"/>
      <c r="R20" s="7"/>
      <c r="S20" s="7"/>
      <c r="T20" s="7"/>
      <c r="U20" s="6"/>
      <c r="V20" s="6"/>
      <c r="W20" s="8"/>
      <c r="X20" s="8"/>
      <c r="Y20" s="8"/>
      <c r="Z20" s="8"/>
      <c r="AA20" s="30"/>
    </row>
    <row r="21" spans="1:27" x14ac:dyDescent="0.25">
      <c r="A21" s="5"/>
      <c r="B21" s="5"/>
      <c r="C21" s="3" t="s">
        <v>34</v>
      </c>
      <c r="D21" s="6" t="e">
        <f>#REF!</f>
        <v>#REF!</v>
      </c>
      <c r="E21" s="9"/>
      <c r="F21" s="14"/>
      <c r="G21" s="6"/>
      <c r="H21" s="6"/>
      <c r="I21" s="6"/>
      <c r="J21" s="6"/>
      <c r="K21" s="7"/>
      <c r="L21" s="6"/>
      <c r="M21" s="6"/>
      <c r="N21" s="6"/>
      <c r="O21" s="7"/>
      <c r="P21" s="5"/>
      <c r="Q21" s="11"/>
      <c r="R21" s="7"/>
      <c r="S21" s="7"/>
      <c r="T21" s="7"/>
      <c r="U21" s="6"/>
      <c r="V21" s="6"/>
      <c r="W21" s="8"/>
      <c r="X21" s="8"/>
      <c r="Y21" s="8"/>
      <c r="Z21" s="8"/>
      <c r="AA21" s="30"/>
    </row>
    <row r="22" spans="1:27" s="23" customFormat="1" x14ac:dyDescent="0.25">
      <c r="A22" s="5"/>
      <c r="B22" s="17"/>
      <c r="C22" s="18" t="s">
        <v>35</v>
      </c>
      <c r="D22" s="19" t="e">
        <f>#REF!</f>
        <v>#REF!</v>
      </c>
      <c r="E22" s="19">
        <v>32.6</v>
      </c>
      <c r="F22" s="20">
        <f>U22/E22</f>
        <v>-2.7387207561569798E-2</v>
      </c>
      <c r="G22" s="19">
        <v>12.5</v>
      </c>
      <c r="H22" s="19">
        <f>G22*0.08</f>
        <v>1</v>
      </c>
      <c r="I22" s="19">
        <v>1</v>
      </c>
      <c r="J22" s="19">
        <v>0</v>
      </c>
      <c r="K22" s="21">
        <v>0.12</v>
      </c>
      <c r="L22" s="19">
        <v>0</v>
      </c>
      <c r="M22" s="19">
        <v>6.5</v>
      </c>
      <c r="N22" s="19">
        <v>0</v>
      </c>
      <c r="O22" s="21">
        <v>8.3000000000000004E-2</v>
      </c>
      <c r="P22" s="17">
        <v>0</v>
      </c>
      <c r="Q22" s="22">
        <f t="shared" si="4"/>
        <v>0</v>
      </c>
      <c r="R22" s="21">
        <v>0.05</v>
      </c>
      <c r="S22" s="21">
        <v>0.05</v>
      </c>
      <c r="T22" s="21">
        <v>7.0000000000000007E-2</v>
      </c>
      <c r="U22" s="19">
        <f>E22-V22</f>
        <v>-0.89282296650717541</v>
      </c>
      <c r="V22" s="19">
        <f>(G22+H22+L22+M22+I22+J22 - N22)/(1 - (K22 + O22 + Q22 + R22 + S22 + T22 + P22))</f>
        <v>33.492822966507177</v>
      </c>
      <c r="W22" s="20"/>
      <c r="X22" s="20"/>
      <c r="Y22" s="20"/>
      <c r="Z22" s="20"/>
      <c r="AA22" s="18"/>
    </row>
    <row r="23" spans="1:27" x14ac:dyDescent="0.25">
      <c r="A23" s="5"/>
      <c r="B23" s="5" t="s">
        <v>102</v>
      </c>
      <c r="C23" s="3" t="s">
        <v>36</v>
      </c>
      <c r="D23" s="6" t="s">
        <v>107</v>
      </c>
      <c r="E23" s="9">
        <v>34.44</v>
      </c>
      <c r="F23" s="14">
        <f>U23/E23</f>
        <v>0.11694625046397748</v>
      </c>
      <c r="G23" s="6">
        <v>13.5</v>
      </c>
      <c r="H23" s="6">
        <f>G23*0.08</f>
        <v>1.08</v>
      </c>
      <c r="I23" s="6">
        <v>0</v>
      </c>
      <c r="J23" s="6">
        <v>0</v>
      </c>
      <c r="K23" s="7">
        <v>0.14000000000000001</v>
      </c>
      <c r="L23" s="6">
        <v>0</v>
      </c>
      <c r="M23" s="6">
        <v>2</v>
      </c>
      <c r="N23" s="6">
        <v>0.65</v>
      </c>
      <c r="O23" s="7">
        <v>8.3000000000000004E-2</v>
      </c>
      <c r="P23" s="5">
        <v>0</v>
      </c>
      <c r="Q23" s="11">
        <f>W23</f>
        <v>8.3199999999999996E-2</v>
      </c>
      <c r="R23" s="7">
        <v>0.05</v>
      </c>
      <c r="S23" s="7">
        <v>0.05</v>
      </c>
      <c r="T23" s="7">
        <v>7.0000000000000007E-2</v>
      </c>
      <c r="U23" s="6">
        <f>E23-V23</f>
        <v>4.0276288659793842</v>
      </c>
      <c r="V23" s="6">
        <f>(G23+H23+L23+M23+I23+J23 - N23)/(1 - (K23 + O23 + Q23 + R23 + S23 + T23 + P23))</f>
        <v>30.412371134020614</v>
      </c>
      <c r="W23" s="8">
        <v>8.3199999999999996E-2</v>
      </c>
      <c r="X23" s="8">
        <v>0.51</v>
      </c>
      <c r="Y23" s="8">
        <v>0.49</v>
      </c>
      <c r="Z23" s="6">
        <f>14.18</f>
        <v>14.18</v>
      </c>
      <c r="AA23" s="30" t="s">
        <v>108</v>
      </c>
    </row>
    <row r="24" spans="1:27" x14ac:dyDescent="0.25">
      <c r="A24" s="5"/>
      <c r="B24" s="5"/>
      <c r="C24" s="3" t="s">
        <v>37</v>
      </c>
      <c r="D24" s="6" t="e">
        <f>#REF!</f>
        <v>#REF!</v>
      </c>
      <c r="E24" s="9"/>
      <c r="F24" s="14"/>
      <c r="G24" s="6"/>
      <c r="H24" s="6"/>
      <c r="I24" s="6"/>
      <c r="J24" s="6"/>
      <c r="K24" s="7"/>
      <c r="L24" s="6"/>
      <c r="M24" s="6"/>
      <c r="N24" s="6"/>
      <c r="O24" s="7"/>
      <c r="P24" s="5"/>
      <c r="Q24" s="11"/>
      <c r="R24" s="7"/>
      <c r="S24" s="7"/>
      <c r="T24" s="7"/>
      <c r="U24" s="6"/>
      <c r="V24" s="6"/>
      <c r="W24" s="8"/>
      <c r="X24" s="8"/>
      <c r="Y24" s="8"/>
      <c r="Z24" s="8"/>
      <c r="AA24" s="30"/>
    </row>
    <row r="25" spans="1:27" x14ac:dyDescent="0.25">
      <c r="A25" s="5"/>
      <c r="B25" s="5" t="s">
        <v>102</v>
      </c>
      <c r="C25" s="3" t="s">
        <v>109</v>
      </c>
      <c r="D25" s="6"/>
      <c r="E25" s="9">
        <v>8.4</v>
      </c>
      <c r="F25" s="14">
        <f>U25/E25</f>
        <v>-1.679637690718026E-2</v>
      </c>
      <c r="G25" s="6">
        <v>2.5</v>
      </c>
      <c r="H25" s="6">
        <f>G25*0.08</f>
        <v>0.2</v>
      </c>
      <c r="I25" s="6">
        <v>0</v>
      </c>
      <c r="J25" s="6">
        <v>0</v>
      </c>
      <c r="K25" s="7">
        <v>0.14000000000000001</v>
      </c>
      <c r="L25" s="6">
        <v>0</v>
      </c>
      <c r="M25" s="6">
        <v>1</v>
      </c>
      <c r="N25" s="6">
        <v>0</v>
      </c>
      <c r="O25" s="7">
        <v>8.3000000000000004E-2</v>
      </c>
      <c r="P25" s="5">
        <v>0</v>
      </c>
      <c r="Q25" s="11">
        <f>W25</f>
        <v>0.17380000000000001</v>
      </c>
      <c r="R25" s="7">
        <v>0.05</v>
      </c>
      <c r="S25" s="7">
        <v>0.05</v>
      </c>
      <c r="T25" s="7">
        <v>7.0000000000000007E-2</v>
      </c>
      <c r="U25" s="6">
        <f>E25-V25</f>
        <v>-0.14108956602031419</v>
      </c>
      <c r="V25" s="6">
        <f>(G25+H25+L25+M25+I25+J25 - N25)/(1 - (K25 + O25 + Q25 + R25 + S25 + T25 + P25))</f>
        <v>8.5410895660203145</v>
      </c>
      <c r="W25" s="8">
        <v>0.17380000000000001</v>
      </c>
      <c r="X25" s="8">
        <v>0</v>
      </c>
      <c r="Y25" s="8">
        <v>0.71</v>
      </c>
      <c r="Z25" s="6">
        <v>5.91</v>
      </c>
      <c r="AA25" s="30"/>
    </row>
    <row r="26" spans="1:27" x14ac:dyDescent="0.25">
      <c r="A26" s="5"/>
      <c r="B26" s="5" t="s">
        <v>102</v>
      </c>
      <c r="C26" s="3" t="s">
        <v>110</v>
      </c>
      <c r="D26" s="6"/>
      <c r="E26" s="9">
        <v>8.4</v>
      </c>
      <c r="F26" s="14">
        <f>U26/E26</f>
        <v>0.27433906017102061</v>
      </c>
      <c r="G26" s="6">
        <v>2.5</v>
      </c>
      <c r="H26" s="6">
        <f>G26*0.08</f>
        <v>0.2</v>
      </c>
      <c r="I26" s="6">
        <v>0</v>
      </c>
      <c r="J26" s="6">
        <v>0</v>
      </c>
      <c r="K26" s="7">
        <v>0.14000000000000001</v>
      </c>
      <c r="L26" s="6">
        <v>0</v>
      </c>
      <c r="M26" s="6">
        <v>1</v>
      </c>
      <c r="N26" s="6">
        <v>0</v>
      </c>
      <c r="O26" s="7">
        <v>8.3000000000000004E-2</v>
      </c>
      <c r="P26" s="5">
        <v>0</v>
      </c>
      <c r="Q26" s="11">
        <f>W26</f>
        <v>0</v>
      </c>
      <c r="R26" s="7">
        <v>0.05</v>
      </c>
      <c r="S26" s="7">
        <v>0.05</v>
      </c>
      <c r="T26" s="7">
        <v>7.0000000000000007E-2</v>
      </c>
      <c r="U26" s="6">
        <f>E26-V26</f>
        <v>2.3044481054365731</v>
      </c>
      <c r="V26" s="6">
        <f>(G26+H26+L26+M26+I26+J26 - N26)/(1 - (K26 + O26 + Q26 + R26 + S26 + T26 + P26))</f>
        <v>6.0955518945634273</v>
      </c>
      <c r="W26" s="8">
        <v>0</v>
      </c>
      <c r="X26" s="8">
        <v>0</v>
      </c>
      <c r="Y26" s="8">
        <v>0.71</v>
      </c>
      <c r="Z26" s="6">
        <v>9.4000000000000004E-3</v>
      </c>
      <c r="AA26" s="30"/>
    </row>
    <row r="27" spans="1:27" s="4" customFormat="1" x14ac:dyDescent="0.25">
      <c r="A27" s="5" t="s">
        <v>17</v>
      </c>
      <c r="B27" s="5" t="s">
        <v>102</v>
      </c>
      <c r="C27" s="3" t="s">
        <v>38</v>
      </c>
      <c r="D27" s="6" t="e">
        <f>#REF!</f>
        <v>#REF!</v>
      </c>
      <c r="E27" s="9">
        <v>54</v>
      </c>
      <c r="F27" s="14">
        <f>U27/E27</f>
        <v>-1.9936930161369066E-2</v>
      </c>
      <c r="G27" s="6">
        <v>24</v>
      </c>
      <c r="H27" s="6">
        <f>G27*0.08</f>
        <v>1.92</v>
      </c>
      <c r="I27" s="6">
        <v>1</v>
      </c>
      <c r="J27" s="6">
        <v>0</v>
      </c>
      <c r="K27" s="7">
        <v>0.13</v>
      </c>
      <c r="L27" s="6">
        <v>0</v>
      </c>
      <c r="M27" s="6">
        <v>4</v>
      </c>
      <c r="N27" s="6">
        <v>0</v>
      </c>
      <c r="O27" s="7">
        <v>8.3000000000000004E-2</v>
      </c>
      <c r="P27" s="5">
        <v>0</v>
      </c>
      <c r="Q27" s="11">
        <f>W27</f>
        <v>5.5599999999999997E-2</v>
      </c>
      <c r="R27" s="7">
        <v>0.05</v>
      </c>
      <c r="S27" s="7">
        <v>0.05</v>
      </c>
      <c r="T27" s="7">
        <v>7.0000000000000007E-2</v>
      </c>
      <c r="U27" s="6">
        <f>E27-V27</f>
        <v>-1.0765942287139296</v>
      </c>
      <c r="V27" s="6">
        <f>(G27+H27+L27+M27+I27+J27 - N27)/(1 - (K27 + O27 + Q27 + R27 + S27 + T27 + P27))</f>
        <v>55.07659422871393</v>
      </c>
      <c r="W27" s="11">
        <v>5.5599999999999997E-2</v>
      </c>
      <c r="X27" s="8">
        <v>0</v>
      </c>
      <c r="Y27" s="8">
        <v>0.53</v>
      </c>
      <c r="Z27" s="6">
        <v>10.23</v>
      </c>
      <c r="AA27" s="3"/>
    </row>
    <row r="30" spans="1:27" s="4" customFormat="1" x14ac:dyDescent="0.25">
      <c r="A30" s="5"/>
      <c r="B30" s="5"/>
      <c r="C30" s="3" t="s">
        <v>31</v>
      </c>
      <c r="D30" s="6" t="e">
        <f>#REF!</f>
        <v>#REF!</v>
      </c>
      <c r="E30" s="9">
        <v>87.36</v>
      </c>
      <c r="F30" s="14">
        <f>U30/E30</f>
        <v>-0.13379549343070363</v>
      </c>
      <c r="G30" s="6">
        <v>45</v>
      </c>
      <c r="H30" s="6">
        <f>G30*0.08</f>
        <v>3.6</v>
      </c>
      <c r="I30" s="6">
        <v>0.6</v>
      </c>
      <c r="J30" s="6">
        <v>2</v>
      </c>
      <c r="K30" s="7">
        <v>0.13</v>
      </c>
      <c r="L30" s="6">
        <v>0</v>
      </c>
      <c r="M30" s="6">
        <v>4</v>
      </c>
      <c r="N30" s="6">
        <v>5.24</v>
      </c>
      <c r="O30" s="7">
        <v>8.3000000000000004E-2</v>
      </c>
      <c r="P30" s="5">
        <v>0</v>
      </c>
      <c r="Q30" s="11">
        <v>6.2600000000000003E-2</v>
      </c>
      <c r="R30" s="7">
        <v>0.05</v>
      </c>
      <c r="S30" s="7">
        <v>0.1</v>
      </c>
      <c r="T30" s="7">
        <v>7.0000000000000007E-2</v>
      </c>
      <c r="U30" s="6">
        <f>E30-V30</f>
        <v>-11.688374306106269</v>
      </c>
      <c r="V30" s="6">
        <f>(G30+H30+L30+M30+I30+J30 - N30)/(1 - (K30 + O30 + Q30 + R30 + S30 + T30 + P30))</f>
        <v>99.048374306106268</v>
      </c>
      <c r="W30" s="8"/>
      <c r="X30" s="8"/>
      <c r="Y30" s="8"/>
      <c r="Z30" s="8"/>
      <c r="AA30" s="3"/>
    </row>
  </sheetData>
  <protectedRanges>
    <protectedRange algorithmName="SHA-512" hashValue="aEERJQJMzSjwyk85T8BB6RJ31PG9yww9W3guKd9+QEmDdpPLyQ7YOL1UJkf0y4KIl2a79DCYAvYCdlVp2mDjxg==" saltValue="aKgvfp76T60uU8TGfv8oiw==" spinCount="100000" sqref="V14" name="precosugerido_3"/>
  </protectedRanges>
  <autoFilter ref="A2:Y27" xr:uid="{0D4E9EAA-510B-49F3-AA74-41F87A19B1E8}"/>
  <mergeCells count="4">
    <mergeCell ref="K1:N1"/>
    <mergeCell ref="O1:P1"/>
    <mergeCell ref="G1:J1"/>
    <mergeCell ref="Q1:S1"/>
  </mergeCells>
  <dataValidations disablePrompts="1" count="1">
    <dataValidation type="list" allowBlank="1" showInputMessage="1" showErrorMessage="1" sqref="B3:B30" xr:uid="{B5D363DF-DFE8-4979-A17A-8B4A1046B33D}">
      <formula1>#REF!</formula1>
    </dataValidation>
  </dataValidation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AA5A-11C9-4782-BBA0-9897C5C8FB2F}">
  <sheetPr codeName="Planilha2"/>
  <dimension ref="A1:J69"/>
  <sheetViews>
    <sheetView tabSelected="1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5" x14ac:dyDescent="0.25"/>
  <cols>
    <col min="1" max="1" width="40.28515625" bestFit="1" customWidth="1"/>
    <col min="2" max="3" width="13.7109375" customWidth="1"/>
    <col min="4" max="4" width="11.5703125" customWidth="1"/>
    <col min="5" max="5" width="11.28515625" customWidth="1"/>
    <col min="6" max="6" width="21.5703125" bestFit="1" customWidth="1"/>
    <col min="7" max="7" width="11" customWidth="1"/>
    <col min="8" max="8" width="16.140625" customWidth="1"/>
    <col min="9" max="9" width="10.85546875" customWidth="1"/>
    <col min="10" max="10" width="14.7109375" customWidth="1"/>
    <col min="16363" max="16363" width="9.140625" bestFit="1" customWidth="1"/>
    <col min="16364" max="16366" width="9.140625" customWidth="1"/>
    <col min="16367" max="16367" width="8.85546875" bestFit="1" customWidth="1"/>
    <col min="16368" max="16384" width="8.85546875" customWidth="1"/>
  </cols>
  <sheetData>
    <row r="1" spans="1:10" ht="47.25" customHeight="1" x14ac:dyDescent="0.25">
      <c r="A1" s="25">
        <v>45824</v>
      </c>
      <c r="B1" s="24"/>
      <c r="C1" s="24"/>
      <c r="D1" s="24"/>
      <c r="E1" s="41" t="s">
        <v>126</v>
      </c>
      <c r="F1" s="41"/>
      <c r="G1" s="24"/>
      <c r="H1" s="24"/>
      <c r="I1" s="41">
        <v>0.1</v>
      </c>
      <c r="J1" s="41">
        <v>0.17</v>
      </c>
    </row>
    <row r="2" spans="1:10" s="12" customFormat="1" ht="45" x14ac:dyDescent="0.25">
      <c r="A2" s="13" t="s">
        <v>3</v>
      </c>
      <c r="B2" s="13" t="s">
        <v>128</v>
      </c>
      <c r="C2" s="13" t="s">
        <v>129</v>
      </c>
      <c r="D2" s="13" t="s">
        <v>7</v>
      </c>
      <c r="E2" s="13" t="s">
        <v>127</v>
      </c>
      <c r="F2" s="13" t="s">
        <v>111</v>
      </c>
      <c r="G2" s="13" t="s">
        <v>10</v>
      </c>
      <c r="H2" s="13" t="s">
        <v>112</v>
      </c>
      <c r="I2" s="13" t="s">
        <v>12</v>
      </c>
      <c r="J2" s="13" t="s">
        <v>63</v>
      </c>
    </row>
    <row r="3" spans="1:10" s="4" customFormat="1" x14ac:dyDescent="0.25">
      <c r="A3" s="5" t="s">
        <v>18</v>
      </c>
      <c r="B3" s="9"/>
      <c r="C3" s="9"/>
      <c r="D3" s="6">
        <v>8</v>
      </c>
      <c r="E3" s="6">
        <f>D3*0.08</f>
        <v>0.64</v>
      </c>
      <c r="F3" s="6"/>
      <c r="G3" s="6"/>
      <c r="H3" s="7">
        <v>0.05</v>
      </c>
      <c r="I3" s="11">
        <f t="shared" ref="I3:I21" si="0">$I$1</f>
        <v>0.1</v>
      </c>
      <c r="J3" s="7">
        <f t="shared" ref="J3:J12" si="1">$J$1</f>
        <v>0.17</v>
      </c>
    </row>
    <row r="4" spans="1:10" s="4" customFormat="1" x14ac:dyDescent="0.25">
      <c r="A4" s="5" t="s">
        <v>19</v>
      </c>
      <c r="B4" s="9"/>
      <c r="C4" s="9"/>
      <c r="D4" s="6">
        <v>8</v>
      </c>
      <c r="E4" s="6">
        <f>D4*0.08</f>
        <v>0.64</v>
      </c>
      <c r="F4" s="6"/>
      <c r="G4" s="6"/>
      <c r="H4" s="7"/>
      <c r="I4" s="11">
        <f t="shared" si="0"/>
        <v>0.1</v>
      </c>
      <c r="J4" s="7">
        <f t="shared" si="1"/>
        <v>0.17</v>
      </c>
    </row>
    <row r="5" spans="1:10" s="4" customFormat="1" x14ac:dyDescent="0.25">
      <c r="A5" s="5" t="s">
        <v>20</v>
      </c>
      <c r="B5" s="9"/>
      <c r="C5" s="9"/>
      <c r="D5" s="6">
        <v>8</v>
      </c>
      <c r="E5" s="6"/>
      <c r="F5" s="6"/>
      <c r="G5" s="6"/>
      <c r="H5" s="7"/>
      <c r="I5" s="11">
        <f t="shared" si="0"/>
        <v>0.1</v>
      </c>
      <c r="J5" s="7">
        <f t="shared" si="1"/>
        <v>0.17</v>
      </c>
    </row>
    <row r="6" spans="1:10" s="4" customFormat="1" x14ac:dyDescent="0.25">
      <c r="A6" s="5" t="s">
        <v>21</v>
      </c>
      <c r="B6" s="9"/>
      <c r="C6" s="9"/>
      <c r="D6" s="6">
        <v>10</v>
      </c>
      <c r="E6" s="6"/>
      <c r="F6" s="6"/>
      <c r="G6" s="6"/>
      <c r="H6" s="7"/>
      <c r="I6" s="11">
        <f t="shared" si="0"/>
        <v>0.1</v>
      </c>
      <c r="J6" s="7">
        <f t="shared" si="1"/>
        <v>0.17</v>
      </c>
    </row>
    <row r="7" spans="1:10" s="4" customFormat="1" x14ac:dyDescent="0.25">
      <c r="A7" s="5" t="s">
        <v>22</v>
      </c>
      <c r="B7" s="9"/>
      <c r="C7" s="9"/>
      <c r="D7" s="6">
        <v>8.5</v>
      </c>
      <c r="E7" s="6"/>
      <c r="F7" s="6"/>
      <c r="G7" s="6"/>
      <c r="H7" s="7"/>
      <c r="I7" s="11">
        <f t="shared" si="0"/>
        <v>0.1</v>
      </c>
      <c r="J7" s="7">
        <f t="shared" si="1"/>
        <v>0.17</v>
      </c>
    </row>
    <row r="8" spans="1:10" s="4" customFormat="1" x14ac:dyDescent="0.25">
      <c r="A8" s="5" t="s">
        <v>23</v>
      </c>
      <c r="B8" s="9"/>
      <c r="C8" s="9"/>
      <c r="D8" s="6">
        <v>8.5</v>
      </c>
      <c r="E8" s="6"/>
      <c r="F8" s="6"/>
      <c r="G8" s="6"/>
      <c r="H8" s="7"/>
      <c r="I8" s="11">
        <f t="shared" si="0"/>
        <v>0.1</v>
      </c>
      <c r="J8" s="7">
        <f t="shared" si="1"/>
        <v>0.17</v>
      </c>
    </row>
    <row r="9" spans="1:10" s="4" customFormat="1" x14ac:dyDescent="0.25">
      <c r="A9" s="5" t="s">
        <v>24</v>
      </c>
      <c r="B9" s="9"/>
      <c r="C9" s="9"/>
      <c r="D9" s="6">
        <v>14</v>
      </c>
      <c r="E9" s="6"/>
      <c r="F9" s="6"/>
      <c r="G9" s="6"/>
      <c r="H9" s="7"/>
      <c r="I9" s="11">
        <f t="shared" si="0"/>
        <v>0.1</v>
      </c>
      <c r="J9" s="7">
        <f t="shared" si="1"/>
        <v>0.17</v>
      </c>
    </row>
    <row r="10" spans="1:10" s="4" customFormat="1" x14ac:dyDescent="0.25">
      <c r="A10" s="5" t="s">
        <v>25</v>
      </c>
      <c r="B10" s="9"/>
      <c r="C10" s="9"/>
      <c r="D10" s="6">
        <v>14</v>
      </c>
      <c r="E10" s="6"/>
      <c r="F10" s="6"/>
      <c r="G10" s="6"/>
      <c r="H10" s="7"/>
      <c r="I10" s="11">
        <f t="shared" si="0"/>
        <v>0.1</v>
      </c>
      <c r="J10" s="7">
        <f t="shared" si="1"/>
        <v>0.17</v>
      </c>
    </row>
    <row r="11" spans="1:10" s="4" customFormat="1" x14ac:dyDescent="0.25">
      <c r="A11" s="5" t="s">
        <v>66</v>
      </c>
      <c r="B11" s="9"/>
      <c r="C11" s="9"/>
      <c r="D11" s="6"/>
      <c r="E11" s="6"/>
      <c r="F11" s="6"/>
      <c r="G11" s="6"/>
      <c r="H11" s="7"/>
      <c r="I11" s="11">
        <f t="shared" si="0"/>
        <v>0.1</v>
      </c>
      <c r="J11" s="7">
        <f t="shared" si="1"/>
        <v>0.17</v>
      </c>
    </row>
    <row r="12" spans="1:10" s="4" customFormat="1" x14ac:dyDescent="0.25">
      <c r="A12" s="5" t="s">
        <v>26</v>
      </c>
      <c r="B12" s="9">
        <f>108.36/12</f>
        <v>9.0299999999999994</v>
      </c>
      <c r="C12" s="9"/>
      <c r="D12" s="6">
        <v>5.25</v>
      </c>
      <c r="E12" s="6"/>
      <c r="F12" s="6"/>
      <c r="G12" s="6"/>
      <c r="H12" s="7">
        <v>0.05</v>
      </c>
      <c r="I12" s="11">
        <f t="shared" si="0"/>
        <v>0.1</v>
      </c>
      <c r="J12" s="7">
        <f t="shared" si="1"/>
        <v>0.17</v>
      </c>
    </row>
    <row r="13" spans="1:10" s="4" customFormat="1" x14ac:dyDescent="0.25">
      <c r="A13" s="5" t="s">
        <v>27</v>
      </c>
      <c r="B13" s="9">
        <f>243.6/12</f>
        <v>20.3</v>
      </c>
      <c r="C13" s="9"/>
      <c r="D13" s="6">
        <v>11.8</v>
      </c>
      <c r="E13" s="6"/>
      <c r="F13" s="6"/>
      <c r="G13" s="6"/>
      <c r="H13" s="7">
        <v>0.05</v>
      </c>
      <c r="I13" s="11">
        <f t="shared" si="0"/>
        <v>0.1</v>
      </c>
      <c r="J13" s="7">
        <v>0.17</v>
      </c>
    </row>
    <row r="14" spans="1:10" s="4" customFormat="1" x14ac:dyDescent="0.25">
      <c r="A14" s="5" t="s">
        <v>28</v>
      </c>
      <c r="B14" s="9">
        <v>33</v>
      </c>
      <c r="C14" s="9"/>
      <c r="D14" s="6">
        <v>22.9</v>
      </c>
      <c r="E14" s="6"/>
      <c r="F14" s="6"/>
      <c r="G14" s="6"/>
      <c r="H14" s="7"/>
      <c r="I14" s="11">
        <f t="shared" si="0"/>
        <v>0.1</v>
      </c>
      <c r="J14" s="7">
        <v>0.17</v>
      </c>
    </row>
    <row r="15" spans="1:10" s="4" customFormat="1" x14ac:dyDescent="0.25">
      <c r="A15" s="3" t="s">
        <v>29</v>
      </c>
      <c r="B15" s="9">
        <v>125</v>
      </c>
      <c r="C15" s="9"/>
      <c r="D15" s="6">
        <v>78.430000000000007</v>
      </c>
      <c r="E15" s="6">
        <f>D15*0.08</f>
        <v>6.2744000000000009</v>
      </c>
      <c r="F15" s="6">
        <v>0.6</v>
      </c>
      <c r="G15" s="6">
        <v>2</v>
      </c>
      <c r="H15" s="7"/>
      <c r="I15" s="11">
        <f t="shared" si="0"/>
        <v>0.1</v>
      </c>
      <c r="J15" s="7">
        <v>0.17</v>
      </c>
    </row>
    <row r="16" spans="1:10" s="4" customFormat="1" x14ac:dyDescent="0.25">
      <c r="A16" s="3" t="s">
        <v>113</v>
      </c>
      <c r="B16" s="9">
        <v>611.32000000000005</v>
      </c>
      <c r="C16" s="9"/>
      <c r="D16" s="6">
        <v>382.5</v>
      </c>
      <c r="E16" s="6">
        <f>D16*0.08</f>
        <v>30.6</v>
      </c>
      <c r="F16" s="6">
        <v>0.6</v>
      </c>
      <c r="G16" s="6">
        <v>2</v>
      </c>
      <c r="H16" s="7"/>
      <c r="I16" s="11">
        <f t="shared" si="0"/>
        <v>0.1</v>
      </c>
      <c r="J16" s="7">
        <v>0.17</v>
      </c>
    </row>
    <row r="17" spans="1:10" s="4" customFormat="1" x14ac:dyDescent="0.25">
      <c r="A17" s="3" t="s">
        <v>67</v>
      </c>
      <c r="B17" s="9"/>
      <c r="C17" s="9"/>
      <c r="D17" s="6"/>
      <c r="E17" s="6"/>
      <c r="F17" s="6"/>
      <c r="G17" s="6"/>
      <c r="H17" s="7"/>
      <c r="I17" s="11">
        <f t="shared" si="0"/>
        <v>0.1</v>
      </c>
      <c r="J17" s="7">
        <f>$J$1</f>
        <v>0.17</v>
      </c>
    </row>
    <row r="18" spans="1:10" s="4" customFormat="1" x14ac:dyDescent="0.25">
      <c r="A18" s="3" t="s">
        <v>68</v>
      </c>
      <c r="B18" s="9" t="e">
        <f>#REF!</f>
        <v>#REF!</v>
      </c>
      <c r="C18" s="9"/>
      <c r="D18" s="6">
        <v>92.7</v>
      </c>
      <c r="E18" s="6">
        <f>D18*0.08</f>
        <v>7.4160000000000004</v>
      </c>
      <c r="F18" s="6">
        <v>0.6</v>
      </c>
      <c r="G18" s="6">
        <v>2</v>
      </c>
      <c r="H18" s="7"/>
      <c r="I18" s="11">
        <f t="shared" si="0"/>
        <v>0.1</v>
      </c>
      <c r="J18" s="7">
        <f>$J$1</f>
        <v>0.17</v>
      </c>
    </row>
    <row r="19" spans="1:10" s="4" customFormat="1" x14ac:dyDescent="0.25">
      <c r="A19" s="3" t="s">
        <v>30</v>
      </c>
      <c r="B19" s="9"/>
      <c r="C19" s="9"/>
      <c r="D19" s="6"/>
      <c r="E19" s="6"/>
      <c r="F19" s="6"/>
      <c r="G19" s="6"/>
      <c r="H19" s="7"/>
      <c r="I19" s="11">
        <f t="shared" si="0"/>
        <v>0.1</v>
      </c>
      <c r="J19" s="7">
        <f>$J$1</f>
        <v>0.17</v>
      </c>
    </row>
    <row r="20" spans="1:10" s="4" customFormat="1" x14ac:dyDescent="0.25">
      <c r="A20" s="3" t="s">
        <v>31</v>
      </c>
      <c r="B20" s="9"/>
      <c r="C20" s="9"/>
      <c r="D20" s="6">
        <v>45</v>
      </c>
      <c r="E20" s="6"/>
      <c r="F20" s="6"/>
      <c r="G20" s="6"/>
      <c r="H20" s="7"/>
      <c r="I20" s="11">
        <f t="shared" si="0"/>
        <v>0.1</v>
      </c>
      <c r="J20" s="7">
        <v>0.17</v>
      </c>
    </row>
    <row r="21" spans="1:10" s="4" customFormat="1" x14ac:dyDescent="0.25">
      <c r="A21" s="3" t="s">
        <v>33</v>
      </c>
      <c r="B21" s="9"/>
      <c r="C21" s="9"/>
      <c r="D21" s="6">
        <v>9.15</v>
      </c>
      <c r="E21" s="6"/>
      <c r="F21" s="6"/>
      <c r="G21" s="6"/>
      <c r="H21" s="7"/>
      <c r="I21" s="11">
        <f t="shared" si="0"/>
        <v>0.1</v>
      </c>
      <c r="J21" s="7">
        <v>0.17</v>
      </c>
    </row>
    <row r="22" spans="1:10" s="4" customFormat="1" x14ac:dyDescent="0.25">
      <c r="A22" s="42" t="s">
        <v>34</v>
      </c>
      <c r="B22" s="9"/>
      <c r="C22" s="9"/>
      <c r="D22" s="6">
        <v>15.39</v>
      </c>
      <c r="E22" s="6"/>
      <c r="F22" s="6">
        <v>1.05</v>
      </c>
      <c r="G22" s="6"/>
      <c r="H22" s="7"/>
      <c r="I22" s="11">
        <v>0.1</v>
      </c>
      <c r="J22" s="7">
        <f>$J$1</f>
        <v>0.17</v>
      </c>
    </row>
    <row r="23" spans="1:10" s="4" customFormat="1" x14ac:dyDescent="0.25">
      <c r="A23" s="42" t="s">
        <v>35</v>
      </c>
      <c r="B23" s="9"/>
      <c r="C23" s="9"/>
      <c r="D23" s="6">
        <v>12.5</v>
      </c>
      <c r="E23" s="6"/>
      <c r="F23" s="6">
        <v>1.05</v>
      </c>
      <c r="G23" s="6"/>
      <c r="H23" s="7"/>
      <c r="I23" s="11">
        <f>$I$1</f>
        <v>0.1</v>
      </c>
      <c r="J23" s="7">
        <f>$J$1</f>
        <v>0.17</v>
      </c>
    </row>
    <row r="24" spans="1:10" s="4" customFormat="1" x14ac:dyDescent="0.25">
      <c r="A24" s="42" t="s">
        <v>36</v>
      </c>
      <c r="B24" s="9"/>
      <c r="C24" s="9"/>
      <c r="D24" s="6">
        <v>13.5</v>
      </c>
      <c r="E24" s="6"/>
      <c r="F24" s="6">
        <v>1.05</v>
      </c>
      <c r="G24" s="6"/>
      <c r="H24" s="7"/>
      <c r="I24" s="11">
        <f>$I$1</f>
        <v>0.1</v>
      </c>
      <c r="J24" s="7">
        <f>$J$1</f>
        <v>0.17</v>
      </c>
    </row>
    <row r="25" spans="1:10" s="4" customFormat="1" x14ac:dyDescent="0.25">
      <c r="A25" s="42" t="s">
        <v>37</v>
      </c>
      <c r="B25" s="9"/>
      <c r="C25" s="9"/>
      <c r="D25" s="6">
        <v>6.45</v>
      </c>
      <c r="E25" s="6"/>
      <c r="F25" s="6">
        <v>1.05</v>
      </c>
      <c r="G25" s="6"/>
      <c r="H25" s="7"/>
      <c r="I25" s="11">
        <f>$I$1</f>
        <v>0.1</v>
      </c>
      <c r="J25" s="7">
        <f>$J$1</f>
        <v>0.17</v>
      </c>
    </row>
    <row r="26" spans="1:10" s="4" customFormat="1" x14ac:dyDescent="0.25">
      <c r="A26" s="42" t="s">
        <v>38</v>
      </c>
      <c r="B26" s="9"/>
      <c r="C26" s="9"/>
      <c r="D26" s="6">
        <v>24</v>
      </c>
      <c r="E26" s="6"/>
      <c r="F26" s="6">
        <v>1.05</v>
      </c>
      <c r="G26" s="6"/>
      <c r="H26" s="7"/>
      <c r="I26" s="11">
        <f>$I$1</f>
        <v>0.1</v>
      </c>
      <c r="J26" s="7">
        <f>$J$1</f>
        <v>0.17</v>
      </c>
    </row>
    <row r="27" spans="1:10" s="4" customFormat="1" x14ac:dyDescent="0.25">
      <c r="A27" s="42" t="s">
        <v>114</v>
      </c>
      <c r="B27" s="9">
        <v>28.9</v>
      </c>
      <c r="C27" s="9"/>
      <c r="D27" s="6">
        <f>18.05</f>
        <v>18.05</v>
      </c>
      <c r="E27" s="6">
        <f>D27*0.08</f>
        <v>1.4440000000000002</v>
      </c>
      <c r="F27" s="6">
        <v>0.5</v>
      </c>
      <c r="G27" s="6">
        <v>0.59</v>
      </c>
      <c r="H27" s="7">
        <v>0</v>
      </c>
      <c r="I27" s="11">
        <v>0</v>
      </c>
      <c r="J27" s="7">
        <v>0.17</v>
      </c>
    </row>
    <row r="28" spans="1:10" s="4" customFormat="1" x14ac:dyDescent="0.25">
      <c r="A28" s="3" t="s">
        <v>39</v>
      </c>
      <c r="B28" s="9"/>
      <c r="C28" s="9"/>
      <c r="D28" s="6">
        <f>5*2.5</f>
        <v>12.5</v>
      </c>
      <c r="E28" s="6"/>
      <c r="F28" s="6"/>
      <c r="G28" s="6"/>
      <c r="H28" s="7"/>
      <c r="I28" s="11">
        <f t="shared" ref="I28:I53" si="2">$I$1</f>
        <v>0.1</v>
      </c>
      <c r="J28" s="7">
        <f t="shared" ref="J28:J53" si="3">$J$1</f>
        <v>0.17</v>
      </c>
    </row>
    <row r="29" spans="1:10" s="4" customFormat="1" x14ac:dyDescent="0.25">
      <c r="A29" s="3" t="s">
        <v>40</v>
      </c>
      <c r="B29" s="9"/>
      <c r="C29" s="9"/>
      <c r="D29" s="6">
        <v>24.35</v>
      </c>
      <c r="E29" s="6"/>
      <c r="F29" s="6"/>
      <c r="G29" s="6"/>
      <c r="H29" s="7"/>
      <c r="I29" s="11">
        <f t="shared" si="2"/>
        <v>0.1</v>
      </c>
      <c r="J29" s="7">
        <f t="shared" si="3"/>
        <v>0.17</v>
      </c>
    </row>
    <row r="30" spans="1:10" s="4" customFormat="1" x14ac:dyDescent="0.25">
      <c r="A30" s="3" t="s">
        <v>41</v>
      </c>
      <c r="B30" s="9"/>
      <c r="C30" s="9"/>
      <c r="D30" s="6">
        <f>5*2.5</f>
        <v>12.5</v>
      </c>
      <c r="E30" s="6"/>
      <c r="F30" s="6"/>
      <c r="G30" s="6"/>
      <c r="H30" s="7"/>
      <c r="I30" s="11">
        <f t="shared" si="2"/>
        <v>0.1</v>
      </c>
      <c r="J30" s="7">
        <f t="shared" si="3"/>
        <v>0.17</v>
      </c>
    </row>
    <row r="31" spans="1:10" s="4" customFormat="1" x14ac:dyDescent="0.25">
      <c r="A31" s="3" t="s">
        <v>42</v>
      </c>
      <c r="B31" s="9"/>
      <c r="C31" s="9"/>
      <c r="D31" s="6">
        <f>3*3.7</f>
        <v>11.100000000000001</v>
      </c>
      <c r="E31" s="6"/>
      <c r="F31" s="6"/>
      <c r="G31" s="6"/>
      <c r="H31" s="7"/>
      <c r="I31" s="11">
        <f t="shared" si="2"/>
        <v>0.1</v>
      </c>
      <c r="J31" s="7">
        <f t="shared" si="3"/>
        <v>0.17</v>
      </c>
    </row>
    <row r="32" spans="1:10" s="4" customFormat="1" x14ac:dyDescent="0.25">
      <c r="A32" s="3" t="s">
        <v>69</v>
      </c>
      <c r="B32" s="9"/>
      <c r="C32" s="9"/>
      <c r="D32" s="6">
        <f>D9+(D34/2)</f>
        <v>18.3</v>
      </c>
      <c r="E32" s="6"/>
      <c r="F32" s="6"/>
      <c r="G32" s="6"/>
      <c r="H32" s="7"/>
      <c r="I32" s="11">
        <f t="shared" si="2"/>
        <v>0.1</v>
      </c>
      <c r="J32" s="7">
        <f t="shared" si="3"/>
        <v>0.17</v>
      </c>
    </row>
    <row r="33" spans="1:10" s="4" customFormat="1" x14ac:dyDescent="0.25">
      <c r="A33" s="3" t="s">
        <v>70</v>
      </c>
      <c r="B33" s="9"/>
      <c r="C33" s="9"/>
      <c r="D33" s="6">
        <f>D7+D35</f>
        <v>15.9</v>
      </c>
      <c r="E33" s="6"/>
      <c r="F33" s="6"/>
      <c r="G33" s="6"/>
      <c r="H33" s="7"/>
      <c r="I33" s="11">
        <f t="shared" si="2"/>
        <v>0.1</v>
      </c>
      <c r="J33" s="7">
        <f t="shared" si="3"/>
        <v>0.17</v>
      </c>
    </row>
    <row r="34" spans="1:10" s="4" customFormat="1" x14ac:dyDescent="0.25">
      <c r="A34" s="3" t="s">
        <v>45</v>
      </c>
      <c r="B34" s="9"/>
      <c r="C34" s="9"/>
      <c r="D34" s="6">
        <f>2*4.3</f>
        <v>8.6</v>
      </c>
      <c r="E34" s="6"/>
      <c r="F34" s="6"/>
      <c r="G34" s="6"/>
      <c r="H34" s="7"/>
      <c r="I34" s="11">
        <f t="shared" si="2"/>
        <v>0.1</v>
      </c>
      <c r="J34" s="7">
        <f t="shared" si="3"/>
        <v>0.17</v>
      </c>
    </row>
    <row r="35" spans="1:10" s="4" customFormat="1" x14ac:dyDescent="0.25">
      <c r="A35" s="3" t="s">
        <v>46</v>
      </c>
      <c r="B35" s="9"/>
      <c r="C35" s="9"/>
      <c r="D35" s="6">
        <v>7.4</v>
      </c>
      <c r="E35" s="6"/>
      <c r="F35" s="6"/>
      <c r="G35" s="6"/>
      <c r="H35" s="7"/>
      <c r="I35" s="11">
        <f t="shared" si="2"/>
        <v>0.1</v>
      </c>
      <c r="J35" s="7">
        <f t="shared" si="3"/>
        <v>0.17</v>
      </c>
    </row>
    <row r="36" spans="1:10" s="4" customFormat="1" x14ac:dyDescent="0.25">
      <c r="A36" s="5" t="s">
        <v>47</v>
      </c>
      <c r="B36" s="9"/>
      <c r="C36" s="9"/>
      <c r="D36" s="6">
        <v>7.39</v>
      </c>
      <c r="E36" s="6"/>
      <c r="F36" s="6"/>
      <c r="G36" s="6"/>
      <c r="H36" s="7"/>
      <c r="I36" s="11">
        <f t="shared" si="2"/>
        <v>0.1</v>
      </c>
      <c r="J36" s="7">
        <f t="shared" si="3"/>
        <v>0.17</v>
      </c>
    </row>
    <row r="37" spans="1:10" s="4" customFormat="1" x14ac:dyDescent="0.25">
      <c r="A37" s="5" t="s">
        <v>48</v>
      </c>
      <c r="B37" s="9"/>
      <c r="C37" s="9"/>
      <c r="D37" s="6">
        <v>8.36</v>
      </c>
      <c r="E37" s="6"/>
      <c r="F37" s="6"/>
      <c r="G37" s="6"/>
      <c r="H37" s="7"/>
      <c r="I37" s="11">
        <f t="shared" si="2"/>
        <v>0.1</v>
      </c>
      <c r="J37" s="7">
        <f t="shared" si="3"/>
        <v>0.17</v>
      </c>
    </row>
    <row r="38" spans="1:10" s="4" customFormat="1" x14ac:dyDescent="0.25">
      <c r="A38" s="5" t="s">
        <v>49</v>
      </c>
      <c r="B38" s="9"/>
      <c r="C38" s="9"/>
      <c r="D38" s="6">
        <v>7.39</v>
      </c>
      <c r="E38" s="6"/>
      <c r="F38" s="6"/>
      <c r="G38" s="6"/>
      <c r="H38" s="7"/>
      <c r="I38" s="11">
        <f t="shared" si="2"/>
        <v>0.1</v>
      </c>
      <c r="J38" s="7">
        <f t="shared" si="3"/>
        <v>0.17</v>
      </c>
    </row>
    <row r="39" spans="1:10" s="4" customFormat="1" x14ac:dyDescent="0.25">
      <c r="A39" s="5" t="s">
        <v>50</v>
      </c>
      <c r="B39" s="9"/>
      <c r="C39" s="9"/>
      <c r="D39" s="6">
        <v>10.09</v>
      </c>
      <c r="E39" s="6"/>
      <c r="F39" s="6"/>
      <c r="G39" s="6"/>
      <c r="H39" s="7"/>
      <c r="I39" s="11">
        <f t="shared" si="2"/>
        <v>0.1</v>
      </c>
      <c r="J39" s="7">
        <f t="shared" si="3"/>
        <v>0.17</v>
      </c>
    </row>
    <row r="40" spans="1:10" s="4" customFormat="1" x14ac:dyDescent="0.25">
      <c r="A40" s="5" t="s">
        <v>51</v>
      </c>
      <c r="B40" s="9"/>
      <c r="C40" s="9"/>
      <c r="D40" s="6">
        <v>9.1300000000000008</v>
      </c>
      <c r="E40" s="6"/>
      <c r="F40" s="6"/>
      <c r="G40" s="6"/>
      <c r="H40" s="7"/>
      <c r="I40" s="11">
        <f t="shared" si="2"/>
        <v>0.1</v>
      </c>
      <c r="J40" s="7">
        <f t="shared" si="3"/>
        <v>0.17</v>
      </c>
    </row>
    <row r="41" spans="1:10" s="4" customFormat="1" x14ac:dyDescent="0.25">
      <c r="A41" s="5" t="s">
        <v>71</v>
      </c>
      <c r="B41" s="9"/>
      <c r="C41" s="9"/>
      <c r="D41" s="6">
        <v>12.7</v>
      </c>
      <c r="E41" s="6"/>
      <c r="F41" s="6"/>
      <c r="G41" s="6"/>
      <c r="H41" s="7"/>
      <c r="I41" s="11">
        <f t="shared" si="2"/>
        <v>0.1</v>
      </c>
      <c r="J41" s="7">
        <f t="shared" si="3"/>
        <v>0.17</v>
      </c>
    </row>
    <row r="42" spans="1:10" s="4" customFormat="1" x14ac:dyDescent="0.25">
      <c r="A42" s="5" t="s">
        <v>72</v>
      </c>
      <c r="B42" s="9"/>
      <c r="C42" s="9"/>
      <c r="D42" s="6">
        <f>52.02/2</f>
        <v>26.01</v>
      </c>
      <c r="E42" s="6"/>
      <c r="F42" s="6"/>
      <c r="G42" s="6"/>
      <c r="H42" s="7"/>
      <c r="I42" s="11">
        <f t="shared" si="2"/>
        <v>0.1</v>
      </c>
      <c r="J42" s="7">
        <f t="shared" si="3"/>
        <v>0.17</v>
      </c>
    </row>
    <row r="43" spans="1:10" s="4" customFormat="1" x14ac:dyDescent="0.25">
      <c r="A43" s="5" t="s">
        <v>73</v>
      </c>
      <c r="B43" s="9"/>
      <c r="C43" s="9"/>
      <c r="D43" s="6">
        <f>52.02/2</f>
        <v>26.01</v>
      </c>
      <c r="E43" s="6"/>
      <c r="F43" s="6"/>
      <c r="G43" s="6"/>
      <c r="H43" s="7"/>
      <c r="I43" s="11">
        <f t="shared" si="2"/>
        <v>0.1</v>
      </c>
      <c r="J43" s="7">
        <f t="shared" si="3"/>
        <v>0.17</v>
      </c>
    </row>
    <row r="44" spans="1:10" s="4" customFormat="1" x14ac:dyDescent="0.25">
      <c r="A44" s="5" t="s">
        <v>74</v>
      </c>
      <c r="B44" s="9"/>
      <c r="C44" s="9"/>
      <c r="D44" s="6">
        <f>52.02/2</f>
        <v>26.01</v>
      </c>
      <c r="E44" s="6"/>
      <c r="F44" s="6"/>
      <c r="G44" s="6"/>
      <c r="H44" s="7"/>
      <c r="I44" s="11">
        <f t="shared" si="2"/>
        <v>0.1</v>
      </c>
      <c r="J44" s="7">
        <f t="shared" si="3"/>
        <v>0.17</v>
      </c>
    </row>
    <row r="45" spans="1:10" x14ac:dyDescent="0.25">
      <c r="A45" s="5" t="s">
        <v>75</v>
      </c>
      <c r="B45" s="9"/>
      <c r="C45" s="9"/>
      <c r="D45" s="6">
        <f>272.16/4</f>
        <v>68.040000000000006</v>
      </c>
      <c r="E45" s="6"/>
      <c r="F45" s="6"/>
      <c r="G45" s="6"/>
      <c r="H45" s="7"/>
      <c r="I45" s="11">
        <f t="shared" si="2"/>
        <v>0.1</v>
      </c>
      <c r="J45" s="7">
        <f t="shared" si="3"/>
        <v>0.17</v>
      </c>
    </row>
    <row r="46" spans="1:10" x14ac:dyDescent="0.25">
      <c r="A46" s="5" t="s">
        <v>76</v>
      </c>
      <c r="B46" s="9"/>
      <c r="C46" s="9"/>
      <c r="D46" s="6">
        <f>272.16/4</f>
        <v>68.040000000000006</v>
      </c>
      <c r="E46" s="6"/>
      <c r="F46" s="6"/>
      <c r="G46" s="6"/>
      <c r="H46" s="7"/>
      <c r="I46" s="11">
        <f t="shared" si="2"/>
        <v>0.1</v>
      </c>
      <c r="J46" s="7">
        <f t="shared" si="3"/>
        <v>0.17</v>
      </c>
    </row>
    <row r="47" spans="1:10" x14ac:dyDescent="0.25">
      <c r="A47" s="5" t="s">
        <v>77</v>
      </c>
      <c r="B47" s="9"/>
      <c r="C47" s="9"/>
      <c r="D47" s="6">
        <f>272.16/4</f>
        <v>68.040000000000006</v>
      </c>
      <c r="E47" s="6"/>
      <c r="F47" s="6"/>
      <c r="G47" s="6"/>
      <c r="H47" s="7"/>
      <c r="I47" s="11">
        <f t="shared" si="2"/>
        <v>0.1</v>
      </c>
      <c r="J47" s="7">
        <f t="shared" si="3"/>
        <v>0.17</v>
      </c>
    </row>
    <row r="48" spans="1:10" x14ac:dyDescent="0.25">
      <c r="A48" s="5" t="s">
        <v>78</v>
      </c>
      <c r="B48" s="9"/>
      <c r="C48" s="9"/>
      <c r="D48" s="6">
        <f>63.36/2</f>
        <v>31.68</v>
      </c>
      <c r="E48" s="6"/>
      <c r="F48" s="6"/>
      <c r="G48" s="6"/>
      <c r="H48" s="7"/>
      <c r="I48" s="11">
        <f t="shared" si="2"/>
        <v>0.1</v>
      </c>
      <c r="J48" s="7">
        <f t="shared" si="3"/>
        <v>0.17</v>
      </c>
    </row>
    <row r="49" spans="1:10" s="4" customFormat="1" x14ac:dyDescent="0.25">
      <c r="A49" s="5" t="s">
        <v>79</v>
      </c>
      <c r="B49" s="9"/>
      <c r="C49" s="9"/>
      <c r="D49" s="6">
        <f>63.36/2</f>
        <v>31.68</v>
      </c>
      <c r="E49" s="6"/>
      <c r="F49" s="6"/>
      <c r="G49" s="6"/>
      <c r="H49" s="7"/>
      <c r="I49" s="11">
        <f t="shared" si="2"/>
        <v>0.1</v>
      </c>
      <c r="J49" s="7">
        <f t="shared" si="3"/>
        <v>0.17</v>
      </c>
    </row>
    <row r="50" spans="1:10" s="4" customFormat="1" x14ac:dyDescent="0.25">
      <c r="A50" s="5" t="s">
        <v>80</v>
      </c>
      <c r="B50" s="9"/>
      <c r="C50" s="9"/>
      <c r="D50" s="6">
        <f>63.36/2</f>
        <v>31.68</v>
      </c>
      <c r="E50" s="6"/>
      <c r="F50" s="6"/>
      <c r="G50" s="6"/>
      <c r="H50" s="7"/>
      <c r="I50" s="11">
        <f t="shared" si="2"/>
        <v>0.1</v>
      </c>
      <c r="J50" s="7">
        <f t="shared" si="3"/>
        <v>0.17</v>
      </c>
    </row>
    <row r="51" spans="1:10" s="4" customFormat="1" x14ac:dyDescent="0.25">
      <c r="A51" s="5" t="s">
        <v>81</v>
      </c>
      <c r="B51" s="9"/>
      <c r="C51" s="9"/>
      <c r="D51" s="6">
        <f>79.49/2</f>
        <v>39.744999999999997</v>
      </c>
      <c r="E51" s="6"/>
      <c r="F51" s="6"/>
      <c r="G51" s="6"/>
      <c r="H51" s="7"/>
      <c r="I51" s="11">
        <f t="shared" si="2"/>
        <v>0.1</v>
      </c>
      <c r="J51" s="7">
        <f t="shared" si="3"/>
        <v>0.17</v>
      </c>
    </row>
    <row r="52" spans="1:10" s="4" customFormat="1" x14ac:dyDescent="0.25">
      <c r="A52" s="5" t="s">
        <v>82</v>
      </c>
      <c r="B52" s="9"/>
      <c r="C52" s="9"/>
      <c r="D52" s="6">
        <f>79.49/2</f>
        <v>39.744999999999997</v>
      </c>
      <c r="E52" s="6"/>
      <c r="F52" s="6"/>
      <c r="G52" s="6"/>
      <c r="H52" s="7"/>
      <c r="I52" s="11">
        <f t="shared" si="2"/>
        <v>0.1</v>
      </c>
      <c r="J52" s="7">
        <f t="shared" si="3"/>
        <v>0.17</v>
      </c>
    </row>
    <row r="53" spans="1:10" s="4" customFormat="1" x14ac:dyDescent="0.25">
      <c r="A53" s="5" t="s">
        <v>83</v>
      </c>
      <c r="B53" s="9"/>
      <c r="C53" s="9"/>
      <c r="D53" s="6">
        <f>79.49/2</f>
        <v>39.744999999999997</v>
      </c>
      <c r="E53" s="6"/>
      <c r="F53" s="6"/>
      <c r="G53" s="6"/>
      <c r="H53" s="7"/>
      <c r="I53" s="11">
        <f t="shared" si="2"/>
        <v>0.1</v>
      </c>
      <c r="J53" s="7">
        <f t="shared" si="3"/>
        <v>0.17</v>
      </c>
    </row>
    <row r="54" spans="1:10" s="4" customFormat="1" x14ac:dyDescent="0.25">
      <c r="A54"/>
      <c r="B54"/>
      <c r="C54"/>
      <c r="D54"/>
      <c r="E54"/>
      <c r="F54"/>
      <c r="G54"/>
      <c r="H54"/>
      <c r="I54"/>
      <c r="J54"/>
    </row>
    <row r="55" spans="1:10" s="4" customFormat="1" x14ac:dyDescent="0.25">
      <c r="A55"/>
      <c r="B55"/>
      <c r="C55"/>
      <c r="D55"/>
      <c r="E55"/>
      <c r="F55"/>
      <c r="G55"/>
      <c r="H55"/>
      <c r="I55"/>
      <c r="J55"/>
    </row>
    <row r="56" spans="1:10" s="4" customFormat="1" x14ac:dyDescent="0.25">
      <c r="A56"/>
      <c r="B56"/>
      <c r="C56"/>
      <c r="D56"/>
      <c r="E56"/>
      <c r="F56"/>
      <c r="G56"/>
      <c r="H56"/>
      <c r="I56"/>
      <c r="J56"/>
    </row>
    <row r="69" spans="1:1" x14ac:dyDescent="0.25">
      <c r="A69" s="44"/>
    </row>
  </sheetData>
  <autoFilter ref="A2:J69" xr:uid="{32ADF463-67BE-4B40-B1D3-F7FDD3169699}"/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981075</xdr:colOff>
                <xdr:row>68</xdr:row>
                <xdr:rowOff>0</xdr:rowOff>
              </from>
              <to>
                <xdr:col>0</xdr:col>
                <xdr:colOff>1238250</xdr:colOff>
                <xdr:row>69</xdr:row>
                <xdr:rowOff>76200</xdr:rowOff>
              </to>
            </anchor>
          </controlPr>
        </control>
      </mc:Choice>
      <mc:Fallback>
        <control shapeId="9217" r:id="rId3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25DD-8A83-447B-8670-F203B3F15772}">
  <dimension ref="A1:Y49"/>
  <sheetViews>
    <sheetView workbookViewId="0">
      <pane xSplit="4" ySplit="2" topLeftCell="M19" activePane="bottomRight" state="frozen"/>
      <selection pane="topRight" activeCell="E1" sqref="E1"/>
      <selection pane="bottomLeft" activeCell="A3" sqref="A3"/>
      <selection pane="bottomRight" activeCell="N19" sqref="N19"/>
    </sheetView>
  </sheetViews>
  <sheetFormatPr defaultRowHeight="15" x14ac:dyDescent="0.25"/>
  <cols>
    <col min="1" max="1" width="12.5703125" customWidth="1"/>
    <col min="2" max="2" width="23.5703125" customWidth="1"/>
    <col min="3" max="3" width="12.28515625" customWidth="1"/>
    <col min="4" max="4" width="8.85546875" customWidth="1"/>
    <col min="5" max="7" width="9.140625" customWidth="1"/>
    <col min="8" max="8" width="11" customWidth="1"/>
    <col min="9" max="11" width="10.85546875" customWidth="1"/>
    <col min="12" max="12" width="10.85546875" style="6" customWidth="1"/>
    <col min="13" max="13" width="10.85546875" customWidth="1"/>
    <col min="14" max="14" width="12.28515625" customWidth="1"/>
    <col min="15" max="15" width="10.85546875" customWidth="1"/>
    <col min="16" max="16" width="14.7109375" customWidth="1"/>
    <col min="17" max="17" width="11.42578125" customWidth="1"/>
    <col min="18" max="18" width="12.7109375" customWidth="1"/>
    <col min="19" max="22" width="13" customWidth="1"/>
    <col min="23" max="23" width="15.85546875" customWidth="1"/>
    <col min="24" max="24" width="8.85546875" bestFit="1" customWidth="1"/>
    <col min="16382" max="16382" width="9.140625" bestFit="1" customWidth="1"/>
    <col min="16383" max="16384" width="9.140625" customWidth="1"/>
  </cols>
  <sheetData>
    <row r="1" spans="1:25" ht="106.5" customHeight="1" x14ac:dyDescent="0.25">
      <c r="A1" s="24"/>
      <c r="B1" s="25">
        <v>45824</v>
      </c>
      <c r="C1" s="24"/>
      <c r="D1" s="24"/>
      <c r="E1" s="24"/>
      <c r="F1" s="41">
        <v>0.08</v>
      </c>
      <c r="G1" s="24"/>
      <c r="H1" s="24"/>
      <c r="I1" s="24"/>
      <c r="J1" s="24"/>
      <c r="K1" s="24"/>
      <c r="L1" s="24"/>
      <c r="M1" s="41">
        <v>0.1</v>
      </c>
      <c r="N1" s="24"/>
      <c r="O1" s="41">
        <v>0.05</v>
      </c>
      <c r="P1" s="41">
        <v>0.17</v>
      </c>
      <c r="Q1" s="24"/>
      <c r="R1" s="24"/>
      <c r="S1" s="41">
        <v>0.1</v>
      </c>
      <c r="T1" s="41"/>
      <c r="U1" s="41"/>
      <c r="V1" s="41"/>
      <c r="W1" s="24"/>
    </row>
    <row r="2" spans="1:25" s="12" customFormat="1" ht="60" x14ac:dyDescent="0.25">
      <c r="A2" s="13" t="s">
        <v>58</v>
      </c>
      <c r="B2" s="13" t="s">
        <v>3</v>
      </c>
      <c r="C2" s="13" t="s">
        <v>5</v>
      </c>
      <c r="D2" s="13" t="s">
        <v>6</v>
      </c>
      <c r="E2" s="13" t="s">
        <v>7</v>
      </c>
      <c r="F2" s="13" t="s">
        <v>59</v>
      </c>
      <c r="G2" s="13" t="s">
        <v>9</v>
      </c>
      <c r="H2" s="13" t="s">
        <v>10</v>
      </c>
      <c r="I2" s="13" t="s">
        <v>11</v>
      </c>
      <c r="J2" s="13" t="s">
        <v>60</v>
      </c>
      <c r="K2" s="13" t="s">
        <v>61</v>
      </c>
      <c r="L2" s="13" t="s">
        <v>62</v>
      </c>
      <c r="M2" s="13" t="s">
        <v>12</v>
      </c>
      <c r="N2" s="13" t="s">
        <v>13</v>
      </c>
      <c r="O2" s="16" t="s">
        <v>14</v>
      </c>
      <c r="P2" s="13" t="s">
        <v>63</v>
      </c>
      <c r="Q2" s="15" t="s">
        <v>15</v>
      </c>
      <c r="R2" s="15" t="s">
        <v>16</v>
      </c>
      <c r="S2" s="13" t="s">
        <v>115</v>
      </c>
      <c r="T2" s="13" t="s">
        <v>116</v>
      </c>
      <c r="U2" s="13" t="s">
        <v>117</v>
      </c>
      <c r="V2" s="13" t="s">
        <v>118</v>
      </c>
      <c r="W2" s="13" t="s">
        <v>117</v>
      </c>
      <c r="X2" s="12" t="s">
        <v>119</v>
      </c>
      <c r="Y2" s="12" t="s">
        <v>119</v>
      </c>
    </row>
    <row r="3" spans="1:25" s="4" customFormat="1" x14ac:dyDescent="0.25">
      <c r="A3" s="5"/>
      <c r="B3" s="5" t="s">
        <v>18</v>
      </c>
      <c r="C3" s="9">
        <f t="shared" ref="C3:C23" si="0">R3</f>
        <v>18.407407407407412</v>
      </c>
      <c r="D3" s="14">
        <f t="shared" ref="D3:D13" si="1">Q3/C3</f>
        <v>0</v>
      </c>
      <c r="E3" s="6">
        <v>8</v>
      </c>
      <c r="F3" s="6">
        <f t="shared" ref="F3:F15" si="2">E3*$F$1</f>
        <v>0.64</v>
      </c>
      <c r="G3" s="6">
        <v>0</v>
      </c>
      <c r="H3" s="6">
        <v>0.3</v>
      </c>
      <c r="I3" s="7">
        <v>0.14000000000000001</v>
      </c>
      <c r="J3" s="6">
        <v>0</v>
      </c>
      <c r="K3" s="6">
        <v>1</v>
      </c>
      <c r="L3" s="6">
        <v>0</v>
      </c>
      <c r="M3" s="11">
        <f t="shared" ref="M3:M15" si="3">$M$1</f>
        <v>0.1</v>
      </c>
      <c r="N3" s="5">
        <v>0</v>
      </c>
      <c r="O3" s="11">
        <f t="shared" ref="O3:O15" si="4">$O$1</f>
        <v>0.05</v>
      </c>
      <c r="P3" s="7">
        <f t="shared" ref="P3:P25" si="5">$P$1</f>
        <v>0.17</v>
      </c>
      <c r="Q3" s="6">
        <f t="shared" ref="Q3:Q13" si="6">C3-R3</f>
        <v>0</v>
      </c>
      <c r="R3" s="6">
        <f t="shared" ref="R3:R15" si="7">(E3+F3+J3+K3+G3+H3 - L3)/(1 - (I3 + M3 + O3 + P3 + N3))</f>
        <v>18.407407407407412</v>
      </c>
      <c r="S3" s="40">
        <f t="shared" ref="S3:S15" si="8">R3*(1+$S$1)</f>
        <v>20.248148148148154</v>
      </c>
      <c r="T3" s="4">
        <v>21</v>
      </c>
      <c r="U3" s="40">
        <f t="shared" ref="U3:U49" si="9">T3*0.03</f>
        <v>0.63</v>
      </c>
      <c r="V3" s="40">
        <f t="shared" ref="V3:V49" si="10">0.08*E3</f>
        <v>0.64</v>
      </c>
      <c r="W3" s="6">
        <f t="shared" ref="W3:W49" si="11">S3*0.03</f>
        <v>0.60744444444444456</v>
      </c>
      <c r="X3" s="7">
        <f t="shared" ref="X3:X49" si="12">IF(S3=0,"",W3/E3)</f>
        <v>7.5930555555555571E-2</v>
      </c>
    </row>
    <row r="4" spans="1:25" s="4" customFormat="1" x14ac:dyDescent="0.25">
      <c r="A4" s="5" t="s">
        <v>64</v>
      </c>
      <c r="B4" s="5" t="s">
        <v>19</v>
      </c>
      <c r="C4" s="9">
        <f t="shared" si="0"/>
        <v>18.407407407407412</v>
      </c>
      <c r="D4" s="14">
        <f t="shared" si="1"/>
        <v>0</v>
      </c>
      <c r="E4" s="6">
        <v>8</v>
      </c>
      <c r="F4" s="6">
        <f t="shared" si="2"/>
        <v>0.64</v>
      </c>
      <c r="G4" s="6">
        <v>0</v>
      </c>
      <c r="H4" s="6">
        <v>0.3</v>
      </c>
      <c r="I4" s="7">
        <v>0.14000000000000001</v>
      </c>
      <c r="J4" s="6">
        <v>0</v>
      </c>
      <c r="K4" s="6">
        <v>1</v>
      </c>
      <c r="L4" s="6">
        <v>0</v>
      </c>
      <c r="M4" s="11">
        <f t="shared" si="3"/>
        <v>0.1</v>
      </c>
      <c r="N4" s="5">
        <v>0</v>
      </c>
      <c r="O4" s="11">
        <f t="shared" si="4"/>
        <v>0.05</v>
      </c>
      <c r="P4" s="7">
        <f t="shared" si="5"/>
        <v>0.17</v>
      </c>
      <c r="Q4" s="6">
        <f t="shared" si="6"/>
        <v>0</v>
      </c>
      <c r="R4" s="6">
        <f t="shared" si="7"/>
        <v>18.407407407407412</v>
      </c>
      <c r="S4" s="40">
        <f t="shared" si="8"/>
        <v>20.248148148148154</v>
      </c>
      <c r="T4" s="4">
        <v>21</v>
      </c>
      <c r="U4" s="40">
        <f t="shared" si="9"/>
        <v>0.63</v>
      </c>
      <c r="V4" s="40">
        <f t="shared" si="10"/>
        <v>0.64</v>
      </c>
      <c r="W4" s="6">
        <f t="shared" si="11"/>
        <v>0.60744444444444456</v>
      </c>
      <c r="X4" s="7">
        <f t="shared" si="12"/>
        <v>7.5930555555555571E-2</v>
      </c>
    </row>
    <row r="5" spans="1:25" s="4" customFormat="1" x14ac:dyDescent="0.25">
      <c r="A5" s="5" t="s">
        <v>65</v>
      </c>
      <c r="B5" s="5" t="s">
        <v>19</v>
      </c>
      <c r="C5" s="9">
        <f t="shared" si="0"/>
        <v>18.407407407407412</v>
      </c>
      <c r="D5" s="14">
        <f t="shared" si="1"/>
        <v>0</v>
      </c>
      <c r="E5" s="6">
        <v>8</v>
      </c>
      <c r="F5" s="6">
        <f t="shared" si="2"/>
        <v>0.64</v>
      </c>
      <c r="G5" s="6">
        <v>0</v>
      </c>
      <c r="H5" s="6">
        <v>0.3</v>
      </c>
      <c r="I5" s="7">
        <v>0.14000000000000001</v>
      </c>
      <c r="J5" s="6">
        <v>0</v>
      </c>
      <c r="K5" s="6">
        <v>1</v>
      </c>
      <c r="L5" s="6">
        <v>0</v>
      </c>
      <c r="M5" s="11">
        <f t="shared" si="3"/>
        <v>0.1</v>
      </c>
      <c r="N5" s="5">
        <v>0</v>
      </c>
      <c r="O5" s="11">
        <f t="shared" si="4"/>
        <v>0.05</v>
      </c>
      <c r="P5" s="7">
        <f t="shared" si="5"/>
        <v>0.17</v>
      </c>
      <c r="Q5" s="6">
        <f t="shared" si="6"/>
        <v>0</v>
      </c>
      <c r="R5" s="6">
        <f t="shared" si="7"/>
        <v>18.407407407407412</v>
      </c>
      <c r="S5" s="40">
        <f t="shared" si="8"/>
        <v>20.248148148148154</v>
      </c>
      <c r="T5" s="40">
        <v>21</v>
      </c>
      <c r="U5" s="40">
        <f t="shared" si="9"/>
        <v>0.63</v>
      </c>
      <c r="V5" s="40">
        <f t="shared" si="10"/>
        <v>0.64</v>
      </c>
      <c r="W5" s="6">
        <f t="shared" si="11"/>
        <v>0.60744444444444456</v>
      </c>
      <c r="X5" s="7">
        <f t="shared" si="12"/>
        <v>7.5930555555555571E-2</v>
      </c>
    </row>
    <row r="6" spans="1:25" s="4" customFormat="1" x14ac:dyDescent="0.25">
      <c r="A6" s="5"/>
      <c r="B6" s="5" t="s">
        <v>20</v>
      </c>
      <c r="C6" s="9">
        <f t="shared" si="0"/>
        <v>18.407407407407412</v>
      </c>
      <c r="D6" s="14">
        <f t="shared" si="1"/>
        <v>0</v>
      </c>
      <c r="E6" s="6">
        <v>8</v>
      </c>
      <c r="F6" s="6">
        <f t="shared" si="2"/>
        <v>0.64</v>
      </c>
      <c r="G6" s="6">
        <v>0</v>
      </c>
      <c r="H6" s="6">
        <v>0.3</v>
      </c>
      <c r="I6" s="7">
        <v>0.14000000000000001</v>
      </c>
      <c r="J6" s="6">
        <v>0</v>
      </c>
      <c r="K6" s="6">
        <v>1</v>
      </c>
      <c r="L6" s="6">
        <v>0</v>
      </c>
      <c r="M6" s="11">
        <f t="shared" si="3"/>
        <v>0.1</v>
      </c>
      <c r="N6" s="5">
        <v>0</v>
      </c>
      <c r="O6" s="11">
        <f t="shared" si="4"/>
        <v>0.05</v>
      </c>
      <c r="P6" s="7">
        <f t="shared" si="5"/>
        <v>0.17</v>
      </c>
      <c r="Q6" s="6">
        <f t="shared" si="6"/>
        <v>0</v>
      </c>
      <c r="R6" s="6">
        <f t="shared" si="7"/>
        <v>18.407407407407412</v>
      </c>
      <c r="S6" s="40">
        <f t="shared" si="8"/>
        <v>20.248148148148154</v>
      </c>
      <c r="T6" s="40">
        <v>21</v>
      </c>
      <c r="U6" s="40">
        <f t="shared" si="9"/>
        <v>0.63</v>
      </c>
      <c r="V6" s="40">
        <f t="shared" si="10"/>
        <v>0.64</v>
      </c>
      <c r="W6" s="6">
        <f t="shared" si="11"/>
        <v>0.60744444444444456</v>
      </c>
      <c r="X6" s="7">
        <f t="shared" si="12"/>
        <v>7.5930555555555571E-2</v>
      </c>
    </row>
    <row r="7" spans="1:25" s="4" customFormat="1" x14ac:dyDescent="0.25">
      <c r="A7" s="5"/>
      <c r="B7" s="5" t="s">
        <v>21</v>
      </c>
      <c r="C7" s="9">
        <f t="shared" si="0"/>
        <v>22.407407407407412</v>
      </c>
      <c r="D7" s="14">
        <f t="shared" si="1"/>
        <v>0</v>
      </c>
      <c r="E7" s="6">
        <v>10</v>
      </c>
      <c r="F7" s="6">
        <f t="shared" si="2"/>
        <v>0.8</v>
      </c>
      <c r="G7" s="6">
        <v>0</v>
      </c>
      <c r="H7" s="6">
        <v>0.3</v>
      </c>
      <c r="I7" s="7">
        <v>0.14000000000000001</v>
      </c>
      <c r="J7" s="6">
        <v>0</v>
      </c>
      <c r="K7" s="6">
        <v>1</v>
      </c>
      <c r="L7" s="6">
        <v>0</v>
      </c>
      <c r="M7" s="11">
        <f t="shared" si="3"/>
        <v>0.1</v>
      </c>
      <c r="N7" s="5">
        <v>0</v>
      </c>
      <c r="O7" s="11">
        <f t="shared" si="4"/>
        <v>0.05</v>
      </c>
      <c r="P7" s="7">
        <f t="shared" si="5"/>
        <v>0.17</v>
      </c>
      <c r="Q7" s="6">
        <f t="shared" si="6"/>
        <v>0</v>
      </c>
      <c r="R7" s="6">
        <f t="shared" si="7"/>
        <v>22.407407407407412</v>
      </c>
      <c r="S7" s="40">
        <f t="shared" si="8"/>
        <v>24.648148148148156</v>
      </c>
      <c r="T7" s="40">
        <v>25</v>
      </c>
      <c r="U7" s="40">
        <f t="shared" si="9"/>
        <v>0.75</v>
      </c>
      <c r="V7" s="40">
        <f t="shared" si="10"/>
        <v>0.8</v>
      </c>
      <c r="W7" s="6">
        <f t="shared" si="11"/>
        <v>0.73944444444444468</v>
      </c>
      <c r="X7" s="7">
        <f t="shared" si="12"/>
        <v>7.3944444444444465E-2</v>
      </c>
    </row>
    <row r="8" spans="1:25" s="4" customFormat="1" x14ac:dyDescent="0.25">
      <c r="A8" s="5" t="s">
        <v>64</v>
      </c>
      <c r="B8" s="5" t="s">
        <v>22</v>
      </c>
      <c r="C8" s="9">
        <f t="shared" si="0"/>
        <v>19.407407407407412</v>
      </c>
      <c r="D8" s="14">
        <f t="shared" si="1"/>
        <v>0</v>
      </c>
      <c r="E8" s="6">
        <v>8.5</v>
      </c>
      <c r="F8" s="6">
        <f t="shared" si="2"/>
        <v>0.68</v>
      </c>
      <c r="G8" s="6">
        <v>0</v>
      </c>
      <c r="H8" s="6">
        <v>0.3</v>
      </c>
      <c r="I8" s="7">
        <v>0.14000000000000001</v>
      </c>
      <c r="J8" s="6">
        <v>0</v>
      </c>
      <c r="K8" s="6">
        <v>1</v>
      </c>
      <c r="L8" s="6">
        <v>0</v>
      </c>
      <c r="M8" s="11">
        <f t="shared" si="3"/>
        <v>0.1</v>
      </c>
      <c r="N8" s="5">
        <v>0</v>
      </c>
      <c r="O8" s="11">
        <f t="shared" si="4"/>
        <v>0.05</v>
      </c>
      <c r="P8" s="7">
        <f t="shared" si="5"/>
        <v>0.17</v>
      </c>
      <c r="Q8" s="6">
        <f t="shared" si="6"/>
        <v>0</v>
      </c>
      <c r="R8" s="6">
        <f t="shared" si="7"/>
        <v>19.407407407407412</v>
      </c>
      <c r="S8" s="40">
        <f t="shared" si="8"/>
        <v>21.348148148148155</v>
      </c>
      <c r="T8" s="4">
        <v>24</v>
      </c>
      <c r="U8" s="40">
        <f t="shared" si="9"/>
        <v>0.72</v>
      </c>
      <c r="V8" s="40">
        <f t="shared" si="10"/>
        <v>0.68</v>
      </c>
      <c r="W8" s="6">
        <f t="shared" si="11"/>
        <v>0.64044444444444459</v>
      </c>
      <c r="X8" s="7">
        <f t="shared" si="12"/>
        <v>7.5346405228758184E-2</v>
      </c>
    </row>
    <row r="9" spans="1:25" s="4" customFormat="1" x14ac:dyDescent="0.25">
      <c r="A9" s="5" t="s">
        <v>65</v>
      </c>
      <c r="B9" s="5" t="s">
        <v>22</v>
      </c>
      <c r="C9" s="9">
        <f t="shared" si="0"/>
        <v>19.407407407407412</v>
      </c>
      <c r="D9" s="14">
        <f t="shared" si="1"/>
        <v>0</v>
      </c>
      <c r="E9" s="6">
        <v>8.5</v>
      </c>
      <c r="F9" s="6">
        <f t="shared" si="2"/>
        <v>0.68</v>
      </c>
      <c r="G9" s="6">
        <v>0</v>
      </c>
      <c r="H9" s="6">
        <v>0.3</v>
      </c>
      <c r="I9" s="7">
        <v>0.14000000000000001</v>
      </c>
      <c r="J9" s="6">
        <v>0</v>
      </c>
      <c r="K9" s="6">
        <v>1</v>
      </c>
      <c r="L9" s="6">
        <v>0</v>
      </c>
      <c r="M9" s="11">
        <f t="shared" si="3"/>
        <v>0.1</v>
      </c>
      <c r="N9" s="5">
        <v>0</v>
      </c>
      <c r="O9" s="11">
        <f t="shared" si="4"/>
        <v>0.05</v>
      </c>
      <c r="P9" s="7">
        <f t="shared" si="5"/>
        <v>0.17</v>
      </c>
      <c r="Q9" s="6">
        <f t="shared" si="6"/>
        <v>0</v>
      </c>
      <c r="R9" s="6">
        <f t="shared" si="7"/>
        <v>19.407407407407412</v>
      </c>
      <c r="S9" s="40">
        <f t="shared" si="8"/>
        <v>21.348148148148155</v>
      </c>
      <c r="T9" s="4">
        <v>24</v>
      </c>
      <c r="U9" s="40">
        <f t="shared" si="9"/>
        <v>0.72</v>
      </c>
      <c r="V9" s="40">
        <f t="shared" si="10"/>
        <v>0.68</v>
      </c>
      <c r="W9" s="6">
        <f t="shared" si="11"/>
        <v>0.64044444444444459</v>
      </c>
      <c r="X9" s="7">
        <f t="shared" si="12"/>
        <v>7.5346405228758184E-2</v>
      </c>
    </row>
    <row r="10" spans="1:25" s="4" customFormat="1" x14ac:dyDescent="0.25">
      <c r="A10" s="5" t="s">
        <v>64</v>
      </c>
      <c r="B10" s="5" t="s">
        <v>23</v>
      </c>
      <c r="C10" s="9">
        <f t="shared" si="0"/>
        <v>19.407407407407412</v>
      </c>
      <c r="D10" s="14">
        <f t="shared" si="1"/>
        <v>0</v>
      </c>
      <c r="E10" s="6">
        <v>8.5</v>
      </c>
      <c r="F10" s="6">
        <f t="shared" si="2"/>
        <v>0.68</v>
      </c>
      <c r="G10" s="6">
        <v>0</v>
      </c>
      <c r="H10" s="6">
        <v>0.3</v>
      </c>
      <c r="I10" s="7">
        <v>0.14000000000000001</v>
      </c>
      <c r="J10" s="6">
        <v>0</v>
      </c>
      <c r="K10" s="6">
        <v>1</v>
      </c>
      <c r="L10" s="6">
        <v>0</v>
      </c>
      <c r="M10" s="11">
        <f t="shared" si="3"/>
        <v>0.1</v>
      </c>
      <c r="N10" s="5">
        <v>0</v>
      </c>
      <c r="O10" s="11">
        <f t="shared" si="4"/>
        <v>0.05</v>
      </c>
      <c r="P10" s="7">
        <f t="shared" si="5"/>
        <v>0.17</v>
      </c>
      <c r="Q10" s="6">
        <f t="shared" si="6"/>
        <v>0</v>
      </c>
      <c r="R10" s="6">
        <f t="shared" si="7"/>
        <v>19.407407407407412</v>
      </c>
      <c r="S10" s="40">
        <f t="shared" si="8"/>
        <v>21.348148148148155</v>
      </c>
      <c r="T10" s="4">
        <v>24</v>
      </c>
      <c r="U10" s="40">
        <f t="shared" si="9"/>
        <v>0.72</v>
      </c>
      <c r="V10" s="40">
        <f t="shared" si="10"/>
        <v>0.68</v>
      </c>
      <c r="W10" s="6">
        <f t="shared" si="11"/>
        <v>0.64044444444444459</v>
      </c>
      <c r="X10" s="7">
        <f t="shared" si="12"/>
        <v>7.5346405228758184E-2</v>
      </c>
    </row>
    <row r="11" spans="1:25" s="4" customFormat="1" x14ac:dyDescent="0.25">
      <c r="A11" s="5" t="s">
        <v>65</v>
      </c>
      <c r="B11" s="5" t="s">
        <v>23</v>
      </c>
      <c r="C11" s="9">
        <f t="shared" si="0"/>
        <v>19.407407407407412</v>
      </c>
      <c r="D11" s="14">
        <f t="shared" si="1"/>
        <v>0</v>
      </c>
      <c r="E11" s="6">
        <v>8.5</v>
      </c>
      <c r="F11" s="6">
        <f t="shared" si="2"/>
        <v>0.68</v>
      </c>
      <c r="G11" s="6">
        <v>0</v>
      </c>
      <c r="H11" s="6">
        <v>0.3</v>
      </c>
      <c r="I11" s="7">
        <v>0.14000000000000001</v>
      </c>
      <c r="J11" s="6">
        <v>0</v>
      </c>
      <c r="K11" s="6">
        <v>1</v>
      </c>
      <c r="L11" s="6">
        <v>0</v>
      </c>
      <c r="M11" s="11">
        <f t="shared" si="3"/>
        <v>0.1</v>
      </c>
      <c r="N11" s="5">
        <v>0</v>
      </c>
      <c r="O11" s="11">
        <f t="shared" si="4"/>
        <v>0.05</v>
      </c>
      <c r="P11" s="7">
        <f t="shared" si="5"/>
        <v>0.17</v>
      </c>
      <c r="Q11" s="6">
        <f t="shared" si="6"/>
        <v>0</v>
      </c>
      <c r="R11" s="6">
        <f t="shared" si="7"/>
        <v>19.407407407407412</v>
      </c>
      <c r="S11" s="40">
        <f t="shared" si="8"/>
        <v>21.348148148148155</v>
      </c>
      <c r="T11" s="4">
        <v>24</v>
      </c>
      <c r="U11" s="40">
        <f t="shared" si="9"/>
        <v>0.72</v>
      </c>
      <c r="V11" s="40">
        <f t="shared" si="10"/>
        <v>0.68</v>
      </c>
      <c r="W11" s="6">
        <f t="shared" si="11"/>
        <v>0.64044444444444459</v>
      </c>
      <c r="X11" s="7">
        <f t="shared" si="12"/>
        <v>7.5346405228758184E-2</v>
      </c>
    </row>
    <row r="12" spans="1:25" s="4" customFormat="1" x14ac:dyDescent="0.25">
      <c r="A12" s="5" t="s">
        <v>65</v>
      </c>
      <c r="B12" s="5" t="s">
        <v>24</v>
      </c>
      <c r="C12" s="9">
        <f t="shared" si="0"/>
        <v>30.407407407407415</v>
      </c>
      <c r="D12" s="14">
        <f t="shared" si="1"/>
        <v>0</v>
      </c>
      <c r="E12" s="6">
        <v>14</v>
      </c>
      <c r="F12" s="6">
        <f t="shared" si="2"/>
        <v>1.1200000000000001</v>
      </c>
      <c r="G12" s="6">
        <v>0</v>
      </c>
      <c r="H12" s="6">
        <v>0.3</v>
      </c>
      <c r="I12" s="7">
        <v>0.14000000000000001</v>
      </c>
      <c r="J12" s="6">
        <v>0</v>
      </c>
      <c r="K12" s="6">
        <v>1</v>
      </c>
      <c r="L12" s="6">
        <v>0</v>
      </c>
      <c r="M12" s="11">
        <f t="shared" si="3"/>
        <v>0.1</v>
      </c>
      <c r="N12" s="5">
        <v>0</v>
      </c>
      <c r="O12" s="11">
        <f t="shared" si="4"/>
        <v>0.05</v>
      </c>
      <c r="P12" s="7">
        <f t="shared" si="5"/>
        <v>0.17</v>
      </c>
      <c r="Q12" s="6">
        <f t="shared" si="6"/>
        <v>0</v>
      </c>
      <c r="R12" s="6">
        <f t="shared" si="7"/>
        <v>30.407407407407415</v>
      </c>
      <c r="S12" s="40">
        <f t="shared" si="8"/>
        <v>33.448148148148157</v>
      </c>
      <c r="T12" s="40"/>
      <c r="U12" s="40">
        <f t="shared" si="9"/>
        <v>0</v>
      </c>
      <c r="V12" s="40">
        <f t="shared" si="10"/>
        <v>1.1200000000000001</v>
      </c>
      <c r="W12" s="6">
        <f t="shared" si="11"/>
        <v>1.0034444444444446</v>
      </c>
      <c r="X12" s="7">
        <f t="shared" si="12"/>
        <v>7.1674603174603183E-2</v>
      </c>
    </row>
    <row r="13" spans="1:25" s="4" customFormat="1" x14ac:dyDescent="0.25">
      <c r="A13" s="5" t="s">
        <v>65</v>
      </c>
      <c r="B13" s="5" t="s">
        <v>25</v>
      </c>
      <c r="C13" s="9">
        <f t="shared" si="0"/>
        <v>30.407407407407415</v>
      </c>
      <c r="D13" s="14">
        <f t="shared" si="1"/>
        <v>0</v>
      </c>
      <c r="E13" s="6">
        <v>14</v>
      </c>
      <c r="F13" s="6">
        <f t="shared" si="2"/>
        <v>1.1200000000000001</v>
      </c>
      <c r="G13" s="6">
        <v>0</v>
      </c>
      <c r="H13" s="6">
        <v>0.3</v>
      </c>
      <c r="I13" s="7">
        <v>0.14000000000000001</v>
      </c>
      <c r="J13" s="6">
        <v>0</v>
      </c>
      <c r="K13" s="6">
        <v>1</v>
      </c>
      <c r="L13" s="6">
        <v>0</v>
      </c>
      <c r="M13" s="11">
        <f t="shared" si="3"/>
        <v>0.1</v>
      </c>
      <c r="N13" s="5">
        <v>0</v>
      </c>
      <c r="O13" s="11">
        <f t="shared" si="4"/>
        <v>0.05</v>
      </c>
      <c r="P13" s="7">
        <f t="shared" si="5"/>
        <v>0.17</v>
      </c>
      <c r="Q13" s="6">
        <f t="shared" si="6"/>
        <v>0</v>
      </c>
      <c r="R13" s="6">
        <f t="shared" si="7"/>
        <v>30.407407407407415</v>
      </c>
      <c r="S13" s="40">
        <f t="shared" si="8"/>
        <v>33.448148148148157</v>
      </c>
      <c r="T13" s="40"/>
      <c r="U13" s="40">
        <f t="shared" si="9"/>
        <v>0</v>
      </c>
      <c r="V13" s="40">
        <f t="shared" si="10"/>
        <v>1.1200000000000001</v>
      </c>
      <c r="W13" s="6">
        <f t="shared" si="11"/>
        <v>1.0034444444444446</v>
      </c>
      <c r="X13" s="7">
        <f t="shared" si="12"/>
        <v>7.1674603174603183E-2</v>
      </c>
    </row>
    <row r="14" spans="1:25" s="4" customFormat="1" x14ac:dyDescent="0.25">
      <c r="A14" s="5"/>
      <c r="B14" s="5" t="s">
        <v>66</v>
      </c>
      <c r="C14" s="9">
        <f t="shared" si="0"/>
        <v>0</v>
      </c>
      <c r="D14" s="14"/>
      <c r="E14" s="6"/>
      <c r="F14" s="6">
        <f t="shared" si="2"/>
        <v>0</v>
      </c>
      <c r="G14" s="6"/>
      <c r="H14" s="6"/>
      <c r="I14" s="7"/>
      <c r="J14" s="6"/>
      <c r="K14" s="6"/>
      <c r="L14" s="6">
        <v>0</v>
      </c>
      <c r="M14" s="11">
        <f t="shared" si="3"/>
        <v>0.1</v>
      </c>
      <c r="N14" s="5"/>
      <c r="O14" s="11">
        <f t="shared" si="4"/>
        <v>0.05</v>
      </c>
      <c r="P14" s="7">
        <f t="shared" si="5"/>
        <v>0.17</v>
      </c>
      <c r="Q14" s="6"/>
      <c r="R14" s="6">
        <f t="shared" si="7"/>
        <v>0</v>
      </c>
      <c r="S14" s="40">
        <f t="shared" si="8"/>
        <v>0</v>
      </c>
      <c r="T14" s="40"/>
      <c r="U14" s="40">
        <f t="shared" si="9"/>
        <v>0</v>
      </c>
      <c r="V14" s="40">
        <f t="shared" si="10"/>
        <v>0</v>
      </c>
      <c r="W14" s="6">
        <f t="shared" si="11"/>
        <v>0</v>
      </c>
      <c r="X14" s="7" t="str">
        <f t="shared" si="12"/>
        <v/>
      </c>
    </row>
    <row r="15" spans="1:25" s="4" customFormat="1" x14ac:dyDescent="0.25">
      <c r="A15" s="5" t="s">
        <v>64</v>
      </c>
      <c r="B15" s="5" t="s">
        <v>26</v>
      </c>
      <c r="C15" s="9">
        <f t="shared" si="0"/>
        <v>12.907407407407408</v>
      </c>
      <c r="D15" s="14">
        <f>Q15/C15</f>
        <v>0</v>
      </c>
      <c r="E15" s="6">
        <v>5.25</v>
      </c>
      <c r="F15" s="6">
        <f t="shared" si="2"/>
        <v>0.42</v>
      </c>
      <c r="G15" s="6">
        <v>0</v>
      </c>
      <c r="H15" s="6">
        <v>0.3</v>
      </c>
      <c r="I15" s="7">
        <v>0.14000000000000001</v>
      </c>
      <c r="J15" s="6">
        <v>0</v>
      </c>
      <c r="K15" s="6">
        <v>1</v>
      </c>
      <c r="L15" s="6">
        <v>0</v>
      </c>
      <c r="M15" s="11">
        <f t="shared" si="3"/>
        <v>0.1</v>
      </c>
      <c r="N15" s="5">
        <v>0</v>
      </c>
      <c r="O15" s="11">
        <f t="shared" si="4"/>
        <v>0.05</v>
      </c>
      <c r="P15" s="7">
        <f t="shared" si="5"/>
        <v>0.17</v>
      </c>
      <c r="Q15" s="6">
        <f>C15-R15</f>
        <v>0</v>
      </c>
      <c r="R15" s="6">
        <f t="shared" si="7"/>
        <v>12.907407407407408</v>
      </c>
      <c r="S15" s="40">
        <f t="shared" si="8"/>
        <v>14.19814814814815</v>
      </c>
      <c r="T15" s="40">
        <v>19.04</v>
      </c>
      <c r="U15" s="40">
        <f t="shared" si="9"/>
        <v>0.57119999999999993</v>
      </c>
      <c r="V15" s="40">
        <f t="shared" si="10"/>
        <v>0.42</v>
      </c>
      <c r="W15" s="6">
        <f t="shared" si="11"/>
        <v>0.42594444444444446</v>
      </c>
      <c r="X15" s="7">
        <f t="shared" si="12"/>
        <v>8.1132275132275139E-2</v>
      </c>
    </row>
    <row r="16" spans="1:25" s="4" customFormat="1" x14ac:dyDescent="0.25">
      <c r="A16" s="5" t="s">
        <v>65</v>
      </c>
      <c r="B16" s="5" t="s">
        <v>26</v>
      </c>
      <c r="C16" s="9">
        <f t="shared" si="0"/>
        <v>0</v>
      </c>
      <c r="D16" s="14"/>
      <c r="E16" s="6"/>
      <c r="F16" s="6"/>
      <c r="G16" s="6"/>
      <c r="H16" s="6"/>
      <c r="I16" s="7"/>
      <c r="J16" s="6"/>
      <c r="K16" s="6"/>
      <c r="L16" s="6">
        <v>0</v>
      </c>
      <c r="M16" s="11"/>
      <c r="N16" s="5"/>
      <c r="O16" s="11"/>
      <c r="P16" s="7">
        <f t="shared" si="5"/>
        <v>0.17</v>
      </c>
      <c r="Q16" s="6"/>
      <c r="R16" s="6"/>
      <c r="S16" s="40"/>
      <c r="T16" s="40"/>
      <c r="U16" s="40">
        <f t="shared" si="9"/>
        <v>0</v>
      </c>
      <c r="V16" s="40">
        <f t="shared" si="10"/>
        <v>0</v>
      </c>
      <c r="W16" s="6">
        <f t="shared" si="11"/>
        <v>0</v>
      </c>
      <c r="X16" s="7" t="str">
        <f t="shared" si="12"/>
        <v/>
      </c>
    </row>
    <row r="17" spans="1:24" s="4" customFormat="1" x14ac:dyDescent="0.25">
      <c r="A17" s="5" t="s">
        <v>64</v>
      </c>
      <c r="B17" s="5" t="s">
        <v>27</v>
      </c>
      <c r="C17" s="9">
        <f t="shared" si="0"/>
        <v>26.007407407407417</v>
      </c>
      <c r="D17" s="14">
        <f t="shared" ref="D17:D22" si="13">Q17/C17</f>
        <v>0</v>
      </c>
      <c r="E17" s="6">
        <v>11.8</v>
      </c>
      <c r="F17" s="6">
        <f t="shared" ref="F17:F49" si="14">E17*$F$1</f>
        <v>0.94400000000000006</v>
      </c>
      <c r="G17" s="6">
        <v>0</v>
      </c>
      <c r="H17" s="6">
        <v>0.3</v>
      </c>
      <c r="I17" s="7">
        <v>0.14000000000000001</v>
      </c>
      <c r="J17" s="6">
        <v>0</v>
      </c>
      <c r="K17" s="6">
        <v>1</v>
      </c>
      <c r="L17" s="6">
        <v>0</v>
      </c>
      <c r="M17" s="11">
        <f t="shared" ref="M17:M49" si="15">$M$1</f>
        <v>0.1</v>
      </c>
      <c r="N17" s="5">
        <v>0</v>
      </c>
      <c r="O17" s="11">
        <f t="shared" ref="O17:O49" si="16">$O$1</f>
        <v>0.05</v>
      </c>
      <c r="P17" s="7">
        <f t="shared" si="5"/>
        <v>0.17</v>
      </c>
      <c r="Q17" s="6">
        <f t="shared" ref="Q17:Q22" si="17">C17-R17</f>
        <v>0</v>
      </c>
      <c r="R17" s="6">
        <f t="shared" ref="R17:R49" si="18">(E17+F17+J17+K17+G17+H17 - L17)/(1 - (I17 + M17 + O17 + P17 + N17))</f>
        <v>26.007407407407417</v>
      </c>
      <c r="S17" s="40">
        <f t="shared" ref="S17:S46" si="19">R17*(1+$S$1)</f>
        <v>28.60814814814816</v>
      </c>
      <c r="T17" s="40">
        <v>31</v>
      </c>
      <c r="U17" s="40">
        <f t="shared" si="9"/>
        <v>0.92999999999999994</v>
      </c>
      <c r="V17" s="40">
        <f t="shared" si="10"/>
        <v>0.94400000000000006</v>
      </c>
      <c r="W17" s="6">
        <f t="shared" si="11"/>
        <v>0.85824444444444481</v>
      </c>
      <c r="X17" s="7">
        <f t="shared" si="12"/>
        <v>7.2732580037664807E-2</v>
      </c>
    </row>
    <row r="18" spans="1:24" s="4" customFormat="1" x14ac:dyDescent="0.25">
      <c r="A18" s="5" t="s">
        <v>65</v>
      </c>
      <c r="B18" s="5" t="s">
        <v>27</v>
      </c>
      <c r="C18" s="9">
        <f t="shared" si="0"/>
        <v>26.007407407407417</v>
      </c>
      <c r="D18" s="14">
        <f t="shared" si="13"/>
        <v>0</v>
      </c>
      <c r="E18" s="6">
        <v>11.8</v>
      </c>
      <c r="F18" s="6">
        <f t="shared" si="14"/>
        <v>0.94400000000000006</v>
      </c>
      <c r="G18" s="6">
        <v>0</v>
      </c>
      <c r="H18" s="6">
        <v>0.3</v>
      </c>
      <c r="I18" s="7">
        <v>0.14000000000000001</v>
      </c>
      <c r="J18" s="6">
        <v>0</v>
      </c>
      <c r="K18" s="6">
        <v>1</v>
      </c>
      <c r="L18" s="6">
        <v>0</v>
      </c>
      <c r="M18" s="11">
        <f t="shared" si="15"/>
        <v>0.1</v>
      </c>
      <c r="N18" s="5">
        <v>0</v>
      </c>
      <c r="O18" s="11">
        <f t="shared" si="16"/>
        <v>0.05</v>
      </c>
      <c r="P18" s="7">
        <f t="shared" si="5"/>
        <v>0.17</v>
      </c>
      <c r="Q18" s="6">
        <f t="shared" si="17"/>
        <v>0</v>
      </c>
      <c r="R18" s="6">
        <f t="shared" si="18"/>
        <v>26.007407407407417</v>
      </c>
      <c r="S18" s="40">
        <f t="shared" si="19"/>
        <v>28.60814814814816</v>
      </c>
      <c r="T18" s="40">
        <v>31</v>
      </c>
      <c r="U18" s="40">
        <f t="shared" si="9"/>
        <v>0.92999999999999994</v>
      </c>
      <c r="V18" s="40">
        <f t="shared" si="10"/>
        <v>0.94400000000000006</v>
      </c>
      <c r="W18" s="6">
        <f t="shared" si="11"/>
        <v>0.85824444444444481</v>
      </c>
      <c r="X18" s="7">
        <f t="shared" si="12"/>
        <v>7.2732580037664807E-2</v>
      </c>
    </row>
    <row r="19" spans="1:24" s="4" customFormat="1" x14ac:dyDescent="0.25">
      <c r="A19" s="5" t="s">
        <v>64</v>
      </c>
      <c r="B19" s="5" t="s">
        <v>28</v>
      </c>
      <c r="C19" s="9">
        <f t="shared" si="0"/>
        <v>50.059259259259264</v>
      </c>
      <c r="D19" s="14">
        <f t="shared" si="13"/>
        <v>0</v>
      </c>
      <c r="E19" s="6">
        <v>22.9</v>
      </c>
      <c r="F19" s="6">
        <f t="shared" si="14"/>
        <v>1.8319999999999999</v>
      </c>
      <c r="G19" s="6">
        <v>0</v>
      </c>
      <c r="H19" s="6">
        <v>0.3</v>
      </c>
      <c r="I19" s="7">
        <v>0.14000000000000001</v>
      </c>
      <c r="J19" s="6">
        <v>0</v>
      </c>
      <c r="K19" s="6">
        <v>2</v>
      </c>
      <c r="L19" s="6">
        <v>0</v>
      </c>
      <c r="M19" s="11">
        <f t="shared" si="15"/>
        <v>0.1</v>
      </c>
      <c r="N19" s="5">
        <v>0</v>
      </c>
      <c r="O19" s="11">
        <f t="shared" si="16"/>
        <v>0.05</v>
      </c>
      <c r="P19" s="7">
        <f t="shared" si="5"/>
        <v>0.17</v>
      </c>
      <c r="Q19" s="6">
        <f t="shared" si="17"/>
        <v>0</v>
      </c>
      <c r="R19" s="6">
        <f t="shared" si="18"/>
        <v>50.059259259259264</v>
      </c>
      <c r="S19" s="40">
        <f t="shared" si="19"/>
        <v>55.065185185185193</v>
      </c>
      <c r="T19" s="40">
        <v>54.04</v>
      </c>
      <c r="U19" s="40">
        <f t="shared" si="9"/>
        <v>1.6212</v>
      </c>
      <c r="V19" s="40">
        <f t="shared" si="10"/>
        <v>1.8319999999999999</v>
      </c>
      <c r="W19" s="6">
        <f t="shared" si="11"/>
        <v>1.6519555555555556</v>
      </c>
      <c r="X19" s="7">
        <f t="shared" si="12"/>
        <v>7.2137797185832131E-2</v>
      </c>
    </row>
    <row r="20" spans="1:24" s="4" customFormat="1" x14ac:dyDescent="0.25">
      <c r="A20" s="5" t="s">
        <v>65</v>
      </c>
      <c r="B20" s="5" t="s">
        <v>28</v>
      </c>
      <c r="C20" s="9">
        <f t="shared" si="0"/>
        <v>50.059259259259264</v>
      </c>
      <c r="D20" s="14">
        <f t="shared" si="13"/>
        <v>0</v>
      </c>
      <c r="E20" s="6">
        <v>22.9</v>
      </c>
      <c r="F20" s="6">
        <f t="shared" si="14"/>
        <v>1.8319999999999999</v>
      </c>
      <c r="G20" s="6">
        <v>0</v>
      </c>
      <c r="H20" s="6">
        <v>0.3</v>
      </c>
      <c r="I20" s="7">
        <v>0.14000000000000001</v>
      </c>
      <c r="J20" s="6">
        <v>0</v>
      </c>
      <c r="K20" s="6">
        <v>2</v>
      </c>
      <c r="L20" s="6">
        <v>0</v>
      </c>
      <c r="M20" s="11">
        <f t="shared" si="15"/>
        <v>0.1</v>
      </c>
      <c r="N20" s="5">
        <v>0</v>
      </c>
      <c r="O20" s="11">
        <f t="shared" si="16"/>
        <v>0.05</v>
      </c>
      <c r="P20" s="7">
        <f t="shared" si="5"/>
        <v>0.17</v>
      </c>
      <c r="Q20" s="6">
        <f t="shared" si="17"/>
        <v>0</v>
      </c>
      <c r="R20" s="6">
        <f t="shared" si="18"/>
        <v>50.059259259259264</v>
      </c>
      <c r="S20" s="40">
        <f t="shared" si="19"/>
        <v>55.065185185185193</v>
      </c>
      <c r="T20" s="40"/>
      <c r="U20" s="40">
        <f t="shared" si="9"/>
        <v>0</v>
      </c>
      <c r="V20" s="40">
        <f t="shared" si="10"/>
        <v>1.8319999999999999</v>
      </c>
      <c r="W20" s="6">
        <f t="shared" si="11"/>
        <v>1.6519555555555556</v>
      </c>
      <c r="X20" s="7">
        <f t="shared" si="12"/>
        <v>7.2137797185832131E-2</v>
      </c>
    </row>
    <row r="21" spans="1:24" s="4" customFormat="1" x14ac:dyDescent="0.25">
      <c r="A21" s="5" t="s">
        <v>64</v>
      </c>
      <c r="B21" s="3" t="s">
        <v>29</v>
      </c>
      <c r="C21" s="9">
        <f t="shared" si="0"/>
        <v>172.78592592592597</v>
      </c>
      <c r="D21" s="14">
        <f t="shared" si="13"/>
        <v>0</v>
      </c>
      <c r="E21" s="6">
        <v>78.430000000000007</v>
      </c>
      <c r="F21" s="6">
        <f t="shared" si="14"/>
        <v>6.2744000000000009</v>
      </c>
      <c r="G21" s="6">
        <v>0.6</v>
      </c>
      <c r="H21" s="6">
        <v>2</v>
      </c>
      <c r="I21" s="7">
        <v>0.14000000000000001</v>
      </c>
      <c r="J21" s="6">
        <v>0</v>
      </c>
      <c r="K21" s="6">
        <v>6</v>
      </c>
      <c r="L21" s="6">
        <v>0</v>
      </c>
      <c r="M21" s="11">
        <f t="shared" si="15"/>
        <v>0.1</v>
      </c>
      <c r="N21" s="5">
        <v>0</v>
      </c>
      <c r="O21" s="11">
        <f t="shared" si="16"/>
        <v>0.05</v>
      </c>
      <c r="P21" s="7">
        <f t="shared" si="5"/>
        <v>0.17</v>
      </c>
      <c r="Q21" s="6">
        <f t="shared" si="17"/>
        <v>0</v>
      </c>
      <c r="R21" s="6">
        <f t="shared" si="18"/>
        <v>172.78592592592597</v>
      </c>
      <c r="S21" s="40">
        <f t="shared" si="19"/>
        <v>190.06451851851858</v>
      </c>
      <c r="T21" s="40">
        <v>185</v>
      </c>
      <c r="U21" s="40">
        <f t="shared" si="9"/>
        <v>5.55</v>
      </c>
      <c r="V21" s="40">
        <f t="shared" si="10"/>
        <v>6.2744000000000009</v>
      </c>
      <c r="W21" s="6">
        <f t="shared" si="11"/>
        <v>5.7019355555555569</v>
      </c>
      <c r="X21" s="7">
        <f t="shared" si="12"/>
        <v>7.2700950599968839E-2</v>
      </c>
    </row>
    <row r="22" spans="1:24" s="4" customFormat="1" x14ac:dyDescent="0.25">
      <c r="A22" s="5" t="s">
        <v>65</v>
      </c>
      <c r="B22" s="3" t="s">
        <v>29</v>
      </c>
      <c r="C22" s="9">
        <f t="shared" si="0"/>
        <v>172.78592592592597</v>
      </c>
      <c r="D22" s="14">
        <f t="shared" si="13"/>
        <v>0</v>
      </c>
      <c r="E22" s="6">
        <v>78.430000000000007</v>
      </c>
      <c r="F22" s="6">
        <f t="shared" si="14"/>
        <v>6.2744000000000009</v>
      </c>
      <c r="G22" s="6">
        <v>0.6</v>
      </c>
      <c r="H22" s="6">
        <v>2</v>
      </c>
      <c r="I22" s="7">
        <v>0.14000000000000001</v>
      </c>
      <c r="J22" s="6">
        <v>0</v>
      </c>
      <c r="K22" s="6">
        <v>6</v>
      </c>
      <c r="L22" s="6">
        <v>0</v>
      </c>
      <c r="M22" s="11">
        <f t="shared" si="15"/>
        <v>0.1</v>
      </c>
      <c r="N22" s="5">
        <v>0</v>
      </c>
      <c r="O22" s="11">
        <f t="shared" si="16"/>
        <v>0.05</v>
      </c>
      <c r="P22" s="7">
        <f t="shared" si="5"/>
        <v>0.17</v>
      </c>
      <c r="Q22" s="6">
        <f t="shared" si="17"/>
        <v>0</v>
      </c>
      <c r="R22" s="6">
        <f t="shared" si="18"/>
        <v>172.78592592592597</v>
      </c>
      <c r="S22" s="40">
        <f t="shared" si="19"/>
        <v>190.06451851851858</v>
      </c>
      <c r="T22" s="40">
        <v>185</v>
      </c>
      <c r="U22" s="40">
        <f t="shared" si="9"/>
        <v>5.55</v>
      </c>
      <c r="V22" s="40">
        <f t="shared" si="10"/>
        <v>6.2744000000000009</v>
      </c>
      <c r="W22" s="6">
        <f t="shared" si="11"/>
        <v>5.7019355555555569</v>
      </c>
      <c r="X22" s="7">
        <f t="shared" si="12"/>
        <v>7.2700950599968839E-2</v>
      </c>
    </row>
    <row r="23" spans="1:24" s="4" customFormat="1" x14ac:dyDescent="0.25">
      <c r="A23" s="5"/>
      <c r="B23" s="3" t="s">
        <v>67</v>
      </c>
      <c r="C23" s="9">
        <f t="shared" si="0"/>
        <v>0</v>
      </c>
      <c r="D23" s="14"/>
      <c r="E23" s="6"/>
      <c r="F23" s="6">
        <f t="shared" si="14"/>
        <v>0</v>
      </c>
      <c r="G23" s="6"/>
      <c r="H23" s="6"/>
      <c r="I23" s="7"/>
      <c r="J23" s="6"/>
      <c r="K23" s="6"/>
      <c r="L23" s="6">
        <v>0</v>
      </c>
      <c r="M23" s="11">
        <f t="shared" si="15"/>
        <v>0.1</v>
      </c>
      <c r="N23" s="5"/>
      <c r="O23" s="11">
        <f t="shared" si="16"/>
        <v>0.05</v>
      </c>
      <c r="P23" s="7">
        <f t="shared" si="5"/>
        <v>0.17</v>
      </c>
      <c r="Q23" s="6"/>
      <c r="R23" s="6">
        <f t="shared" si="18"/>
        <v>0</v>
      </c>
      <c r="S23" s="40">
        <f t="shared" si="19"/>
        <v>0</v>
      </c>
      <c r="T23" s="40"/>
      <c r="U23" s="40">
        <f t="shared" si="9"/>
        <v>0</v>
      </c>
      <c r="V23" s="40">
        <f t="shared" si="10"/>
        <v>0</v>
      </c>
      <c r="W23" s="6">
        <f t="shared" si="11"/>
        <v>0</v>
      </c>
      <c r="X23" s="7" t="str">
        <f t="shared" si="12"/>
        <v/>
      </c>
    </row>
    <row r="24" spans="1:24" s="4" customFormat="1" x14ac:dyDescent="0.25">
      <c r="A24" s="5" t="s">
        <v>65</v>
      </c>
      <c r="B24" s="3" t="s">
        <v>68</v>
      </c>
      <c r="C24" s="9">
        <v>170</v>
      </c>
      <c r="D24" s="14">
        <f>Q24/C24</f>
        <v>-0.14396514161220048</v>
      </c>
      <c r="E24" s="6">
        <v>92.7</v>
      </c>
      <c r="F24" s="6">
        <f t="shared" si="14"/>
        <v>7.4160000000000004</v>
      </c>
      <c r="G24" s="6">
        <v>0.6</v>
      </c>
      <c r="H24" s="6">
        <v>2</v>
      </c>
      <c r="I24" s="7">
        <v>0.14000000000000001</v>
      </c>
      <c r="J24" s="6">
        <v>0</v>
      </c>
      <c r="K24" s="6">
        <v>6</v>
      </c>
      <c r="L24" s="6">
        <v>3.7</v>
      </c>
      <c r="M24" s="11">
        <f t="shared" si="15"/>
        <v>0.1</v>
      </c>
      <c r="N24" s="5">
        <v>0</v>
      </c>
      <c r="O24" s="11">
        <f t="shared" si="16"/>
        <v>0.05</v>
      </c>
      <c r="P24" s="7">
        <f t="shared" si="5"/>
        <v>0.17</v>
      </c>
      <c r="Q24" s="6">
        <f>C24-R24</f>
        <v>-24.474074074074082</v>
      </c>
      <c r="R24" s="6">
        <f t="shared" si="18"/>
        <v>194.47407407407408</v>
      </c>
      <c r="S24" s="40">
        <f t="shared" si="19"/>
        <v>213.92148148148152</v>
      </c>
      <c r="T24" s="40">
        <v>185</v>
      </c>
      <c r="U24" s="40">
        <f t="shared" si="9"/>
        <v>5.55</v>
      </c>
      <c r="V24" s="40">
        <f t="shared" si="10"/>
        <v>7.4160000000000004</v>
      </c>
      <c r="W24" s="6">
        <f t="shared" si="11"/>
        <v>6.4176444444444458</v>
      </c>
      <c r="X24" s="7">
        <f t="shared" si="12"/>
        <v>6.923025290662832E-2</v>
      </c>
    </row>
    <row r="25" spans="1:24" s="4" customFormat="1" x14ac:dyDescent="0.25">
      <c r="A25" s="5"/>
      <c r="B25" s="3" t="s">
        <v>30</v>
      </c>
      <c r="C25" s="9">
        <f t="shared" ref="C25:C46" si="20">R25</f>
        <v>0</v>
      </c>
      <c r="D25" s="14"/>
      <c r="E25" s="6"/>
      <c r="F25" s="6">
        <f t="shared" si="14"/>
        <v>0</v>
      </c>
      <c r="G25" s="6"/>
      <c r="H25" s="6"/>
      <c r="I25" s="7"/>
      <c r="J25" s="6"/>
      <c r="K25" s="6"/>
      <c r="L25" s="6">
        <v>0</v>
      </c>
      <c r="M25" s="11">
        <f t="shared" si="15"/>
        <v>0.1</v>
      </c>
      <c r="N25" s="5"/>
      <c r="O25" s="11">
        <f t="shared" si="16"/>
        <v>0.05</v>
      </c>
      <c r="P25" s="7">
        <f t="shared" si="5"/>
        <v>0.17</v>
      </c>
      <c r="Q25" s="6"/>
      <c r="R25" s="6">
        <f t="shared" si="18"/>
        <v>0</v>
      </c>
      <c r="S25" s="40">
        <f t="shared" si="19"/>
        <v>0</v>
      </c>
      <c r="T25" s="40"/>
      <c r="U25" s="40">
        <f t="shared" si="9"/>
        <v>0</v>
      </c>
      <c r="V25" s="40">
        <f t="shared" si="10"/>
        <v>0</v>
      </c>
      <c r="W25" s="6">
        <f t="shared" si="11"/>
        <v>0</v>
      </c>
      <c r="X25" s="7" t="str">
        <f t="shared" si="12"/>
        <v/>
      </c>
    </row>
    <row r="26" spans="1:24" s="4" customFormat="1" x14ac:dyDescent="0.25">
      <c r="A26" s="5" t="s">
        <v>64</v>
      </c>
      <c r="B26" s="3" t="s">
        <v>31</v>
      </c>
      <c r="C26" s="9">
        <f t="shared" si="20"/>
        <v>103.26923076923077</v>
      </c>
      <c r="D26" s="14">
        <f t="shared" ref="D26:D49" si="21">Q26/C26</f>
        <v>0</v>
      </c>
      <c r="E26" s="6">
        <v>45</v>
      </c>
      <c r="F26" s="6">
        <f t="shared" si="14"/>
        <v>3.6</v>
      </c>
      <c r="G26" s="6">
        <v>0.6</v>
      </c>
      <c r="H26" s="6">
        <v>0.5</v>
      </c>
      <c r="I26" s="7">
        <v>0.13</v>
      </c>
      <c r="J26" s="6">
        <v>0</v>
      </c>
      <c r="K26" s="6">
        <v>4</v>
      </c>
      <c r="L26" s="6">
        <v>0</v>
      </c>
      <c r="M26" s="11">
        <f t="shared" si="15"/>
        <v>0.1</v>
      </c>
      <c r="N26" s="5">
        <v>0</v>
      </c>
      <c r="O26" s="11">
        <f t="shared" si="16"/>
        <v>0.05</v>
      </c>
      <c r="P26" s="7">
        <v>0.2</v>
      </c>
      <c r="Q26" s="6">
        <f t="shared" ref="Q26:Q49" si="22">C26-R26</f>
        <v>0</v>
      </c>
      <c r="R26" s="6">
        <f t="shared" si="18"/>
        <v>103.26923076923077</v>
      </c>
      <c r="S26" s="40">
        <f t="shared" si="19"/>
        <v>113.59615384615385</v>
      </c>
      <c r="T26" s="40">
        <v>137</v>
      </c>
      <c r="U26" s="40">
        <f t="shared" si="9"/>
        <v>4.1099999999999994</v>
      </c>
      <c r="V26" s="40">
        <f t="shared" si="10"/>
        <v>3.6</v>
      </c>
      <c r="W26" s="6">
        <f t="shared" si="11"/>
        <v>3.4078846153846154</v>
      </c>
      <c r="X26" s="7">
        <f t="shared" si="12"/>
        <v>7.5730769230769227E-2</v>
      </c>
    </row>
    <row r="27" spans="1:24" s="4" customFormat="1" x14ac:dyDescent="0.25">
      <c r="A27" s="5" t="s">
        <v>65</v>
      </c>
      <c r="B27" s="3" t="s">
        <v>31</v>
      </c>
      <c r="C27" s="9">
        <f t="shared" si="20"/>
        <v>103.26923076923077</v>
      </c>
      <c r="D27" s="14">
        <f t="shared" si="21"/>
        <v>0</v>
      </c>
      <c r="E27" s="6">
        <v>45</v>
      </c>
      <c r="F27" s="6">
        <f t="shared" si="14"/>
        <v>3.6</v>
      </c>
      <c r="G27" s="6">
        <v>0.6</v>
      </c>
      <c r="H27" s="6">
        <v>0.5</v>
      </c>
      <c r="I27" s="7">
        <v>0.13</v>
      </c>
      <c r="J27" s="6">
        <v>0</v>
      </c>
      <c r="K27" s="6">
        <v>4</v>
      </c>
      <c r="L27" s="6">
        <v>0</v>
      </c>
      <c r="M27" s="11">
        <f t="shared" si="15"/>
        <v>0.1</v>
      </c>
      <c r="N27" s="5">
        <v>0</v>
      </c>
      <c r="O27" s="11">
        <f t="shared" si="16"/>
        <v>0.05</v>
      </c>
      <c r="P27" s="7">
        <v>0.2</v>
      </c>
      <c r="Q27" s="6">
        <f t="shared" si="22"/>
        <v>0</v>
      </c>
      <c r="R27" s="6">
        <f t="shared" si="18"/>
        <v>103.26923076923077</v>
      </c>
      <c r="S27" s="40">
        <f t="shared" si="19"/>
        <v>113.59615384615385</v>
      </c>
      <c r="T27" s="40">
        <v>137</v>
      </c>
      <c r="U27" s="40">
        <f t="shared" si="9"/>
        <v>4.1099999999999994</v>
      </c>
      <c r="V27" s="40">
        <f t="shared" si="10"/>
        <v>3.6</v>
      </c>
      <c r="W27" s="6">
        <f t="shared" si="11"/>
        <v>3.4078846153846154</v>
      </c>
      <c r="X27" s="7">
        <f t="shared" si="12"/>
        <v>7.5730769230769227E-2</v>
      </c>
    </row>
    <row r="28" spans="1:24" s="4" customFormat="1" x14ac:dyDescent="0.25">
      <c r="A28" s="5" t="s">
        <v>65</v>
      </c>
      <c r="B28" s="42" t="s">
        <v>33</v>
      </c>
      <c r="C28" s="9">
        <f t="shared" si="20"/>
        <v>22.149090909090912</v>
      </c>
      <c r="D28" s="14">
        <f t="shared" si="21"/>
        <v>0</v>
      </c>
      <c r="E28" s="6">
        <v>9.15</v>
      </c>
      <c r="F28" s="6">
        <f t="shared" si="14"/>
        <v>0.7320000000000001</v>
      </c>
      <c r="G28" s="6">
        <v>0.3</v>
      </c>
      <c r="H28" s="6">
        <v>1</v>
      </c>
      <c r="I28" s="7">
        <v>0.13</v>
      </c>
      <c r="J28" s="6">
        <v>0</v>
      </c>
      <c r="K28" s="6">
        <v>1</v>
      </c>
      <c r="L28" s="6">
        <v>0</v>
      </c>
      <c r="M28" s="11">
        <f t="shared" si="15"/>
        <v>0.1</v>
      </c>
      <c r="N28" s="5">
        <v>0</v>
      </c>
      <c r="O28" s="11">
        <f t="shared" si="16"/>
        <v>0.05</v>
      </c>
      <c r="P28" s="7">
        <f t="shared" ref="P28:P49" si="23">$P$1</f>
        <v>0.17</v>
      </c>
      <c r="Q28" s="6">
        <f t="shared" si="22"/>
        <v>0</v>
      </c>
      <c r="R28" s="6">
        <f t="shared" si="18"/>
        <v>22.149090909090912</v>
      </c>
      <c r="S28" s="40">
        <f t="shared" si="19"/>
        <v>24.364000000000004</v>
      </c>
      <c r="T28" s="40"/>
      <c r="U28" s="40">
        <f t="shared" si="9"/>
        <v>0</v>
      </c>
      <c r="V28" s="40">
        <f t="shared" si="10"/>
        <v>0.7320000000000001</v>
      </c>
      <c r="W28" s="6">
        <f t="shared" si="11"/>
        <v>0.73092000000000013</v>
      </c>
      <c r="X28" s="7">
        <f t="shared" si="12"/>
        <v>7.988196721311476E-2</v>
      </c>
    </row>
    <row r="29" spans="1:24" s="4" customFormat="1" x14ac:dyDescent="0.25">
      <c r="A29" s="5"/>
      <c r="B29" s="42" t="s">
        <v>34</v>
      </c>
      <c r="C29" s="9">
        <f t="shared" si="20"/>
        <v>36.335555555555565</v>
      </c>
      <c r="D29" s="14">
        <f t="shared" si="21"/>
        <v>0</v>
      </c>
      <c r="E29" s="6">
        <v>15.39</v>
      </c>
      <c r="F29" s="6">
        <f t="shared" si="14"/>
        <v>1.2312000000000001</v>
      </c>
      <c r="G29" s="6">
        <v>1</v>
      </c>
      <c r="H29" s="6">
        <v>0</v>
      </c>
      <c r="I29" s="7">
        <v>0.14000000000000001</v>
      </c>
      <c r="J29" s="6">
        <v>0</v>
      </c>
      <c r="K29" s="6">
        <v>2</v>
      </c>
      <c r="L29" s="6">
        <v>0</v>
      </c>
      <c r="M29" s="11">
        <f t="shared" si="15"/>
        <v>0.1</v>
      </c>
      <c r="N29" s="5">
        <v>0</v>
      </c>
      <c r="O29" s="11">
        <f t="shared" si="16"/>
        <v>0.05</v>
      </c>
      <c r="P29" s="7">
        <f t="shared" si="23"/>
        <v>0.17</v>
      </c>
      <c r="Q29" s="6">
        <f t="shared" si="22"/>
        <v>0</v>
      </c>
      <c r="R29" s="6">
        <f t="shared" si="18"/>
        <v>36.335555555555565</v>
      </c>
      <c r="S29" s="40">
        <f t="shared" si="19"/>
        <v>39.969111111111125</v>
      </c>
      <c r="T29" s="40"/>
      <c r="U29" s="40">
        <f t="shared" si="9"/>
        <v>0</v>
      </c>
      <c r="V29" s="40">
        <f t="shared" si="10"/>
        <v>1.2312000000000001</v>
      </c>
      <c r="W29" s="6">
        <f t="shared" si="11"/>
        <v>1.1990733333333337</v>
      </c>
      <c r="X29" s="7">
        <f t="shared" si="12"/>
        <v>7.7912497292614263E-2</v>
      </c>
    </row>
    <row r="30" spans="1:24" s="4" customFormat="1" x14ac:dyDescent="0.25">
      <c r="A30" s="5"/>
      <c r="B30" s="42" t="s">
        <v>35</v>
      </c>
      <c r="C30" s="9">
        <f t="shared" si="20"/>
        <v>30.000000000000004</v>
      </c>
      <c r="D30" s="14">
        <f t="shared" si="21"/>
        <v>0</v>
      </c>
      <c r="E30" s="6">
        <v>12.5</v>
      </c>
      <c r="F30" s="6">
        <f t="shared" si="14"/>
        <v>1</v>
      </c>
      <c r="G30" s="6">
        <v>1</v>
      </c>
      <c r="H30" s="6">
        <v>0</v>
      </c>
      <c r="I30" s="7">
        <v>0.13</v>
      </c>
      <c r="J30" s="6">
        <v>0</v>
      </c>
      <c r="K30" s="6">
        <v>2</v>
      </c>
      <c r="L30" s="6">
        <v>0</v>
      </c>
      <c r="M30" s="11">
        <f t="shared" si="15"/>
        <v>0.1</v>
      </c>
      <c r="N30" s="5">
        <v>0</v>
      </c>
      <c r="O30" s="11">
        <f t="shared" si="16"/>
        <v>0.05</v>
      </c>
      <c r="P30" s="7">
        <f t="shared" si="23"/>
        <v>0.17</v>
      </c>
      <c r="Q30" s="6">
        <f t="shared" si="22"/>
        <v>0</v>
      </c>
      <c r="R30" s="6">
        <f t="shared" si="18"/>
        <v>30.000000000000004</v>
      </c>
      <c r="S30" s="40">
        <f t="shared" si="19"/>
        <v>33.000000000000007</v>
      </c>
      <c r="T30" s="40"/>
      <c r="U30" s="40">
        <f t="shared" si="9"/>
        <v>0</v>
      </c>
      <c r="V30" s="40">
        <f t="shared" si="10"/>
        <v>1</v>
      </c>
      <c r="W30" s="6">
        <f t="shared" si="11"/>
        <v>0.99000000000000021</v>
      </c>
      <c r="X30" s="7">
        <f t="shared" si="12"/>
        <v>7.920000000000002E-2</v>
      </c>
    </row>
    <row r="31" spans="1:24" s="4" customFormat="1" x14ac:dyDescent="0.25">
      <c r="A31" s="5" t="s">
        <v>64</v>
      </c>
      <c r="B31" s="42" t="s">
        <v>36</v>
      </c>
      <c r="C31" s="9">
        <f t="shared" si="20"/>
        <v>32.555555555555557</v>
      </c>
      <c r="D31" s="14">
        <f t="shared" si="21"/>
        <v>0</v>
      </c>
      <c r="E31" s="6">
        <v>13.5</v>
      </c>
      <c r="F31" s="6">
        <f t="shared" si="14"/>
        <v>1.08</v>
      </c>
      <c r="G31" s="6">
        <v>1</v>
      </c>
      <c r="H31" s="6">
        <v>0</v>
      </c>
      <c r="I31" s="7">
        <v>0.14000000000000001</v>
      </c>
      <c r="J31" s="6">
        <v>0</v>
      </c>
      <c r="K31" s="6">
        <v>2</v>
      </c>
      <c r="L31" s="6">
        <v>0</v>
      </c>
      <c r="M31" s="11">
        <f t="shared" si="15"/>
        <v>0.1</v>
      </c>
      <c r="N31" s="5">
        <v>0</v>
      </c>
      <c r="O31" s="11">
        <f t="shared" si="16"/>
        <v>0.05</v>
      </c>
      <c r="P31" s="7">
        <f t="shared" si="23"/>
        <v>0.17</v>
      </c>
      <c r="Q31" s="6">
        <f t="shared" si="22"/>
        <v>0</v>
      </c>
      <c r="R31" s="6">
        <f t="shared" si="18"/>
        <v>32.555555555555557</v>
      </c>
      <c r="S31" s="40">
        <f t="shared" si="19"/>
        <v>35.811111111111117</v>
      </c>
      <c r="T31" s="40">
        <v>48</v>
      </c>
      <c r="U31" s="40">
        <f t="shared" si="9"/>
        <v>1.44</v>
      </c>
      <c r="V31" s="40">
        <f t="shared" si="10"/>
        <v>1.08</v>
      </c>
      <c r="W31" s="6">
        <f t="shared" si="11"/>
        <v>1.0743333333333336</v>
      </c>
      <c r="X31" s="7">
        <f t="shared" si="12"/>
        <v>7.958024691358026E-2</v>
      </c>
    </row>
    <row r="32" spans="1:24" s="4" customFormat="1" x14ac:dyDescent="0.25">
      <c r="A32" s="5" t="s">
        <v>65</v>
      </c>
      <c r="B32" s="42" t="s">
        <v>36</v>
      </c>
      <c r="C32" s="9">
        <f t="shared" si="20"/>
        <v>32.555555555555557</v>
      </c>
      <c r="D32" s="14">
        <f t="shared" si="21"/>
        <v>0</v>
      </c>
      <c r="E32" s="6">
        <v>13.5</v>
      </c>
      <c r="F32" s="6">
        <f t="shared" si="14"/>
        <v>1.08</v>
      </c>
      <c r="G32" s="6">
        <v>1</v>
      </c>
      <c r="H32" s="6">
        <v>0</v>
      </c>
      <c r="I32" s="7">
        <v>0.14000000000000001</v>
      </c>
      <c r="J32" s="6">
        <v>0</v>
      </c>
      <c r="K32" s="6">
        <v>2</v>
      </c>
      <c r="L32" s="6">
        <v>0</v>
      </c>
      <c r="M32" s="11">
        <f t="shared" si="15"/>
        <v>0.1</v>
      </c>
      <c r="N32" s="5">
        <v>0</v>
      </c>
      <c r="O32" s="11">
        <f t="shared" si="16"/>
        <v>0.05</v>
      </c>
      <c r="P32" s="7">
        <f t="shared" si="23"/>
        <v>0.17</v>
      </c>
      <c r="Q32" s="6">
        <f t="shared" si="22"/>
        <v>0</v>
      </c>
      <c r="R32" s="6">
        <f t="shared" si="18"/>
        <v>32.555555555555557</v>
      </c>
      <c r="S32" s="40">
        <f t="shared" si="19"/>
        <v>35.811111111111117</v>
      </c>
      <c r="T32" s="40"/>
      <c r="U32" s="40">
        <f t="shared" si="9"/>
        <v>0</v>
      </c>
      <c r="V32" s="40">
        <f t="shared" si="10"/>
        <v>1.08</v>
      </c>
      <c r="W32" s="6">
        <f t="shared" si="11"/>
        <v>1.0743333333333336</v>
      </c>
      <c r="X32" s="7">
        <f t="shared" si="12"/>
        <v>7.958024691358026E-2</v>
      </c>
    </row>
    <row r="33" spans="1:24" s="4" customFormat="1" x14ac:dyDescent="0.25">
      <c r="A33" s="5" t="s">
        <v>64</v>
      </c>
      <c r="B33" s="42" t="s">
        <v>37</v>
      </c>
      <c r="C33" s="9">
        <f t="shared" si="20"/>
        <v>16.603703703703708</v>
      </c>
      <c r="D33" s="14">
        <f t="shared" si="21"/>
        <v>0</v>
      </c>
      <c r="E33" s="6">
        <v>6.45</v>
      </c>
      <c r="F33" s="6">
        <f t="shared" si="14"/>
        <v>0.51600000000000001</v>
      </c>
      <c r="G33" s="6">
        <v>1</v>
      </c>
      <c r="H33" s="6">
        <v>0</v>
      </c>
      <c r="I33" s="7">
        <v>0.14000000000000001</v>
      </c>
      <c r="J33" s="6">
        <v>0</v>
      </c>
      <c r="K33" s="6">
        <v>1</v>
      </c>
      <c r="L33" s="6">
        <v>0</v>
      </c>
      <c r="M33" s="11">
        <f t="shared" si="15"/>
        <v>0.1</v>
      </c>
      <c r="N33" s="5">
        <v>0</v>
      </c>
      <c r="O33" s="11">
        <f t="shared" si="16"/>
        <v>0.05</v>
      </c>
      <c r="P33" s="7">
        <f t="shared" si="23"/>
        <v>0.17</v>
      </c>
      <c r="Q33" s="6">
        <f t="shared" si="22"/>
        <v>0</v>
      </c>
      <c r="R33" s="6">
        <f t="shared" si="18"/>
        <v>16.603703703703708</v>
      </c>
      <c r="S33" s="40">
        <f t="shared" si="19"/>
        <v>18.264074074074081</v>
      </c>
      <c r="T33" s="40"/>
      <c r="U33" s="40">
        <f t="shared" si="9"/>
        <v>0</v>
      </c>
      <c r="V33" s="40">
        <f t="shared" si="10"/>
        <v>0.51600000000000001</v>
      </c>
      <c r="W33" s="6">
        <f t="shared" si="11"/>
        <v>0.54792222222222242</v>
      </c>
      <c r="X33" s="7">
        <f t="shared" si="12"/>
        <v>8.4949181739879448E-2</v>
      </c>
    </row>
    <row r="34" spans="1:24" s="4" customFormat="1" x14ac:dyDescent="0.25">
      <c r="A34" s="5" t="s">
        <v>65</v>
      </c>
      <c r="B34" s="42" t="s">
        <v>37</v>
      </c>
      <c r="C34" s="9">
        <f t="shared" si="20"/>
        <v>16.603703703703708</v>
      </c>
      <c r="D34" s="14">
        <f t="shared" si="21"/>
        <v>0</v>
      </c>
      <c r="E34" s="6">
        <v>6.45</v>
      </c>
      <c r="F34" s="6">
        <f t="shared" si="14"/>
        <v>0.51600000000000001</v>
      </c>
      <c r="G34" s="6">
        <v>1</v>
      </c>
      <c r="H34" s="6">
        <v>0</v>
      </c>
      <c r="I34" s="7">
        <v>0.14000000000000001</v>
      </c>
      <c r="J34" s="6">
        <v>0</v>
      </c>
      <c r="K34" s="6">
        <v>1</v>
      </c>
      <c r="L34" s="6">
        <v>0</v>
      </c>
      <c r="M34" s="11">
        <f t="shared" si="15"/>
        <v>0.1</v>
      </c>
      <c r="N34" s="5">
        <v>0</v>
      </c>
      <c r="O34" s="11">
        <f t="shared" si="16"/>
        <v>0.05</v>
      </c>
      <c r="P34" s="7">
        <f t="shared" si="23"/>
        <v>0.17</v>
      </c>
      <c r="Q34" s="6">
        <f t="shared" si="22"/>
        <v>0</v>
      </c>
      <c r="R34" s="6">
        <f t="shared" si="18"/>
        <v>16.603703703703708</v>
      </c>
      <c r="S34" s="40">
        <f t="shared" si="19"/>
        <v>18.264074074074081</v>
      </c>
      <c r="T34" s="40"/>
      <c r="U34" s="40">
        <f t="shared" si="9"/>
        <v>0</v>
      </c>
      <c r="V34" s="40">
        <f t="shared" si="10"/>
        <v>0.51600000000000001</v>
      </c>
      <c r="W34" s="6">
        <f t="shared" si="11"/>
        <v>0.54792222222222242</v>
      </c>
      <c r="X34" s="7">
        <f t="shared" si="12"/>
        <v>8.4949181739879448E-2</v>
      </c>
    </row>
    <row r="35" spans="1:24" s="4" customFormat="1" x14ac:dyDescent="0.25">
      <c r="A35" s="5"/>
      <c r="B35" s="42" t="s">
        <v>38</v>
      </c>
      <c r="C35" s="9">
        <f t="shared" si="20"/>
        <v>56.218181818181826</v>
      </c>
      <c r="D35" s="14">
        <f t="shared" si="21"/>
        <v>0</v>
      </c>
      <c r="E35" s="6">
        <v>24</v>
      </c>
      <c r="F35" s="6">
        <f t="shared" si="14"/>
        <v>1.92</v>
      </c>
      <c r="G35" s="6">
        <v>1</v>
      </c>
      <c r="H35" s="6">
        <v>0</v>
      </c>
      <c r="I35" s="7">
        <v>0.13</v>
      </c>
      <c r="J35" s="6">
        <v>0</v>
      </c>
      <c r="K35" s="6">
        <v>4</v>
      </c>
      <c r="L35" s="6">
        <v>0</v>
      </c>
      <c r="M35" s="11">
        <f t="shared" si="15"/>
        <v>0.1</v>
      </c>
      <c r="N35" s="5">
        <v>0</v>
      </c>
      <c r="O35" s="11">
        <f t="shared" si="16"/>
        <v>0.05</v>
      </c>
      <c r="P35" s="7">
        <f t="shared" si="23"/>
        <v>0.17</v>
      </c>
      <c r="Q35" s="6">
        <f t="shared" si="22"/>
        <v>0</v>
      </c>
      <c r="R35" s="6">
        <f t="shared" si="18"/>
        <v>56.218181818181826</v>
      </c>
      <c r="S35" s="40">
        <f t="shared" si="19"/>
        <v>61.840000000000011</v>
      </c>
      <c r="T35" s="40"/>
      <c r="U35" s="40">
        <f t="shared" si="9"/>
        <v>0</v>
      </c>
      <c r="V35" s="40">
        <f t="shared" si="10"/>
        <v>1.92</v>
      </c>
      <c r="W35" s="6">
        <f t="shared" si="11"/>
        <v>1.8552000000000002</v>
      </c>
      <c r="X35" s="7">
        <f t="shared" si="12"/>
        <v>7.7300000000000008E-2</v>
      </c>
    </row>
    <row r="36" spans="1:24" s="4" customFormat="1" x14ac:dyDescent="0.25">
      <c r="A36" s="5"/>
      <c r="B36" s="3" t="s">
        <v>39</v>
      </c>
      <c r="C36" s="9">
        <f t="shared" si="20"/>
        <v>26.851851851851855</v>
      </c>
      <c r="D36" s="14">
        <f t="shared" si="21"/>
        <v>0</v>
      </c>
      <c r="E36" s="6">
        <f>5*2.5</f>
        <v>12.5</v>
      </c>
      <c r="F36" s="6">
        <f t="shared" si="14"/>
        <v>1</v>
      </c>
      <c r="G36" s="6">
        <v>0</v>
      </c>
      <c r="H36" s="6">
        <v>0</v>
      </c>
      <c r="I36" s="7">
        <v>0.14000000000000001</v>
      </c>
      <c r="J36" s="6">
        <v>0</v>
      </c>
      <c r="K36" s="6">
        <v>1</v>
      </c>
      <c r="L36" s="6">
        <v>0</v>
      </c>
      <c r="M36" s="11">
        <f t="shared" si="15"/>
        <v>0.1</v>
      </c>
      <c r="N36" s="5">
        <v>0</v>
      </c>
      <c r="O36" s="11">
        <f t="shared" si="16"/>
        <v>0.05</v>
      </c>
      <c r="P36" s="7">
        <f t="shared" si="23"/>
        <v>0.17</v>
      </c>
      <c r="Q36" s="6">
        <f t="shared" si="22"/>
        <v>0</v>
      </c>
      <c r="R36" s="6">
        <f t="shared" si="18"/>
        <v>26.851851851851855</v>
      </c>
      <c r="S36" s="40">
        <f t="shared" si="19"/>
        <v>29.537037037037042</v>
      </c>
      <c r="T36" s="40"/>
      <c r="U36" s="40">
        <f t="shared" si="9"/>
        <v>0</v>
      </c>
      <c r="V36" s="40">
        <f t="shared" si="10"/>
        <v>1</v>
      </c>
      <c r="W36" s="6">
        <f t="shared" si="11"/>
        <v>0.88611111111111118</v>
      </c>
      <c r="X36" s="7">
        <f t="shared" si="12"/>
        <v>7.088888888888889E-2</v>
      </c>
    </row>
    <row r="37" spans="1:24" s="4" customFormat="1" x14ac:dyDescent="0.25">
      <c r="A37" s="5"/>
      <c r="B37" s="3" t="s">
        <v>40</v>
      </c>
      <c r="C37" s="9">
        <f t="shared" si="20"/>
        <v>52.403703703703712</v>
      </c>
      <c r="D37" s="14">
        <f t="shared" si="21"/>
        <v>0</v>
      </c>
      <c r="E37" s="6">
        <v>24.35</v>
      </c>
      <c r="F37" s="6">
        <f t="shared" si="14"/>
        <v>1.9480000000000002</v>
      </c>
      <c r="G37" s="6">
        <v>0</v>
      </c>
      <c r="H37" s="6">
        <v>0</v>
      </c>
      <c r="I37" s="7">
        <v>0.14000000000000001</v>
      </c>
      <c r="J37" s="6">
        <v>0</v>
      </c>
      <c r="K37" s="6">
        <v>2</v>
      </c>
      <c r="L37" s="6">
        <v>0</v>
      </c>
      <c r="M37" s="11">
        <f t="shared" si="15"/>
        <v>0.1</v>
      </c>
      <c r="N37" s="5">
        <v>0</v>
      </c>
      <c r="O37" s="11">
        <f t="shared" si="16"/>
        <v>0.05</v>
      </c>
      <c r="P37" s="7">
        <f t="shared" si="23"/>
        <v>0.17</v>
      </c>
      <c r="Q37" s="6">
        <f t="shared" si="22"/>
        <v>0</v>
      </c>
      <c r="R37" s="6">
        <f t="shared" si="18"/>
        <v>52.403703703703712</v>
      </c>
      <c r="S37" s="40">
        <f t="shared" si="19"/>
        <v>57.644074074074091</v>
      </c>
      <c r="T37" s="40"/>
      <c r="U37" s="40">
        <f t="shared" si="9"/>
        <v>0</v>
      </c>
      <c r="V37" s="40">
        <f t="shared" si="10"/>
        <v>1.9480000000000002</v>
      </c>
      <c r="W37" s="6">
        <f t="shared" si="11"/>
        <v>1.7293222222222226</v>
      </c>
      <c r="X37" s="7">
        <f t="shared" si="12"/>
        <v>7.1019393109742202E-2</v>
      </c>
    </row>
    <row r="38" spans="1:24" s="4" customFormat="1" x14ac:dyDescent="0.25">
      <c r="A38" s="5"/>
      <c r="B38" s="3" t="s">
        <v>41</v>
      </c>
      <c r="C38" s="9">
        <f t="shared" si="20"/>
        <v>26.851851851851855</v>
      </c>
      <c r="D38" s="14">
        <f t="shared" si="21"/>
        <v>0</v>
      </c>
      <c r="E38" s="6">
        <f>5*2.5</f>
        <v>12.5</v>
      </c>
      <c r="F38" s="6">
        <f t="shared" si="14"/>
        <v>1</v>
      </c>
      <c r="G38" s="6">
        <v>0</v>
      </c>
      <c r="H38" s="6">
        <v>0</v>
      </c>
      <c r="I38" s="7">
        <v>0.14000000000000001</v>
      </c>
      <c r="J38" s="6">
        <v>0</v>
      </c>
      <c r="K38" s="6">
        <v>1</v>
      </c>
      <c r="L38" s="6">
        <v>0</v>
      </c>
      <c r="M38" s="11">
        <f t="shared" si="15"/>
        <v>0.1</v>
      </c>
      <c r="N38" s="5">
        <v>0</v>
      </c>
      <c r="O38" s="11">
        <f t="shared" si="16"/>
        <v>0.05</v>
      </c>
      <c r="P38" s="7">
        <f t="shared" si="23"/>
        <v>0.17</v>
      </c>
      <c r="Q38" s="6">
        <f t="shared" si="22"/>
        <v>0</v>
      </c>
      <c r="R38" s="6">
        <f t="shared" si="18"/>
        <v>26.851851851851855</v>
      </c>
      <c r="S38" s="40">
        <f t="shared" si="19"/>
        <v>29.537037037037042</v>
      </c>
      <c r="T38" s="40"/>
      <c r="U38" s="40">
        <f t="shared" si="9"/>
        <v>0</v>
      </c>
      <c r="V38" s="40">
        <f t="shared" si="10"/>
        <v>1</v>
      </c>
      <c r="W38" s="6">
        <f t="shared" si="11"/>
        <v>0.88611111111111118</v>
      </c>
      <c r="X38" s="7">
        <f t="shared" si="12"/>
        <v>7.088888888888889E-2</v>
      </c>
    </row>
    <row r="39" spans="1:24" s="4" customFormat="1" x14ac:dyDescent="0.25">
      <c r="A39" s="5"/>
      <c r="B39" s="3" t="s">
        <v>42</v>
      </c>
      <c r="C39" s="9">
        <f t="shared" si="20"/>
        <v>24.051851851851858</v>
      </c>
      <c r="D39" s="14">
        <f t="shared" si="21"/>
        <v>0</v>
      </c>
      <c r="E39" s="6">
        <f>3*3.7</f>
        <v>11.100000000000001</v>
      </c>
      <c r="F39" s="6">
        <f t="shared" si="14"/>
        <v>0.88800000000000012</v>
      </c>
      <c r="G39" s="6">
        <v>0</v>
      </c>
      <c r="H39" s="6">
        <v>0</v>
      </c>
      <c r="I39" s="7">
        <v>0.14000000000000001</v>
      </c>
      <c r="J39" s="6">
        <v>0</v>
      </c>
      <c r="K39" s="6">
        <v>1</v>
      </c>
      <c r="L39" s="6">
        <v>0</v>
      </c>
      <c r="M39" s="11">
        <f t="shared" si="15"/>
        <v>0.1</v>
      </c>
      <c r="N39" s="5">
        <v>0</v>
      </c>
      <c r="O39" s="11">
        <f t="shared" si="16"/>
        <v>0.05</v>
      </c>
      <c r="P39" s="7">
        <f t="shared" si="23"/>
        <v>0.17</v>
      </c>
      <c r="Q39" s="6">
        <f t="shared" si="22"/>
        <v>0</v>
      </c>
      <c r="R39" s="6">
        <f t="shared" si="18"/>
        <v>24.051851851851858</v>
      </c>
      <c r="S39" s="40">
        <f t="shared" si="19"/>
        <v>26.457037037037047</v>
      </c>
      <c r="T39" s="40"/>
      <c r="U39" s="40">
        <f t="shared" si="9"/>
        <v>0</v>
      </c>
      <c r="V39" s="40">
        <f t="shared" si="10"/>
        <v>0.88800000000000012</v>
      </c>
      <c r="W39" s="6">
        <f t="shared" si="11"/>
        <v>0.79371111111111137</v>
      </c>
      <c r="X39" s="7">
        <f t="shared" si="12"/>
        <v>7.1505505505505523E-2</v>
      </c>
    </row>
    <row r="40" spans="1:24" x14ac:dyDescent="0.25">
      <c r="A40" s="5"/>
      <c r="B40" s="3" t="s">
        <v>43</v>
      </c>
      <c r="C40" s="9">
        <f t="shared" si="20"/>
        <v>35.903703703703712</v>
      </c>
      <c r="D40" s="14">
        <f t="shared" si="21"/>
        <v>0</v>
      </c>
      <c r="E40" s="6">
        <f>E18+(E42/2)</f>
        <v>16.100000000000001</v>
      </c>
      <c r="F40" s="6">
        <f t="shared" si="14"/>
        <v>1.288</v>
      </c>
      <c r="G40" s="6">
        <v>0</v>
      </c>
      <c r="H40" s="6">
        <v>0</v>
      </c>
      <c r="I40" s="7">
        <v>0.14000000000000001</v>
      </c>
      <c r="J40" s="6">
        <v>0</v>
      </c>
      <c r="K40" s="6">
        <v>2</v>
      </c>
      <c r="L40" s="6">
        <v>0</v>
      </c>
      <c r="M40" s="11">
        <f t="shared" si="15"/>
        <v>0.1</v>
      </c>
      <c r="N40" s="5">
        <v>0</v>
      </c>
      <c r="O40" s="11">
        <f t="shared" si="16"/>
        <v>0.05</v>
      </c>
      <c r="P40" s="7">
        <f t="shared" si="23"/>
        <v>0.17</v>
      </c>
      <c r="Q40" s="6">
        <f t="shared" si="22"/>
        <v>0</v>
      </c>
      <c r="R40" s="6">
        <f t="shared" si="18"/>
        <v>35.903703703703712</v>
      </c>
      <c r="S40" s="40">
        <f t="shared" si="19"/>
        <v>39.494074074074085</v>
      </c>
      <c r="T40" s="40"/>
      <c r="U40" s="40">
        <f t="shared" si="9"/>
        <v>0</v>
      </c>
      <c r="V40" s="40">
        <f t="shared" si="10"/>
        <v>1.288</v>
      </c>
      <c r="W40" s="6">
        <f t="shared" si="11"/>
        <v>1.1848222222222224</v>
      </c>
      <c r="X40" s="7">
        <f t="shared" si="12"/>
        <v>7.3591442374051075E-2</v>
      </c>
    </row>
    <row r="41" spans="1:24" x14ac:dyDescent="0.25">
      <c r="A41" s="5"/>
      <c r="B41" s="3" t="s">
        <v>44</v>
      </c>
      <c r="C41" s="9">
        <f t="shared" si="20"/>
        <v>16.651851851851855</v>
      </c>
      <c r="D41" s="14">
        <f t="shared" si="21"/>
        <v>0</v>
      </c>
      <c r="E41" s="6">
        <f>E16+E43</f>
        <v>7.4</v>
      </c>
      <c r="F41" s="6">
        <f t="shared" si="14"/>
        <v>0.59200000000000008</v>
      </c>
      <c r="G41" s="6">
        <v>0</v>
      </c>
      <c r="H41" s="6">
        <v>0</v>
      </c>
      <c r="I41" s="7">
        <v>0.14000000000000001</v>
      </c>
      <c r="J41" s="6">
        <v>0</v>
      </c>
      <c r="K41" s="6">
        <v>1</v>
      </c>
      <c r="L41" s="6">
        <v>0</v>
      </c>
      <c r="M41" s="11">
        <f t="shared" si="15"/>
        <v>0.1</v>
      </c>
      <c r="N41" s="5">
        <v>0</v>
      </c>
      <c r="O41" s="11">
        <f t="shared" si="16"/>
        <v>0.05</v>
      </c>
      <c r="P41" s="7">
        <f t="shared" si="23"/>
        <v>0.17</v>
      </c>
      <c r="Q41" s="6">
        <f t="shared" si="22"/>
        <v>0</v>
      </c>
      <c r="R41" s="6">
        <f t="shared" si="18"/>
        <v>16.651851851851855</v>
      </c>
      <c r="S41" s="40">
        <f t="shared" si="19"/>
        <v>18.317037037037043</v>
      </c>
      <c r="T41" s="40"/>
      <c r="U41" s="40">
        <f t="shared" si="9"/>
        <v>0</v>
      </c>
      <c r="V41" s="40">
        <f t="shared" si="10"/>
        <v>0.59200000000000008</v>
      </c>
      <c r="W41" s="6">
        <f t="shared" si="11"/>
        <v>0.54951111111111128</v>
      </c>
      <c r="X41" s="7">
        <f t="shared" si="12"/>
        <v>7.4258258258258283E-2</v>
      </c>
    </row>
    <row r="42" spans="1:24" x14ac:dyDescent="0.25">
      <c r="A42" s="5"/>
      <c r="B42" s="3" t="s">
        <v>45</v>
      </c>
      <c r="C42" s="9">
        <f t="shared" si="20"/>
        <v>19.051851851851854</v>
      </c>
      <c r="D42" s="14">
        <f t="shared" si="21"/>
        <v>0</v>
      </c>
      <c r="E42" s="6">
        <f>2*4.3</f>
        <v>8.6</v>
      </c>
      <c r="F42" s="6">
        <f t="shared" si="14"/>
        <v>0.68799999999999994</v>
      </c>
      <c r="G42" s="6">
        <v>0</v>
      </c>
      <c r="H42" s="6">
        <v>0</v>
      </c>
      <c r="I42" s="7">
        <v>0.14000000000000001</v>
      </c>
      <c r="J42" s="6">
        <v>0</v>
      </c>
      <c r="K42" s="6">
        <v>1</v>
      </c>
      <c r="L42" s="6">
        <v>0</v>
      </c>
      <c r="M42" s="11">
        <f t="shared" si="15"/>
        <v>0.1</v>
      </c>
      <c r="N42" s="5">
        <v>0</v>
      </c>
      <c r="O42" s="11">
        <f t="shared" si="16"/>
        <v>0.05</v>
      </c>
      <c r="P42" s="7">
        <f t="shared" si="23"/>
        <v>0.17</v>
      </c>
      <c r="Q42" s="6">
        <f t="shared" si="22"/>
        <v>0</v>
      </c>
      <c r="R42" s="6">
        <f t="shared" si="18"/>
        <v>19.051851851851854</v>
      </c>
      <c r="S42" s="40">
        <f t="shared" si="19"/>
        <v>20.95703703703704</v>
      </c>
      <c r="T42" s="40"/>
      <c r="U42" s="40">
        <f t="shared" si="9"/>
        <v>0</v>
      </c>
      <c r="V42" s="40">
        <f t="shared" si="10"/>
        <v>0.68799999999999994</v>
      </c>
      <c r="W42" s="6">
        <f t="shared" si="11"/>
        <v>0.62871111111111122</v>
      </c>
      <c r="X42" s="7">
        <f t="shared" si="12"/>
        <v>7.3105943152454791E-2</v>
      </c>
    </row>
    <row r="43" spans="1:24" x14ac:dyDescent="0.25">
      <c r="A43" s="5"/>
      <c r="B43" s="3" t="s">
        <v>46</v>
      </c>
      <c r="C43" s="9">
        <f t="shared" si="20"/>
        <v>16.651851851851855</v>
      </c>
      <c r="D43" s="14">
        <f t="shared" si="21"/>
        <v>0</v>
      </c>
      <c r="E43" s="6">
        <v>7.4</v>
      </c>
      <c r="F43" s="6">
        <f t="shared" si="14"/>
        <v>0.59200000000000008</v>
      </c>
      <c r="G43" s="6">
        <v>0</v>
      </c>
      <c r="H43" s="6">
        <v>0</v>
      </c>
      <c r="I43" s="7">
        <v>0.14000000000000001</v>
      </c>
      <c r="J43" s="6">
        <v>0</v>
      </c>
      <c r="K43" s="6">
        <v>1</v>
      </c>
      <c r="L43" s="6">
        <v>0</v>
      </c>
      <c r="M43" s="11">
        <f t="shared" si="15"/>
        <v>0.1</v>
      </c>
      <c r="N43" s="5">
        <v>0</v>
      </c>
      <c r="O43" s="11">
        <f t="shared" si="16"/>
        <v>0.05</v>
      </c>
      <c r="P43" s="7">
        <f t="shared" si="23"/>
        <v>0.17</v>
      </c>
      <c r="Q43" s="6">
        <f t="shared" si="22"/>
        <v>0</v>
      </c>
      <c r="R43" s="6">
        <f t="shared" si="18"/>
        <v>16.651851851851855</v>
      </c>
      <c r="S43" s="40">
        <f t="shared" si="19"/>
        <v>18.317037037037043</v>
      </c>
      <c r="T43" s="40"/>
      <c r="U43" s="40">
        <f t="shared" si="9"/>
        <v>0</v>
      </c>
      <c r="V43" s="40">
        <f t="shared" si="10"/>
        <v>0.59200000000000008</v>
      </c>
      <c r="W43" s="6">
        <f t="shared" si="11"/>
        <v>0.54951111111111128</v>
      </c>
      <c r="X43" s="7">
        <f t="shared" si="12"/>
        <v>7.4258258258258283E-2</v>
      </c>
    </row>
    <row r="44" spans="1:24" s="4" customFormat="1" x14ac:dyDescent="0.25">
      <c r="A44" s="5"/>
      <c r="B44" s="5" t="s">
        <v>47</v>
      </c>
      <c r="C44" s="9">
        <f t="shared" si="20"/>
        <v>17.187407407407409</v>
      </c>
      <c r="D44" s="14">
        <f t="shared" si="21"/>
        <v>0</v>
      </c>
      <c r="E44" s="6">
        <v>7.39</v>
      </c>
      <c r="F44" s="6">
        <f t="shared" si="14"/>
        <v>0.59119999999999995</v>
      </c>
      <c r="G44" s="6">
        <v>0</v>
      </c>
      <c r="H44" s="6">
        <v>0.3</v>
      </c>
      <c r="I44" s="7">
        <v>0.14000000000000001</v>
      </c>
      <c r="J44" s="6">
        <v>0</v>
      </c>
      <c r="K44" s="6">
        <v>1</v>
      </c>
      <c r="L44" s="6">
        <v>0</v>
      </c>
      <c r="M44" s="11">
        <f t="shared" si="15"/>
        <v>0.1</v>
      </c>
      <c r="N44" s="5">
        <v>0</v>
      </c>
      <c r="O44" s="11">
        <f t="shared" si="16"/>
        <v>0.05</v>
      </c>
      <c r="P44" s="7">
        <f t="shared" si="23"/>
        <v>0.17</v>
      </c>
      <c r="Q44" s="6">
        <f t="shared" si="22"/>
        <v>0</v>
      </c>
      <c r="R44" s="6">
        <f t="shared" si="18"/>
        <v>17.187407407407409</v>
      </c>
      <c r="S44" s="40">
        <f t="shared" si="19"/>
        <v>18.906148148148151</v>
      </c>
      <c r="T44" s="40"/>
      <c r="U44" s="40">
        <f t="shared" si="9"/>
        <v>0</v>
      </c>
      <c r="V44" s="40">
        <f t="shared" si="10"/>
        <v>0.59119999999999995</v>
      </c>
      <c r="W44" s="6">
        <f t="shared" si="11"/>
        <v>0.56718444444444449</v>
      </c>
      <c r="X44" s="7">
        <f t="shared" si="12"/>
        <v>7.6750263118328083E-2</v>
      </c>
    </row>
    <row r="45" spans="1:24" s="4" customFormat="1" x14ac:dyDescent="0.25">
      <c r="A45" s="5" t="s">
        <v>65</v>
      </c>
      <c r="B45" s="5" t="s">
        <v>48</v>
      </c>
      <c r="C45" s="9">
        <f t="shared" si="20"/>
        <v>19.127407407407407</v>
      </c>
      <c r="D45" s="14">
        <f t="shared" si="21"/>
        <v>0</v>
      </c>
      <c r="E45" s="6">
        <v>8.36</v>
      </c>
      <c r="F45" s="6">
        <f t="shared" si="14"/>
        <v>0.66879999999999995</v>
      </c>
      <c r="G45" s="6">
        <v>0</v>
      </c>
      <c r="H45" s="6">
        <v>0.3</v>
      </c>
      <c r="I45" s="7">
        <v>0.14000000000000001</v>
      </c>
      <c r="J45" s="6">
        <v>0</v>
      </c>
      <c r="K45" s="6">
        <v>1</v>
      </c>
      <c r="L45" s="6">
        <v>0</v>
      </c>
      <c r="M45" s="11">
        <f t="shared" si="15"/>
        <v>0.1</v>
      </c>
      <c r="N45" s="5">
        <v>0</v>
      </c>
      <c r="O45" s="11">
        <f t="shared" si="16"/>
        <v>0.05</v>
      </c>
      <c r="P45" s="7">
        <f t="shared" si="23"/>
        <v>0.17</v>
      </c>
      <c r="Q45" s="6">
        <f t="shared" si="22"/>
        <v>0</v>
      </c>
      <c r="R45" s="6">
        <f t="shared" si="18"/>
        <v>19.127407407407407</v>
      </c>
      <c r="S45" s="40">
        <f t="shared" si="19"/>
        <v>21.040148148148148</v>
      </c>
      <c r="T45" s="40"/>
      <c r="U45" s="40">
        <f t="shared" si="9"/>
        <v>0</v>
      </c>
      <c r="V45" s="40">
        <f t="shared" si="10"/>
        <v>0.66879999999999995</v>
      </c>
      <c r="W45" s="6">
        <f t="shared" si="11"/>
        <v>0.63120444444444446</v>
      </c>
      <c r="X45" s="7">
        <f t="shared" si="12"/>
        <v>7.5502923976608197E-2</v>
      </c>
    </row>
    <row r="46" spans="1:24" s="4" customFormat="1" x14ac:dyDescent="0.25">
      <c r="A46" s="5"/>
      <c r="B46" s="5" t="s">
        <v>49</v>
      </c>
      <c r="C46" s="9">
        <f t="shared" si="20"/>
        <v>17.187407407407409</v>
      </c>
      <c r="D46" s="14">
        <f t="shared" si="21"/>
        <v>0</v>
      </c>
      <c r="E46" s="6">
        <v>7.39</v>
      </c>
      <c r="F46" s="6">
        <f t="shared" si="14"/>
        <v>0.59119999999999995</v>
      </c>
      <c r="G46" s="6">
        <v>0</v>
      </c>
      <c r="H46" s="6">
        <v>0.3</v>
      </c>
      <c r="I46" s="7">
        <v>0.14000000000000001</v>
      </c>
      <c r="J46" s="6">
        <v>0</v>
      </c>
      <c r="K46" s="6">
        <v>1</v>
      </c>
      <c r="L46" s="6">
        <v>0</v>
      </c>
      <c r="M46" s="11">
        <f t="shared" si="15"/>
        <v>0.1</v>
      </c>
      <c r="N46" s="5">
        <v>0</v>
      </c>
      <c r="O46" s="11">
        <f t="shared" si="16"/>
        <v>0.05</v>
      </c>
      <c r="P46" s="7">
        <f t="shared" si="23"/>
        <v>0.17</v>
      </c>
      <c r="Q46" s="6">
        <f t="shared" si="22"/>
        <v>0</v>
      </c>
      <c r="R46" s="6">
        <f t="shared" si="18"/>
        <v>17.187407407407409</v>
      </c>
      <c r="S46" s="40">
        <f t="shared" si="19"/>
        <v>18.906148148148151</v>
      </c>
      <c r="T46" s="40"/>
      <c r="U46" s="40">
        <f t="shared" si="9"/>
        <v>0</v>
      </c>
      <c r="V46" s="40">
        <f t="shared" si="10"/>
        <v>0.59119999999999995</v>
      </c>
      <c r="W46" s="6">
        <f t="shared" si="11"/>
        <v>0.56718444444444449</v>
      </c>
      <c r="X46" s="7">
        <f t="shared" si="12"/>
        <v>7.6750263118328083E-2</v>
      </c>
    </row>
    <row r="47" spans="1:24" s="4" customFormat="1" x14ac:dyDescent="0.25">
      <c r="A47" s="5" t="s">
        <v>64</v>
      </c>
      <c r="B47" s="5" t="s">
        <v>50</v>
      </c>
      <c r="C47" s="9">
        <v>22.59</v>
      </c>
      <c r="D47" s="14">
        <f t="shared" si="21"/>
        <v>1.1476726837486768E-4</v>
      </c>
      <c r="E47" s="6">
        <v>10.09</v>
      </c>
      <c r="F47" s="6">
        <f t="shared" si="14"/>
        <v>0.80720000000000003</v>
      </c>
      <c r="G47" s="6">
        <v>0</v>
      </c>
      <c r="H47" s="6">
        <v>0.3</v>
      </c>
      <c r="I47" s="7">
        <v>0.14000000000000001</v>
      </c>
      <c r="J47" s="6">
        <v>0</v>
      </c>
      <c r="K47" s="6">
        <v>1</v>
      </c>
      <c r="L47" s="6">
        <v>0</v>
      </c>
      <c r="M47" s="11">
        <f t="shared" si="15"/>
        <v>0.1</v>
      </c>
      <c r="N47" s="5">
        <v>0</v>
      </c>
      <c r="O47" s="11">
        <f t="shared" si="16"/>
        <v>0.05</v>
      </c>
      <c r="P47" s="7">
        <f t="shared" si="23"/>
        <v>0.17</v>
      </c>
      <c r="Q47" s="6">
        <f t="shared" si="22"/>
        <v>2.5925925925882609E-3</v>
      </c>
      <c r="R47" s="6">
        <f t="shared" si="18"/>
        <v>22.587407407407412</v>
      </c>
      <c r="S47" s="43">
        <f>R47/(1-$S$1)</f>
        <v>25.09711934156379</v>
      </c>
      <c r="T47" s="40">
        <v>25.1</v>
      </c>
      <c r="U47" s="40">
        <f t="shared" si="9"/>
        <v>0.753</v>
      </c>
      <c r="V47" s="40">
        <f t="shared" si="10"/>
        <v>0.80720000000000003</v>
      </c>
      <c r="W47" s="6">
        <f t="shared" si="11"/>
        <v>0.75291358024691368</v>
      </c>
      <c r="X47" s="7">
        <f t="shared" si="12"/>
        <v>7.4619780004649527E-2</v>
      </c>
    </row>
    <row r="48" spans="1:24" s="4" customFormat="1" x14ac:dyDescent="0.25">
      <c r="A48" s="5"/>
      <c r="B48" s="5" t="s">
        <v>51</v>
      </c>
      <c r="C48" s="9">
        <f>R48</f>
        <v>20.667407407407413</v>
      </c>
      <c r="D48" s="14">
        <f t="shared" si="21"/>
        <v>0</v>
      </c>
      <c r="E48" s="6">
        <v>9.1300000000000008</v>
      </c>
      <c r="F48" s="6">
        <f t="shared" si="14"/>
        <v>0.73040000000000005</v>
      </c>
      <c r="G48" s="6">
        <v>0</v>
      </c>
      <c r="H48" s="6">
        <v>0.3</v>
      </c>
      <c r="I48" s="7">
        <v>0.14000000000000001</v>
      </c>
      <c r="J48" s="6">
        <v>0</v>
      </c>
      <c r="K48" s="6">
        <v>1</v>
      </c>
      <c r="L48" s="6">
        <v>0</v>
      </c>
      <c r="M48" s="11">
        <f t="shared" si="15"/>
        <v>0.1</v>
      </c>
      <c r="N48" s="5">
        <v>0</v>
      </c>
      <c r="O48" s="11">
        <f t="shared" si="16"/>
        <v>0.05</v>
      </c>
      <c r="P48" s="7">
        <f t="shared" si="23"/>
        <v>0.17</v>
      </c>
      <c r="Q48" s="6">
        <f t="shared" si="22"/>
        <v>0</v>
      </c>
      <c r="R48" s="6">
        <f t="shared" si="18"/>
        <v>20.667407407407413</v>
      </c>
      <c r="S48" s="40">
        <f>R48*(1+$S$1)</f>
        <v>22.734148148148158</v>
      </c>
      <c r="T48" s="40"/>
      <c r="U48" s="40">
        <f t="shared" si="9"/>
        <v>0</v>
      </c>
      <c r="V48" s="40">
        <f t="shared" si="10"/>
        <v>0.73040000000000005</v>
      </c>
      <c r="W48" s="6">
        <f t="shared" si="11"/>
        <v>0.68202444444444477</v>
      </c>
      <c r="X48" s="7">
        <f t="shared" si="12"/>
        <v>7.4701472556894272E-2</v>
      </c>
    </row>
    <row r="49" spans="1:24" s="4" customFormat="1" x14ac:dyDescent="0.25">
      <c r="A49" s="5"/>
      <c r="B49" s="5" t="s">
        <v>71</v>
      </c>
      <c r="C49" s="9">
        <f>R49</f>
        <v>27.80740740740741</v>
      </c>
      <c r="D49" s="14">
        <f t="shared" si="21"/>
        <v>0</v>
      </c>
      <c r="E49" s="6">
        <v>12.7</v>
      </c>
      <c r="F49" s="6">
        <f t="shared" si="14"/>
        <v>1.016</v>
      </c>
      <c r="G49" s="6">
        <v>0</v>
      </c>
      <c r="H49" s="6">
        <v>0.3</v>
      </c>
      <c r="I49" s="7">
        <v>0.14000000000000001</v>
      </c>
      <c r="J49" s="6">
        <v>0</v>
      </c>
      <c r="K49" s="6">
        <v>1</v>
      </c>
      <c r="L49" s="6"/>
      <c r="M49" s="11">
        <f t="shared" si="15"/>
        <v>0.1</v>
      </c>
      <c r="N49" s="5">
        <v>0</v>
      </c>
      <c r="O49" s="11">
        <f t="shared" si="16"/>
        <v>0.05</v>
      </c>
      <c r="P49" s="7">
        <f t="shared" si="23"/>
        <v>0.17</v>
      </c>
      <c r="Q49" s="6">
        <f t="shared" si="22"/>
        <v>0</v>
      </c>
      <c r="R49" s="6">
        <f t="shared" si="18"/>
        <v>27.80740740740741</v>
      </c>
      <c r="S49" s="40">
        <f>R49*(1+$S$1)</f>
        <v>30.588148148148154</v>
      </c>
      <c r="T49" s="40"/>
      <c r="U49" s="40">
        <f t="shared" si="9"/>
        <v>0</v>
      </c>
      <c r="V49" s="40">
        <f t="shared" si="10"/>
        <v>1.016</v>
      </c>
      <c r="W49" s="6">
        <f t="shared" si="11"/>
        <v>0.9176444444444446</v>
      </c>
      <c r="X49" s="7">
        <f t="shared" si="12"/>
        <v>7.2255468066491704E-2</v>
      </c>
    </row>
  </sheetData>
  <autoFilter ref="A2:R49" xr:uid="{32ADF463-67BE-4B40-B1D3-F7FDD3169699}"/>
  <dataValidations count="1">
    <dataValidation type="list" allowBlank="1" showInputMessage="1" showErrorMessage="1" sqref="A3:A39 A44:A49" xr:uid="{8AF3A497-2195-4BD3-B00C-5BF8E41EF07C}">
      <formula1>#REF!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43E2-975E-4134-84DE-82A5B3730C1E}">
  <dimension ref="A1:AB50"/>
  <sheetViews>
    <sheetView workbookViewId="0">
      <pane xSplit="7" ySplit="2" topLeftCell="K33" activePane="bottomRight" state="frozen"/>
      <selection pane="topRight" activeCell="E1" sqref="E1"/>
      <selection pane="bottomLeft" activeCell="A3" sqref="A3"/>
      <selection pane="bottomRight" activeCell="H50" sqref="H50"/>
    </sheetView>
  </sheetViews>
  <sheetFormatPr defaultRowHeight="15" x14ac:dyDescent="0.25"/>
  <cols>
    <col min="1" max="1" width="9" bestFit="1" customWidth="1"/>
    <col min="2" max="2" width="12.5703125" customWidth="1"/>
    <col min="3" max="3" width="52.5703125" customWidth="1"/>
    <col min="4" max="4" width="14.42578125" bestFit="1" customWidth="1"/>
    <col min="5" max="5" width="11.42578125" style="4" bestFit="1" customWidth="1"/>
    <col min="6" max="6" width="12.28515625" customWidth="1"/>
    <col min="7" max="7" width="8.85546875" customWidth="1"/>
    <col min="8" max="8" width="9.140625" customWidth="1"/>
    <col min="9" max="9" width="9.140625" hidden="1" customWidth="1"/>
    <col min="10" max="10" width="9.140625" customWidth="1"/>
    <col min="11" max="11" width="11" customWidth="1"/>
    <col min="12" max="15" width="10.85546875" hidden="1" customWidth="1"/>
    <col min="16" max="16" width="10.85546875" customWidth="1"/>
    <col min="17" max="17" width="12.28515625" hidden="1" customWidth="1"/>
    <col min="18" max="18" width="10.85546875" customWidth="1"/>
    <col min="19" max="19" width="14.7109375" customWidth="1"/>
    <col min="20" max="20" width="9.140625" customWidth="1"/>
    <col min="21" max="21" width="11.28515625" customWidth="1"/>
    <col min="22" max="22" width="11.42578125" customWidth="1"/>
    <col min="23" max="23" width="12.7109375" customWidth="1"/>
    <col min="24" max="25" width="13" customWidth="1"/>
    <col min="26" max="27" width="15.85546875" customWidth="1"/>
    <col min="28" max="28" width="53.140625" bestFit="1" customWidth="1"/>
  </cols>
  <sheetData>
    <row r="1" spans="1:28" ht="106.5" customHeight="1" x14ac:dyDescent="0.25">
      <c r="A1" s="24" t="s">
        <v>0</v>
      </c>
      <c r="B1" s="24"/>
      <c r="C1" s="25">
        <v>45775</v>
      </c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s="12" customFormat="1" ht="45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84</v>
      </c>
      <c r="F2" s="13" t="s">
        <v>5</v>
      </c>
      <c r="G2" s="13" t="s">
        <v>6</v>
      </c>
      <c r="H2" s="13" t="s">
        <v>7</v>
      </c>
      <c r="I2" s="13"/>
      <c r="J2" s="13" t="s">
        <v>9</v>
      </c>
      <c r="K2" s="13" t="s">
        <v>10</v>
      </c>
      <c r="L2" s="34"/>
      <c r="M2" s="34"/>
      <c r="N2" s="13"/>
      <c r="O2" s="13" t="s">
        <v>62</v>
      </c>
      <c r="P2" s="13" t="s">
        <v>12</v>
      </c>
      <c r="Q2" s="13" t="s">
        <v>13</v>
      </c>
      <c r="R2" s="16" t="s">
        <v>120</v>
      </c>
      <c r="S2" s="13" t="s">
        <v>85</v>
      </c>
      <c r="T2" s="13" t="s">
        <v>86</v>
      </c>
      <c r="U2" s="13" t="s">
        <v>87</v>
      </c>
      <c r="V2" s="15" t="s">
        <v>15</v>
      </c>
      <c r="W2" s="15" t="s">
        <v>16</v>
      </c>
      <c r="X2" s="13" t="s">
        <v>88</v>
      </c>
      <c r="Y2" s="13" t="s">
        <v>89</v>
      </c>
      <c r="Z2" s="13" t="s">
        <v>90</v>
      </c>
      <c r="AA2" s="13" t="s">
        <v>91</v>
      </c>
      <c r="AB2" s="12" t="s">
        <v>92</v>
      </c>
    </row>
    <row r="3" spans="1:28" s="4" customFormat="1" x14ac:dyDescent="0.25">
      <c r="A3" s="5" t="s">
        <v>17</v>
      </c>
      <c r="B3" s="5"/>
      <c r="C3" s="5" t="s">
        <v>18</v>
      </c>
      <c r="D3" s="5"/>
      <c r="E3" s="10"/>
      <c r="F3" s="9"/>
      <c r="G3" s="14" t="e">
        <f t="shared" ref="G3:G10" si="0">V3/F3</f>
        <v>#DIV/0!</v>
      </c>
      <c r="H3" s="6">
        <v>8</v>
      </c>
      <c r="I3" s="6"/>
      <c r="J3" s="6">
        <v>0</v>
      </c>
      <c r="K3" s="6">
        <v>0.3</v>
      </c>
      <c r="L3" s="7"/>
      <c r="M3" s="6"/>
      <c r="N3" s="6"/>
      <c r="O3" s="6"/>
      <c r="P3" s="7">
        <v>8.6999999999999994E-2</v>
      </c>
      <c r="Q3" s="5">
        <v>0</v>
      </c>
      <c r="R3" s="11">
        <v>0.1</v>
      </c>
      <c r="S3" s="7">
        <v>0.05</v>
      </c>
      <c r="T3" s="7">
        <v>0.05</v>
      </c>
      <c r="U3" s="7">
        <v>7.0000000000000007E-2</v>
      </c>
      <c r="V3" s="6">
        <f t="shared" ref="V3:V10" si="1">F3-W3</f>
        <v>-12.908242612752723</v>
      </c>
      <c r="W3" s="6">
        <f t="shared" ref="W3:W10" si="2">(H3+I3+M3+N3+J3+K3 - O3)/(1 - (L3 + P3 + R3 + S3 + T3 + U3 + Q3))</f>
        <v>12.908242612752723</v>
      </c>
      <c r="X3" s="11"/>
      <c r="Y3" s="11"/>
      <c r="Z3" s="8"/>
      <c r="AA3" s="6"/>
    </row>
    <row r="4" spans="1:28" s="4" customFormat="1" x14ac:dyDescent="0.25">
      <c r="A4" s="5" t="s">
        <v>17</v>
      </c>
      <c r="B4" s="5"/>
      <c r="C4" s="5" t="s">
        <v>19</v>
      </c>
      <c r="D4" s="5"/>
      <c r="E4" s="10"/>
      <c r="F4" s="9"/>
      <c r="G4" s="14" t="e">
        <f t="shared" si="0"/>
        <v>#DIV/0!</v>
      </c>
      <c r="H4" s="6">
        <v>8</v>
      </c>
      <c r="I4" s="6"/>
      <c r="J4" s="6">
        <v>0</v>
      </c>
      <c r="K4" s="6">
        <v>0.3</v>
      </c>
      <c r="L4" s="7"/>
      <c r="M4" s="6"/>
      <c r="N4" s="6"/>
      <c r="O4" s="6"/>
      <c r="P4" s="7">
        <v>8.6999999999999994E-2</v>
      </c>
      <c r="Q4" s="5">
        <v>0</v>
      </c>
      <c r="R4" s="11">
        <v>0.1</v>
      </c>
      <c r="S4" s="7">
        <v>0.05</v>
      </c>
      <c r="T4" s="7">
        <v>0.05</v>
      </c>
      <c r="U4" s="7">
        <v>7.0000000000000007E-2</v>
      </c>
      <c r="V4" s="6">
        <f t="shared" si="1"/>
        <v>-12.908242612752723</v>
      </c>
      <c r="W4" s="6">
        <f t="shared" si="2"/>
        <v>12.908242612752723</v>
      </c>
      <c r="X4" s="11"/>
      <c r="Y4" s="11"/>
      <c r="Z4" s="8"/>
      <c r="AA4" s="6"/>
    </row>
    <row r="5" spans="1:28" s="4" customFormat="1" x14ac:dyDescent="0.25">
      <c r="A5" s="5" t="s">
        <v>17</v>
      </c>
      <c r="B5" s="5"/>
      <c r="C5" s="5" t="s">
        <v>20</v>
      </c>
      <c r="D5" s="5"/>
      <c r="E5" s="10"/>
      <c r="F5" s="9"/>
      <c r="G5" s="14" t="e">
        <f t="shared" si="0"/>
        <v>#DIV/0!</v>
      </c>
      <c r="H5" s="6">
        <v>8</v>
      </c>
      <c r="I5" s="6"/>
      <c r="J5" s="6">
        <v>0</v>
      </c>
      <c r="K5" s="6">
        <v>0.3</v>
      </c>
      <c r="L5" s="7"/>
      <c r="M5" s="6"/>
      <c r="N5" s="6"/>
      <c r="O5" s="6"/>
      <c r="P5" s="7">
        <v>8.6999999999999994E-2</v>
      </c>
      <c r="Q5" s="5">
        <v>0</v>
      </c>
      <c r="R5" s="11">
        <v>0.1</v>
      </c>
      <c r="S5" s="7">
        <v>0.05</v>
      </c>
      <c r="T5" s="7">
        <v>0.05</v>
      </c>
      <c r="U5" s="7">
        <v>7.0000000000000007E-2</v>
      </c>
      <c r="V5" s="6">
        <f t="shared" si="1"/>
        <v>-12.908242612752723</v>
      </c>
      <c r="W5" s="6">
        <f t="shared" si="2"/>
        <v>12.908242612752723</v>
      </c>
      <c r="X5" s="11"/>
      <c r="Y5" s="11"/>
      <c r="Z5" s="8"/>
      <c r="AA5" s="6"/>
    </row>
    <row r="6" spans="1:28" s="4" customFormat="1" x14ac:dyDescent="0.25">
      <c r="A6" s="5"/>
      <c r="B6" s="5"/>
      <c r="C6" s="5" t="s">
        <v>21</v>
      </c>
      <c r="D6" s="5"/>
      <c r="E6" s="6"/>
      <c r="F6" s="9"/>
      <c r="G6" s="14" t="e">
        <f t="shared" si="0"/>
        <v>#DIV/0!</v>
      </c>
      <c r="H6" s="6">
        <v>10</v>
      </c>
      <c r="I6" s="6"/>
      <c r="J6" s="6">
        <v>0</v>
      </c>
      <c r="K6" s="6">
        <v>0.3</v>
      </c>
      <c r="L6" s="7"/>
      <c r="M6" s="6"/>
      <c r="N6" s="6"/>
      <c r="O6" s="6"/>
      <c r="P6" s="7">
        <v>8.3000000000000004E-2</v>
      </c>
      <c r="Q6" s="5">
        <v>0</v>
      </c>
      <c r="R6" s="11">
        <v>0.1</v>
      </c>
      <c r="S6" s="7">
        <v>0.05</v>
      </c>
      <c r="T6" s="7">
        <v>0.05</v>
      </c>
      <c r="U6" s="7">
        <v>7.0000000000000007E-2</v>
      </c>
      <c r="V6" s="6">
        <f t="shared" si="1"/>
        <v>-15.919629057187018</v>
      </c>
      <c r="W6" s="6">
        <f t="shared" si="2"/>
        <v>15.919629057187018</v>
      </c>
      <c r="X6" s="8">
        <v>7.51E-2</v>
      </c>
      <c r="Y6" s="8"/>
      <c r="Z6" s="8">
        <v>0.99</v>
      </c>
      <c r="AA6" s="8"/>
      <c r="AB6" s="3"/>
    </row>
    <row r="7" spans="1:28" s="4" customFormat="1" x14ac:dyDescent="0.25">
      <c r="A7" s="5" t="s">
        <v>17</v>
      </c>
      <c r="B7" s="5"/>
      <c r="C7" s="5" t="s">
        <v>22</v>
      </c>
      <c r="D7" s="5"/>
      <c r="E7" s="10"/>
      <c r="F7" s="9"/>
      <c r="G7" s="14" t="e">
        <f t="shared" si="0"/>
        <v>#DIV/0!</v>
      </c>
      <c r="H7" s="6">
        <v>8.5</v>
      </c>
      <c r="I7" s="6"/>
      <c r="J7" s="6">
        <v>0</v>
      </c>
      <c r="K7" s="6">
        <v>0.3</v>
      </c>
      <c r="L7" s="7"/>
      <c r="M7" s="6"/>
      <c r="N7" s="6"/>
      <c r="O7" s="6"/>
      <c r="P7" s="7">
        <v>8.6999999999999994E-2</v>
      </c>
      <c r="Q7" s="5">
        <v>0</v>
      </c>
      <c r="R7" s="11">
        <v>0.1</v>
      </c>
      <c r="S7" s="7">
        <v>0.05</v>
      </c>
      <c r="T7" s="7">
        <v>0.05</v>
      </c>
      <c r="U7" s="7">
        <v>7.0000000000000007E-2</v>
      </c>
      <c r="V7" s="6">
        <f t="shared" si="1"/>
        <v>-13.685847589424574</v>
      </c>
      <c r="W7" s="6">
        <f t="shared" si="2"/>
        <v>13.685847589424574</v>
      </c>
      <c r="X7" s="11"/>
      <c r="Y7" s="11"/>
      <c r="Z7" s="8"/>
      <c r="AA7" s="6"/>
    </row>
    <row r="8" spans="1:28" s="4" customFormat="1" x14ac:dyDescent="0.25">
      <c r="A8" s="5" t="s">
        <v>17</v>
      </c>
      <c r="B8" s="5"/>
      <c r="C8" s="5" t="s">
        <v>23</v>
      </c>
      <c r="D8" s="5"/>
      <c r="E8" s="10"/>
      <c r="F8" s="9"/>
      <c r="G8" s="14" t="e">
        <f t="shared" si="0"/>
        <v>#DIV/0!</v>
      </c>
      <c r="H8" s="6">
        <v>8.5</v>
      </c>
      <c r="I8" s="6"/>
      <c r="J8" s="6">
        <v>0</v>
      </c>
      <c r="K8" s="6">
        <v>0.3</v>
      </c>
      <c r="L8" s="7"/>
      <c r="M8" s="6"/>
      <c r="N8" s="6"/>
      <c r="O8" s="6"/>
      <c r="P8" s="7">
        <v>8.6999999999999994E-2</v>
      </c>
      <c r="Q8" s="5">
        <v>0</v>
      </c>
      <c r="R8" s="11">
        <v>0.1</v>
      </c>
      <c r="S8" s="7">
        <v>0.05</v>
      </c>
      <c r="T8" s="7">
        <v>0.05</v>
      </c>
      <c r="U8" s="7">
        <v>7.0000000000000007E-2</v>
      </c>
      <c r="V8" s="6">
        <f t="shared" si="1"/>
        <v>-13.685847589424574</v>
      </c>
      <c r="W8" s="6">
        <f t="shared" si="2"/>
        <v>13.685847589424574</v>
      </c>
      <c r="X8" s="11"/>
      <c r="Y8" s="11"/>
      <c r="Z8" s="8"/>
      <c r="AA8" s="6"/>
    </row>
    <row r="9" spans="1:28" s="4" customFormat="1" x14ac:dyDescent="0.25">
      <c r="A9" s="5" t="s">
        <v>17</v>
      </c>
      <c r="B9" s="5"/>
      <c r="C9" s="5" t="s">
        <v>24</v>
      </c>
      <c r="D9" s="5"/>
      <c r="E9" s="10"/>
      <c r="F9" s="9"/>
      <c r="G9" s="14" t="e">
        <f t="shared" si="0"/>
        <v>#DIV/0!</v>
      </c>
      <c r="H9" s="6">
        <v>14</v>
      </c>
      <c r="I9" s="6"/>
      <c r="J9" s="6">
        <v>0</v>
      </c>
      <c r="K9" s="6">
        <v>0.3</v>
      </c>
      <c r="L9" s="7"/>
      <c r="M9" s="6"/>
      <c r="N9" s="6"/>
      <c r="O9" s="6"/>
      <c r="P9" s="7">
        <v>8.6999999999999994E-2</v>
      </c>
      <c r="Q9" s="5">
        <v>0</v>
      </c>
      <c r="R9" s="11">
        <v>0.1</v>
      </c>
      <c r="S9" s="7">
        <v>0.05</v>
      </c>
      <c r="T9" s="7">
        <v>0.05</v>
      </c>
      <c r="U9" s="7">
        <v>7.0000000000000007E-2</v>
      </c>
      <c r="V9" s="6">
        <f t="shared" si="1"/>
        <v>-22.239502332814929</v>
      </c>
      <c r="W9" s="6">
        <f t="shared" si="2"/>
        <v>22.239502332814929</v>
      </c>
      <c r="X9" s="11"/>
      <c r="Y9" s="11"/>
      <c r="Z9" s="8"/>
      <c r="AA9" s="6"/>
    </row>
    <row r="10" spans="1:28" s="4" customFormat="1" x14ac:dyDescent="0.25">
      <c r="A10" s="5" t="s">
        <v>17</v>
      </c>
      <c r="B10" s="5"/>
      <c r="C10" s="5" t="s">
        <v>25</v>
      </c>
      <c r="D10" s="5"/>
      <c r="E10" s="10"/>
      <c r="F10" s="9"/>
      <c r="G10" s="14" t="e">
        <f t="shared" si="0"/>
        <v>#DIV/0!</v>
      </c>
      <c r="H10" s="6">
        <v>14</v>
      </c>
      <c r="I10" s="6"/>
      <c r="J10" s="6">
        <v>0</v>
      </c>
      <c r="K10" s="6">
        <v>0.3</v>
      </c>
      <c r="L10" s="7"/>
      <c r="M10" s="6"/>
      <c r="N10" s="6"/>
      <c r="O10" s="6"/>
      <c r="P10" s="7">
        <v>8.6999999999999994E-2</v>
      </c>
      <c r="Q10" s="5">
        <v>0</v>
      </c>
      <c r="R10" s="11">
        <v>0.1</v>
      </c>
      <c r="S10" s="7">
        <v>0.05</v>
      </c>
      <c r="T10" s="7">
        <v>0.05</v>
      </c>
      <c r="U10" s="7">
        <v>7.0000000000000007E-2</v>
      </c>
      <c r="V10" s="6">
        <f t="shared" si="1"/>
        <v>-22.239502332814929</v>
      </c>
      <c r="W10" s="6">
        <f t="shared" si="2"/>
        <v>22.239502332814929</v>
      </c>
      <c r="X10" s="11"/>
      <c r="Y10" s="11"/>
      <c r="Z10" s="8"/>
      <c r="AA10" s="6"/>
    </row>
    <row r="11" spans="1:28" s="4" customFormat="1" x14ac:dyDescent="0.25">
      <c r="A11" s="5" t="s">
        <v>17</v>
      </c>
      <c r="B11" s="5"/>
      <c r="C11" s="5" t="s">
        <v>66</v>
      </c>
      <c r="D11" s="5"/>
      <c r="E11" s="10"/>
      <c r="F11" s="9"/>
      <c r="G11" s="14"/>
      <c r="H11" s="6"/>
      <c r="I11" s="6"/>
      <c r="J11" s="6"/>
      <c r="K11" s="6"/>
      <c r="L11" s="7"/>
      <c r="M11" s="6"/>
      <c r="N11" s="6"/>
      <c r="O11" s="6"/>
      <c r="P11" s="7">
        <v>8.6999999999999994E-2</v>
      </c>
      <c r="Q11" s="5"/>
      <c r="R11" s="11">
        <v>0.1</v>
      </c>
      <c r="S11" s="7"/>
      <c r="T11" s="7"/>
      <c r="U11" s="7"/>
      <c r="V11" s="6"/>
      <c r="W11" s="6"/>
      <c r="X11" s="11"/>
      <c r="Y11" s="11"/>
      <c r="Z11" s="8"/>
      <c r="AA11" s="6"/>
    </row>
    <row r="12" spans="1:28" s="4" customFormat="1" x14ac:dyDescent="0.25">
      <c r="A12" s="5" t="s">
        <v>17</v>
      </c>
      <c r="B12" s="5"/>
      <c r="C12" s="5" t="s">
        <v>26</v>
      </c>
      <c r="D12" s="5"/>
      <c r="E12" s="10"/>
      <c r="F12" s="9">
        <f>108.36/12</f>
        <v>9.0299999999999994</v>
      </c>
      <c r="G12" s="14">
        <f>V12/F12</f>
        <v>4.4140061898389475E-2</v>
      </c>
      <c r="H12" s="6">
        <v>5.25</v>
      </c>
      <c r="I12" s="6"/>
      <c r="J12" s="6">
        <v>0</v>
      </c>
      <c r="K12" s="6">
        <v>0.3</v>
      </c>
      <c r="L12" s="7"/>
      <c r="M12" s="6"/>
      <c r="N12" s="6"/>
      <c r="O12" s="6"/>
      <c r="P12" s="7">
        <v>8.6999999999999994E-2</v>
      </c>
      <c r="Q12" s="5">
        <v>0</v>
      </c>
      <c r="R12" s="11">
        <v>0.1</v>
      </c>
      <c r="S12" s="7">
        <v>0.05</v>
      </c>
      <c r="T12" s="7">
        <v>0.05</v>
      </c>
      <c r="U12" s="7">
        <v>7.0000000000000007E-2</v>
      </c>
      <c r="V12" s="6">
        <f>F12-W12</f>
        <v>0.39858475894245693</v>
      </c>
      <c r="W12" s="6">
        <f>(H12+I12+M12+N12+J12+K12 - O12)/(1 - (L12 + P12 + R12 + S12 + T12 + U12 + Q12))</f>
        <v>8.6314152410575424</v>
      </c>
      <c r="X12" s="11"/>
      <c r="Y12" s="11"/>
      <c r="Z12" s="8"/>
      <c r="AA12" s="6"/>
    </row>
    <row r="13" spans="1:28" s="4" customFormat="1" x14ac:dyDescent="0.25">
      <c r="A13" s="5" t="s">
        <v>17</v>
      </c>
      <c r="B13" s="5"/>
      <c r="C13" s="5" t="s">
        <v>27</v>
      </c>
      <c r="D13" s="5"/>
      <c r="E13" s="10"/>
      <c r="F13" s="9">
        <f>243.6/12</f>
        <v>20.3</v>
      </c>
      <c r="G13" s="14">
        <f>V13/F13</f>
        <v>7.3002934213852885E-2</v>
      </c>
      <c r="H13" s="6">
        <v>11.8</v>
      </c>
      <c r="I13" s="6"/>
      <c r="J13" s="6">
        <v>0</v>
      </c>
      <c r="K13" s="6">
        <v>0.3</v>
      </c>
      <c r="L13" s="7"/>
      <c r="M13" s="6"/>
      <c r="N13" s="6"/>
      <c r="O13" s="6"/>
      <c r="P13" s="7">
        <v>8.6999999999999994E-2</v>
      </c>
      <c r="Q13" s="5">
        <v>0</v>
      </c>
      <c r="R13" s="11">
        <v>0.1</v>
      </c>
      <c r="S13" s="7">
        <v>0.05</v>
      </c>
      <c r="T13" s="7">
        <v>0.05</v>
      </c>
      <c r="U13" s="7">
        <v>7.0000000000000007E-2</v>
      </c>
      <c r="V13" s="6">
        <f>F13-W13</f>
        <v>1.4819595645412136</v>
      </c>
      <c r="W13" s="6">
        <f>(H13+I13+M13+N13+J13+K13 - O13)/(1 - (L13 + P13 + R13 + S13 + T13 + U13 + Q13))</f>
        <v>18.818040435458787</v>
      </c>
      <c r="X13" s="11"/>
      <c r="Y13" s="11"/>
      <c r="Z13" s="8"/>
      <c r="AA13" s="6"/>
    </row>
    <row r="14" spans="1:28" s="4" customFormat="1" x14ac:dyDescent="0.25">
      <c r="A14" s="5" t="s">
        <v>17</v>
      </c>
      <c r="B14" s="5"/>
      <c r="C14" s="5" t="s">
        <v>28</v>
      </c>
      <c r="D14" s="5"/>
      <c r="E14" s="10"/>
      <c r="F14" s="9">
        <f>472.56/12</f>
        <v>39.380000000000003</v>
      </c>
      <c r="G14" s="14">
        <f>V14/F14</f>
        <v>8.3776766948352815E-2</v>
      </c>
      <c r="H14" s="6">
        <v>22.9</v>
      </c>
      <c r="I14" s="6"/>
      <c r="J14" s="6">
        <v>0</v>
      </c>
      <c r="K14" s="6">
        <v>0.3</v>
      </c>
      <c r="L14" s="7"/>
      <c r="M14" s="6"/>
      <c r="N14" s="6"/>
      <c r="O14" s="6"/>
      <c r="P14" s="7">
        <v>8.6999999999999994E-2</v>
      </c>
      <c r="Q14" s="5">
        <v>0</v>
      </c>
      <c r="R14" s="11">
        <v>0.1</v>
      </c>
      <c r="S14" s="7">
        <v>0.05</v>
      </c>
      <c r="T14" s="7">
        <v>0.05</v>
      </c>
      <c r="U14" s="7">
        <v>7.0000000000000007E-2</v>
      </c>
      <c r="V14" s="6">
        <f>F14-W14</f>
        <v>3.2991290824261341</v>
      </c>
      <c r="W14" s="6">
        <f>(H14+I14+M14+N14+J14+K14 - O14)/(1 - (L14 + P14 + R14 + S14 + T14 + U14 + Q14))</f>
        <v>36.080870917573868</v>
      </c>
      <c r="X14" s="11"/>
      <c r="Y14" s="11"/>
      <c r="Z14" s="8"/>
      <c r="AA14" s="6"/>
    </row>
    <row r="15" spans="1:28" s="4" customFormat="1" x14ac:dyDescent="0.25">
      <c r="A15" s="5" t="s">
        <v>17</v>
      </c>
      <c r="B15" s="5"/>
      <c r="C15" s="3" t="s">
        <v>29</v>
      </c>
      <c r="D15" s="3"/>
      <c r="E15" s="10"/>
      <c r="F15" s="9"/>
      <c r="G15" s="14" t="e">
        <f>V15/F15</f>
        <v>#DIV/0!</v>
      </c>
      <c r="H15" s="6">
        <v>75.58</v>
      </c>
      <c r="I15" s="6"/>
      <c r="J15" s="6">
        <v>0.6</v>
      </c>
      <c r="K15" s="6">
        <v>2</v>
      </c>
      <c r="L15" s="7"/>
      <c r="M15" s="6"/>
      <c r="N15" s="6"/>
      <c r="O15" s="6"/>
      <c r="P15" s="7">
        <v>8.6999999999999994E-2</v>
      </c>
      <c r="Q15" s="5">
        <v>0</v>
      </c>
      <c r="R15" s="11">
        <v>0.1</v>
      </c>
      <c r="S15" s="7">
        <v>0.05</v>
      </c>
      <c r="T15" s="7">
        <v>0.05</v>
      </c>
      <c r="U15" s="7">
        <v>7.0000000000000007E-2</v>
      </c>
      <c r="V15" s="6">
        <f>F15-W15</f>
        <v>-121.58631415241057</v>
      </c>
      <c r="W15" s="6">
        <f>(H15+I15+M15+N15+J15+K15 - O15)/(1 - (L15 + P15 + R15 + S15 + T15 + U15 + Q15))</f>
        <v>121.58631415241057</v>
      </c>
      <c r="X15" s="11"/>
      <c r="Y15" s="11"/>
      <c r="Z15" s="8"/>
      <c r="AA15" s="6"/>
    </row>
    <row r="16" spans="1:28" s="4" customFormat="1" x14ac:dyDescent="0.25">
      <c r="A16" s="5" t="s">
        <v>17</v>
      </c>
      <c r="B16" s="5"/>
      <c r="C16" s="3" t="s">
        <v>67</v>
      </c>
      <c r="D16" s="3"/>
      <c r="E16" s="10"/>
      <c r="F16" s="9"/>
      <c r="G16" s="14"/>
      <c r="H16" s="6"/>
      <c r="I16" s="6"/>
      <c r="J16" s="6"/>
      <c r="K16" s="6"/>
      <c r="L16" s="7"/>
      <c r="M16" s="6"/>
      <c r="N16" s="6"/>
      <c r="O16" s="6"/>
      <c r="P16" s="7">
        <v>8.6999999999999994E-2</v>
      </c>
      <c r="Q16" s="5"/>
      <c r="R16" s="11">
        <v>0.1</v>
      </c>
      <c r="S16" s="7"/>
      <c r="T16" s="7"/>
      <c r="U16" s="7"/>
      <c r="V16" s="6"/>
      <c r="W16" s="6"/>
      <c r="X16" s="11"/>
      <c r="Y16" s="11"/>
      <c r="Z16" s="8"/>
      <c r="AA16" s="6"/>
    </row>
    <row r="17" spans="1:28" s="4" customFormat="1" x14ac:dyDescent="0.25">
      <c r="A17" s="5" t="s">
        <v>17</v>
      </c>
      <c r="B17" s="5"/>
      <c r="C17" s="3" t="s">
        <v>68</v>
      </c>
      <c r="D17" s="3"/>
      <c r="E17" s="10"/>
      <c r="F17" s="9"/>
      <c r="G17" s="14"/>
      <c r="H17" s="6"/>
      <c r="I17" s="6"/>
      <c r="J17" s="6"/>
      <c r="K17" s="6"/>
      <c r="L17" s="7"/>
      <c r="M17" s="6"/>
      <c r="N17" s="6"/>
      <c r="O17" s="6"/>
      <c r="P17" s="7">
        <v>8.6999999999999994E-2</v>
      </c>
      <c r="Q17" s="5"/>
      <c r="R17" s="11">
        <v>0.1</v>
      </c>
      <c r="S17" s="7"/>
      <c r="T17" s="7"/>
      <c r="U17" s="7"/>
      <c r="V17" s="6"/>
      <c r="W17" s="6"/>
      <c r="X17" s="11"/>
      <c r="Y17" s="11"/>
      <c r="Z17" s="8"/>
      <c r="AA17" s="6"/>
    </row>
    <row r="18" spans="1:28" s="4" customFormat="1" x14ac:dyDescent="0.25">
      <c r="A18" s="5"/>
      <c r="B18" s="5"/>
      <c r="C18" s="3" t="s">
        <v>30</v>
      </c>
      <c r="D18" s="3"/>
      <c r="E18" s="6"/>
      <c r="F18" s="9"/>
      <c r="G18" s="14" t="e">
        <f t="shared" ref="G18:G50" si="3">V18/F18</f>
        <v>#DIV/0!</v>
      </c>
      <c r="H18" s="6">
        <v>30.46</v>
      </c>
      <c r="I18" s="6"/>
      <c r="J18" s="6">
        <v>0</v>
      </c>
      <c r="K18" s="6">
        <v>0</v>
      </c>
      <c r="L18" s="7"/>
      <c r="M18" s="6"/>
      <c r="N18" s="6"/>
      <c r="O18" s="6"/>
      <c r="P18" s="7">
        <v>8.6999999999999994E-2</v>
      </c>
      <c r="Q18" s="5">
        <v>0</v>
      </c>
      <c r="R18" s="11">
        <v>0.1</v>
      </c>
      <c r="S18" s="7">
        <v>0.05</v>
      </c>
      <c r="T18" s="7">
        <v>0.05</v>
      </c>
      <c r="U18" s="7">
        <v>7.0000000000000007E-2</v>
      </c>
      <c r="V18" s="6">
        <f t="shared" ref="V18:V50" si="4">F18-W18</f>
        <v>-47.371695178849144</v>
      </c>
      <c r="W18" s="6">
        <f t="shared" ref="W18:W50" si="5">(H18+I18+M18+N18+J18+K18 - O18)/(1 - (L18 + P18 + R18 + S18 + T18 + U18 + Q18))</f>
        <v>47.371695178849144</v>
      </c>
      <c r="X18" s="8">
        <v>0</v>
      </c>
      <c r="Y18" s="8">
        <v>0</v>
      </c>
      <c r="Z18" s="8">
        <v>0.55000000000000004</v>
      </c>
      <c r="AA18" s="6">
        <v>6.23</v>
      </c>
      <c r="AB18" s="3"/>
    </row>
    <row r="19" spans="1:28" s="4" customFormat="1" x14ac:dyDescent="0.25">
      <c r="A19" s="5" t="s">
        <v>17</v>
      </c>
      <c r="B19" s="5"/>
      <c r="C19" s="3" t="s">
        <v>31</v>
      </c>
      <c r="D19" s="3"/>
      <c r="E19" s="10"/>
      <c r="F19" s="9"/>
      <c r="G19" s="14" t="e">
        <f t="shared" si="3"/>
        <v>#DIV/0!</v>
      </c>
      <c r="H19" s="6">
        <v>45</v>
      </c>
      <c r="I19" s="6"/>
      <c r="J19" s="6">
        <v>0.6</v>
      </c>
      <c r="K19" s="6">
        <v>0.5</v>
      </c>
      <c r="L19" s="7"/>
      <c r="M19" s="6"/>
      <c r="N19" s="6"/>
      <c r="O19" s="6"/>
      <c r="P19" s="7">
        <v>8.6999999999999994E-2</v>
      </c>
      <c r="Q19" s="5">
        <v>0</v>
      </c>
      <c r="R19" s="11">
        <v>0.1</v>
      </c>
      <c r="S19" s="7">
        <v>0.05</v>
      </c>
      <c r="T19" s="7">
        <v>0.1</v>
      </c>
      <c r="U19" s="7">
        <v>7.0000000000000007E-2</v>
      </c>
      <c r="V19" s="6">
        <f t="shared" si="4"/>
        <v>-77.740303541315356</v>
      </c>
      <c r="W19" s="6">
        <f t="shared" si="5"/>
        <v>77.740303541315356</v>
      </c>
      <c r="X19" s="11"/>
      <c r="Y19" s="11"/>
      <c r="Z19" s="8"/>
      <c r="AA19" s="6"/>
    </row>
    <row r="20" spans="1:28" s="4" customFormat="1" x14ac:dyDescent="0.25">
      <c r="A20" s="5" t="s">
        <v>32</v>
      </c>
      <c r="B20" s="5"/>
      <c r="C20" s="3" t="s">
        <v>31</v>
      </c>
      <c r="D20" s="3"/>
      <c r="E20" s="10"/>
      <c r="F20" s="9"/>
      <c r="G20" s="14" t="e">
        <f t="shared" si="3"/>
        <v>#DIV/0!</v>
      </c>
      <c r="H20" s="6">
        <v>49</v>
      </c>
      <c r="I20" s="6"/>
      <c r="J20" s="6">
        <v>0.6</v>
      </c>
      <c r="K20" s="6">
        <v>2</v>
      </c>
      <c r="L20" s="7"/>
      <c r="M20" s="6"/>
      <c r="N20" s="6"/>
      <c r="O20" s="6"/>
      <c r="P20" s="7">
        <v>8.6999999999999994E-2</v>
      </c>
      <c r="Q20" s="5">
        <v>0</v>
      </c>
      <c r="R20" s="11">
        <v>0.1</v>
      </c>
      <c r="S20" s="7">
        <v>0.05</v>
      </c>
      <c r="T20" s="7">
        <v>0.1</v>
      </c>
      <c r="U20" s="7">
        <v>7.0000000000000007E-2</v>
      </c>
      <c r="V20" s="6">
        <f t="shared" si="4"/>
        <v>-87.01517706576729</v>
      </c>
      <c r="W20" s="6">
        <f t="shared" si="5"/>
        <v>87.01517706576729</v>
      </c>
      <c r="X20" s="11"/>
      <c r="Y20" s="11"/>
      <c r="Z20" s="8"/>
      <c r="AA20" s="6"/>
    </row>
    <row r="21" spans="1:28" s="4" customFormat="1" x14ac:dyDescent="0.25">
      <c r="A21" s="5" t="s">
        <v>17</v>
      </c>
      <c r="B21" s="5"/>
      <c r="C21" s="3" t="s">
        <v>33</v>
      </c>
      <c r="D21" s="3"/>
      <c r="E21" s="10"/>
      <c r="F21" s="9"/>
      <c r="G21" s="14" t="e">
        <f t="shared" si="3"/>
        <v>#DIV/0!</v>
      </c>
      <c r="H21" s="6">
        <v>9.15</v>
      </c>
      <c r="I21" s="6"/>
      <c r="J21" s="6">
        <v>0.3</v>
      </c>
      <c r="K21" s="6">
        <v>1</v>
      </c>
      <c r="L21" s="7"/>
      <c r="M21" s="6"/>
      <c r="N21" s="6"/>
      <c r="O21" s="6"/>
      <c r="P21" s="7">
        <v>8.6999999999999994E-2</v>
      </c>
      <c r="Q21" s="5">
        <v>0</v>
      </c>
      <c r="R21" s="11">
        <v>0.1</v>
      </c>
      <c r="S21" s="7">
        <v>0.05</v>
      </c>
      <c r="T21" s="7">
        <v>0.05</v>
      </c>
      <c r="U21" s="7">
        <v>7.0000000000000007E-2</v>
      </c>
      <c r="V21" s="6">
        <f t="shared" si="4"/>
        <v>-16.25194401244168</v>
      </c>
      <c r="W21" s="6">
        <f t="shared" si="5"/>
        <v>16.25194401244168</v>
      </c>
      <c r="X21" s="11"/>
      <c r="Y21" s="11"/>
      <c r="Z21" s="8"/>
      <c r="AA21" s="6"/>
    </row>
    <row r="22" spans="1:28" s="4" customFormat="1" x14ac:dyDescent="0.25">
      <c r="A22" s="5" t="s">
        <v>17</v>
      </c>
      <c r="B22" s="5"/>
      <c r="C22" s="3" t="s">
        <v>34</v>
      </c>
      <c r="D22" s="3"/>
      <c r="E22" s="10"/>
      <c r="F22" s="9"/>
      <c r="G22" s="14" t="e">
        <f t="shared" si="3"/>
        <v>#DIV/0!</v>
      </c>
      <c r="H22" s="6">
        <v>15.39</v>
      </c>
      <c r="I22" s="6"/>
      <c r="J22" s="6">
        <v>1</v>
      </c>
      <c r="K22" s="6">
        <v>0</v>
      </c>
      <c r="L22" s="7"/>
      <c r="M22" s="6"/>
      <c r="N22" s="6"/>
      <c r="O22" s="6"/>
      <c r="P22" s="7">
        <v>8.6999999999999994E-2</v>
      </c>
      <c r="Q22" s="5">
        <v>0</v>
      </c>
      <c r="R22" s="11">
        <v>0.1</v>
      </c>
      <c r="S22" s="7">
        <v>0.05</v>
      </c>
      <c r="T22" s="7">
        <v>0.05</v>
      </c>
      <c r="U22" s="7">
        <v>7.0000000000000007E-2</v>
      </c>
      <c r="V22" s="6">
        <f t="shared" si="4"/>
        <v>-25.489891135303267</v>
      </c>
      <c r="W22" s="6">
        <f t="shared" si="5"/>
        <v>25.489891135303267</v>
      </c>
      <c r="X22" s="11"/>
      <c r="Y22" s="11"/>
      <c r="Z22" s="8"/>
      <c r="AA22" s="6"/>
    </row>
    <row r="23" spans="1:28" s="4" customFormat="1" x14ac:dyDescent="0.25">
      <c r="A23" s="5" t="s">
        <v>17</v>
      </c>
      <c r="B23" s="5"/>
      <c r="C23" s="3" t="s">
        <v>35</v>
      </c>
      <c r="D23" s="3"/>
      <c r="E23" s="10"/>
      <c r="F23" s="9"/>
      <c r="G23" s="14" t="e">
        <f t="shared" si="3"/>
        <v>#DIV/0!</v>
      </c>
      <c r="H23" s="6">
        <v>12.5</v>
      </c>
      <c r="I23" s="6"/>
      <c r="J23" s="6">
        <v>1</v>
      </c>
      <c r="K23" s="6">
        <v>0</v>
      </c>
      <c r="L23" s="7"/>
      <c r="M23" s="6"/>
      <c r="N23" s="6"/>
      <c r="O23" s="6"/>
      <c r="P23" s="7">
        <v>8.6999999999999994E-2</v>
      </c>
      <c r="Q23" s="5">
        <v>0</v>
      </c>
      <c r="R23" s="11">
        <v>0.1</v>
      </c>
      <c r="S23" s="7">
        <v>0.05</v>
      </c>
      <c r="T23" s="7">
        <v>0.05</v>
      </c>
      <c r="U23" s="7">
        <v>7.0000000000000007E-2</v>
      </c>
      <c r="V23" s="6">
        <f t="shared" si="4"/>
        <v>-20.995334370139968</v>
      </c>
      <c r="W23" s="6">
        <f t="shared" si="5"/>
        <v>20.995334370139968</v>
      </c>
      <c r="X23" s="11"/>
      <c r="Y23" s="11"/>
      <c r="Z23" s="8"/>
      <c r="AA23" s="6"/>
    </row>
    <row r="24" spans="1:28" s="4" customFormat="1" x14ac:dyDescent="0.25">
      <c r="A24" s="5" t="s">
        <v>17</v>
      </c>
      <c r="B24" s="5"/>
      <c r="C24" s="3" t="s">
        <v>36</v>
      </c>
      <c r="D24" s="3"/>
      <c r="E24" s="10"/>
      <c r="F24" s="9"/>
      <c r="G24" s="14" t="e">
        <f t="shared" si="3"/>
        <v>#DIV/0!</v>
      </c>
      <c r="H24" s="6">
        <v>13.5</v>
      </c>
      <c r="I24" s="6"/>
      <c r="J24" s="6">
        <v>1</v>
      </c>
      <c r="K24" s="6">
        <v>0</v>
      </c>
      <c r="L24" s="7"/>
      <c r="M24" s="6"/>
      <c r="N24" s="6"/>
      <c r="O24" s="6"/>
      <c r="P24" s="7">
        <v>8.6999999999999994E-2</v>
      </c>
      <c r="Q24" s="5">
        <v>0</v>
      </c>
      <c r="R24" s="11">
        <v>0.1</v>
      </c>
      <c r="S24" s="7">
        <v>0.05</v>
      </c>
      <c r="T24" s="7">
        <v>0.05</v>
      </c>
      <c r="U24" s="7">
        <v>7.0000000000000007E-2</v>
      </c>
      <c r="V24" s="6">
        <f t="shared" si="4"/>
        <v>-22.55054432348367</v>
      </c>
      <c r="W24" s="6">
        <f t="shared" si="5"/>
        <v>22.55054432348367</v>
      </c>
      <c r="X24" s="11"/>
      <c r="Y24" s="11"/>
      <c r="Z24" s="8"/>
      <c r="AA24" s="6"/>
    </row>
    <row r="25" spans="1:28" s="4" customFormat="1" x14ac:dyDescent="0.25">
      <c r="A25" s="5" t="s">
        <v>17</v>
      </c>
      <c r="B25" s="5"/>
      <c r="C25" s="3" t="s">
        <v>37</v>
      </c>
      <c r="D25" s="3"/>
      <c r="E25" s="10"/>
      <c r="F25" s="9"/>
      <c r="G25" s="14" t="e">
        <f t="shared" si="3"/>
        <v>#DIV/0!</v>
      </c>
      <c r="H25" s="6">
        <v>6.45</v>
      </c>
      <c r="I25" s="6"/>
      <c r="J25" s="6">
        <v>1</v>
      </c>
      <c r="K25" s="6">
        <v>0</v>
      </c>
      <c r="L25" s="7"/>
      <c r="M25" s="6"/>
      <c r="N25" s="6"/>
      <c r="O25" s="6"/>
      <c r="P25" s="7">
        <v>8.6999999999999994E-2</v>
      </c>
      <c r="Q25" s="5">
        <v>0</v>
      </c>
      <c r="R25" s="11">
        <v>0.1</v>
      </c>
      <c r="S25" s="7">
        <v>0.05</v>
      </c>
      <c r="T25" s="7">
        <v>0.05</v>
      </c>
      <c r="U25" s="7">
        <v>7.0000000000000007E-2</v>
      </c>
      <c r="V25" s="6">
        <f t="shared" si="4"/>
        <v>-11.586314152410575</v>
      </c>
      <c r="W25" s="6">
        <f t="shared" si="5"/>
        <v>11.586314152410575</v>
      </c>
      <c r="X25" s="11"/>
      <c r="Y25" s="11"/>
      <c r="Z25" s="8"/>
      <c r="AA25" s="6"/>
    </row>
    <row r="26" spans="1:28" s="4" customFormat="1" x14ac:dyDescent="0.25">
      <c r="A26" s="5" t="s">
        <v>17</v>
      </c>
      <c r="B26" s="5"/>
      <c r="C26" s="3" t="s">
        <v>38</v>
      </c>
      <c r="D26" s="3"/>
      <c r="E26" s="10"/>
      <c r="F26" s="9"/>
      <c r="G26" s="14" t="e">
        <f t="shared" si="3"/>
        <v>#DIV/0!</v>
      </c>
      <c r="H26" s="6">
        <v>24</v>
      </c>
      <c r="I26" s="6"/>
      <c r="J26" s="6">
        <v>1</v>
      </c>
      <c r="K26" s="6">
        <v>0</v>
      </c>
      <c r="L26" s="7"/>
      <c r="M26" s="6"/>
      <c r="N26" s="6"/>
      <c r="O26" s="6"/>
      <c r="P26" s="7">
        <v>8.6999999999999994E-2</v>
      </c>
      <c r="Q26" s="5">
        <v>0</v>
      </c>
      <c r="R26" s="11">
        <v>0.1</v>
      </c>
      <c r="S26" s="7">
        <v>0.05</v>
      </c>
      <c r="T26" s="7">
        <v>0.05</v>
      </c>
      <c r="U26" s="7">
        <v>7.0000000000000007E-2</v>
      </c>
      <c r="V26" s="6">
        <f t="shared" si="4"/>
        <v>-38.880248833592532</v>
      </c>
      <c r="W26" s="6">
        <f t="shared" si="5"/>
        <v>38.880248833592532</v>
      </c>
      <c r="X26" s="11"/>
      <c r="Y26" s="11"/>
      <c r="Z26" s="8"/>
      <c r="AA26" s="6"/>
    </row>
    <row r="27" spans="1:28" s="4" customFormat="1" x14ac:dyDescent="0.25">
      <c r="A27" s="5" t="s">
        <v>17</v>
      </c>
      <c r="B27" s="5"/>
      <c r="C27" s="31" t="s">
        <v>39</v>
      </c>
      <c r="D27" s="31"/>
      <c r="E27" s="10"/>
      <c r="F27" s="9">
        <f>103.2/24</f>
        <v>4.3</v>
      </c>
      <c r="G27" s="14">
        <f t="shared" si="3"/>
        <v>9.5808166660638697E-2</v>
      </c>
      <c r="H27" s="6">
        <f>2.5</f>
        <v>2.5</v>
      </c>
      <c r="I27" s="6"/>
      <c r="J27" s="6">
        <v>0</v>
      </c>
      <c r="K27" s="6">
        <v>0</v>
      </c>
      <c r="L27" s="7"/>
      <c r="M27" s="6"/>
      <c r="N27" s="6"/>
      <c r="O27" s="6"/>
      <c r="P27" s="7">
        <v>8.6999999999999994E-2</v>
      </c>
      <c r="Q27" s="5">
        <v>0</v>
      </c>
      <c r="R27" s="11">
        <v>0.1</v>
      </c>
      <c r="S27" s="7">
        <v>0.05</v>
      </c>
      <c r="T27" s="7">
        <v>0.05</v>
      </c>
      <c r="U27" s="7">
        <v>7.0000000000000007E-2</v>
      </c>
      <c r="V27" s="6">
        <f t="shared" si="4"/>
        <v>0.41197511664074637</v>
      </c>
      <c r="W27" s="6">
        <f t="shared" si="5"/>
        <v>3.8880248833592534</v>
      </c>
      <c r="X27" s="11"/>
      <c r="Y27" s="11"/>
      <c r="Z27" s="8"/>
      <c r="AA27" s="6"/>
    </row>
    <row r="28" spans="1:28" s="4" customFormat="1" x14ac:dyDescent="0.25">
      <c r="A28" s="5" t="s">
        <v>17</v>
      </c>
      <c r="B28" s="5"/>
      <c r="C28" s="31" t="s">
        <v>40</v>
      </c>
      <c r="D28" s="31"/>
      <c r="E28" s="10"/>
      <c r="F28" s="9"/>
      <c r="G28" s="14" t="e">
        <f t="shared" si="3"/>
        <v>#DIV/0!</v>
      </c>
      <c r="H28" s="6">
        <v>24.35</v>
      </c>
      <c r="I28" s="6"/>
      <c r="J28" s="6">
        <v>0</v>
      </c>
      <c r="K28" s="6">
        <v>0</v>
      </c>
      <c r="L28" s="7"/>
      <c r="M28" s="6"/>
      <c r="N28" s="6"/>
      <c r="O28" s="6"/>
      <c r="P28" s="7">
        <v>8.6999999999999994E-2</v>
      </c>
      <c r="Q28" s="5">
        <v>0</v>
      </c>
      <c r="R28" s="11">
        <v>0.1</v>
      </c>
      <c r="S28" s="7">
        <v>0.05</v>
      </c>
      <c r="T28" s="7">
        <v>0.05</v>
      </c>
      <c r="U28" s="7">
        <v>7.0000000000000007E-2</v>
      </c>
      <c r="V28" s="6">
        <f t="shared" si="4"/>
        <v>-37.86936236391913</v>
      </c>
      <c r="W28" s="6">
        <f t="shared" si="5"/>
        <v>37.86936236391913</v>
      </c>
      <c r="X28" s="11"/>
      <c r="Y28" s="11"/>
      <c r="Z28" s="8"/>
      <c r="AA28" s="6"/>
    </row>
    <row r="29" spans="1:28" s="4" customFormat="1" x14ac:dyDescent="0.25">
      <c r="A29" s="5" t="s">
        <v>17</v>
      </c>
      <c r="B29" s="5"/>
      <c r="C29" s="31" t="s">
        <v>41</v>
      </c>
      <c r="D29" s="31"/>
      <c r="E29" s="10"/>
      <c r="F29" s="9"/>
      <c r="G29" s="14" t="e">
        <f t="shared" si="3"/>
        <v>#DIV/0!</v>
      </c>
      <c r="H29" s="6">
        <f>5*2.5</f>
        <v>12.5</v>
      </c>
      <c r="I29" s="6"/>
      <c r="J29" s="6">
        <v>0</v>
      </c>
      <c r="K29" s="6">
        <v>0</v>
      </c>
      <c r="L29" s="7"/>
      <c r="M29" s="6"/>
      <c r="N29" s="6"/>
      <c r="O29" s="6"/>
      <c r="P29" s="7">
        <v>8.6999999999999994E-2</v>
      </c>
      <c r="Q29" s="5">
        <v>0</v>
      </c>
      <c r="R29" s="11">
        <v>0.1</v>
      </c>
      <c r="S29" s="7">
        <v>0.05</v>
      </c>
      <c r="T29" s="7">
        <v>0.05</v>
      </c>
      <c r="U29" s="7">
        <v>7.0000000000000007E-2</v>
      </c>
      <c r="V29" s="6">
        <f t="shared" si="4"/>
        <v>-19.440124416796266</v>
      </c>
      <c r="W29" s="6">
        <f t="shared" si="5"/>
        <v>19.440124416796266</v>
      </c>
      <c r="X29" s="11"/>
      <c r="Y29" s="11"/>
      <c r="Z29" s="8"/>
      <c r="AA29" s="6"/>
    </row>
    <row r="30" spans="1:28" s="4" customFormat="1" x14ac:dyDescent="0.25">
      <c r="A30" s="5" t="s">
        <v>17</v>
      </c>
      <c r="B30" s="5"/>
      <c r="C30" s="31" t="s">
        <v>42</v>
      </c>
      <c r="D30" s="31"/>
      <c r="E30" s="10"/>
      <c r="F30" s="9"/>
      <c r="G30" s="14" t="e">
        <f t="shared" si="3"/>
        <v>#DIV/0!</v>
      </c>
      <c r="H30" s="6">
        <f>3*3.7</f>
        <v>11.100000000000001</v>
      </c>
      <c r="I30" s="6"/>
      <c r="J30" s="6">
        <v>0</v>
      </c>
      <c r="K30" s="6">
        <v>0</v>
      </c>
      <c r="L30" s="7"/>
      <c r="M30" s="6"/>
      <c r="N30" s="6"/>
      <c r="O30" s="6"/>
      <c r="P30" s="7">
        <v>8.6999999999999994E-2</v>
      </c>
      <c r="Q30" s="5">
        <v>0</v>
      </c>
      <c r="R30" s="11">
        <v>0.1</v>
      </c>
      <c r="S30" s="7">
        <v>0.05</v>
      </c>
      <c r="T30" s="7">
        <v>0.05</v>
      </c>
      <c r="U30" s="7">
        <v>7.0000000000000007E-2</v>
      </c>
      <c r="V30" s="6">
        <f t="shared" si="4"/>
        <v>-17.262830482115088</v>
      </c>
      <c r="W30" s="6">
        <f t="shared" si="5"/>
        <v>17.262830482115088</v>
      </c>
      <c r="X30" s="11"/>
      <c r="Y30" s="11"/>
      <c r="Z30" s="8"/>
      <c r="AA30" s="6"/>
    </row>
    <row r="31" spans="1:28" x14ac:dyDescent="0.25">
      <c r="A31" s="5"/>
      <c r="B31" s="5"/>
      <c r="C31" s="31" t="s">
        <v>43</v>
      </c>
      <c r="D31" s="31"/>
      <c r="E31" s="10"/>
      <c r="F31" s="9"/>
      <c r="G31" s="14" t="e">
        <f t="shared" si="3"/>
        <v>#DIV/0!</v>
      </c>
      <c r="H31" s="6">
        <f>H13+(H33/2)</f>
        <v>16.100000000000001</v>
      </c>
      <c r="I31" s="6"/>
      <c r="J31" s="6">
        <v>0</v>
      </c>
      <c r="K31" s="6">
        <v>0</v>
      </c>
      <c r="L31" s="7"/>
      <c r="M31" s="6"/>
      <c r="N31" s="6"/>
      <c r="O31" s="6"/>
      <c r="P31" s="7">
        <v>8.6999999999999994E-2</v>
      </c>
      <c r="Q31" s="5">
        <v>0</v>
      </c>
      <c r="R31" s="11">
        <v>0.1</v>
      </c>
      <c r="S31" s="7">
        <v>0.05</v>
      </c>
      <c r="T31" s="7">
        <v>0.05</v>
      </c>
      <c r="U31" s="7">
        <v>7.0000000000000007E-2</v>
      </c>
      <c r="V31" s="6">
        <f t="shared" si="4"/>
        <v>-25.038880248833593</v>
      </c>
      <c r="W31" s="6">
        <f t="shared" si="5"/>
        <v>25.038880248833593</v>
      </c>
      <c r="X31" s="11"/>
      <c r="Y31" s="11"/>
      <c r="Z31" s="8"/>
      <c r="AA31" s="6"/>
    </row>
    <row r="32" spans="1:28" x14ac:dyDescent="0.25">
      <c r="A32" s="5"/>
      <c r="B32" s="5"/>
      <c r="C32" s="31" t="s">
        <v>44</v>
      </c>
      <c r="D32" s="31"/>
      <c r="E32" s="10"/>
      <c r="F32" s="9"/>
      <c r="G32" s="14" t="e">
        <f t="shared" si="3"/>
        <v>#DIV/0!</v>
      </c>
      <c r="H32" s="6">
        <f>H12+H34</f>
        <v>12.65</v>
      </c>
      <c r="I32" s="6"/>
      <c r="J32" s="6">
        <v>0</v>
      </c>
      <c r="K32" s="6">
        <v>0</v>
      </c>
      <c r="L32" s="7"/>
      <c r="M32" s="6"/>
      <c r="N32" s="6"/>
      <c r="O32" s="6"/>
      <c r="P32" s="7">
        <v>8.6999999999999994E-2</v>
      </c>
      <c r="Q32" s="5">
        <v>0</v>
      </c>
      <c r="R32" s="11">
        <v>0.1</v>
      </c>
      <c r="S32" s="7">
        <v>0.05</v>
      </c>
      <c r="T32" s="7">
        <v>0.05</v>
      </c>
      <c r="U32" s="7">
        <v>7.0000000000000007E-2</v>
      </c>
      <c r="V32" s="6">
        <f t="shared" si="4"/>
        <v>-19.673405909797822</v>
      </c>
      <c r="W32" s="6">
        <f t="shared" si="5"/>
        <v>19.673405909797822</v>
      </c>
      <c r="X32" s="11"/>
      <c r="Y32" s="11"/>
      <c r="Z32" s="8"/>
      <c r="AA32" s="6"/>
    </row>
    <row r="33" spans="1:27" x14ac:dyDescent="0.25">
      <c r="A33" s="5"/>
      <c r="B33" s="5"/>
      <c r="C33" s="31" t="s">
        <v>45</v>
      </c>
      <c r="D33" s="31"/>
      <c r="E33" s="10"/>
      <c r="F33" s="9"/>
      <c r="G33" s="14" t="e">
        <f t="shared" si="3"/>
        <v>#DIV/0!</v>
      </c>
      <c r="H33" s="6">
        <f>2*4.3</f>
        <v>8.6</v>
      </c>
      <c r="I33" s="6"/>
      <c r="J33" s="6">
        <v>0</v>
      </c>
      <c r="K33" s="6">
        <v>0</v>
      </c>
      <c r="L33" s="7"/>
      <c r="M33" s="6"/>
      <c r="N33" s="6"/>
      <c r="O33" s="6"/>
      <c r="P33" s="7">
        <v>8.6999999999999994E-2</v>
      </c>
      <c r="Q33" s="5">
        <v>0</v>
      </c>
      <c r="R33" s="11">
        <v>0.1</v>
      </c>
      <c r="S33" s="7">
        <v>0.05</v>
      </c>
      <c r="T33" s="7">
        <v>0.05</v>
      </c>
      <c r="U33" s="7">
        <v>7.0000000000000007E-2</v>
      </c>
      <c r="V33" s="6">
        <f t="shared" si="4"/>
        <v>-13.374805598755831</v>
      </c>
      <c r="W33" s="6">
        <f t="shared" si="5"/>
        <v>13.374805598755831</v>
      </c>
      <c r="X33" s="11"/>
      <c r="Y33" s="11"/>
      <c r="Z33" s="8"/>
      <c r="AA33" s="6"/>
    </row>
    <row r="34" spans="1:27" x14ac:dyDescent="0.25">
      <c r="A34" s="5"/>
      <c r="B34" s="5"/>
      <c r="C34" s="31" t="s">
        <v>46</v>
      </c>
      <c r="D34" s="31"/>
      <c r="E34" s="10"/>
      <c r="F34" s="9"/>
      <c r="G34" s="14" t="e">
        <f t="shared" si="3"/>
        <v>#DIV/0!</v>
      </c>
      <c r="H34" s="6">
        <v>7.4</v>
      </c>
      <c r="I34" s="6"/>
      <c r="J34" s="6">
        <v>0</v>
      </c>
      <c r="K34" s="6">
        <v>0</v>
      </c>
      <c r="L34" s="7"/>
      <c r="M34" s="6"/>
      <c r="N34" s="6"/>
      <c r="O34" s="6"/>
      <c r="P34" s="7">
        <v>8.6999999999999994E-2</v>
      </c>
      <c r="Q34" s="5">
        <v>0</v>
      </c>
      <c r="R34" s="11">
        <v>0.1</v>
      </c>
      <c r="S34" s="7">
        <v>0.05</v>
      </c>
      <c r="T34" s="7">
        <v>0.05</v>
      </c>
      <c r="U34" s="7">
        <v>7.0000000000000007E-2</v>
      </c>
      <c r="V34" s="6">
        <f t="shared" si="4"/>
        <v>-11.508553654743391</v>
      </c>
      <c r="W34" s="6">
        <f t="shared" si="5"/>
        <v>11.508553654743391</v>
      </c>
      <c r="X34" s="11"/>
      <c r="Y34" s="11"/>
      <c r="Z34" s="8"/>
      <c r="AA34" s="6"/>
    </row>
    <row r="35" spans="1:27" s="4" customFormat="1" x14ac:dyDescent="0.25">
      <c r="A35" s="5" t="s">
        <v>17</v>
      </c>
      <c r="B35" s="5"/>
      <c r="C35" s="32" t="s">
        <v>47</v>
      </c>
      <c r="D35" s="32"/>
      <c r="E35" s="10"/>
      <c r="F35" s="9"/>
      <c r="G35" s="14" t="e">
        <f t="shared" si="3"/>
        <v>#DIV/0!</v>
      </c>
      <c r="H35" s="6">
        <v>7.39</v>
      </c>
      <c r="I35" s="6"/>
      <c r="J35" s="6">
        <v>0</v>
      </c>
      <c r="K35" s="6">
        <v>0.3</v>
      </c>
      <c r="L35" s="7"/>
      <c r="M35" s="6"/>
      <c r="N35" s="6"/>
      <c r="O35" s="6"/>
      <c r="P35" s="7">
        <v>8.6999999999999994E-2</v>
      </c>
      <c r="Q35" s="5">
        <v>0</v>
      </c>
      <c r="R35" s="11">
        <v>0.1</v>
      </c>
      <c r="S35" s="7">
        <v>0.05</v>
      </c>
      <c r="T35" s="7">
        <v>0.05</v>
      </c>
      <c r="U35" s="7">
        <v>7.0000000000000007E-2</v>
      </c>
      <c r="V35" s="6">
        <f t="shared" si="4"/>
        <v>-11.959564541213062</v>
      </c>
      <c r="W35" s="6">
        <f t="shared" si="5"/>
        <v>11.959564541213062</v>
      </c>
      <c r="X35" s="11"/>
      <c r="Y35" s="11"/>
      <c r="Z35" s="8"/>
      <c r="AA35" s="6"/>
    </row>
    <row r="36" spans="1:27" s="4" customFormat="1" x14ac:dyDescent="0.25">
      <c r="A36" s="5" t="s">
        <v>17</v>
      </c>
      <c r="B36" s="5"/>
      <c r="C36" s="32" t="s">
        <v>48</v>
      </c>
      <c r="D36" s="32"/>
      <c r="E36" s="10"/>
      <c r="F36" s="9"/>
      <c r="G36" s="14" t="e">
        <f t="shared" si="3"/>
        <v>#DIV/0!</v>
      </c>
      <c r="H36" s="6">
        <v>8.36</v>
      </c>
      <c r="I36" s="6"/>
      <c r="J36" s="6">
        <v>0</v>
      </c>
      <c r="K36" s="6">
        <v>0.3</v>
      </c>
      <c r="L36" s="7"/>
      <c r="M36" s="6"/>
      <c r="N36" s="6"/>
      <c r="O36" s="6"/>
      <c r="P36" s="7">
        <v>8.6999999999999994E-2</v>
      </c>
      <c r="Q36" s="5">
        <v>0</v>
      </c>
      <c r="R36" s="11">
        <v>0.1</v>
      </c>
      <c r="S36" s="7">
        <v>0.05</v>
      </c>
      <c r="T36" s="7">
        <v>0.05</v>
      </c>
      <c r="U36" s="7">
        <v>7.0000000000000007E-2</v>
      </c>
      <c r="V36" s="6">
        <f t="shared" si="4"/>
        <v>-13.468118195956453</v>
      </c>
      <c r="W36" s="6">
        <f t="shared" si="5"/>
        <v>13.468118195956453</v>
      </c>
      <c r="X36" s="11"/>
      <c r="Y36" s="11"/>
      <c r="Z36" s="8"/>
      <c r="AA36" s="6"/>
    </row>
    <row r="37" spans="1:27" s="4" customFormat="1" x14ac:dyDescent="0.25">
      <c r="A37" s="5" t="s">
        <v>17</v>
      </c>
      <c r="B37" s="5"/>
      <c r="C37" s="32" t="s">
        <v>49</v>
      </c>
      <c r="D37" s="32"/>
      <c r="E37" s="10"/>
      <c r="F37" s="9"/>
      <c r="G37" s="14" t="e">
        <f t="shared" si="3"/>
        <v>#DIV/0!</v>
      </c>
      <c r="H37" s="6">
        <v>7.39</v>
      </c>
      <c r="I37" s="6"/>
      <c r="J37" s="6">
        <v>0</v>
      </c>
      <c r="K37" s="6">
        <v>0.3</v>
      </c>
      <c r="L37" s="7"/>
      <c r="M37" s="6"/>
      <c r="N37" s="6"/>
      <c r="O37" s="6"/>
      <c r="P37" s="7">
        <v>8.6999999999999994E-2</v>
      </c>
      <c r="Q37" s="5">
        <v>0</v>
      </c>
      <c r="R37" s="11">
        <v>0.1</v>
      </c>
      <c r="S37" s="7">
        <v>0.05</v>
      </c>
      <c r="T37" s="7">
        <v>0.05</v>
      </c>
      <c r="U37" s="7">
        <v>7.0000000000000007E-2</v>
      </c>
      <c r="V37" s="6">
        <f t="shared" si="4"/>
        <v>-11.959564541213062</v>
      </c>
      <c r="W37" s="6">
        <f t="shared" si="5"/>
        <v>11.959564541213062</v>
      </c>
      <c r="X37" s="11"/>
      <c r="Y37" s="11"/>
      <c r="Z37" s="8"/>
      <c r="AA37" s="6"/>
    </row>
    <row r="38" spans="1:27" s="4" customFormat="1" x14ac:dyDescent="0.25">
      <c r="A38" s="5" t="s">
        <v>17</v>
      </c>
      <c r="B38" s="5"/>
      <c r="C38" s="32" t="s">
        <v>50</v>
      </c>
      <c r="D38" s="32"/>
      <c r="E38" s="10"/>
      <c r="F38" s="9"/>
      <c r="G38" s="14" t="e">
        <f t="shared" si="3"/>
        <v>#DIV/0!</v>
      </c>
      <c r="H38" s="6">
        <v>10.09</v>
      </c>
      <c r="I38" s="6"/>
      <c r="J38" s="6">
        <v>0</v>
      </c>
      <c r="K38" s="6">
        <v>0.3</v>
      </c>
      <c r="L38" s="7"/>
      <c r="M38" s="6"/>
      <c r="N38" s="6"/>
      <c r="O38" s="6"/>
      <c r="P38" s="7">
        <v>8.6999999999999994E-2</v>
      </c>
      <c r="Q38" s="5">
        <v>0</v>
      </c>
      <c r="R38" s="11">
        <v>0.1</v>
      </c>
      <c r="S38" s="7">
        <v>0.05</v>
      </c>
      <c r="T38" s="7">
        <v>0.05</v>
      </c>
      <c r="U38" s="7">
        <v>7.0000000000000007E-2</v>
      </c>
      <c r="V38" s="6">
        <f t="shared" si="4"/>
        <v>-16.158631415241057</v>
      </c>
      <c r="W38" s="6">
        <f t="shared" si="5"/>
        <v>16.158631415241057</v>
      </c>
      <c r="X38" s="11"/>
      <c r="Y38" s="11"/>
      <c r="Z38" s="8"/>
      <c r="AA38" s="6"/>
    </row>
    <row r="39" spans="1:27" s="4" customFormat="1" x14ac:dyDescent="0.25">
      <c r="A39" s="5" t="s">
        <v>17</v>
      </c>
      <c r="B39" s="5"/>
      <c r="C39" s="32" t="s">
        <v>51</v>
      </c>
      <c r="D39" s="32"/>
      <c r="E39" s="10"/>
      <c r="F39" s="9"/>
      <c r="G39" s="14" t="e">
        <f t="shared" si="3"/>
        <v>#DIV/0!</v>
      </c>
      <c r="H39" s="6">
        <v>9.1300000000000008</v>
      </c>
      <c r="I39" s="6"/>
      <c r="J39" s="6">
        <v>0</v>
      </c>
      <c r="K39" s="6">
        <v>0.3</v>
      </c>
      <c r="L39" s="7"/>
      <c r="M39" s="6"/>
      <c r="N39" s="6"/>
      <c r="O39" s="6"/>
      <c r="P39" s="7">
        <v>8.6999999999999994E-2</v>
      </c>
      <c r="Q39" s="5">
        <v>0</v>
      </c>
      <c r="R39" s="11">
        <v>0.1</v>
      </c>
      <c r="S39" s="7">
        <v>0.05</v>
      </c>
      <c r="T39" s="7">
        <v>0.05</v>
      </c>
      <c r="U39" s="7">
        <v>7.0000000000000007E-2</v>
      </c>
      <c r="V39" s="6">
        <f t="shared" si="4"/>
        <v>-14.665629860031107</v>
      </c>
      <c r="W39" s="6">
        <f t="shared" si="5"/>
        <v>14.665629860031107</v>
      </c>
      <c r="X39" s="11"/>
      <c r="Y39" s="11"/>
      <c r="Z39" s="8"/>
      <c r="AA39" s="6"/>
    </row>
    <row r="40" spans="1:27" s="4" customFormat="1" x14ac:dyDescent="0.25">
      <c r="A40" s="5" t="s">
        <v>17</v>
      </c>
      <c r="B40" s="5"/>
      <c r="C40" s="36" t="s">
        <v>52</v>
      </c>
      <c r="D40" s="37">
        <v>7908812400410</v>
      </c>
      <c r="E40" s="10"/>
      <c r="F40" s="9"/>
      <c r="G40" s="14" t="e">
        <f t="shared" si="3"/>
        <v>#DIV/0!</v>
      </c>
      <c r="H40" s="6">
        <f>H35+H38</f>
        <v>17.48</v>
      </c>
      <c r="I40" s="6"/>
      <c r="J40" s="6">
        <v>0</v>
      </c>
      <c r="K40" s="6">
        <v>0.3</v>
      </c>
      <c r="L40" s="7"/>
      <c r="M40" s="6"/>
      <c r="N40" s="6"/>
      <c r="O40" s="6"/>
      <c r="P40" s="7">
        <v>8.6999999999999994E-2</v>
      </c>
      <c r="Q40" s="5">
        <v>0</v>
      </c>
      <c r="R40" s="11">
        <v>0.1</v>
      </c>
      <c r="S40" s="7">
        <v>0.05</v>
      </c>
      <c r="T40" s="7">
        <v>0.05</v>
      </c>
      <c r="U40" s="7">
        <v>7.0000000000000007E-2</v>
      </c>
      <c r="V40" s="6">
        <f t="shared" si="4"/>
        <v>-27.651632970451011</v>
      </c>
      <c r="W40" s="6">
        <f t="shared" si="5"/>
        <v>27.651632970451011</v>
      </c>
      <c r="X40" s="11"/>
      <c r="Y40" s="11"/>
      <c r="Z40" s="8"/>
      <c r="AA40" s="6"/>
    </row>
    <row r="41" spans="1:27" s="4" customFormat="1" x14ac:dyDescent="0.25">
      <c r="A41" s="5" t="s">
        <v>17</v>
      </c>
      <c r="B41" s="5"/>
      <c r="C41" s="36" t="s">
        <v>121</v>
      </c>
      <c r="D41" s="37">
        <v>7908812400427</v>
      </c>
      <c r="E41" s="10"/>
      <c r="F41" s="9"/>
      <c r="G41" s="14" t="e">
        <f t="shared" si="3"/>
        <v>#DIV/0!</v>
      </c>
      <c r="H41" s="6">
        <f>H36+H39</f>
        <v>17.490000000000002</v>
      </c>
      <c r="I41" s="6"/>
      <c r="J41" s="6">
        <v>0</v>
      </c>
      <c r="K41" s="6">
        <v>0.3</v>
      </c>
      <c r="L41" s="7"/>
      <c r="M41" s="6"/>
      <c r="N41" s="6"/>
      <c r="O41" s="6"/>
      <c r="P41" s="7">
        <v>8.6999999999999994E-2</v>
      </c>
      <c r="Q41" s="5">
        <v>0</v>
      </c>
      <c r="R41" s="11">
        <v>0.1</v>
      </c>
      <c r="S41" s="7">
        <v>0.05</v>
      </c>
      <c r="T41" s="7">
        <v>0.05</v>
      </c>
      <c r="U41" s="7">
        <v>7.0000000000000007E-2</v>
      </c>
      <c r="V41" s="6">
        <f t="shared" si="4"/>
        <v>-27.667185069984452</v>
      </c>
      <c r="W41" s="6">
        <f t="shared" si="5"/>
        <v>27.667185069984452</v>
      </c>
      <c r="X41" s="11"/>
      <c r="Y41" s="11"/>
      <c r="Z41" s="8"/>
      <c r="AA41" s="6"/>
    </row>
    <row r="42" spans="1:27" s="4" customFormat="1" x14ac:dyDescent="0.25">
      <c r="A42" s="5" t="s">
        <v>17</v>
      </c>
      <c r="B42" s="5"/>
      <c r="C42" s="36" t="s">
        <v>122</v>
      </c>
      <c r="D42" s="37">
        <v>7908812400441</v>
      </c>
      <c r="E42" s="10"/>
      <c r="F42" s="9"/>
      <c r="G42" s="14" t="e">
        <f t="shared" si="3"/>
        <v>#DIV/0!</v>
      </c>
      <c r="H42" s="6">
        <f>H35+H36+H37</f>
        <v>23.14</v>
      </c>
      <c r="I42" s="6"/>
      <c r="J42" s="6">
        <v>0</v>
      </c>
      <c r="K42" s="6">
        <v>0.3</v>
      </c>
      <c r="L42" s="7"/>
      <c r="M42" s="6"/>
      <c r="N42" s="6"/>
      <c r="O42" s="6"/>
      <c r="P42" s="7">
        <v>8.6999999999999994E-2</v>
      </c>
      <c r="Q42" s="5">
        <v>0</v>
      </c>
      <c r="R42" s="11">
        <v>0.1</v>
      </c>
      <c r="S42" s="7">
        <v>0.05</v>
      </c>
      <c r="T42" s="7">
        <v>0.05</v>
      </c>
      <c r="U42" s="7">
        <v>7.0000000000000007E-2</v>
      </c>
      <c r="V42" s="6">
        <f t="shared" si="4"/>
        <v>-36.454121306376365</v>
      </c>
      <c r="W42" s="6">
        <f t="shared" si="5"/>
        <v>36.454121306376365</v>
      </c>
      <c r="X42" s="11"/>
      <c r="Y42" s="11"/>
      <c r="Z42" s="8"/>
      <c r="AA42" s="6"/>
    </row>
    <row r="43" spans="1:27" s="4" customFormat="1" x14ac:dyDescent="0.25">
      <c r="A43" s="5" t="s">
        <v>17</v>
      </c>
      <c r="B43" s="5"/>
      <c r="C43" s="36" t="s">
        <v>123</v>
      </c>
      <c r="D43" s="37"/>
      <c r="E43" s="10"/>
      <c r="F43" s="9"/>
      <c r="G43" s="14" t="e">
        <f t="shared" si="3"/>
        <v>#DIV/0!</v>
      </c>
      <c r="H43" s="6">
        <f>H35+H36+H38</f>
        <v>25.84</v>
      </c>
      <c r="I43" s="6"/>
      <c r="J43" s="6">
        <v>0</v>
      </c>
      <c r="K43" s="6">
        <v>0.3</v>
      </c>
      <c r="L43" s="7"/>
      <c r="M43" s="6"/>
      <c r="N43" s="6"/>
      <c r="O43" s="6"/>
      <c r="P43" s="7">
        <v>8.6999999999999994E-2</v>
      </c>
      <c r="Q43" s="5">
        <v>0</v>
      </c>
      <c r="R43" s="11">
        <v>0.1</v>
      </c>
      <c r="S43" s="7">
        <v>0.05</v>
      </c>
      <c r="T43" s="7">
        <v>0.05</v>
      </c>
      <c r="U43" s="7">
        <v>7.0000000000000007E-2</v>
      </c>
      <c r="V43" s="6">
        <f t="shared" si="4"/>
        <v>-40.653188180404356</v>
      </c>
      <c r="W43" s="6">
        <f t="shared" si="5"/>
        <v>40.653188180404356</v>
      </c>
      <c r="X43" s="11"/>
      <c r="Y43" s="11"/>
      <c r="Z43" s="8"/>
      <c r="AA43" s="6"/>
    </row>
    <row r="44" spans="1:27" s="4" customFormat="1" x14ac:dyDescent="0.25">
      <c r="A44" s="5" t="s">
        <v>17</v>
      </c>
      <c r="B44" s="5"/>
      <c r="C44" s="36" t="s">
        <v>124</v>
      </c>
      <c r="D44" s="37"/>
      <c r="E44" s="10"/>
      <c r="F44" s="9"/>
      <c r="G44" s="14" t="e">
        <f t="shared" si="3"/>
        <v>#DIV/0!</v>
      </c>
      <c r="H44" s="6">
        <f>H40+H34</f>
        <v>24.880000000000003</v>
      </c>
      <c r="I44" s="6"/>
      <c r="J44" s="6">
        <v>0</v>
      </c>
      <c r="K44" s="6">
        <v>0.3</v>
      </c>
      <c r="L44" s="7"/>
      <c r="M44" s="6"/>
      <c r="N44" s="6"/>
      <c r="O44" s="6"/>
      <c r="P44" s="7">
        <v>8.6999999999999994E-2</v>
      </c>
      <c r="Q44" s="5">
        <v>0</v>
      </c>
      <c r="R44" s="11">
        <v>0.1</v>
      </c>
      <c r="S44" s="7">
        <v>0.05</v>
      </c>
      <c r="T44" s="7">
        <v>0.05</v>
      </c>
      <c r="U44" s="7">
        <v>7.0000000000000007E-2</v>
      </c>
      <c r="V44" s="6">
        <f t="shared" si="4"/>
        <v>-39.160186625194406</v>
      </c>
      <c r="W44" s="6">
        <f t="shared" si="5"/>
        <v>39.160186625194406</v>
      </c>
      <c r="X44" s="11"/>
      <c r="Y44" s="11"/>
      <c r="Z44" s="8"/>
      <c r="AA44" s="6"/>
    </row>
    <row r="45" spans="1:27" s="4" customFormat="1" x14ac:dyDescent="0.25">
      <c r="A45" s="5" t="s">
        <v>17</v>
      </c>
      <c r="B45" s="5"/>
      <c r="C45" s="36" t="s">
        <v>125</v>
      </c>
      <c r="D45" s="37"/>
      <c r="E45" s="10"/>
      <c r="F45" s="9"/>
      <c r="G45" s="14" t="e">
        <f t="shared" si="3"/>
        <v>#DIV/0!</v>
      </c>
      <c r="H45" s="6">
        <f>H40+H33</f>
        <v>26.08</v>
      </c>
      <c r="I45" s="6"/>
      <c r="J45" s="6">
        <v>0</v>
      </c>
      <c r="K45" s="6">
        <v>0.3</v>
      </c>
      <c r="L45" s="7"/>
      <c r="M45" s="6"/>
      <c r="N45" s="6"/>
      <c r="O45" s="6"/>
      <c r="P45" s="7">
        <v>8.6999999999999994E-2</v>
      </c>
      <c r="Q45" s="5">
        <v>0</v>
      </c>
      <c r="R45" s="11">
        <v>0.1</v>
      </c>
      <c r="S45" s="7">
        <v>0.05</v>
      </c>
      <c r="T45" s="7">
        <v>0.05</v>
      </c>
      <c r="U45" s="7">
        <v>7.0000000000000007E-2</v>
      </c>
      <c r="V45" s="6">
        <f t="shared" si="4"/>
        <v>-41.026438569206839</v>
      </c>
      <c r="W45" s="6">
        <f t="shared" si="5"/>
        <v>41.026438569206839</v>
      </c>
      <c r="X45" s="11"/>
      <c r="Y45" s="11"/>
      <c r="Z45" s="8"/>
      <c r="AA45" s="6"/>
    </row>
    <row r="46" spans="1:27" s="4" customFormat="1" x14ac:dyDescent="0.25">
      <c r="A46" s="5" t="s">
        <v>17</v>
      </c>
      <c r="B46" s="5"/>
      <c r="C46" s="36" t="s">
        <v>53</v>
      </c>
      <c r="D46" s="37"/>
      <c r="E46" s="10"/>
      <c r="F46" s="9"/>
      <c r="G46" s="14" t="e">
        <f t="shared" si="3"/>
        <v>#DIV/0!</v>
      </c>
      <c r="H46" s="6">
        <f>3*11.8</f>
        <v>35.400000000000006</v>
      </c>
      <c r="I46" s="6"/>
      <c r="J46" s="6">
        <v>0</v>
      </c>
      <c r="K46" s="6">
        <v>0.3</v>
      </c>
      <c r="L46" s="7"/>
      <c r="M46" s="6"/>
      <c r="N46" s="6"/>
      <c r="O46" s="6"/>
      <c r="P46" s="7">
        <v>8.6999999999999994E-2</v>
      </c>
      <c r="Q46" s="5">
        <v>0</v>
      </c>
      <c r="R46" s="11">
        <v>0.1</v>
      </c>
      <c r="S46" s="7">
        <v>0.05</v>
      </c>
      <c r="T46" s="7">
        <v>0.05</v>
      </c>
      <c r="U46" s="7">
        <v>7.0000000000000007E-2</v>
      </c>
      <c r="V46" s="6">
        <f t="shared" si="4"/>
        <v>-55.520995334370141</v>
      </c>
      <c r="W46" s="6">
        <f t="shared" si="5"/>
        <v>55.520995334370141</v>
      </c>
      <c r="X46" s="11"/>
      <c r="Y46" s="11"/>
      <c r="Z46" s="8"/>
      <c r="AA46" s="6"/>
    </row>
    <row r="47" spans="1:27" s="4" customFormat="1" x14ac:dyDescent="0.25">
      <c r="A47" s="5" t="s">
        <v>17</v>
      </c>
      <c r="B47" s="5"/>
      <c r="C47" s="36" t="s">
        <v>54</v>
      </c>
      <c r="D47" s="37"/>
      <c r="E47" s="10"/>
      <c r="F47" s="9"/>
      <c r="G47" s="14" t="e">
        <f t="shared" si="3"/>
        <v>#DIV/0!</v>
      </c>
      <c r="H47" s="6">
        <f>2*22.9</f>
        <v>45.8</v>
      </c>
      <c r="I47" s="6"/>
      <c r="J47" s="6">
        <v>0</v>
      </c>
      <c r="K47" s="6">
        <v>0.3</v>
      </c>
      <c r="L47" s="7"/>
      <c r="M47" s="6"/>
      <c r="N47" s="6"/>
      <c r="O47" s="6"/>
      <c r="P47" s="7">
        <v>8.6999999999999994E-2</v>
      </c>
      <c r="Q47" s="5">
        <v>0</v>
      </c>
      <c r="R47" s="11">
        <v>0.1</v>
      </c>
      <c r="S47" s="7">
        <v>0.05</v>
      </c>
      <c r="T47" s="7">
        <v>0.05</v>
      </c>
      <c r="U47" s="7">
        <v>7.0000000000000007E-2</v>
      </c>
      <c r="V47" s="6">
        <f t="shared" si="4"/>
        <v>-71.695178849144625</v>
      </c>
      <c r="W47" s="6">
        <f t="shared" si="5"/>
        <v>71.695178849144625</v>
      </c>
      <c r="X47" s="11"/>
      <c r="Y47" s="11"/>
      <c r="Z47" s="8"/>
      <c r="AA47" s="6"/>
    </row>
    <row r="48" spans="1:27" s="4" customFormat="1" x14ac:dyDescent="0.25">
      <c r="A48" s="5" t="s">
        <v>17</v>
      </c>
      <c r="B48" s="5"/>
      <c r="C48" s="36" t="s">
        <v>55</v>
      </c>
      <c r="D48" s="37"/>
      <c r="E48" s="10"/>
      <c r="F48" s="9"/>
      <c r="G48" s="14" t="e">
        <f t="shared" si="3"/>
        <v>#DIV/0!</v>
      </c>
      <c r="H48" s="6">
        <f>3*5.25</f>
        <v>15.75</v>
      </c>
      <c r="I48" s="6"/>
      <c r="J48" s="6">
        <v>0</v>
      </c>
      <c r="K48" s="6">
        <v>0.3</v>
      </c>
      <c r="L48" s="7"/>
      <c r="M48" s="6"/>
      <c r="N48" s="6"/>
      <c r="O48" s="6"/>
      <c r="P48" s="7">
        <v>8.6999999999999994E-2</v>
      </c>
      <c r="Q48" s="5">
        <v>0</v>
      </c>
      <c r="R48" s="11">
        <v>0.1</v>
      </c>
      <c r="S48" s="7">
        <v>0.05</v>
      </c>
      <c r="T48" s="7">
        <v>0.05</v>
      </c>
      <c r="U48" s="7">
        <v>7.0000000000000007E-2</v>
      </c>
      <c r="V48" s="6">
        <f t="shared" si="4"/>
        <v>-24.961119751166407</v>
      </c>
      <c r="W48" s="6">
        <f t="shared" si="5"/>
        <v>24.961119751166407</v>
      </c>
      <c r="X48" s="11"/>
      <c r="Y48" s="11"/>
      <c r="Z48" s="8"/>
      <c r="AA48" s="6"/>
    </row>
    <row r="49" spans="1:27" s="4" customFormat="1" x14ac:dyDescent="0.25">
      <c r="A49" s="5" t="s">
        <v>17</v>
      </c>
      <c r="B49" s="5"/>
      <c r="C49" s="35" t="s">
        <v>56</v>
      </c>
      <c r="D49" s="38">
        <v>7908812400434</v>
      </c>
      <c r="E49" s="10"/>
      <c r="F49" s="9"/>
      <c r="G49" s="14" t="e">
        <f t="shared" si="3"/>
        <v>#DIV/0!</v>
      </c>
      <c r="H49" s="6">
        <f>2*9.13</f>
        <v>18.260000000000002</v>
      </c>
      <c r="I49" s="6"/>
      <c r="J49" s="6">
        <v>0</v>
      </c>
      <c r="K49" s="6">
        <v>0.3</v>
      </c>
      <c r="L49" s="7"/>
      <c r="M49" s="6"/>
      <c r="N49" s="6"/>
      <c r="O49" s="6"/>
      <c r="P49" s="7">
        <v>8.6999999999999994E-2</v>
      </c>
      <c r="Q49" s="5">
        <v>0</v>
      </c>
      <c r="R49" s="11">
        <v>0.1</v>
      </c>
      <c r="S49" s="7">
        <v>0.05</v>
      </c>
      <c r="T49" s="7">
        <v>0.05</v>
      </c>
      <c r="U49" s="7">
        <v>7.0000000000000007E-2</v>
      </c>
      <c r="V49" s="6">
        <f t="shared" si="4"/>
        <v>-28.864696734059102</v>
      </c>
      <c r="W49" s="6">
        <f t="shared" si="5"/>
        <v>28.864696734059102</v>
      </c>
      <c r="X49" s="11"/>
      <c r="Y49" s="11"/>
      <c r="Z49" s="8"/>
      <c r="AA49" s="6"/>
    </row>
    <row r="50" spans="1:27" s="4" customFormat="1" x14ac:dyDescent="0.25">
      <c r="A50" s="5" t="s">
        <v>17</v>
      </c>
      <c r="B50" s="5"/>
      <c r="C50" s="3" t="s">
        <v>57</v>
      </c>
      <c r="D50" s="39"/>
      <c r="E50" s="10"/>
      <c r="F50" s="9"/>
      <c r="G50" s="14" t="e">
        <f t="shared" si="3"/>
        <v>#DIV/0!</v>
      </c>
      <c r="H50" s="6">
        <v>101</v>
      </c>
      <c r="I50" s="6"/>
      <c r="J50" s="6">
        <v>0</v>
      </c>
      <c r="K50" s="6">
        <v>0.3</v>
      </c>
      <c r="L50" s="7"/>
      <c r="M50" s="6"/>
      <c r="N50" s="6"/>
      <c r="O50" s="6"/>
      <c r="P50" s="7">
        <v>8.6999999999999994E-2</v>
      </c>
      <c r="Q50" s="5">
        <v>0</v>
      </c>
      <c r="R50" s="11">
        <v>0.1</v>
      </c>
      <c r="S50" s="7">
        <v>0.05</v>
      </c>
      <c r="T50" s="7">
        <v>0.05</v>
      </c>
      <c r="U50" s="7">
        <v>7.0000000000000007E-2</v>
      </c>
      <c r="V50" s="6">
        <f t="shared" si="4"/>
        <v>-157.54276827371694</v>
      </c>
      <c r="W50" s="6">
        <f t="shared" si="5"/>
        <v>157.54276827371694</v>
      </c>
      <c r="X50" s="11"/>
      <c r="Y50" s="11"/>
      <c r="Z50" s="8"/>
      <c r="AA50" s="6"/>
    </row>
  </sheetData>
  <protectedRanges>
    <protectedRange algorithmName="SHA-512" hashValue="aEERJQJMzSjwyk85T8BB6RJ31PG9yww9W3guKd9+QEmDdpPLyQ7YOL1UJkf0y4KIl2a79DCYAvYCdlVp2mDjxg==" saltValue="aKgvfp76T60uU8TGfv8oiw==" spinCount="100000" sqref="W14 W47" name="precosugerido_3"/>
  </protectedRanges>
  <autoFilter ref="A2:W39" xr:uid="{32ADF463-67BE-4B40-B1D3-F7FDD3169699}"/>
  <dataValidations count="1">
    <dataValidation type="list" allowBlank="1" showInputMessage="1" showErrorMessage="1" sqref="B3:B30 B35:B50" xr:uid="{E3C6D37C-1394-4B07-BD77-6EC09E4A05E5}">
      <formula1>#REF!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EAN KIT</vt:lpstr>
      <vt:lpstr>MELI SP</vt:lpstr>
      <vt:lpstr>LOJISTA</vt:lpstr>
      <vt:lpstr>calcular preço cheio</vt:lpstr>
      <vt:lpstr>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Daniel Martins Delfim</cp:lastModifiedBy>
  <cp:revision/>
  <dcterms:created xsi:type="dcterms:W3CDTF">2025-04-12T12:26:26Z</dcterms:created>
  <dcterms:modified xsi:type="dcterms:W3CDTF">2025-07-30T16:31:56Z</dcterms:modified>
  <cp:category/>
  <cp:contentStatus/>
</cp:coreProperties>
</file>