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ll" sheetId="1" r:id="rId4"/>
    <sheet state="visible" name="Info" sheetId="2" r:id="rId5"/>
  </sheets>
  <definedNames>
    <definedName name="HuvudrummetsNamn">Mall!$E$2:$H$2</definedName>
    <definedName name="AndraAktiviteter">Info!$A$22:$A$35</definedName>
    <definedName name="AllaAktiviteter">Info!$A$2:$A$35</definedName>
    <definedName name="AllaGrenar">Info!$A$2:$A$20</definedName>
    <definedName name="RummensNamn">Mall!$E$4:$X$4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Hur många deltagare som får delta på tävlingen totalt.</t>
      </text>
    </comment>
    <comment authorId="0" ref="I1">
      <text>
        <t xml:space="preserve">Hur många deltagare som får delta på tävlingen totalt.</t>
      </text>
    </comment>
    <comment authorId="0" ref="K1">
      <text>
        <t xml:space="preserve">Det är MYCKET viktigt att grenens namn skrivs på exakt samma sätt som grenen heter i "Info"-dokumentet.</t>
      </text>
    </comment>
    <comment authorId="0" ref="M1">
      <text>
        <t xml:space="preserve">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O1">
      <text>
        <t xml:space="preserve">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Q1">
      <text>
        <t xml:space="preserve">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S1">
      <text>
        <t xml:space="preserve">I de flesta fall sätts antalet blandningsbord / stages alltid till 1, men i exempelvis stora lokaler eller om det är ovanligt många timers uppställda kan detta ökas till 2+. Påverkar genom att mer tid krävs mellan varje grupp om fler blandningsbord används.</t>
      </text>
    </comment>
    <comment authorId="0" ref="U1">
      <text>
        <t xml:space="preserve">Skriv "Yes" för ja eller "No" för nej. "No" är förvalt som standard.</t>
      </text>
    </comment>
    <comment authorId="0" ref="W1">
      <text>
        <t xml:space="preserve">Här kan den beräknade tidsåtgången för varje gren justeras + eller - på samma gång över hela tävlingsschemat.</t>
      </text>
    </comment>
    <comment authorId="0" ref="A3">
      <text>
        <t xml:space="preserve">Dessa är basvärden som påverkar hela schemat på samma gång. Du sätter dem de första du gör innan du börjar fylla i grenar och aktiviteter. Om du ändrar dig (kanske vill använda fler timers genom hela tävlingen) så går det förstås bra att ändra dessa basvärden senare.</t>
      </text>
    </comment>
    <comment authorId="0" ref="B3">
      <text>
        <t xml:space="preserve">Här beräknas hur lång tid grenen eller aktiviteten kommer ta! Dessa celler får aldrig ändras om det inte specifikt efterfrågas med ett "?". Om du vill att en gren eller aktivitets tid ska ändras (exempelvis om du vill ha längre lunch eller tror att du kommer få svårt att hitta bra blandare i en gren) kan det justeras i den GULA cellen för "Manuell extratid".</t>
      </text>
    </comment>
    <comment authorId="0" ref="C3">
      <text>
        <t xml:space="preserve">Dessa celler innehåller information om hur grenen ska arrangeras rent logistiskt. Det mesta fylls i automatiskt, så du behöver bara ändra om du har specifika planer eller önskemål just för ett visst antal grenar (exempelvis om du vill att finalerna ska använda färre blandningsbord eller om du vill ha "Head to head"-final i 3x3).</t>
      </text>
    </comment>
    <comment authorId="0" ref="D3">
      <text>
        <t xml:space="preserve">Dessa celler är ren detaljinformation och vissa används i de komplicerade uträkningarna för hur lång tid en gren ska ta. Dessa celler får därför ALDRIG ändras.</t>
      </text>
    </comment>
    <comment authorId="0" ref="A4">
      <text>
        <t xml:space="preserve">Dessa celler ska du alltid fylla i! Här skriver du grenens namn, eller om du tycker det är dags för en annan aktivitet, exempelvis lunch. Det är JÄTTEVIKTIGT att du skriver grenen / aktiviteten med exakt samma namn som den har i "Info"-dokumentet.</t>
      </text>
    </comment>
    <comment authorId="0" ref="B4">
      <text>
        <t xml:space="preserve">Här skrivs den detaljerade informationen om varje gren i. Rutorna fyller oftast i sig själva, men behövs din input så ploppar ett "?" upp.
Om du är VÄLDIGT säker på din sak kan du skriva över orangea celler, eller skriva trots att ett "?" inte ploppat upp. Kan exempelvis vara om du satt en ovanligt generös cutoff, och vet att fler än normalt kommer klara den.</t>
      </text>
    </comment>
    <comment authorId="0" ref="C4">
      <text>
        <t xml:space="preserve">Dessa celler behöver du bara ändra under eller efter tävlingen och har ingen påverkan på uträkningarna. Om du fyller i dem så kan det hjälpa dig att analysera hur schemamallen kan optimeras för att bättre återspegla verkligheten inför kommande tävlingar.</t>
      </text>
    </comment>
    <comment authorId="0" ref="D4">
      <text>
        <t xml:space="preserve">Om en gren inte sker i huvudrummet så markeras den automatiskt i färgen cyan. Det är dock endast för att lättare kunna särskilja dessa grenar från dem som sker i huvudrummet.</t>
      </text>
    </comment>
    <comment authorId="0" ref="C5">
      <text>
        <t xml:space="preserve">Döljer celler du inte ska ändra om de inte under processens gång ändrar färg. Dessa celler har inget annat syfte än att se till att beräkningar och analys fungerar som de ska.</t>
      </text>
    </comment>
    <comment authorId="0" ref="A7">
      <text>
        <t xml:space="preserve">Grenens starttid</t>
      </text>
    </comment>
    <comment authorId="0" ref="B7">
      <text>
        <t xml:space="preserve">Grenens sluttid</t>
      </text>
    </comment>
    <comment authorId="0" ref="C7">
      <text>
        <t xml:space="preserve">Det är MYCKET viktigt att grenens eller aktivitetens namn skrivs på exakt samma sätt som grenen heter i "Info"-dokumentet.</t>
      </text>
    </comment>
    <comment authorId="0" ref="D7">
      <text>
        <t xml:space="preserve">Standard att långa blindgrenar hamnar i sidorummet om 2 rum finns...</t>
      </text>
    </comment>
    <comment authorId="0" ref="E7">
      <text>
        <t xml:space="preserve">Har påverkan på hur lång tid en gren tar genom att efterföljande rundor och finaler går snabbare än 1:a rundor.</t>
      </text>
    </comment>
    <comment authorId="0" ref="F7">
      <text>
        <t xml:space="preserve">Fyller i sig själv. Oftast "avg of 5". 3x3 BLD, 4x4 BLD, 5x5 BLD har "best of 3". 3x3 Multi-Blind och 3x3 FMC kan ha "best of 1" / "best of 2" / "best of 3", så där måste du välja själv.</t>
      </text>
    </comment>
    <comment authorId="0" ref="G7">
      <text>
        <t xml:space="preserve">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H7">
      <text>
        <t xml:space="preserve">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I7">
      <text>
        <t xml:space="preserve">Bättre uträkningsstöd planeras i framtiden, i dagsläget endast information.</t>
      </text>
    </comment>
    <comment authorId="0" ref="J7">
      <text>
        <t xml:space="preserve">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K7">
      <text>
        <t xml:space="preserve">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L7">
      <text>
        <t xml:space="preserve">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M7">
      <text>
        <t xml:space="preserve">Här kan den beräknade tiden justeras manuellt om det skulle behövas, exempelvis om den beräknade tiden känns orimlig / om man önskar extra buffertid / man önskar längre lunch / om man misstänker svårighet att hitta blandare osv.</t>
      </text>
    </comment>
    <comment authorId="0" ref="N7">
      <text>
        <t xml:space="preserve">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O7">
      <text>
        <t xml:space="preserve">Här kan antalet blandningsbord / stages justeras manuellt om det exempelvis ska användas färre stages i finalrundorna eller i vissa specifika grenar.</t>
      </text>
    </comment>
    <comment authorId="0" ref="P7">
      <text>
        <t xml:space="preserve">Här kan du om du verkligen vill forcera ett särskilt antal timers för en specifik gren, exempelvis en "head to head" final i 3x3.</t>
      </text>
    </comment>
    <comment authorId="0" ref="Q7">
      <text>
        <t xml:space="preserve">Här kan du exempelvis ändra om specifikt vissa rundor ska använda fixed seating.</t>
      </text>
    </comment>
    <comment authorId="0" ref="R7">
      <text>
        <t xml:space="preserve">Fyll i detta under tävlingen om du vill och har tid. Det gör analys och förbättring av mallen enklare i efterhand.</t>
      </text>
    </comment>
    <comment authorId="0" ref="T7">
      <text>
        <t xml:space="preserve">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X7">
      <text>
        <t xml:space="preserve">Beroende på antalet personer i gruppen, vilken gren det är och liknande så är det inte säkert att alla uppställda timers kan användas maximalt; därav denna kolumn. Ändra ALDRIG själv.</t>
      </text>
    </comment>
    <comment authorId="0" ref="Y7">
      <text>
        <t xml:space="preserve">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Z7">
      <text>
        <t xml:space="preserve">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AA7">
      <text>
        <t xml:space="preserve">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A29">
      <text>
        <t xml:space="preserve">Timme</t>
      </text>
    </comment>
    <comment authorId="0" ref="B29">
      <text>
        <t xml:space="preserve">Minut</t>
      </text>
    </comment>
    <comment authorId="0" ref="A30">
      <text>
        <t xml:space="preserve">Grenens starttid</t>
      </text>
    </comment>
    <comment authorId="0" ref="B30">
      <text>
        <t xml:space="preserve">Grenens sluttid</t>
      </text>
    </comment>
    <comment authorId="0" ref="C30">
      <text>
        <t xml:space="preserve">Det är MYCKET viktigt att grenens eller aktivitetens namn skrivs på exakt samma sätt som grenen heter i "Info"-dokumentet.</t>
      </text>
    </comment>
    <comment authorId="0" ref="E30">
      <text>
        <t xml:space="preserve">Har påverkan på hur lång tid en gren tar genom att efterföljande rundor och finaler går snabbare än 1:a rundor.</t>
      </text>
    </comment>
    <comment authorId="0" ref="F30">
      <text>
        <t xml:space="preserve">Fyller i sig själv. Oftast "avg of 5". 3x3 BLD, 4x4 BLD, 5x5 BLD har "best of 3". 3x3 Multi-Blind och 3x3 FMC kan ha "best of 1" / "best of 2" / "best of 3", så där måste du välja själv.</t>
      </text>
    </comment>
    <comment authorId="0" ref="G30">
      <text>
        <t xml:space="preserve">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H30">
      <text>
        <t xml:space="preserve">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I30">
      <text>
        <t xml:space="preserve">Bättre uträkningsstöd planeras i framtiden, i dagsläget endast information.</t>
      </text>
    </comment>
    <comment authorId="0" ref="J30">
      <text>
        <t xml:space="preserve">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K30">
      <text>
        <t xml:space="preserve">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L30">
      <text>
        <t xml:space="preserve">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M30">
      <text>
        <t xml:space="preserve">Här kan den beräknade tiden justeras manuellt om det skulle behövas, exempelvis om den beräknade tiden känns orimlig / om man önskar extra buffertid / man önskar längre lunch / om man misstänker svårighet att hitta blandare osv.</t>
      </text>
    </comment>
    <comment authorId="0" ref="N30">
      <text>
        <t xml:space="preserve">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O30">
      <text>
        <t xml:space="preserve">Här kan antalet blandningsbord / stages justeras manuellt om det exempelvis ska användas färre stages i finalrundorna eller i vissa specifika grenar.</t>
      </text>
    </comment>
    <comment authorId="0" ref="P30">
      <text>
        <t xml:space="preserve">Här kan du om du verkligen vill forcera ett särskilt antal timers för en specifik gren, exempelvis en "head to head" final i 3x3.</t>
      </text>
    </comment>
    <comment authorId="0" ref="Q30">
      <text>
        <t xml:space="preserve">Här kan du exempelvis ändra om specifikt vissa rundor ska använda fixed seating.</t>
      </text>
    </comment>
    <comment authorId="0" ref="R30">
      <text>
        <t xml:space="preserve">Fyll i detta under tävlingen om du vill och har tid. Det gör analys och förbättring av mallen enklare i efterhand.</t>
      </text>
    </comment>
    <comment authorId="0" ref="T30">
      <text>
        <t xml:space="preserve">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X30">
      <text>
        <t xml:space="preserve">Beroende på antalet personer i gruppen, vilken gren det är och liknande så är det inte säkert att alla uppställda timers kan användas maximalt; därav denna kolumn. Ändra ALDRIG själv.</t>
      </text>
    </comment>
    <comment authorId="0" ref="Y30">
      <text>
        <t xml:space="preserve">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Z30">
      <text>
        <t xml:space="preserve">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AA30">
      <text>
        <t xml:space="preserve">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A52">
      <text>
        <t xml:space="preserve">Timme</t>
      </text>
    </comment>
    <comment authorId="0" ref="B52">
      <text>
        <t xml:space="preserve">Minut</t>
      </text>
    </comment>
    <comment authorId="0" ref="A53">
      <text>
        <t xml:space="preserve">Grenens starttid</t>
      </text>
    </comment>
    <comment authorId="0" ref="B53">
      <text>
        <t xml:space="preserve">Grenens sluttid</t>
      </text>
    </comment>
    <comment authorId="0" ref="C53">
      <text>
        <t xml:space="preserve">Det är MYCKET viktigt att grenens eller aktivitetens namn skrivs på exakt samma sätt som grenen heter i "Info"-dokumentet.</t>
      </text>
    </comment>
    <comment authorId="0" ref="E53">
      <text>
        <t xml:space="preserve">Har påverkan på hur lång tid en gren tar genom att efterföljande rundor och finaler går snabbare än 1:a rundor.</t>
      </text>
    </comment>
    <comment authorId="0" ref="F53">
      <text>
        <t xml:space="preserve">Fyller i sig själv. Oftast "avg of 5". 3x3 BLD, 4x4 BLD, 5x5 BLD har "best of 3". 3x3 Multi-Blind och 3x3 FMC kan ha "best of 1" / "best of 2" / "best of 3", så där måste du välja själv.</t>
      </text>
    </comment>
    <comment authorId="0" ref="G53">
      <text>
        <t xml:space="preserve">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H53">
      <text>
        <t xml:space="preserve">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I53">
      <text>
        <t xml:space="preserve">Bättre uträkningsstöd planeras i framtiden, i dagsläget endast information.</t>
      </text>
    </comment>
    <comment authorId="0" ref="J53">
      <text>
        <t xml:space="preserve">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K53">
      <text>
        <t xml:space="preserve">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L53">
      <text>
        <t xml:space="preserve">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M53">
      <text>
        <t xml:space="preserve">Här kan den beräknade tiden justeras manuellt om det skulle behövas, exempelvis om den beräknade tiden känns orimlig / om man önskar extra buffertid / man önskar längre lunch / om man misstänker svårighet att hitta blandare osv.</t>
      </text>
    </comment>
    <comment authorId="0" ref="N53">
      <text>
        <t xml:space="preserve">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O53">
      <text>
        <t xml:space="preserve">Här kan antalet blandningsbord / stages justeras manuellt om det exempelvis ska användas färre stages i finalrundorna eller i vissa specifika grenar.</t>
      </text>
    </comment>
    <comment authorId="0" ref="P53">
      <text>
        <t xml:space="preserve">Här kan du om du verkligen vill forcera ett särskilt antal timers för en specifik gren, exempelvis en "head to head" final i 3x3.</t>
      </text>
    </comment>
    <comment authorId="0" ref="Q53">
      <text>
        <t xml:space="preserve">Här kan du exempelvis ändra om specifikt vissa rundor ska använda fixed seating.</t>
      </text>
    </comment>
    <comment authorId="0" ref="R53">
      <text>
        <t xml:space="preserve">Fyll i detta under tävlingen om du vill och har tid. Det gör analys och förbättring av mallen enklare i efterhand.</t>
      </text>
    </comment>
    <comment authorId="0" ref="T53">
      <text>
        <t xml:space="preserve">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X53">
      <text>
        <t xml:space="preserve">Beroende på antalet personer i gruppen, vilken gren det är och liknande så är det inte säkert att alla uppställda timers kan användas maximalt; därav denna kolumn. Ändra ALDRIG själv.</t>
      </text>
    </comment>
    <comment authorId="0" ref="Y53">
      <text>
        <t xml:space="preserve">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Z53">
      <text>
        <t xml:space="preserve">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AA53">
      <text>
        <t xml:space="preserve">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A57">
      <text>
        <t xml:space="preserve">Timme</t>
      </text>
    </comment>
    <comment authorId="0" ref="B57">
      <text>
        <t xml:space="preserve">Minut</t>
      </text>
    </comment>
    <comment authorId="0" ref="A58">
      <text>
        <t xml:space="preserve">Grenens starttid</t>
      </text>
    </comment>
    <comment authorId="0" ref="B58">
      <text>
        <t xml:space="preserve">Grenens sluttid</t>
      </text>
    </comment>
    <comment authorId="0" ref="C58">
      <text>
        <t xml:space="preserve">Det är MYCKET viktigt att grenens eller aktivitetens namn skrivs på exakt samma sätt som grenen heter i "Info"-dokumentet.</t>
      </text>
    </comment>
    <comment authorId="0" ref="E58">
      <text>
        <t xml:space="preserve">Har påverkan på hur lång tid en gren tar genom att efterföljande rundor och finaler går snabbare än 1:a rundor.</t>
      </text>
    </comment>
    <comment authorId="0" ref="F58">
      <text>
        <t xml:space="preserve">Fyller i sig själv. Oftast "avg of 5". 3x3 BLD, 4x4 BLD, 5x5 BLD har "best of 3". 3x3 Multi-Blind och 3x3 FMC kan ha "best of 1" / "best of 2" / "best of 3", så där måste du välja själv.</t>
      </text>
    </comment>
    <comment authorId="0" ref="G58">
      <text>
        <t xml:space="preserve">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H58">
      <text>
        <t xml:space="preserve">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I58">
      <text>
        <t xml:space="preserve">Bättre uträkningsstöd planeras i framtiden, i dagsläget endast information.</t>
      </text>
    </comment>
    <comment authorId="0" ref="J58">
      <text>
        <t xml:space="preserve">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K58">
      <text>
        <t xml:space="preserve">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L58">
      <text>
        <t xml:space="preserve">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M58">
      <text>
        <t xml:space="preserve">Här kan den beräknade tiden justeras manuellt om det skulle behövas, exempelvis om den beräknade tiden känns orimlig / om man önskar extra buffertid / man önskar längre lunch / om man misstänker svårighet att hitta blandare osv.</t>
      </text>
    </comment>
    <comment authorId="0" ref="N58">
      <text>
        <t xml:space="preserve">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O58">
      <text>
        <t xml:space="preserve">Här kan antalet blandningsbord / stages justeras manuellt om det exempelvis ska användas färre stages i finalrundorna eller i vissa specifika grenar.</t>
      </text>
    </comment>
    <comment authorId="0" ref="P58">
      <text>
        <t xml:space="preserve">Här kan du om du verkligen vill forcera ett särskilt antal timers för en specifik gren, exempelvis en "head to head" final i 3x3.</t>
      </text>
    </comment>
    <comment authorId="0" ref="Q58">
      <text>
        <t xml:space="preserve">Här kan du exempelvis ändra om specifikt vissa rundor ska använda fixed seating.</t>
      </text>
    </comment>
    <comment authorId="0" ref="R58">
      <text>
        <t xml:space="preserve">Fyll i detta under tävlingen om du vill och har tid. Det gör analys och förbättring av mallen enklare i efterhand.</t>
      </text>
    </comment>
    <comment authorId="0" ref="T58">
      <text>
        <t xml:space="preserve">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X58">
      <text>
        <t xml:space="preserve">Beroende på antalet personer i gruppen, vilken gren det är och liknande så är det inte säkert att alla uppställda timers kan användas maximalt; därav denna kolumn. Ändra ALDRIG själv.</t>
      </text>
    </comment>
    <comment authorId="0" ref="Y58">
      <text>
        <t xml:space="preserve">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Z58">
      <text>
        <t xml:space="preserve">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AA58">
      <text>
        <t xml:space="preserve">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K63">
      <text>
        <t xml:space="preserve">Allt utom 3x3 FMC och 3x3 MBLD</t>
      </text>
    </comment>
    <comment authorId="0" ref="O64">
      <text>
        <t xml:space="preserve">Dessa grenar är som standard 6x6, 7x7, 6x6 / 7x7, Megaminx och Square-1. Analysen ändras dock inte om statusen för dessa grenar ändras i Info-dokumentet, utan behöver ändras i formeln här.</t>
      </text>
    </comment>
    <comment authorId="0" ref="S65">
      <text>
        <t xml:space="preserve">Som standard alla 2:a, 3:e och finalrundor, samt alla rundor 3x3 FMC och 3x3 MBLD</t>
      </text>
    </comment>
    <comment authorId="0" ref="O66">
      <text>
        <t xml:space="preserve">Dessa grenar är som standard 5x5 och Clock. Analysen ändras dock inte om statusen för dessa grenar ändras i Info-dokumentet, utan behöver ändras i formeln här.</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Om 3x3 finns på tävlingen så väntas detta bli den populäraste grenen</t>
      </text>
    </comment>
    <comment authorId="0" ref="J1">
      <text>
        <t xml:space="preserve">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K1">
      <text>
        <t xml:space="preserve">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L1">
      <text>
        <t xml:space="preserve">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M1">
      <text>
        <t xml:space="preserve">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N1">
      <text>
        <t xml:space="preserve">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T1">
      <text>
        <t xml:space="preserve">I % av försöks-tiden jämfört med normalt. Påverkar 2:a och 3:e rundor (alltså inte 1:a rundan eller finaler).</t>
      </text>
    </comment>
    <comment authorId="0" ref="T4">
      <text>
        <t xml:space="preserve">I % av försöks-tiden jämfört med normalt. Påverkar bara finaler (och inte när första rundan är finalen, exempelvis i en combined 1st round).</t>
      </text>
    </comment>
    <comment authorId="0" ref="B8">
      <text>
        <t xml:space="preserve">Helt beroende på vald cumulative time limit</t>
      </text>
    </comment>
    <comment authorId="0" ref="C8">
      <text>
        <t xml:space="preserve">Helt beroende på vald cumulative time limit</t>
      </text>
    </comment>
    <comment authorId="0" ref="B9">
      <text>
        <t xml:space="preserve">På grund av tiden för att förbereda försöket, samt därefter avsluta försöket och återställa tävlingsstationerna för andra grenar.</t>
      </text>
    </comment>
    <comment authorId="0" ref="C9">
      <text>
        <t xml:space="preserve">På grund av tiden för att förbereda försöket, samt därefter avsluta försöket och återställa tävlingsstationerna för andra grenar.</t>
      </text>
    </comment>
    <comment authorId="0" ref="D9">
      <text>
        <t xml:space="preserve">Antingen best of 1, best of 2 eller mean of 3. Kalkylarket gör ett försök att läsa av formatet beroende på hur många gånger du skrivit "3x3 FMC" medan du skapar ditt schema.</t>
      </text>
    </comment>
    <comment authorId="0" ref="T10">
      <text>
        <t xml:space="preserve">Men för blindgrenar adderas ytterligare x * 0,5 då just den första gruppen i blindgrenar tenderar att ta längre tid att få igång.</t>
      </text>
    </comment>
    <comment authorId="0" ref="B16">
      <text>
        <t xml:space="preserve">Helt beroende på vald cumulative time limit</t>
      </text>
    </comment>
    <comment authorId="0" ref="C16">
      <text>
        <t xml:space="preserve">Helt beroende på vald cumulative time limit</t>
      </text>
    </comment>
    <comment authorId="0" ref="T16">
      <text>
        <t xml:space="preserve">Alla sätter sig på samma station under hela gruppen, så det sparar tid genom att till exempel eliminera behovet av vänteområdet och tiden att gå mellan vänteområdet och lösningsstationerna. Beroende av att arrangören kan hitta en domare per tävlande för varje grupp.</t>
      </text>
    </comment>
    <comment authorId="0" ref="B17">
      <text>
        <t xml:space="preserve">Helt beroende på vald cumulative time limit</t>
      </text>
    </comment>
    <comment authorId="0" ref="C17">
      <text>
        <t xml:space="preserve">Helt beroende på vald cumulative time limit</t>
      </text>
    </comment>
    <comment authorId="0" ref="B18">
      <text>
        <t xml:space="preserve">Sätter vald tid i minuter, men tänk också på att det behövs tid samt viss logistik för att blanda kuber och förbereda försöket</t>
      </text>
    </comment>
    <comment authorId="0" ref="C18">
      <text>
        <t xml:space="preserve">Sätter vald tid i minuter, men tänk också på att det behövs tid samt viss logistik för att blanda kuber och förbereda försöket</t>
      </text>
    </comment>
    <comment authorId="0" ref="D18">
      <text>
        <t xml:space="preserve">Antingen best of 1, best of 2 eller best of 3. Kalkylarket gör ett försök att läsa av formatet beroende på hur många gånger du skrivit "3x3 MBLD" medan du skapar ditt schema.</t>
      </text>
    </comment>
    <comment authorId="0" ref="B19">
      <text>
        <t xml:space="preserve">Om grenarna hålls tillsammans</t>
      </text>
    </comment>
    <comment authorId="0" ref="C19">
      <text>
        <t xml:space="preserve">Om grenarna hålls tillsammans</t>
      </text>
    </comment>
    <comment authorId="0" ref="T19">
      <text>
        <t xml:space="preserve">I % av cumulative time limit jämfört med vald cumulative time limit. Ex: I en grupp 4x4 BLD, med cumulative time limit på 60:00 (och inte fler deltagare än tillgängliga timers) kommer alla lösningar vara färdiga på 60:00*x minuter (+ tid för att byta grupper).</t>
      </text>
    </comment>
    <comment authorId="0" ref="B20">
      <text>
        <t xml:space="preserve">Helt beroende på vald cumulative time limit</t>
      </text>
    </comment>
    <comment authorId="0" ref="C20">
      <text>
        <t xml:space="preserve">Helt beroende på vald cumulative time limit</t>
      </text>
    </comment>
    <comment authorId="0" ref="T22">
      <text>
        <t xml:space="preserve">Samma förklaring som ovan</t>
      </text>
    </comment>
    <comment authorId="0" ref="T34">
      <text>
        <t xml:space="preserve">Som standard är dessa 6x6, 7x7, 6x6 / 7x7, Megaminx, Square-1. </t>
      </text>
    </comment>
    <comment authorId="0" ref="T37">
      <text>
        <t xml:space="preserve">Som standard är dessa 5x5 och Clock.</t>
      </text>
    </comment>
  </commentList>
</comments>
</file>

<file path=xl/sharedStrings.xml><?xml version="1.0" encoding="utf-8"?>
<sst xmlns="http://schemas.openxmlformats.org/spreadsheetml/2006/main" count="402" uniqueCount="170">
  <si>
    <t>Tävlingsnamn 2023 (Skapa en kopia 
under "arkiv" om du vill testa mallen)</t>
  </si>
  <si>
    <t>Huvudrums
basvärden: -&gt;</t>
  </si>
  <si>
    <t>Huvudrummets namn:</t>
  </si>
  <si>
    <t>Deltagargräns</t>
  </si>
  <si>
    <t>Populäraste gren:</t>
  </si>
  <si>
    <t>Antal tävlingsrum</t>
  </si>
  <si>
    <t>Om fler än 1 rum: tävling samtidigt i båda?</t>
  </si>
  <si>
    <t>Antal uppställda timers (huvudrummet):</t>
  </si>
  <si>
    <t>Antal sidor/blandningsbord:</t>
  </si>
  <si>
    <t>Används fixed seating generellt:</t>
  </si>
  <si>
    <t>Standard manuell extratid:</t>
  </si>
  <si>
    <t>Stora salen</t>
  </si>
  <si>
    <t>3x3</t>
  </si>
  <si>
    <t>No</t>
  </si>
  <si>
    <t>Yes</t>
  </si>
  <si>
    <t>Lila</t>
  </si>
  <si>
    <t>Grön</t>
  </si>
  <si>
    <t>Gul</t>
  </si>
  <si>
    <t>Röd</t>
  </si>
  <si>
    <t>1:a sidorummets namn:</t>
  </si>
  <si>
    <t>Sidorummen kopplade till:</t>
  </si>
  <si>
    <t>2:a sidorummets namn:</t>
  </si>
  <si>
    <t>3:e sidorummets namn:</t>
  </si>
  <si>
    <t>4:e sidorummets namn:</t>
  </si>
  <si>
    <t>Vit</t>
  </si>
  <si>
    <t>Orange</t>
  </si>
  <si>
    <t>Blå</t>
  </si>
  <si>
    <t>Cyan</t>
  </si>
  <si>
    <t>Tävlingen börjar klockan</t>
  </si>
  <si>
    <t>Svart</t>
  </si>
  <si>
    <t>Analys finns
längst ner!</t>
  </si>
  <si>
    <t>Antal timers:</t>
  </si>
  <si>
    <t>Används fixed seating?</t>
  </si>
  <si>
    <t>Start</t>
  </si>
  <si>
    <t>Slut</t>
  </si>
  <si>
    <t>Gren (läs här!)</t>
  </si>
  <si>
    <t>Rum</t>
  </si>
  <si>
    <t>Omgång</t>
  </si>
  <si>
    <t>Format</t>
  </si>
  <si>
    <t>Time limit</t>
  </si>
  <si>
    <t>Cumulative time limit</t>
  </si>
  <si>
    <t>Cutoff</t>
  </si>
  <si>
    <t>Antal deltagare</t>
  </si>
  <si>
    <t>Klarar cutoff / stoppas ej av c.t.l.</t>
  </si>
  <si>
    <t>Beräknad tid</t>
  </si>
  <si>
    <t>Manuell extratid</t>
  </si>
  <si>
    <t>Antal grupper</t>
  </si>
  <si>
    <t>Antal blandningsbord / stages</t>
  </si>
  <si>
    <t>Antal timers</t>
  </si>
  <si>
    <t>Tidsåtgång IRL?</t>
  </si>
  <si>
    <t>Klarade cutoff / c.t.l.</t>
  </si>
  <si>
    <t>Faktisk försöks-tid</t>
  </si>
  <si>
    <t>Ev. kommentar</t>
  </si>
  <si>
    <t>Deltagare per grupp</t>
  </si>
  <si>
    <t>Tid per grupp</t>
  </si>
  <si>
    <t>Antal effektivt använda timers</t>
  </si>
  <si>
    <t>Försöks-tid</t>
  </si>
  <si>
    <t>Min antal försök</t>
  </si>
  <si>
    <t>Max antal försök</t>
  </si>
  <si>
    <t>Klarar cutoff / stoppas av c.t.l.</t>
  </si>
  <si>
    <t>Försök-tid</t>
  </si>
  <si>
    <t>Analys:</t>
  </si>
  <si>
    <t>1:a-rundor</t>
  </si>
  <si>
    <t>3:e-rundor:</t>
  </si>
  <si>
    <t>Svårblandade finaler:</t>
  </si>
  <si>
    <t>Rundor med cutoff:</t>
  </si>
  <si>
    <t>Rundor där time limit har en påverkan:</t>
  </si>
  <si>
    <t>Rundor utan fixed seating:</t>
  </si>
  <si>
    <t>Långa blindgrenar:</t>
  </si>
  <si>
    <t>3x3 FMC</t>
  </si>
  <si>
    <t>2:a-rundor</t>
  </si>
  <si>
    <t>Finalrundor:</t>
  </si>
  <si>
    <t>MYCKET svårblandade finaler:</t>
  </si>
  <si>
    <t>Rundor med cumulative time limit:</t>
  </si>
  <si>
    <t>Resterande rundor:</t>
  </si>
  <si>
    <t>Rundor med fixed seating:</t>
  </si>
  <si>
    <t>3x3 BLD:</t>
  </si>
  <si>
    <t>3x3 MBLD</t>
  </si>
  <si>
    <t xml:space="preserve">Fixed seating, +5% försökstid: </t>
  </si>
  <si>
    <t xml:space="preserve">Fixed seating, +10% försökstid: </t>
  </si>
  <si>
    <t xml:space="preserve">Utan fixed seating, +5% försökstid: </t>
  </si>
  <si>
    <t xml:space="preserve">Utan fixed seating, +10% försökstid: </t>
  </si>
  <si>
    <t>Försökstid - högsta +% - fixed seating:</t>
  </si>
  <si>
    <t>Försökstid - högsta +% - ej fixed seating:</t>
  </si>
  <si>
    <t>Fler klarade cutoff (+10%):</t>
  </si>
  <si>
    <t>Fler klarade c.t.l. (+10%):</t>
  </si>
  <si>
    <t xml:space="preserve">Fixed seating, -5% försökstid: </t>
  </si>
  <si>
    <t xml:space="preserve">Fixed seating, -10% försökstid: </t>
  </si>
  <si>
    <t xml:space="preserve">Utan fixed seating, -5% försökstid: </t>
  </si>
  <si>
    <t xml:space="preserve">Utan fixed seating, -10% försökstid: </t>
  </si>
  <si>
    <t>Försökstid - högsta -% - fixed seating:</t>
  </si>
  <si>
    <t>Försökstid - högsta -% - ej fixed seating:</t>
  </si>
  <si>
    <t>Färre klarade cutoff (-10%):</t>
  </si>
  <si>
    <t>Färre klarade c.t.l. (-10%):</t>
  </si>
  <si>
    <t>2x2</t>
  </si>
  <si>
    <t>4x4</t>
  </si>
  <si>
    <t>5x5</t>
  </si>
  <si>
    <t>6x6</t>
  </si>
  <si>
    <t>7x7</t>
  </si>
  <si>
    <t>3x3 BLD</t>
  </si>
  <si>
    <t>3x3 OH</t>
  </si>
  <si>
    <t>Clock</t>
  </si>
  <si>
    <t>Megaminx</t>
  </si>
  <si>
    <t>Pyraminx</t>
  </si>
  <si>
    <t>Skewb</t>
  </si>
  <si>
    <t>Square-1</t>
  </si>
  <si>
    <t>4x4 BLD</t>
  </si>
  <si>
    <t>5x5 BLD</t>
  </si>
  <si>
    <t>6x6 / 7x7</t>
  </si>
  <si>
    <t>4x4 / 5x5 BLD</t>
  </si>
  <si>
    <t>Fixed seating (skillnad i %)</t>
  </si>
  <si>
    <t>Faktisk försökstid</t>
  </si>
  <si>
    <t>Ej fixed seating (skillnad i %)</t>
  </si>
  <si>
    <t>Deltagare (skillnad i %)</t>
  </si>
  <si>
    <t>Faktisk kvot mot 3x3</t>
  </si>
  <si>
    <t>Cutoff (skillnad i %)</t>
  </si>
  <si>
    <t>Faktisk kvot av deltagarna</t>
  </si>
  <si>
    <t>Cumulative (skillnad i %)</t>
  </si>
  <si>
    <t>Gren</t>
  </si>
  <si>
    <t>Attempt time med fixed seating</t>
  </si>
  <si>
    <t>Används cutoff?</t>
  </si>
  <si>
    <t>Används cumulative?</t>
  </si>
  <si>
    <t>Svårblandad gren?</t>
  </si>
  <si>
    <t>% som brukar delta jämfört med 3x3</t>
  </si>
  <si>
    <t>Standard antal rundor i grenen</t>
  </si>
  <si>
    <r>
      <rPr>
        <rFont val="arial"/>
        <b/>
        <color theme="1"/>
      </rPr>
      <t xml:space="preserve">Mycket hård cutoff / </t>
    </r>
    <r>
      <rPr>
        <rFont val="arial"/>
        <b/>
        <color rgb="FF9900FF"/>
      </rPr>
      <t>c.t.l.</t>
    </r>
  </si>
  <si>
    <r>
      <rPr>
        <rFont val="arial"/>
        <b/>
        <color theme="1"/>
      </rPr>
      <t xml:space="preserve">Medelhård cutoff / </t>
    </r>
    <r>
      <rPr>
        <rFont val="arial"/>
        <b/>
        <color rgb="FF9900FF"/>
      </rPr>
      <t>c.t.l.</t>
    </r>
  </si>
  <si>
    <r>
      <rPr>
        <rFont val="arial"/>
        <b/>
        <color theme="1"/>
      </rPr>
      <t xml:space="preserve">Normal cutoff / </t>
    </r>
    <r>
      <rPr>
        <rFont val="arial"/>
        <b/>
        <color rgb="FF9900FF"/>
      </rPr>
      <t>c.t.l.</t>
    </r>
  </si>
  <si>
    <r>
      <rPr>
        <rFont val="arial"/>
        <b/>
        <color theme="1"/>
      </rPr>
      <t xml:space="preserve">Medellätt cutoff / </t>
    </r>
    <r>
      <rPr>
        <rFont val="arial"/>
        <b/>
        <color rgb="FF9900FF"/>
      </rPr>
      <t>c.t.l.</t>
    </r>
  </si>
  <si>
    <r>
      <rPr>
        <rFont val="arial"/>
        <b/>
        <color theme="1"/>
      </rPr>
      <t xml:space="preserve">Mycket lätt cutoff / </t>
    </r>
    <r>
      <rPr>
        <rFont val="arial"/>
        <b/>
        <color rgb="FF9900FF"/>
      </rPr>
      <t>c.t.l.</t>
    </r>
  </si>
  <si>
    <t>Standard cumulative time limit</t>
  </si>
  <si>
    <t>Standard time limit i R1</t>
  </si>
  <si>
    <t>Standard time limit i R2</t>
  </si>
  <si>
    <t>Standard time limit i R3</t>
  </si>
  <si>
    <t>Standard time limit i final</t>
  </si>
  <si>
    <t>Försökstid som behövs för efterföljande rundor gentemot 1:a rundan</t>
  </si>
  <si>
    <t>Avg of 5</t>
  </si>
  <si>
    <t>Nej</t>
  </si>
  <si>
    <t>N/A</t>
  </si>
  <si>
    <t>Försökstid som behövs för finaler gentemot 1:a rundan</t>
  </si>
  <si>
    <t>Mycket svår</t>
  </si>
  <si>
    <t>Mean of 3</t>
  </si>
  <si>
    <t xml:space="preserve">Svår </t>
  </si>
  <si>
    <t>Svår</t>
  </si>
  <si>
    <t>Normalt antal timers uppställda (snabbare / långsammare utöver det)</t>
  </si>
  <si>
    <t>Best of 3</t>
  </si>
  <si>
    <t>Tid som behövs för att byta mellan grupper</t>
  </si>
  <si>
    <t>Extra tid som behövs för att byta mellan grupper om flera stages används</t>
  </si>
  <si>
    <t>Modifierad försöks-tid med fixed seating (en domare per deltagare behövs)</t>
  </si>
  <si>
    <t>Tid som behövs för långa blindgrenar (gentemot cumulative time limit)</t>
  </si>
  <si>
    <t>Andra aktiviteter</t>
  </si>
  <si>
    <t>% som klarar cutoff</t>
  </si>
  <si>
    <t>Check-in</t>
  </si>
  <si>
    <t>Tid som behövs för 3x3 BLD (gentemot cumulative time limit)</t>
  </si>
  <si>
    <t>Registrering</t>
  </si>
  <si>
    <t>% som hinner c.t.l</t>
  </si>
  <si>
    <t>Paus</t>
  </si>
  <si>
    <t>Frukost</t>
  </si>
  <si>
    <t>% som klarar en ännu lättare cutoff än ovan</t>
  </si>
  <si>
    <t>% som klarar en ännu lättare cumulative time limit än ovan</t>
  </si>
  <si>
    <t>Antal personer som klarar cutoff i genomsnitt (i procent)</t>
  </si>
  <si>
    <t>Lunch</t>
  </si>
  <si>
    <t>Middag</t>
  </si>
  <si>
    <t>Deltagarintroduktion</t>
  </si>
  <si>
    <t>Antal personer som inte hinner klart med cumulative time limit (i procent)</t>
  </si>
  <si>
    <t>Städning</t>
  </si>
  <si>
    <t>Prisutdelning</t>
  </si>
  <si>
    <t>Standard antal av deltagarna som går vidare till nästa runda (i procent)</t>
  </si>
  <si>
    <t>Försökstid i finalen för svårblandade grenar (gentemot 1:a rundan, i %)</t>
  </si>
  <si>
    <t>Försökstid i finalen för MYCKET svårblandade grenar (gentemot 1:a rundan, 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</si>
</sst>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d&quot; &quot;mmm&quot; &quot;yyyy"/>
    <numFmt numFmtId="165" formatCode="hh&quot;:&quot;mm"/>
  </numFmts>
  <fonts count="16">
    <font>
      <sz val="10.0"/>
      <color rgb="FF000000"/>
      <name val="Arial"/>
      <scheme val="minor"/>
    </font>
    <font>
      <b/>
      <sz val="14.0"/>
      <color theme="1"/>
      <name val="Arial"/>
    </font>
    <font/>
    <font>
      <b/>
      <sz val="10.0"/>
      <color theme="1"/>
      <name val="Arial"/>
    </font>
    <font>
      <color theme="1"/>
      <name val="Arial"/>
    </font>
    <font>
      <b/>
      <color theme="1"/>
      <name val="Arial"/>
    </font>
    <font>
      <b/>
      <sz val="12.0"/>
      <color theme="1"/>
      <name val="Arial"/>
    </font>
    <font>
      <b/>
      <sz val="10.0"/>
      <color rgb="FFFFFFFF"/>
      <name val="Arial"/>
    </font>
    <font>
      <color rgb="FF232629"/>
      <name val="Arial"/>
      <scheme val="minor"/>
    </font>
    <font>
      <sz val="10.0"/>
      <color rgb="FF000000"/>
      <name val="Arial"/>
    </font>
    <font>
      <sz val="10.0"/>
      <color theme="1"/>
      <name val="Arial"/>
    </font>
    <font>
      <b/>
      <sz val="12.0"/>
      <color rgb="FF232629"/>
      <name val="Arial"/>
      <scheme val="minor"/>
    </font>
    <font>
      <sz val="10.0"/>
      <color rgb="FF232629"/>
      <name val="Arial"/>
      <scheme val="minor"/>
    </font>
    <font>
      <b/>
      <sz val="10.0"/>
      <color rgb="FF232629"/>
      <name val="Arial"/>
      <scheme val="minor"/>
    </font>
    <font>
      <b/>
      <sz val="10.0"/>
      <color rgb="FF000000"/>
      <name val="Arial"/>
      <scheme val="minor"/>
    </font>
    <font>
      <sz val="10.0"/>
      <color theme="1"/>
      <name val="Arial"/>
      <scheme val="minor"/>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4A86E8"/>
        <bgColor rgb="FF4A86E8"/>
      </patternFill>
    </fill>
    <fill>
      <patternFill patternType="solid">
        <fgColor rgb="FF00FFFF"/>
        <bgColor rgb="FF00FFFF"/>
      </patternFill>
    </fill>
    <fill>
      <patternFill patternType="solid">
        <fgColor rgb="FF6D9EEB"/>
        <bgColor rgb="FF6D9EEB"/>
      </patternFill>
    </fill>
    <fill>
      <patternFill patternType="solid">
        <fgColor rgb="FF3C78D8"/>
        <bgColor rgb="FF3C78D8"/>
      </patternFill>
    </fill>
    <fill>
      <patternFill patternType="solid">
        <fgColor rgb="FF9900FF"/>
        <bgColor rgb="FF9900FF"/>
      </patternFill>
    </fill>
    <fill>
      <patternFill patternType="solid">
        <fgColor rgb="FFCCCCCC"/>
        <bgColor rgb="FFCCCCCC"/>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vertical="bottom"/>
    </xf>
    <xf borderId="2" fillId="0" fontId="2" numFmtId="0" xfId="0" applyBorder="1" applyFont="1"/>
    <xf borderId="3" fillId="0" fontId="2" numFmtId="0" xfId="0" applyBorder="1" applyFont="1"/>
    <xf borderId="0" fillId="2" fontId="3" numFmtId="0" xfId="0" applyAlignment="1" applyFill="1" applyFont="1">
      <alignment horizontal="left" readingOrder="0" vertical="bottom"/>
    </xf>
    <xf borderId="1" fillId="2" fontId="4" numFmtId="0" xfId="0" applyAlignment="1" applyBorder="1" applyFont="1">
      <alignment horizontal="left" readingOrder="0" vertical="bottom"/>
    </xf>
    <xf borderId="2" fillId="2" fontId="4" numFmtId="0" xfId="0" applyAlignment="1" applyBorder="1" applyFont="1">
      <alignment horizontal="left" readingOrder="0" vertical="bottom"/>
    </xf>
    <xf borderId="3" fillId="3" fontId="4" numFmtId="0" xfId="0" applyAlignment="1" applyBorder="1" applyFill="1" applyFont="1">
      <alignment horizontal="left" readingOrder="0" vertical="bottom"/>
    </xf>
    <xf borderId="0" fillId="3" fontId="5" numFmtId="0" xfId="0" applyAlignment="1" applyFont="1">
      <alignment horizontal="left" readingOrder="0" vertical="bottom"/>
    </xf>
    <xf borderId="4" fillId="0" fontId="2" numFmtId="0" xfId="0" applyBorder="1" applyFont="1"/>
    <xf borderId="5" fillId="0" fontId="2" numFmtId="0" xfId="0" applyBorder="1" applyFont="1"/>
    <xf borderId="6" fillId="0" fontId="2" numFmtId="0" xfId="0" applyBorder="1" applyFont="1"/>
    <xf borderId="7" fillId="2" fontId="6" numFmtId="0" xfId="0" applyAlignment="1" applyBorder="1" applyFont="1">
      <alignment horizontal="left" readingOrder="0" vertical="bottom"/>
    </xf>
    <xf borderId="0" fillId="2" fontId="5" numFmtId="0" xfId="0" applyAlignment="1" applyFont="1">
      <alignment horizontal="left" readingOrder="0" vertical="bottom"/>
    </xf>
    <xf borderId="5" fillId="2" fontId="5" numFmtId="0" xfId="0" applyAlignment="1" applyBorder="1" applyFont="1">
      <alignment horizontal="left" readingOrder="0" vertical="bottom"/>
    </xf>
    <xf borderId="6" fillId="3" fontId="5" numFmtId="0" xfId="0" applyAlignment="1" applyBorder="1" applyFont="1">
      <alignment horizontal="left" readingOrder="0" vertical="bottom"/>
    </xf>
    <xf borderId="0" fillId="4" fontId="5" numFmtId="0" xfId="0" applyAlignment="1" applyFill="1" applyFont="1">
      <alignment horizontal="left" readingOrder="0" vertical="bottom"/>
    </xf>
    <xf borderId="0" fillId="5" fontId="5" numFmtId="0" xfId="0" applyAlignment="1" applyFill="1" applyFont="1">
      <alignment horizontal="left" readingOrder="0" vertical="bottom"/>
    </xf>
    <xf borderId="0" fillId="6" fontId="5" numFmtId="0" xfId="0" applyAlignment="1" applyFill="1" applyFont="1">
      <alignment horizontal="left" readingOrder="0" vertical="bottom"/>
    </xf>
    <xf borderId="0" fillId="0" fontId="5" numFmtId="0" xfId="0" applyAlignment="1" applyFont="1">
      <alignment horizontal="left" readingOrder="0" vertical="bottom"/>
    </xf>
    <xf borderId="0" fillId="7" fontId="5" numFmtId="0" xfId="0" applyAlignment="1" applyFill="1" applyFont="1">
      <alignment horizontal="left" readingOrder="0" vertical="bottom"/>
    </xf>
    <xf borderId="0" fillId="8" fontId="5" numFmtId="0" xfId="0" applyAlignment="1" applyFill="1" applyFont="1">
      <alignment horizontal="left" readingOrder="0" vertical="bottom"/>
    </xf>
    <xf borderId="0" fillId="9" fontId="5" numFmtId="0" xfId="0" applyAlignment="1" applyFill="1" applyFont="1">
      <alignment horizontal="left" readingOrder="0" vertical="bottom"/>
    </xf>
    <xf borderId="4" fillId="2" fontId="6" numFmtId="0" xfId="0" applyAlignment="1" applyBorder="1" applyFont="1">
      <alignment horizontal="left" readingOrder="0" vertical="bottom"/>
    </xf>
    <xf borderId="8" fillId="0" fontId="2" numFmtId="0" xfId="0" applyBorder="1" applyFont="1"/>
    <xf borderId="0" fillId="3" fontId="7" numFmtId="0" xfId="0" applyAlignment="1" applyFont="1">
      <alignment horizontal="left" readingOrder="0" vertical="bottom"/>
    </xf>
    <xf borderId="0" fillId="2" fontId="3" numFmtId="0" xfId="0" applyAlignment="1" applyFont="1">
      <alignment horizontal="left" readingOrder="0" vertical="bottom"/>
    </xf>
    <xf borderId="7" fillId="2" fontId="4" numFmtId="0" xfId="0" applyAlignment="1" applyBorder="1" applyFont="1">
      <alignment horizontal="left" readingOrder="0" vertical="bottom"/>
    </xf>
    <xf borderId="0" fillId="2" fontId="4" numFmtId="0" xfId="0" applyAlignment="1" applyFont="1">
      <alignment horizontal="left" readingOrder="0" vertical="bottom"/>
    </xf>
    <xf borderId="5" fillId="2" fontId="6" numFmtId="0" xfId="0" applyAlignment="1" applyBorder="1" applyFont="1">
      <alignment horizontal="left" readingOrder="0" vertical="bottom"/>
    </xf>
    <xf borderId="0" fillId="2" fontId="6" numFmtId="164" xfId="0" applyAlignment="1" applyFont="1" applyNumberFormat="1">
      <alignment horizontal="left" readingOrder="0" vertical="bottom"/>
    </xf>
    <xf borderId="4" fillId="2" fontId="3" numFmtId="0" xfId="0" applyAlignment="1" applyBorder="1" applyFont="1">
      <alignment horizontal="left" readingOrder="0" vertical="bottom"/>
    </xf>
    <xf borderId="5" fillId="2" fontId="3" numFmtId="0" xfId="0" applyAlignment="1" applyBorder="1" applyFont="1">
      <alignment horizontal="left" readingOrder="0" vertical="bottom"/>
    </xf>
    <xf borderId="0" fillId="4" fontId="5" numFmtId="0" xfId="0" applyAlignment="1" applyFont="1">
      <alignment horizontal="left" vertical="bottom"/>
    </xf>
    <xf borderId="2" fillId="0" fontId="5" numFmtId="0" xfId="0" applyAlignment="1" applyBorder="1" applyFont="1">
      <alignment horizontal="left" readingOrder="0" vertical="bottom"/>
    </xf>
    <xf borderId="0" fillId="7" fontId="5" numFmtId="0" xfId="0" applyAlignment="1" applyFont="1">
      <alignment horizontal="left" vertical="bottom"/>
    </xf>
    <xf borderId="0" fillId="8" fontId="5" numFmtId="0" xfId="0" applyAlignment="1" applyFont="1">
      <alignment horizontal="left" readingOrder="0" vertical="bottom"/>
    </xf>
    <xf borderId="0" fillId="8" fontId="5" numFmtId="2" xfId="0" applyAlignment="1" applyFont="1" applyNumberFormat="1">
      <alignment horizontal="left" readingOrder="0" vertical="bottom"/>
    </xf>
    <xf borderId="0" fillId="6" fontId="5" numFmtId="2" xfId="0" applyAlignment="1" applyFont="1" applyNumberFormat="1">
      <alignment horizontal="left" readingOrder="0" vertical="bottom"/>
    </xf>
    <xf borderId="0" fillId="6" fontId="5" numFmtId="0" xfId="0" applyAlignment="1" applyFont="1">
      <alignment horizontal="left" vertical="bottom"/>
    </xf>
    <xf borderId="0" fillId="4" fontId="8" numFmtId="165" xfId="0" applyAlignment="1" applyFont="1" applyNumberFormat="1">
      <alignment horizontal="right"/>
    </xf>
    <xf borderId="0" fillId="4" fontId="0" numFmtId="165" xfId="0" applyAlignment="1" applyFont="1" applyNumberFormat="1">
      <alignment horizontal="right"/>
    </xf>
    <xf borderId="0" fillId="0" fontId="4" numFmtId="0" xfId="0" applyAlignment="1" applyFont="1">
      <alignment readingOrder="0" vertical="bottom"/>
    </xf>
    <xf borderId="0" fillId="7" fontId="4" numFmtId="0" xfId="0" applyAlignment="1" applyFont="1">
      <alignment horizontal="left" readingOrder="0" vertical="bottom"/>
    </xf>
    <xf borderId="0" fillId="7" fontId="0" numFmtId="0" xfId="0" applyFont="1"/>
    <xf borderId="0" fillId="7" fontId="0" numFmtId="0" xfId="0" applyAlignment="1" applyFont="1">
      <alignment horizontal="right"/>
    </xf>
    <xf borderId="0" fillId="7" fontId="4" numFmtId="0" xfId="0" applyAlignment="1" applyFont="1">
      <alignment horizontal="right" readingOrder="0" vertical="bottom"/>
    </xf>
    <xf borderId="0" fillId="4" fontId="4" numFmtId="2" xfId="0" applyAlignment="1" applyFont="1" applyNumberFormat="1">
      <alignment horizontal="right" vertical="bottom"/>
    </xf>
    <xf borderId="0" fillId="5" fontId="4" numFmtId="0" xfId="0" applyAlignment="1" applyFont="1">
      <alignment horizontal="right" readingOrder="0" vertical="bottom"/>
    </xf>
    <xf borderId="0" fillId="5" fontId="4" numFmtId="0" xfId="0" applyAlignment="1" applyFont="1">
      <alignment readingOrder="0" vertical="bottom"/>
    </xf>
    <xf borderId="0" fillId="8" fontId="4" numFmtId="2" xfId="0" applyAlignment="1" applyFont="1" applyNumberFormat="1">
      <alignment horizontal="right" readingOrder="0" vertical="bottom"/>
    </xf>
    <xf borderId="0" fillId="8" fontId="4" numFmtId="0" xfId="0" applyAlignment="1" applyFont="1">
      <alignment horizontal="right" readingOrder="0" vertical="bottom"/>
    </xf>
    <xf borderId="0" fillId="8" fontId="4" numFmtId="2" xfId="0" applyAlignment="1" applyFont="1" applyNumberFormat="1">
      <alignment horizontal="right" vertical="bottom"/>
    </xf>
    <xf borderId="0" fillId="6" fontId="4" numFmtId="0" xfId="0" applyAlignment="1" applyFont="1">
      <alignment horizontal="right" vertical="bottom"/>
    </xf>
    <xf borderId="0" fillId="6" fontId="4" numFmtId="2" xfId="0" applyAlignment="1" applyFont="1" applyNumberFormat="1">
      <alignment horizontal="right" vertical="bottom"/>
    </xf>
    <xf borderId="0" fillId="6" fontId="9" numFmtId="0" xfId="0" applyAlignment="1" applyFont="1">
      <alignment horizontal="right" readingOrder="0"/>
    </xf>
    <xf borderId="0" fillId="6" fontId="4" numFmtId="2" xfId="0" applyAlignment="1" applyFont="1" applyNumberFormat="1">
      <alignment horizontal="right" readingOrder="0" vertical="bottom"/>
    </xf>
    <xf borderId="0" fillId="6" fontId="4" numFmtId="0" xfId="0" applyAlignment="1" applyFont="1">
      <alignment horizontal="right" readingOrder="0" vertical="bottom"/>
    </xf>
    <xf borderId="0" fillId="3" fontId="4" numFmtId="0" xfId="0" applyAlignment="1" applyFont="1">
      <alignment horizontal="right" readingOrder="0" vertical="bottom"/>
    </xf>
    <xf borderId="2" fillId="2" fontId="5" numFmtId="0" xfId="0" applyAlignment="1" applyBorder="1" applyFont="1">
      <alignment horizontal="left" readingOrder="0" vertical="bottom"/>
    </xf>
    <xf borderId="2" fillId="2" fontId="6" numFmtId="164" xfId="0" applyAlignment="1" applyBorder="1" applyFont="1" applyNumberFormat="1">
      <alignment horizontal="left" readingOrder="0" vertical="bottom"/>
    </xf>
    <xf borderId="2" fillId="3" fontId="4" numFmtId="0" xfId="0" applyAlignment="1" applyBorder="1" applyFont="1">
      <alignment horizontal="left" readingOrder="0" vertical="bottom"/>
    </xf>
    <xf borderId="2" fillId="2" fontId="6" numFmtId="0" xfId="0" applyAlignment="1" applyBorder="1" applyFont="1">
      <alignment horizontal="left" readingOrder="0" vertical="bottom"/>
    </xf>
    <xf borderId="2" fillId="2" fontId="10" numFmtId="0" xfId="0" applyAlignment="1" applyBorder="1" applyFont="1">
      <alignment horizontal="right" readingOrder="0" vertical="bottom"/>
    </xf>
    <xf borderId="2" fillId="3" fontId="10" numFmtId="0" xfId="0" applyAlignment="1" applyBorder="1" applyFont="1">
      <alignment horizontal="right" readingOrder="0" vertical="bottom"/>
    </xf>
    <xf borderId="5" fillId="2" fontId="6" numFmtId="164" xfId="0" applyAlignment="1" applyBorder="1" applyFont="1" applyNumberFormat="1">
      <alignment horizontal="left" readingOrder="0" vertical="bottom"/>
    </xf>
    <xf borderId="5" fillId="3" fontId="4" numFmtId="0" xfId="0" applyAlignment="1" applyBorder="1" applyFont="1">
      <alignment horizontal="left" readingOrder="0" vertical="bottom"/>
    </xf>
    <xf borderId="5" fillId="2" fontId="4" numFmtId="0" xfId="0" applyAlignment="1" applyBorder="1" applyFont="1">
      <alignment horizontal="left" readingOrder="0" vertical="bottom"/>
    </xf>
    <xf borderId="5" fillId="2" fontId="10" numFmtId="0" xfId="0" applyAlignment="1" applyBorder="1" applyFont="1">
      <alignment horizontal="right" readingOrder="0" vertical="bottom"/>
    </xf>
    <xf borderId="5" fillId="3" fontId="10" numFmtId="0" xfId="0" applyAlignment="1" applyBorder="1" applyFont="1">
      <alignment horizontal="right" readingOrder="0" vertical="bottom"/>
    </xf>
    <xf borderId="0" fillId="3" fontId="5" numFmtId="0" xfId="0" applyAlignment="1" applyFont="1">
      <alignment horizontal="left" vertical="bottom"/>
    </xf>
    <xf borderId="2" fillId="2" fontId="10" numFmtId="0" xfId="0" applyAlignment="1" applyBorder="1" applyFont="1">
      <alignment horizontal="right" readingOrder="0" vertical="bottom"/>
    </xf>
    <xf borderId="5" fillId="2" fontId="10" numFmtId="0" xfId="0" applyAlignment="1" applyBorder="1" applyFont="1">
      <alignment horizontal="right" readingOrder="0" vertical="bottom"/>
    </xf>
    <xf borderId="2" fillId="2" fontId="11" numFmtId="0" xfId="0" applyAlignment="1" applyBorder="1" applyFont="1">
      <alignment horizontal="left" readingOrder="0"/>
    </xf>
    <xf borderId="2" fillId="2" fontId="10" numFmtId="0" xfId="0" applyAlignment="1" applyBorder="1" applyFont="1">
      <alignment horizontal="left" readingOrder="0" vertical="bottom"/>
    </xf>
    <xf borderId="3" fillId="3" fontId="10" numFmtId="0" xfId="0" applyAlignment="1" applyBorder="1" applyFont="1">
      <alignment horizontal="left" readingOrder="0" vertical="bottom"/>
    </xf>
    <xf borderId="6" fillId="3" fontId="4" numFmtId="0" xfId="0" applyAlignment="1" applyBorder="1" applyFont="1">
      <alignment horizontal="left" readingOrder="0" vertical="bottom"/>
    </xf>
    <xf borderId="0" fillId="2" fontId="10" numFmtId="0" xfId="0" applyAlignment="1" applyFont="1">
      <alignment horizontal="right" readingOrder="0" vertical="bottom"/>
    </xf>
    <xf borderId="0" fillId="3" fontId="10" numFmtId="0" xfId="0" applyAlignment="1" applyFont="1">
      <alignment horizontal="right" readingOrder="0" vertical="bottom"/>
    </xf>
    <xf borderId="0" fillId="2" fontId="10" numFmtId="0" xfId="0" applyAlignment="1" applyFont="1">
      <alignment horizontal="right" readingOrder="0" vertical="bottom"/>
    </xf>
    <xf borderId="0" fillId="8" fontId="12" numFmtId="0" xfId="0" applyAlignment="1" applyFont="1">
      <alignment horizontal="left" readingOrder="0"/>
    </xf>
    <xf borderId="0" fillId="8" fontId="4" numFmtId="164" xfId="0" applyAlignment="1" applyFont="1" applyNumberFormat="1">
      <alignment horizontal="left" readingOrder="0" vertical="bottom"/>
    </xf>
    <xf borderId="2" fillId="8" fontId="4" numFmtId="164" xfId="0" applyAlignment="1" applyBorder="1" applyFont="1" applyNumberFormat="1">
      <alignment horizontal="left" readingOrder="0" vertical="bottom"/>
    </xf>
    <xf borderId="2" fillId="8" fontId="4" numFmtId="0" xfId="0" applyAlignment="1" applyBorder="1" applyFont="1">
      <alignment horizontal="left" readingOrder="0" vertical="bottom"/>
    </xf>
    <xf borderId="5" fillId="8" fontId="13" numFmtId="0" xfId="0" applyAlignment="1" applyBorder="1" applyFont="1">
      <alignment horizontal="left" readingOrder="0"/>
    </xf>
    <xf borderId="5" fillId="8" fontId="5" numFmtId="0" xfId="0" applyAlignment="1" applyBorder="1" applyFont="1">
      <alignment horizontal="left" readingOrder="0" vertical="bottom"/>
    </xf>
    <xf borderId="5" fillId="8" fontId="14" numFmtId="0" xfId="0" applyAlignment="1" applyBorder="1" applyFont="1">
      <alignment horizontal="left"/>
    </xf>
    <xf borderId="7" fillId="8" fontId="13" numFmtId="0" xfId="0" applyAlignment="1" applyBorder="1" applyFont="1">
      <alignment horizontal="left" readingOrder="0"/>
    </xf>
    <xf borderId="7" fillId="8" fontId="4" numFmtId="0" xfId="0" applyAlignment="1" applyBorder="1" applyFont="1">
      <alignment horizontal="left" readingOrder="0" vertical="bottom"/>
    </xf>
    <xf borderId="0" fillId="8" fontId="4" numFmtId="0" xfId="0" applyAlignment="1" applyFont="1">
      <alignment horizontal="left" readingOrder="0" vertical="bottom"/>
    </xf>
    <xf borderId="0" fillId="8" fontId="13" numFmtId="0" xfId="0" applyAlignment="1" applyFont="1">
      <alignment horizontal="left" readingOrder="0"/>
    </xf>
    <xf borderId="4" fillId="8" fontId="5" numFmtId="0" xfId="0" applyAlignment="1" applyBorder="1" applyFont="1">
      <alignment horizontal="left" readingOrder="0" vertical="bottom"/>
    </xf>
    <xf borderId="2" fillId="8" fontId="12" numFmtId="0" xfId="0" applyAlignment="1" applyBorder="1" applyFont="1">
      <alignment horizontal="left" readingOrder="0"/>
    </xf>
    <xf borderId="1" fillId="8" fontId="12" numFmtId="0" xfId="0" applyAlignment="1" applyBorder="1" applyFont="1">
      <alignment horizontal="left" readingOrder="0"/>
    </xf>
    <xf borderId="0" fillId="3" fontId="4" numFmtId="0" xfId="0" applyAlignment="1" applyFont="1">
      <alignment horizontal="left" readingOrder="0" vertical="bottom"/>
    </xf>
    <xf borderId="7" fillId="8" fontId="12" numFmtId="0" xfId="0" applyAlignment="1" applyBorder="1" applyFont="1">
      <alignment horizontal="left" readingOrder="0"/>
    </xf>
    <xf borderId="4" fillId="8" fontId="13" numFmtId="0" xfId="0" applyAlignment="1" applyBorder="1" applyFont="1">
      <alignment horizontal="left" readingOrder="0"/>
    </xf>
    <xf borderId="9" fillId="8" fontId="13" numFmtId="0" xfId="0" applyAlignment="1" applyBorder="1" applyFont="1">
      <alignment horizontal="left" readingOrder="0"/>
    </xf>
    <xf borderId="10" fillId="8" fontId="13" numFmtId="0" xfId="0" applyAlignment="1" applyBorder="1" applyFont="1">
      <alignment horizontal="left" readingOrder="0"/>
    </xf>
    <xf borderId="0" fillId="10" fontId="13" numFmtId="0" xfId="0" applyAlignment="1" applyFill="1" applyFont="1">
      <alignment horizontal="left" readingOrder="0"/>
    </xf>
    <xf borderId="0" fillId="11" fontId="13" numFmtId="2" xfId="0" applyAlignment="1" applyFill="1" applyFont="1" applyNumberFormat="1">
      <alignment horizontal="left" readingOrder="0"/>
    </xf>
    <xf borderId="0" fillId="0" fontId="5" numFmtId="0" xfId="0" applyAlignment="1" applyFont="1">
      <alignment horizontal="left" readingOrder="0" vertical="bottom"/>
    </xf>
    <xf borderId="0" fillId="12" fontId="5" numFmtId="0" xfId="0" applyAlignment="1" applyFill="1" applyFont="1">
      <alignment horizontal="left" readingOrder="0" vertical="bottom"/>
    </xf>
    <xf borderId="0" fillId="0" fontId="4" numFmtId="0" xfId="0" applyAlignment="1" applyFont="1">
      <alignment horizontal="left" vertical="bottom"/>
    </xf>
    <xf borderId="0" fillId="0" fontId="4" numFmtId="0" xfId="0" applyAlignment="1" applyFont="1">
      <alignment horizontal="left" readingOrder="0" vertical="bottom"/>
    </xf>
    <xf borderId="0" fillId="12" fontId="4" numFmtId="0" xfId="0" applyAlignment="1" applyFont="1">
      <alignment horizontal="left" readingOrder="0" vertical="bottom"/>
    </xf>
    <xf borderId="0" fillId="13" fontId="4" numFmtId="0" xfId="0" applyAlignment="1" applyFill="1" applyFont="1">
      <alignment horizontal="left" readingOrder="0" vertical="bottom"/>
    </xf>
    <xf borderId="0" fillId="0" fontId="4" numFmtId="4" xfId="0" applyAlignment="1" applyFont="1" applyNumberFormat="1">
      <alignment horizontal="left" vertical="bottom"/>
    </xf>
    <xf borderId="0" fillId="3" fontId="4" numFmtId="4" xfId="0" applyAlignment="1" applyFont="1" applyNumberFormat="1">
      <alignment horizontal="left" vertical="bottom"/>
    </xf>
    <xf borderId="0" fillId="3" fontId="5" numFmtId="0" xfId="0" applyAlignment="1" applyFont="1">
      <alignment horizontal="left" vertical="bottom"/>
    </xf>
    <xf borderId="0" fillId="0" fontId="4" numFmtId="0" xfId="0" applyAlignment="1" applyFont="1">
      <alignment horizontal="left" readingOrder="0" shrinkToFit="0" vertical="bottom" wrapText="0"/>
    </xf>
    <xf borderId="0" fillId="12" fontId="4" numFmtId="0" xfId="0" applyAlignment="1" applyFont="1">
      <alignment horizontal="left" readingOrder="0" shrinkToFit="0" vertical="bottom" wrapText="0"/>
    </xf>
    <xf borderId="0" fillId="13" fontId="4"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4" numFmtId="0" xfId="0" applyAlignment="1" applyFont="1">
      <alignment horizontal="left" readingOrder="0" vertical="bottom"/>
    </xf>
    <xf borderId="0" fillId="12" fontId="4" numFmtId="0" xfId="0" applyAlignment="1" applyFont="1">
      <alignment horizontal="left" readingOrder="0" vertical="bottom"/>
    </xf>
    <xf borderId="0" fillId="3" fontId="4" numFmtId="0" xfId="0" applyAlignment="1" applyFont="1">
      <alignment horizontal="left" vertical="bottom"/>
    </xf>
    <xf borderId="0" fillId="13" fontId="4" numFmtId="0" xfId="0" applyAlignment="1" applyFont="1">
      <alignment horizontal="left" readingOrder="0" vertical="bottom"/>
    </xf>
    <xf borderId="0" fillId="0" fontId="4" numFmtId="0" xfId="0" applyAlignment="1" applyFont="1">
      <alignment horizontal="left" readingOrder="0" vertical="bottom"/>
    </xf>
    <xf borderId="0" fillId="13" fontId="15" numFmtId="0" xfId="0" applyAlignment="1" applyFont="1">
      <alignment readingOrder="0"/>
    </xf>
    <xf borderId="0" fillId="3" fontId="4" numFmtId="0" xfId="0" applyAlignment="1" applyFont="1">
      <alignment horizontal="left" vertical="bottom"/>
    </xf>
    <xf borderId="0" fillId="0" fontId="5" numFmtId="0" xfId="0" applyAlignment="1" applyFont="1">
      <alignment horizontal="left" readingOrder="0" vertical="bottom"/>
    </xf>
    <xf borderId="0" fillId="3" fontId="4" numFmtId="0" xfId="0" applyAlignment="1" applyFont="1">
      <alignment horizontal="left" readingOrder="0" vertical="bottom"/>
    </xf>
    <xf borderId="0" fillId="0" fontId="5" numFmtId="0" xfId="0" applyAlignment="1" applyFont="1">
      <alignment horizontal="left" readingOrder="0" shrinkToFit="0" vertical="bottom" wrapText="0"/>
    </xf>
    <xf borderId="0" fillId="3" fontId="5" numFmtId="0" xfId="0" applyAlignment="1" applyFont="1">
      <alignment horizontal="left" readingOrder="0" shrinkToFit="0" vertical="bottom" wrapText="0"/>
    </xf>
    <xf borderId="0" fillId="3" fontId="4" numFmtId="0" xfId="0" applyAlignment="1" applyFont="1">
      <alignment horizontal="left" readingOrder="0" vertical="bottom"/>
    </xf>
    <xf borderId="0" fillId="3" fontId="4"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3" fontId="4" numFmtId="0" xfId="0" applyAlignment="1" applyFont="1">
      <alignment horizontal="left" shrinkToFit="0" vertical="bottom" wrapText="0"/>
    </xf>
  </cellXfs>
  <cellStyles count="1">
    <cellStyle xfId="0" name="Normal" builtinId="0"/>
  </cellStyles>
  <dxfs count="5">
    <dxf>
      <font>
        <b/>
      </font>
      <fill>
        <patternFill patternType="none"/>
      </fill>
      <border/>
    </dxf>
    <dxf>
      <font/>
      <fill>
        <patternFill patternType="solid">
          <fgColor rgb="FF00FFFF"/>
          <bgColor rgb="FF00FFFF"/>
        </patternFill>
      </fill>
      <border/>
    </dxf>
    <dxf>
      <font/>
      <fill>
        <patternFill patternType="solid">
          <fgColor rgb="FF000000"/>
          <bgColor rgb="FF000000"/>
        </patternFill>
      </fill>
      <border/>
    </dxf>
    <dxf>
      <font/>
      <fill>
        <patternFill patternType="solid">
          <fgColor rgb="FF9900FF"/>
          <bgColor rgb="FF9900FF"/>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25"/>
    <col customWidth="1" min="4" max="4" width="11.38"/>
    <col customWidth="1" min="5" max="5" width="10.0"/>
    <col customWidth="1" min="6" max="6" width="10.38"/>
    <col customWidth="1" min="7" max="7" width="8.63"/>
    <col customWidth="1" min="8" max="8" width="9.75"/>
    <col customWidth="1" min="9" max="9" width="10.13"/>
    <col customWidth="1" min="10" max="10" width="12.88"/>
    <col customWidth="1" min="11" max="11" width="26.63"/>
    <col customWidth="1" min="12" max="12" width="14.38"/>
    <col customWidth="1" min="13" max="13" width="13.63"/>
    <col customWidth="1" min="14" max="14" width="11.88"/>
    <col customWidth="1" min="15" max="15" width="24.88"/>
    <col customWidth="1" min="16" max="16" width="10.63"/>
    <col customWidth="1" min="17" max="17" width="19.75"/>
    <col customWidth="1" min="18" max="18" width="14.0"/>
    <col customWidth="1" min="19" max="19" width="16.88"/>
    <col customWidth="1" min="20" max="20" width="15.75"/>
    <col customWidth="1" min="21" max="21" width="12.88"/>
    <col customWidth="1" min="22" max="22" width="16.88"/>
    <col customWidth="1" min="23" max="23" width="11.75"/>
    <col customWidth="1" min="24" max="24" width="24.75"/>
    <col customWidth="1" min="25" max="25" width="9.88"/>
    <col customWidth="1" min="26" max="26" width="13.75"/>
    <col customWidth="1" min="27" max="27" width="14.13"/>
    <col customWidth="1" min="28" max="28" width="5.38"/>
  </cols>
  <sheetData>
    <row r="1">
      <c r="A1" s="1" t="s">
        <v>0</v>
      </c>
      <c r="B1" s="2"/>
      <c r="C1" s="3"/>
      <c r="D1" s="4" t="s">
        <v>1</v>
      </c>
      <c r="E1" s="5" t="s">
        <v>2</v>
      </c>
      <c r="F1" s="2"/>
      <c r="G1" s="2"/>
      <c r="H1" s="2"/>
      <c r="I1" s="6" t="s">
        <v>3</v>
      </c>
      <c r="J1" s="2"/>
      <c r="K1" s="6" t="s">
        <v>4</v>
      </c>
      <c r="L1" s="2"/>
      <c r="M1" s="6" t="s">
        <v>5</v>
      </c>
      <c r="N1" s="2"/>
      <c r="O1" s="6" t="s">
        <v>6</v>
      </c>
      <c r="P1" s="2"/>
      <c r="Q1" s="6" t="s">
        <v>7</v>
      </c>
      <c r="R1" s="2"/>
      <c r="S1" s="6" t="s">
        <v>8</v>
      </c>
      <c r="T1" s="2"/>
      <c r="U1" s="6" t="s">
        <v>9</v>
      </c>
      <c r="V1" s="2"/>
      <c r="W1" s="6" t="s">
        <v>10</v>
      </c>
      <c r="X1" s="3"/>
      <c r="Y1" s="7"/>
      <c r="Z1" s="8"/>
      <c r="AB1" s="8"/>
    </row>
    <row r="2">
      <c r="A2" s="9"/>
      <c r="B2" s="10"/>
      <c r="C2" s="11"/>
      <c r="E2" s="12" t="s">
        <v>11</v>
      </c>
      <c r="I2" s="13">
        <v>120.0</v>
      </c>
      <c r="K2" s="14" t="s">
        <v>12</v>
      </c>
      <c r="L2" s="10"/>
      <c r="M2" s="14">
        <v>1.0</v>
      </c>
      <c r="N2" s="10"/>
      <c r="O2" s="14" t="s">
        <v>13</v>
      </c>
      <c r="P2" s="10"/>
      <c r="Q2" s="14">
        <f>IF(OR(I2="",I2="?"),"",FLOOR(I2/10,1)+8)</f>
        <v>20</v>
      </c>
      <c r="R2" s="10"/>
      <c r="S2" s="14">
        <f>ROUNDUP($Q$2/Info!T8)</f>
        <v>2</v>
      </c>
      <c r="T2" s="10"/>
      <c r="U2" s="14" t="s">
        <v>14</v>
      </c>
      <c r="V2" s="10"/>
      <c r="W2" s="14">
        <v>0.0</v>
      </c>
      <c r="X2" s="11"/>
      <c r="Y2" s="15"/>
      <c r="AB2" s="8"/>
    </row>
    <row r="3">
      <c r="A3" s="13" t="s">
        <v>15</v>
      </c>
      <c r="B3" s="16" t="s">
        <v>16</v>
      </c>
      <c r="C3" s="17" t="s">
        <v>17</v>
      </c>
      <c r="D3" s="18" t="s">
        <v>18</v>
      </c>
      <c r="E3" s="5" t="s">
        <v>19</v>
      </c>
      <c r="F3" s="2"/>
      <c r="G3" s="2"/>
      <c r="H3" s="2"/>
      <c r="I3" s="5" t="s">
        <v>20</v>
      </c>
      <c r="J3" s="3"/>
      <c r="K3" s="5" t="s">
        <v>21</v>
      </c>
      <c r="L3" s="2"/>
      <c r="M3" s="2"/>
      <c r="N3" s="2"/>
      <c r="O3" s="2"/>
      <c r="P3" s="3"/>
      <c r="Q3" s="5" t="s">
        <v>22</v>
      </c>
      <c r="R3" s="2"/>
      <c r="S3" s="2"/>
      <c r="T3" s="2"/>
      <c r="U3" s="2"/>
      <c r="V3" s="3"/>
      <c r="W3" s="5" t="s">
        <v>23</v>
      </c>
      <c r="X3" s="2"/>
      <c r="Y3" s="2"/>
      <c r="Z3" s="2"/>
      <c r="AA3" s="2"/>
      <c r="AB3" s="3"/>
    </row>
    <row r="4">
      <c r="A4" s="19" t="s">
        <v>24</v>
      </c>
      <c r="B4" s="20" t="s">
        <v>25</v>
      </c>
      <c r="C4" s="21" t="s">
        <v>26</v>
      </c>
      <c r="D4" s="22" t="s">
        <v>27</v>
      </c>
      <c r="E4" s="12"/>
      <c r="I4" s="23" t="str">
        <f>$E$2</f>
        <v>Stora salen</v>
      </c>
      <c r="J4" s="11"/>
      <c r="K4" s="12"/>
      <c r="P4" s="24"/>
      <c r="Q4" s="12"/>
      <c r="V4" s="24"/>
      <c r="W4" s="12"/>
      <c r="AB4" s="24"/>
    </row>
    <row r="5">
      <c r="A5" s="13" t="s">
        <v>28</v>
      </c>
      <c r="C5" s="25" t="s">
        <v>29</v>
      </c>
      <c r="D5" s="26" t="s">
        <v>30</v>
      </c>
      <c r="E5" s="27" t="s">
        <v>31</v>
      </c>
      <c r="G5" s="28" t="s">
        <v>8</v>
      </c>
      <c r="I5" s="28" t="s">
        <v>32</v>
      </c>
      <c r="J5" s="24"/>
      <c r="K5" s="27" t="s">
        <v>31</v>
      </c>
      <c r="M5" s="28" t="s">
        <v>8</v>
      </c>
      <c r="O5" s="28" t="s">
        <v>32</v>
      </c>
      <c r="P5" s="24"/>
      <c r="Q5" s="27" t="s">
        <v>31</v>
      </c>
      <c r="S5" s="28" t="s">
        <v>8</v>
      </c>
      <c r="U5" s="28" t="s">
        <v>32</v>
      </c>
      <c r="V5" s="24"/>
      <c r="W5" s="27" t="s">
        <v>31</v>
      </c>
      <c r="Y5" s="28" t="s">
        <v>8</v>
      </c>
      <c r="AA5" s="28" t="s">
        <v>32</v>
      </c>
      <c r="AB5" s="24"/>
    </row>
    <row r="6">
      <c r="A6" s="29">
        <v>10.0</v>
      </c>
      <c r="B6" s="29">
        <v>0.0</v>
      </c>
      <c r="C6" s="30">
        <v>44562.0</v>
      </c>
      <c r="D6" s="10"/>
      <c r="E6" s="31">
        <v>20.0</v>
      </c>
      <c r="F6" s="10"/>
      <c r="G6" s="32">
        <v>2.0</v>
      </c>
      <c r="H6" s="10"/>
      <c r="I6" s="32" t="str">
        <f>$U$2</f>
        <v>Yes</v>
      </c>
      <c r="J6" s="11"/>
      <c r="K6" s="31">
        <f>ROUNDUP($Q$2/2)</f>
        <v>10</v>
      </c>
      <c r="L6" s="10"/>
      <c r="M6" s="32">
        <v>1.0</v>
      </c>
      <c r="N6" s="10"/>
      <c r="O6" s="32" t="str">
        <f>$U$2</f>
        <v>Yes</v>
      </c>
      <c r="P6" s="11"/>
      <c r="Q6" s="31">
        <f>ROUNDUP($Q$2/2)</f>
        <v>10</v>
      </c>
      <c r="R6" s="10"/>
      <c r="S6" s="32">
        <v>1.0</v>
      </c>
      <c r="T6" s="10"/>
      <c r="U6" s="32" t="str">
        <f>$U$2</f>
        <v>Yes</v>
      </c>
      <c r="V6" s="11"/>
      <c r="W6" s="31">
        <f>ROUNDUP($Q$2/2)</f>
        <v>10</v>
      </c>
      <c r="X6" s="10"/>
      <c r="Y6" s="32">
        <v>1.0</v>
      </c>
      <c r="Z6" s="10"/>
      <c r="AA6" s="32" t="str">
        <f>$U$2</f>
        <v>Yes</v>
      </c>
      <c r="AB6" s="11"/>
    </row>
    <row r="7">
      <c r="A7" s="33" t="s">
        <v>33</v>
      </c>
      <c r="B7" s="33" t="s">
        <v>34</v>
      </c>
      <c r="C7" s="34" t="s">
        <v>35</v>
      </c>
      <c r="D7" s="20" t="s">
        <v>36</v>
      </c>
      <c r="E7" s="35" t="s">
        <v>37</v>
      </c>
      <c r="F7" s="20" t="s">
        <v>38</v>
      </c>
      <c r="G7" s="20" t="s">
        <v>39</v>
      </c>
      <c r="H7" s="20" t="s">
        <v>40</v>
      </c>
      <c r="I7" s="35" t="s">
        <v>41</v>
      </c>
      <c r="J7" s="35" t="s">
        <v>42</v>
      </c>
      <c r="K7" s="20" t="s">
        <v>43</v>
      </c>
      <c r="L7" s="33" t="s">
        <v>44</v>
      </c>
      <c r="M7" s="17" t="s">
        <v>45</v>
      </c>
      <c r="N7" s="17" t="s">
        <v>46</v>
      </c>
      <c r="O7" s="17" t="s">
        <v>47</v>
      </c>
      <c r="P7" s="17" t="s">
        <v>48</v>
      </c>
      <c r="Q7" s="17" t="s">
        <v>32</v>
      </c>
      <c r="R7" s="36" t="s">
        <v>49</v>
      </c>
      <c r="S7" s="36" t="s">
        <v>50</v>
      </c>
      <c r="T7" s="37" t="s">
        <v>51</v>
      </c>
      <c r="U7" s="37" t="s">
        <v>52</v>
      </c>
      <c r="V7" s="18" t="s">
        <v>53</v>
      </c>
      <c r="W7" s="38" t="s">
        <v>54</v>
      </c>
      <c r="X7" s="18" t="s">
        <v>55</v>
      </c>
      <c r="Y7" s="18" t="s">
        <v>56</v>
      </c>
      <c r="Z7" s="39" t="s">
        <v>57</v>
      </c>
      <c r="AA7" s="39" t="s">
        <v>58</v>
      </c>
      <c r="AB7" s="8"/>
    </row>
    <row r="8">
      <c r="A8" s="40">
        <f>IFERROR(__xludf.DUMMYFUNCTION("IFS(indirect(""A""&amp;row()-1)=""Start"",TIME(indirect(""A""&amp;row()-2),indirect(""B""&amp;row()-2),0),
$O$2=""No"",TIME(0,($A$6*60+$B$6)+CEILING(SUM($L$7:indirect(""L""&amp;row()-1)),5),0),
D8=$E$2,TIME(0,($A$6*60+$B$6)+CEILING(SUM(IFERROR(FILTER($L$7:indirect(""L""&amp;"&amp;"row()-1),REGEXMATCH($D$7:indirect(""D""&amp;row()-1),$E$2)),0)),5),0),
TRUE,""=time(hh;mm;ss)"")"),0.4166666666666667)</f>
        <v>0.4166666667</v>
      </c>
      <c r="B8" s="41">
        <f>IFERROR(__xludf.DUMMYFUNCTION("IFS($O$2=""No"",TIME(0,($A$6*60+$B$6)+CEILING(SUM($L$7:indirect(""L""&amp;row())),5),0),
D8=$E$2,TIME(0,($A$6*60+$B$6)+CEILING(SUM(FILTER($L$7:indirect(""L""&amp;row()),REGEXMATCH($D$7:indirect(""D""&amp;row()),$E$2))),5),0),
A8=""=time(hh;mm;ss)"",CONCATENATE(""Skri"&amp;"v tid i A""&amp;row()),
AND(A8&lt;&gt;"""",A8&lt;&gt;""=time(hh;mm;ss)""),A8+TIME(0,CEILING(indirect(""L""&amp;row()),5),0))"),0.4166666666666667)</f>
        <v>0.4166666667</v>
      </c>
      <c r="C8" s="42"/>
      <c r="D8" s="43" t="s">
        <v>11</v>
      </c>
      <c r="E8" s="43" t="str">
        <f>IFERROR(__xludf.DUMMYFUNCTION("IFS(COUNTIF(Info!$A$22:A81,C8)&gt;0,"""",
AND(OR(""3x3 FMC""=C8,""3x3 MBLD""=C8),COUNTIF($C$7:indirect(""C""&amp;row()),indirect(""C""&amp;row()))&gt;=13),""E - Error"",
AND(OR(""3x3 FMC""=C8,""3x3 MBLD""=C8),COUNTIF($C$7:indirect(""C""&amp;row()),indirect(""C""&amp;row()))=12"&amp;"),""Final - A3"",
AND(OR(""3x3 FMC""=C8,""3x3 MBLD""=C8),COUNTIF($C$7:indirect(""C""&amp;row()),indirect(""C""&amp;row()))=11),""Final - A2"",
AND(OR(""3x3 FMC""=C8,""3x3 MBLD""=C8),COUNTIF($C$7:indirect(""C""&amp;row()),indirect(""C""&amp;row()))=10),""Final - A1"",
AND"&amp;"(OR(""3x3 FMC""=C8,""3x3 MBLD""=C8),COUNTIF($C$7:indirect(""C""&amp;row()),indirect(""C""&amp;row()))=9,
COUNTIF($C$7:$C$61,indirect(""C""&amp;row()))&gt;9),""R3 - A3"",
AND(OR(""3x3 FMC""=C8,""3x3 MBLD""=C8),COUNTIF($C$7:indirect(""C""&amp;row()),indirect(""C""&amp;row()))=9,
"&amp;"COUNTIF($C$7:$C$61,indirect(""C""&amp;row()))&lt;=9),""Final - A3"",
AND(OR(""3x3 FMC""=C8,""3x3 MBLD""=C8),COUNTIF($C$7:indirect(""C""&amp;row()),indirect(""C""&amp;row()))=8,
COUNTIF($C$7:$C$61,indirect(""C""&amp;row()))&gt;9),""R3 - A2"",
AND(OR(""3x3 FMC""=C8,""3x3 MBLD""="&amp;"C8),COUNTIF($C$7:indirect(""C""&amp;row()),indirect(""C""&amp;row()))=8,
COUNTIF($C$7:$C$61,indirect(""C""&amp;row()))&lt;=9),""Final - A2"",
AND(OR(""3x3 FMC""=C8,""3x3 MBLD""=C8),COUNTIF($C$7:indirect(""C""&amp;row()),indirect(""C""&amp;row()))=7,
COUNTIF($C$7:$C$61,indirect("&amp;"""C""&amp;row()))&gt;9),""R3 - A1"",
AND(OR(""3x3 FMC""=C8,""3x3 MBLD""=C8),COUNTIF($C$7:indirect(""C""&amp;row()),indirect(""C""&amp;row()))=7,
COUNTIF($C$7:$C$61,indirect(""C""&amp;row()))&lt;=9),""Final - A1"",
AND(OR(""3x3 FMC""=C8,""3x3 MBLD""=C8),COUNTIF($C$7:indirect("""&amp;"C""&amp;row()),indirect(""C""&amp;row()))=6,
COUNTIF($C$7:$C$61,indirect(""C""&amp;row()))&gt;6),""R2 - A3"",
AND(OR(""3x3 FMC""=C8,""3x3 MBLD""=C8),COUNTIF($C$7:indirect(""C""&amp;row()),indirect(""C""&amp;row()))=6,
COUNTIF($C$7:$C$61,indirect(""C""&amp;row()))&lt;=6),""Final - A3"""&amp;",
AND(OR(""3x3 FMC""=C8,""3x3 MBLD""=C8),COUNTIF($C$7:indirect(""C""&amp;row()),indirect(""C""&amp;row()))=5,
COUNTIF($C$7:$C$61,indirect(""C""&amp;row()))&gt;6),""R2 - A2"",
AND(OR(""3x3 FMC""=C8,""3x3 MBLD""=C8),COUNTIF($C$7:indirect(""C""&amp;row()),indirect(""C""&amp;row())"&amp;")=5,
COUNTIF($C$7:$C$61,indirect(""C""&amp;row()))&lt;=6),""Final - A2"",
AND(OR(""3x3 FMC""=C8,""3x3 MBLD""=C8),COUNTIF($C$7:indirect(""C""&amp;row()),indirect(""C""&amp;row()))=4,
COUNTIF($C$7:$C$61,indirect(""C""&amp;row()))&gt;6),""R2 - A1"",
AND(OR(""3x3 FMC""=C8,""3x3 MB"&amp;"LD""=C8),COUNTIF($C$7:indirect(""C""&amp;row()),indirect(""C""&amp;row()))=4,
COUNTIF($C$7:$C$61,indirect(""C""&amp;row()))&lt;=6),""Final - A1"",
AND(OR(""3x3 FMC""=C8,""3x3 MBLD""=C8),COUNTIF($C$7:indirect(""C""&amp;row()),indirect(""C""&amp;row()))=3),""R1 - A3"",
AND(OR(""3"&amp;"x3 FMC""=C8,""3x3 MBLD""=C8),COUNTIF($C$7:indirect(""C""&amp;row()),indirect(""C""&amp;row()))=2),""R1 - A2"",
AND(OR(""3x3 FMC""=C8,""3x3 MBLD""=C8),COUNTIF($C$7:indirect(""C""&amp;row()),indirect(""C""&amp;row()))=1),""R1 - A1"",
COUNTIF($C$7:indirect(""C""&amp;row()),indi"&amp;"rect(""C""&amp;row()))&gt;4,""E - Error"",
COUNTIF($C$7:indirect(""C""&amp;row()),indirect(""C""&amp;row()))=4,""Final"",
AND(COUNTIF($C$7:indirect(""C""&amp;row()),indirect(""C""&amp;row()))=3,COUNTIF($C$7:$C$61,indirect(""C""&amp;row()))&gt;COUNTIF($C$7:indirect(""C""&amp;row()),indirec"&amp;"t(""C""&amp;row()))),3,
AND(COUNTIF($C$7:indirect(""C""&amp;row()),indirect(""C""&amp;row()))=3,COUNTIF($C$7:$C$61,indirect(""C""&amp;row()))=COUNTIF($C$7:indirect(""C""&amp;row()),indirect(""C""&amp;row())),COUNTIF($C$7:indirect(""C""&amp;row()),indirect(""C""&amp;row()))&lt;FILTER(Info!$"&amp;"I$2:I81, Info!$A$2:A81 = C8),ROUNDUP((FILTER(Info!$H$2:H81,Info!$A$2:A81=C8)/FILTER(Info!$H$2:H81,Info!$A$2:A81=$K$2))*$I$2)&gt;99),3,
AND(COUNTIF($C$7:indirect(""C""&amp;row()),indirect(""C""&amp;row()))=3,COUNTIF($C$7:$C$61,indirect(""C""&amp;row()))=COUNTIF($C$7:indi"&amp;"rect(""C""&amp;row()),indirect(""C""&amp;row()))),""Final"",
AND(COUNTIF($C$7:indirect(""C""&amp;row()),indirect(""C""&amp;row()))=2,COUNTIF($C$7:$C$61,indirect(""C""&amp;row()))&gt;COUNTIF($C$7:indirect(""C""&amp;row()),indirect(""C""&amp;row()))),2,
AND(COUNTIF($C$7:indirect(""C""&amp;ro"&amp;"w()),indirect(""C""&amp;row()))=2,COUNTIF($C$7:$C$61,indirect(""C""&amp;row()))=COUNTIF($C$7:indirect(""C""&amp;row()),indirect(""C""&amp;row())),COUNTIF($C$7:indirect(""C""&amp;row()),indirect(""C""&amp;row()))&lt;FILTER(Info!$I$2:I81, Info!$A$2:A81 = C8),ROUNDUP((FILTER(Info!$H$2"&amp;":H81,Info!$A$2:A81=C8)/FILTER(Info!$H$2:H81,Info!$A$2:A81=$K$2))*$I$2)&gt;15),2,
AND(COUNTIF($C$7:indirect(""C""&amp;row()),indirect(""C""&amp;row()))=2,COUNTIF($C$7:$C$61,indirect(""C""&amp;row()))=COUNTIF($C$7:indirect(""C""&amp;row()),indirect(""C""&amp;row()))),""Final"",
C"&amp;"OUNTIF($C$7:indirect(""C""&amp;row()),indirect(""C""&amp;row()))=1,1,
COUNTIF($C$7:indirect(""C""&amp;row()),indirect(""C""&amp;row()))=0,"""")"),"")</f>
        <v/>
      </c>
      <c r="F8" s="44" t="str">
        <f>IFERROR(__xludf.DUMMYFUNCTION("IFS(C8="""","""",
AND(C8=""3x3 FMC"",MOD(COUNTIF($C$7:indirect(""C""&amp;row()),indirect(""C""&amp;row())),3)=0),""Mean of 3"",
AND(C8=""3x3 MBLD"",MOD(COUNTIF($C$7:indirect(""C""&amp;row()),indirect(""C""&amp;row())),3)=0),""Best of 3"",
AND(C8=""3x3 FMC"",MOD(COUNTIF($"&amp;"C$7:indirect(""C""&amp;row()),indirect(""C""&amp;row())),3)=2,
COUNTIF($C$7:$C$61,indirect(""C""&amp;row()))&lt;=COUNTIF($C$7:indirect(""C""&amp;row()),indirect(""C""&amp;row()))),""Best of 2"",
AND(C8=""3x3 FMC"",MOD(COUNTIF($C$7:indirect(""C""&amp;row()),indirect(""C""&amp;row())),3)"&amp;"=2,
COUNTIF($C$7:$C$61,indirect(""C""&amp;row()))&gt;COUNTIF($C$7:indirect(""C""&amp;row()),indirect(""C""&amp;row()))),""Mean of 3"",
AND(C8=""3x3 MBLD"",MOD(COUNTIF($C$7:indirect(""C""&amp;row()),indirect(""C""&amp;row())),3)=2,
COUNTIF($C$7:$C$61,indirect(""C""&amp;row()))&lt;=COUN"&amp;"TIF($C$7:indirect(""C""&amp;row()),indirect(""C""&amp;row()))),""Best of 2"",
AND(C8=""3x3 MBLD"",MOD(COUNTIF($C$7:indirect(""C""&amp;row()),indirect(""C""&amp;row())),3)=2,
COUNTIF($C$7:$C$61,indirect(""C""&amp;row()))&gt;COUNTIF($C$7:indirect(""C""&amp;row()),indirect(""C""&amp;row()"&amp;"))),""Best of 3"",
AND(C8=""3x3 FMC"",MOD(COUNTIF($C$7:indirect(""C""&amp;row()),indirect(""C""&amp;row())),3)=1,
COUNTIF($C$7:$C$61,indirect(""C""&amp;row()))&lt;=COUNTIF($C$7:indirect(""C""&amp;row()),indirect(""C""&amp;row()))),""Best of 1"",
AND(C8=""3x3 FMC"",MOD(COUNTIF($"&amp;"C$7:indirect(""C""&amp;row()),indirect(""C""&amp;row())),3)=1,
COUNTIF($C$7:$C$61,indirect(""C""&amp;row()))=COUNTIF($C$7:indirect(""C""&amp;row()),indirect(""C""&amp;row()))+1),""Best of 2"",
AND(C8=""3x3 FMC"",MOD(COUNTIF($C$7:indirect(""C""&amp;row()),indirect(""C""&amp;row())),3"&amp;")=1,
COUNTIF($C$7:$C$61,indirect(""C""&amp;row()))&gt;COUNTIF($C$7:indirect(""C""&amp;row()),indirect(""C""&amp;row()))),""Mean of 3"",
AND(C8=""3x3 MBLD"",MOD(COUNTIF($C$7:indirect(""C""&amp;row()),indirect(""C""&amp;row())),3)=1,
COUNTIF($C$7:$C$61,indirect(""C""&amp;row()))&lt;=COU"&amp;"NTIF($C$7:indirect(""C""&amp;row()),indirect(""C""&amp;row()))),""Best of 1"",
AND(C8=""3x3 MBLD"",MOD(COUNTIF($C$7:indirect(""C""&amp;row()),indirect(""C""&amp;row())),3)=1,
COUNTIF($C$7:$C$61,indirect(""C""&amp;row()))=COUNTIF($C$7:indirect(""C""&amp;row()),indirect(""C""&amp;row("&amp;")))+1),""Best of 2"",
AND(C8=""3x3 MBLD"",MOD(COUNTIF($C$7:indirect(""C""&amp;row()),indirect(""C""&amp;row())),3)=1,
COUNTIF($C$7:$C$61,indirect(""C""&amp;row()))&gt;COUNTIF($C$7:indirect(""C""&amp;row()),indirect(""C""&amp;row()))),""Best of 3"",
TRUE,(IFERROR(FILTER(Info!$D$"&amp;"2:D81, Info!$A$2:A81 = C8), """")))"),"")</f>
        <v/>
      </c>
      <c r="G8" s="45" t="str">
        <f>IFERROR(__xludf.DUMMYFUNCTION("IFS(OR(COUNTIF(Info!$A$22:A81,C8)&gt;0,C8=""""),"""",
OR(""3x3 MBLD""=C8,""3x3 FMC""=C8),60,
AND(E8=1,FILTER(Info!$F$2:F81, Info!$A$2:A81 = C8) = ""No""),FILTER(Info!$P$2:P81, Info!$A$2:A81 = C8),
AND(E8=2,FILTER(Info!$F$2:F81, Info!$A$2:A81 = C8) = ""No""),"&amp;"FILTER(Info!$Q$2:Q81, Info!$A$2:A81 = C8),
AND(E8=3,FILTER(Info!$F$2:F81, Info!$A$2:A81 = C8) = ""No""),FILTER(Info!$R$2:R81, Info!$A$2:A81 = C8),
AND(E8=""Final"",FILTER(Info!$F$2:F81, Info!$A$2:A81 = C8) = ""No""),FILTER(Info!$S$2:S81, Info!$A$2:A81 = C"&amp;"8),
FILTER(Info!$F$2:F81, Info!$A$2:A81 = C8) = ""Yes"","""")"),"")</f>
        <v/>
      </c>
      <c r="H8" s="45" t="str">
        <f>IFERROR(__xludf.DUMMYFUNCTION("IFS(OR(COUNTIF(Info!$A$22:A81,C8)&gt;0,C8=""""),"""",
OR(""3x3 MBLD""=C8,""3x3 FMC""=C8)=TRUE,"""",
FILTER(Info!$F$2:F81, Info!$A$2:A81 = C8) = ""Yes"",FILTER(Info!$O$2:O81, Info!$A$2:A81 = C8),
FILTER(Info!$F$2:F81, Info!$A$2:A81 = C8) = ""No"",IF(G8="""",F"&amp;"ILTER(Info!$O$2:O81, Info!$A$2:A81 = C8),""""))"),"")</f>
        <v/>
      </c>
      <c r="I8" s="45" t="str">
        <f>IFERROR(__xludf.DUMMYFUNCTION("IFS(OR(COUNTIF(Info!$A$22:A81,C8)&gt;0,C8="""",H8&lt;&gt;""""),"""",
AND(E8&lt;&gt;1,E8&lt;&gt;""R1 - A1"",E8&lt;&gt;""R1 - A2"",E8&lt;&gt;""R1 - A3""),"""",
FILTER(Info!$E$2:E81, Info!$A$2:A81 = C8) = ""Yes"",IF(H8="""",FILTER(Info!$L$2:L81, Info!$A$2:A81 = C8),""""),
FILTER(Info!$E$2:E"&amp;"81, Info!$A$2:A81 = C8) = ""No"","""")"),"")</f>
        <v/>
      </c>
      <c r="J8" s="45" t="str">
        <f>IFERROR(__xludf.DUMMYFUNCTION("IFS(OR(COUNTIF(Info!$A$22:A81,C8)&gt;0,C8="""",""3x3 MBLD""=C8,""3x3 FMC""=C8),"""",
AND(E8=1,FILTER(Info!$H$2:H81,Info!$A$2:A81 = C8)&lt;=FILTER(Info!$H$2:H81,Info!$A$2:A81=$K$2)),
ROUNDUP((FILTER(Info!$H$2:H81,Info!$A$2:A81 = C8)/FILTER(Info!$H$2:H81,Info!$A$"&amp;"2:A81=$K$2))*$I$2),
AND(E8=1,FILTER(Info!$H$2:H81,Info!$A$2:A81 = C8)&gt;FILTER(Info!$H$2:H81,Info!$A$2:A81=$K$2)),""K2 - Error"",
AND(E8=2,FILTER($J$7:indirect(""J""&amp;row()-1),$C$7:indirect(""C""&amp;row()-1)=C8)&lt;=7),""J - Error"",
E8=2,FLOOR(FILTER($J$7:indirec"&amp;"t(""J""&amp;row()-1),$C$7:indirect(""C""&amp;row()-1)=C8)*Info!$T$32),
AND(E8=3,FILTER($J$7:indirect(""J""&amp;row()-1),$C$7:indirect(""C""&amp;row()-1)=C8)&lt;=15),""J - Error"",
E8=3,FLOOR(Info!$T$32*FLOOR(FILTER($J$7:indirect(""J""&amp;row()-1),$C$7:indirect(""C""&amp;row()-1)=C"&amp;"8)*Info!$T$32)),
AND(E8=""Final"",COUNTIF($C$7:$C$61,C8)=2,FILTER($J$7:indirect(""J""&amp;row()-1),$C$7:indirect(""C""&amp;row()-1)=C8)&lt;=7),""J - Error"",
AND(E8=""Final"",COUNTIF($C$7:$C$61,C8)=2),
MIN(P8,FLOOR(FILTER($J$7:indirect(""J""&amp;row()-1),$C$7:indirect("&amp;"""C""&amp;row()-1)=C8)*Info!$T$32)),
AND(E8=""Final"",COUNTIF($C$7:$C$61,C8)=3,FILTER($J$7:indirect(""J""&amp;row()-1),$C$7:indirect(""C""&amp;row()-1)=C8)&lt;=15),""J - Error"",
AND(E8=""Final"",COUNTIF($C$7:$C$61,C8)=3),
MIN(P8,FLOOR(Info!$T$32*FLOOR(FILTER($J$7:indir"&amp;"ect(""J""&amp;row()-1),$C$7:indirect(""C""&amp;row()-1)=C8)*Info!$T$32))),
AND(E8=""Final"",COUNTIF($C$7:$C$61,C8)&gt;=4,FILTER($J$7:indirect(""J""&amp;row()-1),$C$7:indirect(""C""&amp;row()-1)=C8)&lt;=99),""J - Error"",
AND(E8=""Final"",COUNTIF($C$7:$C$61,C8)&gt;=4),
MIN(P8,FLOO"&amp;"R(Info!$T$32*FLOOR(Info!$T$32*FLOOR(FILTER($J$7:indirect(""J""&amp;row()-1),$C$7:indirect(""C""&amp;row()-1)=C8)*Info!$T$32)))))"),"")</f>
        <v/>
      </c>
      <c r="K8" s="46" t="str">
        <f>IFERROR(__xludf.DUMMYFUNCTION("IFS(AND(indirect(""D""&amp;row()+2)&lt;&gt;$E$2,indirect(""D""&amp;row()+1)=""""),CONCATENATE(""Tom rad! Kopiera hela rad ""&amp;row()&amp;"" dit""),
AND(indirect(""D""&amp;row()-1)&lt;&gt;""Rum"",indirect(""D""&amp;row()-1)=""""),CONCATENATE(""Tom rad! Kopiera hela rad ""&amp;row()&amp;"" dit""),
"&amp;"C8="""","""",
COUNTIF(Info!$A$22:A81,$K$2)&gt;0,""Det tyckte du var roligt? ( ͡❛ ͜ʖ ͡❛)"",
AND($M$2&gt;=2,$E$4=""""),""Skriv 1:a sidorummets namn i E4"",
AND($M$2&gt;=3,$K$4=""""),""Skriv 2:a sidorummets namn i K4"",
AND($M$2&gt;=4,$Q$4=""""),""Skriv 3:e sidorummets "&amp;"namn i Q4"",
AND($M$2&lt;2,$E$4&lt;&gt;""""),""Finns fler än 2 rum - ta bort i E4"",
AND($M$2&lt;3,$K$4&lt;&gt;""""),""Finns fler än 3 rum - ta bort i K4"",
AND($M$2&lt;4,$Q$4&lt;&gt;""""),""Finns fler än 4 rum - ta bort i Q4"",
OR(AND(D8&lt;&gt;$E$2,D8&lt;&gt;$E$4,D8&lt;&gt;$K$4,D8&lt;&gt;$Q$4),D8=""""),"&amp;"CONCATENATE(""Rum: ""&amp;D8&amp;"" finns ej, byt i D""&amp;row()),
AND(indirect(""D""&amp;row()-1)=""Rum"",C8=""""),CONCATENATE(""För att börja: skriv i cell C""&amp;row()),
AND(C8=""Paus"",M8&lt;=0),CONCATENATE(""Skriv pausens längd i M""&amp;row()),
OR(COUNTIF(Info!$A$22:A81,C8)"&amp;"&gt;0,C8=""""),"""",
AND(D8&lt;&gt;$E$2,$O$2=""Yes"",A8=""=time(hh;mm;ss)""),CONCATENATE(""Skriv starttid för ""&amp;C8&amp;"" i A""&amp;row()),
E8=""E - Error"",CONCATENATE(""För många ""&amp;C8&amp;"" rundor!""),
AND(C8&lt;&gt;""3x3 FMC"",C8&lt;&gt;""3x3 MBLD"",E8&lt;&gt;1,E8&lt;&gt;""Final"",IFERROR(FILT"&amp;"ER($E$7:indirect(""E""&amp;row()-1),
$E$7:indirect(""E""&amp;row()-1)=E8-1,$C$7:indirect(""C""&amp;row()-1)=C8))=FALSE),CONCATENATE(""Kan ej vara R""&amp;E8&amp;"", saknar R""&amp;(E8-1)),
AND(indirect(""E""&amp;row()-1)&lt;&gt;""Omgång"",IFERROR(FILTER($E$7:indirect(""E""&amp;row()-1),
$E$7:"&amp;"indirect(""E""&amp;row()-1)=E8,$C$7:indirect(""C""&amp;row()-1)=C8)=E8)=TRUE),CONCATENATE(""Runda ""&amp;E8&amp;"" i ""&amp;C8&amp;"" finns redan""),
AND(C8&lt;&gt;""3x3 BLD"",C8&lt;&gt;""4x4 BLD"",C8&lt;&gt;""5x5 BLD"",C8&lt;&gt;""4x4 / 5x5 BLD"",OR(E8=2,E8=3,E8=""Final""),H8&lt;&gt;""""),CONCATENATE(E8&amp;""-"&amp;"rundor brukar ej ha c.t.l.""),
AND(OR(E8=2,E8=3,E8=""Final""),I8&lt;&gt;""""),CONCATENATE(E8&amp;""-rundor brukar ej ha cutoff""),
AND(OR(C8=""3x3 FMC"",C8=""3x3 MBLD""),OR(E8=1,E8=2,E8=3,E8=""Final"")),CONCATENATE(C8&amp;""s omgång är Rx - Ax""),
AND(C8&lt;&gt;""3x3 MBLD"","&amp;"C8&lt;&gt;""3x3 FMC"",FILTER(Info!$D$2:D81, Info!$A$2:A81 = C8)&lt;&gt;F8),CONCATENATE(C8&amp;"" måste ha formatet ""&amp;FILTER(Info!$D$2:D81, Info!$A$2:A81 = C8)),
AND(C8=""3x3 MBLD"",OR(F8=""Avg of 5"",F8=""Mean of 3"")),CONCATENATE(""Ogiltigt format för ""&amp;C8),
AND(C8="""&amp;"3x3 FMC"",OR(F8=""Avg of 5"",F8=""Best of 3"")),CONCATENATE(""Ogiltigt format för ""&amp;C8),
AND(OR(F8=""Best of 1"",F8=""Best of 2"",F8=""Best of 3""),I8&lt;&gt;""""),CONCATENATE(F8&amp;""-rundor får ej ha cutoff""),
AND(OR(C8=""3x3 FMC"",C8=""3x3 MBLD""),G8&lt;&gt;60),CON"&amp;"CATENATE(C8&amp;"" måste ha time limit: 60""),
AND(OR(C8=""3x3 FMC"",C8=""3x3 MBLD""),H8&lt;&gt;""""),CONCATENATE(C8&amp;"" kan inte ha c.t.l.""),
AND(G8&lt;&gt;"""",H8&lt;&gt;""""),""Välj time limit ELLER c.t.l"",
AND(C8=""6x6 / 7x7"",G8="""",H8=""""),""Sätt time limit (x / y) el"&amp;"ler c.t.l (z)"",
AND(G8="""",H8=""""),""Sätt en time limit eller c.t.l"",
AND(OR(C8=""6x6 / 7x7"",C8=""4x4 / 5x5 BLD""),G8&lt;&gt;"""",REGEXMATCH(TO_TEXT(G8),"" / "")=FALSE),CONCATENATE(""Time limit måste vara x / y""),
AND(H8&lt;&gt;"""",I8&lt;&gt;""""),CONCATENATE(C8&amp;"" "&amp;"brukar ej ha cutoff OCH c.t.l""),
AND(E8=1,H8="""",I8="""",OR(FILTER(Info!$E$2:E81, Info!$A$2:A81 = C8) = ""Yes"",FILTER(Info!$F$2:F81, Info!$A$2:A81 = C8) = ""Yes""),OR(F8=""Avg of 5"",F8=""Mean of 3"")),CONCATENATE(C8&amp;"" bör ha cutoff eller c.t.l""),
AN"&amp;"D(C8=""6x6 / 7x7"",I8&lt;&gt;"""",REGEXMATCH(TO_TEXT(I8),"" / "")=FALSE),CONCATENATE(""Cutoff måste vara x / y""),
AND(H8&lt;&gt;"""",ISNUMBER(H8)=FALSE),""C.t.l. måste vara positivt tal (x)"",
AND(C8&lt;&gt;""6x6 / 7x7"",I8&lt;&gt;"""",ISNUMBER(I8)=FALSE),""Cutoff måste vara po"&amp;"sitivt tal (x)"",
AND(H8&lt;&gt;"""",FILTER(Info!$E$2:E81, Info!$A$2:A81 = C8) = ""No"",FILTER(Info!$F$2:F81, Info!$A$2:A81 = C8) = ""No""),CONCATENATE(C8&amp;"" brukar inte ha c.t.l.""),
AND(I8&lt;&gt;"""",FILTER(Info!$E$2:E81, Info!$A$2:A81 = C8) = ""No"",FILTER(Info!$"&amp;"F$2:F81, Info!$A$2:A81 = C8) = ""No""),CONCATENATE(C8&amp;"" brukar inte ha cutoff""),
AND(H8="""",FILTER(Info!$F$2:F81, Info!$A$2:A81 = C8) = ""Yes""),CONCATENATE(C8&amp;"" brukar ha c.t.l.""),
AND(C8&lt;&gt;""6x6 / 7x7"",C8&lt;&gt;""4x4 / 5x5 BLD"",G8&lt;&gt;"""",ISNUMBER(G8)=FA"&amp;"LSE),""Time limit måste vara positivt tal (x)"",
J8=""J - Error"",CONCATENATE(""För få deltagare i R1 för ""&amp;COUNTIF($C$7:$C$61,indirect(""C""&amp;row()))&amp;"" rundor""),
J8=""K2 - Error"",CONCATENATE(C8&amp;"" är mer populär - byt i K2!""),
AND(C8&lt;&gt;""6x6 / 7x7"",C"&amp;"8&lt;&gt;""4x4 / 5x5 BLD"",G8&lt;&gt;"""",I8&lt;&gt;"""",G8&lt;=I8),""Time limit måste vara &gt; cutoff"",
AND(C8&lt;&gt;""6x6 / 7x7"",C8&lt;&gt;""4x4 / 5x5 BLD"",H8&lt;&gt;"""",I8&lt;&gt;"""",H8&lt;=I8),""C.t.l. måste vara &gt; cutoff"",
AND(C8&lt;&gt;""3x3 FMC"",C8&lt;&gt;""3x3 MBLD"",J8=""""),CONCATENATE(""Fyll i ant"&amp;"al deltagare i J""&amp;row()),
AND(C8="""",OR(E8&lt;&gt;"""",F8&lt;&gt;"""",G8&lt;&gt;"""",H8&lt;&gt;"""",I8&lt;&gt;"""",J8&lt;&gt;"""")),""Skriv ALLTID gren / aktivitet först"",
AND(I8="""",H8="""",J8&lt;&gt;""""),J8,
OR(""3x3 FMC""=C8,""3x3 MBLD""=C8),J8,
AND(I8&lt;&gt;"""",""6x6 / 7x7""=C8),
IFS(ArrayFo"&amp;"rmula(SUM(IFERROR(SPLIT(I8,"" / ""))))&lt;(Info!$J$6+Info!$J$7)*2/3,CONCATENATE(""Höj helst cutoffs i ""&amp;C8),
ArrayFormula(SUM(IFERROR(SPLIT(I8,"" / ""))))&lt;=(Info!$J$6+Info!$J$7),ROUNDUP(J8*Info!$J$22),
ArrayFormula(SUM(IFERROR(SPLIT(I8,"" / ""))))&lt;=Info!$J$"&amp;"6+Info!$J$7,ROUNDUP(J8*Info!$K$22),
ArrayFormula(SUM(IFERROR(SPLIT(I8,"" / ""))))&lt;=Info!$K$6+Info!$K$7,ROUNDUP(J8*Info!L$22),
ArrayFormula(SUM(IFERROR(SPLIT(I8,"" / ""))))&lt;=Info!$L$6+Info!$L$7,ROUNDUP(J8*Info!$M$22),
ArrayFormula(SUM(IFERROR(SPLIT(I8,"" /"&amp;" ""))))&lt;=Info!$M$6+Info!$M$7,ROUNDUP(J8*Info!$N$22),
ArrayFormula(SUM(IFERROR(SPLIT(I8,"" / ""))))&lt;=(Info!$N$6+Info!$N$7)*3/2,ROUNDUP(J8*Info!$J$26),
ArrayFormula(SUM(IFERROR(SPLIT(I8,"" / ""))))&gt;(Info!$N$6+Info!$N$7)*3/2,CONCATENATE(""Sänk helst cutoffs "&amp;"i ""&amp;C8)),
AND(I8&lt;&gt;"""",FILTER(Info!$E$2:E81, Info!$A$2:A81 = C8) = ""Yes""),
IFS(I8&lt;FILTER(Info!$J$2:J81, Info!$A$2:A81 = C8)*2/3,CONCATENATE(""Höj helst cutoff i ""&amp;C8),
I8&lt;=FILTER(Info!$J$2:J81, Info!$A$2:A81 = C8),ROUNDUP(J8*Info!$J$22),
I8&lt;=FILTER(In"&amp;"fo!$K$2:K81, Info!$A$2:A81 = C8),ROUNDUP(J8*Info!$K$22),
I8&lt;=FILTER(Info!$L$2:L81, Info!$A$2:A81 = C8),ROUNDUP(J8*Info!L$22),
I8&lt;=FILTER(Info!$M$2:M81, Info!$A$2:A81 = C8),ROUNDUP(J8*Info!$M$22),
I8&lt;=FILTER(Info!$N$2:N81, Info!$A$2:A81 = C8),ROUNDUP(J8*In"&amp;"fo!$N$22),
I8&lt;=FILTER(Info!$N$2:N81, Info!$A$2:A81 = C8)*3/2,ROUNDUP(J8*Info!$J$26),
I8&gt;FILTER(Info!$N$2:N81, Info!$A$2:A81 = C8)*3/2,CONCATENATE(""Sänk helst cutoff i ""&amp;C8)),
AND(H8&lt;&gt;"""",""6x6 / 7x7""=C8),
IFS(H8/3&lt;=(Info!$J$6+Info!$J$7)*2/3,""Höj hels"&amp;"t cumulative time limit"",
H8/3&lt;=Info!$J$6+Info!$J$7,ROUNDUP(J8*Info!$J$24),
H8/3&lt;=Info!$K$6+Info!$K$7,ROUNDUP(J8*Info!$K$24),
H8/3&lt;=Info!$L$6+Info!$L$7,ROUNDUP(J8*Info!L$24),
H8/3&lt;=Info!$M$6+Info!$M$7,ROUNDUP(J8*Info!$M$24),
H8/3&lt;=Info!$N$6+Info!$N$7,ROU"&amp;"NDUP(J8*Info!$N$24),
H8/3&lt;=(Info!$N$6+Info!$N$7)*3/2,ROUNDUP(J8*Info!$L$26),
H8/3&gt;(Info!$J$6+Info!$J$7)*3/2,""Sänk helst cumulative time limit""),
AND(H8&lt;&gt;"""",FILTER(Info!$F$2:F81, Info!$A$2:A81 = C8) = ""Yes""),
IFS(H8&lt;=FILTER(Info!$J$2:J81, Info!$A$2:A"&amp;"81 = C8)*2/3,CONCATENATE(""Höj helst c.t.l. i ""&amp;C8),
H8&lt;=FILTER(Info!$J$2:J81, Info!$A$2:A81 = C8),ROUNDUP(J8*Info!$J$24),
H8&lt;=FILTER(Info!$K$2:K81, Info!$A$2:A81 = C8),ROUNDUP(J8*Info!$K$24),
H8&lt;=FILTER(Info!$L$2:L81, Info!$A$2:A81 = C8),ROUNDUP(J8*Info"&amp;"!L$24),
H8&lt;=FILTER(Info!$M$2:M81, Info!$A$2:A81 = C8),ROUNDUP(J8*Info!$M$24),
H8&lt;=FILTER(Info!$N$2:N81, Info!$A$2:A81 = C8),ROUNDUP(J8*Info!$N$24),
H8&lt;=FILTER(Info!$N$2:N81, Info!$A$2:A81 = C8)*3/2,ROUNDUP(J8*Info!$L$26),
H8&gt;FILTER(Info!$N$2:N81, Info!$A$"&amp;"2:A81 = C8)*3/2,CONCATENATE(""Sänk helst c.t.l. i ""&amp;C8)),
AND(H8&lt;&gt;"""",FILTER(Info!$F$2:F81, Info!$A$2:A81 = C8) = ""No""),
IFS(H8/AA8&lt;=FILTER(Info!$J$2:J81, Info!$A$2:A81 = C8)*2/3,CONCATENATE(""Höj helst c.t.l. i ""&amp;C8),
H8/AA8&lt;=FILTER(Info!$J$2:J81, I"&amp;"nfo!$A$2:A81 = C8),ROUNDUP(J8*Info!$J$24),
H8/AA8&lt;=FILTER(Info!$K$2:K81, Info!$A$2:A81 = C8),ROUNDUP(J8*Info!$K$24),
H8/AA8&lt;=FILTER(Info!$L$2:L81, Info!$A$2:A81 = C8),ROUNDUP(J8*Info!L$24),
H8/AA8&lt;=FILTER(Info!$M$2:M81, Info!$A$2:A81 = C8),ROUNDUP(J8*Info"&amp;"!$M$24),
H8/AA8&lt;=FILTER(Info!$N$2:N81, Info!$A$2:A81 = C8),ROUNDUP(J8*Info!$N$24),
H8/AA8&lt;=FILTER(Info!$N$2:N81, Info!$A$2:A81 = C8)*3/2,ROUNDUP(J8*Info!$L$26),
H8/AA8&gt;FILTER(Info!$N$2:N81, Info!$A$2:A81 = C8)*3/2,CONCATENATE(""Sänk helst c.t.l. i ""&amp;C8))"&amp;",
AND(I8="""",H8&lt;&gt;"""",J8&lt;&gt;""""),ROUNDUP(J8*Info!$T$29),
AND(I8&lt;&gt;"""",H8="""",J8&lt;&gt;""""),ROUNDUP(J8*Info!$T$26))"),"")</f>
        <v/>
      </c>
      <c r="L8" s="47">
        <f>IFERROR(__xludf.DUMMYFUNCTION("IFS(C8="""",0,
C8=""3x3 FMC"",Info!$B$9*N8+M8, C8=""3x3 MBLD"",Info!$B$18*N8+M8,
COUNTIF(Info!$A$22:A81,C8)&gt;0,FILTER(Info!$B$22:B81,Info!$A$22:A81=C8)+M8,
AND(C8&lt;&gt;"""",E8=""""),CONCATENATE(""Fyll i E""&amp;row()),
AND(C8&lt;&gt;"""",E8&lt;&gt;"""",E8&lt;&gt;1,E8&lt;&gt;2,E8&lt;&gt;3,E8&lt;&gt;"&amp;"""Final""),CONCATENATE(""Fel format på E""&amp;row()),
K8=CONCATENATE(""Runda ""&amp;E8&amp;"" i ""&amp;C8&amp;"" finns redan""),CONCATENATE(""Fel i E""&amp;row()),
AND(C8&lt;&gt;"""",F8=""""),CONCATENATE(""Fyll i F""&amp;row()),
K8=CONCATENATE(C8&amp;"" måste ha formatet ""&amp;FILTER(Info!$D$2:"&amp;"D81, Info!$A$2:A81 = C8)),CONCATENATE(""Fel format på F""&amp;row()),
AND(C8&lt;&gt;"""",D8=1,H8="""",FILTER(Info!$F$2:F81, Info!$A$2:A81 = C8) = ""Yes""),CONCATENATE(""Fyll i H""&amp;row()),
AND(C8&lt;&gt;"""",D8=1,I8="""",FILTER(Info!$E$2:E81, Info!$A$2:A81 = C8) = ""Yes"""&amp;"),CONCATENATE(""Fyll i I""&amp;row()),
AND(C8&lt;&gt;"""",J8=""""),CONCATENATE(""Fyll i J""&amp;row()),
AND(C8&lt;&gt;"""",K8="""",OR(H8&lt;&gt;"""",I8&lt;&gt;"""")),CONCATENATE(""Fyll i K""&amp;row()),
AND(C8&lt;&gt;"""",K8=""""),CONCATENATE(""Skriv samma i K""&amp;row()&amp;"" som i J""&amp;row()),
AND(OR("&amp;"C8=""4x4 BLD"",C8=""5x5 BLD"",C8=""4x4 / 5x5 BLD"")=TRUE,V8&lt;=P8),
MROUND(H8*(Info!$T$20-((Info!$T$20-1)/2)*(1-V8/P8))*(1+((J8/K8)-1)*(1-Info!$J$24))*N8+(Info!$T$11/2)+(N8*Info!$T$11)+(N8*Info!$T$14*(O8-1)),0.01)+M8,
AND(OR(C8=""4x4 BLD"",C8=""5x5 BLD"",C8"&amp;"=""4x4 / 5x5 BLD"")=TRUE,V8&gt;P8),
MROUND((((J8*Z8+K8*(AA8-Z8))*(H8*Info!$T$20/AA8))/X8)*(1+((J8/K8)-1)*(1-Info!$J$24))*(1+(X8-Info!$T$8)/100)+(Info!$T$11/2)+(N8*Info!$T$11)+(N8*Info!$T$14*(O8-1)),0.01)+M8,
AND(C8=""3x3 BLD"",V8&lt;=P8),
MROUND(H8*(Info!$T$23-"&amp;"((Info!$T$23-1)/2)*(1-V8/P8))*(1+((J8/K8)-1)*(1-Info!$J$24))*N8+(Info!$T$11/2)+(N8*Info!$T$11)+(N8*Info!$T$14*(O8-1)),0.01)+M8,
AND(C8=""3x3 BLD"",V8&gt;P8),
MROUND((((J8*Z8+K8*(AA8-Z8))*(H8*Info!$T$23/AA8))/X8)*(1+((J8/K8)-1)*(1-Info!$J$24))*(1+(X8-Info!$T$"&amp;"8)/100)+(Info!$T$11/2)+(N8*Info!$T$11)+(N8*Info!$T$14*(O8-1)),0.01)+M8,
E8=1,MROUND((((J8*Z8+K8*(AA8-Z8))*Y8)/X8)*(1+(X8-Info!$T$8)/100)+(N8*Info!$T$11)+(N8*Info!$T$14*(O8-1)),0.01)+M8,
AND(E8=""Final"",N8=1,FILTER(Info!$G$2:$G$20,Info!$A$2:$A$20=C8)=""My"&amp;"cket svår""),
MROUND((((J8*Z8+K8*(AA8-Z8))*(Y8*Info!$T$38))/X8)*(1+(X8-Info!$T$8)/100)+(N8*Info!$T$11)+(N8*Info!$T$14*(O8-1)),0.01)+M8,
AND(E8=""Final"",N8=1,FILTER(Info!$G$2:$G$20,Info!$A$2:$A$20=C8)=""Svår""),
MROUND((((J8*Z8+K8*(AA8-Z8))*(Y8*Info!$T$35"&amp;"))/X8)*(1+(X8-Info!$T$8)/100)+(N8*Info!$T$11)+(N8*Info!$T$14*(O8-1)),0.01)+M8,
E8=""Final"",MROUND((((J8*Z8+K8*(AA8-Z8))*(Y8*Info!$T$5))/X8)*(1+(X8-Info!$T$8)/100)+(N8*Info!$T$11)+(N8*Info!$T$14*(O8-1)),0.01)+M8,
OR(E8=2,E8=3),MROUND((((J8*Z8+K8*(AA8-Z8))"&amp;"*(Y8*Info!$T$2))/X8)*(1+(X8-Info!$T$8)/100)+(N8*Info!$T$11)+(N8*Info!$T$14*(O8-1)),0.01)+M8)"),0.0)</f>
        <v>0</v>
      </c>
      <c r="M8" s="48">
        <f t="shared" ref="M8:M27" si="1">$W$2</f>
        <v>0</v>
      </c>
      <c r="N8" s="48" t="str">
        <f>IFS(OR(COUNTIF(Info!$A$22:A81,C8)&gt;0,C8=""),"",
OR(C8="4x4 BLD",C8="5x5 BLD",C8="3x3 MBLD",C8="3x3 FMC",C8="4x4 / 5x5 BLD"),1,
AND(E8="Final",Q8="Yes",MAX(1,ROUNDUP(J8/P8))&gt;1),MAX(2,ROUNDUP(J8/P8)),
AND(E8="Final",Q8="No",MAX(1,ROUNDUP(J8/((P8*2)+2.625-Y8*1.5)))&gt;1),MAX(2,ROUNDUP(J8/((P8*2)+2.625-Y8*1.5))),
E8="Final",1,
Q8="Yes",MAX(2,ROUNDUP(J8/P8)),
TRUE,MAX(2,ROUNDUP(J8/((P8*2)+2.625-Y8*1.5))))</f>
        <v/>
      </c>
      <c r="O8" s="48" t="str">
        <f>IFS(OR(COUNTIF(Info!$A$22:A81,C8)&gt;0,C8=""),"",
OR("3x3 MBLD"=C8,"3x3 FMC"=C8)=TRUE,"",
D8=$E$4,$G$6,D8=$K$4,$M$6,D8=$Q$4,$S$6,D8=$W$4,$Y$6,
TRUE,$S$2)</f>
        <v/>
      </c>
      <c r="P8" s="48" t="str">
        <f>IFS(OR(COUNTIF(Info!$A$22:A81,C8)&gt;0,C8=""),"",
OR("3x3 MBLD"=C8,"3x3 FMC"=C8)=TRUE,"",
D8=$E$4,$E$6,D8=$K$4,$K$6,D8=$Q$4,$Q$6,D8=$W$4,$W$6,
TRUE,$Q$2)</f>
        <v/>
      </c>
      <c r="Q8" s="49" t="str">
        <f>IFS(OR(COUNTIF(Info!$A$22:A81,C8)&gt;0,C8=""),"",
OR("3x3 MBLD"=C8,"3x3 FMC"=C8)=TRUE,"",
D8=$E$4,$I$6,D8=$K$4,$O$6,D8=$Q$4,$U$6,D8=$W$4,$AA$6,
TRUE,$U$2)</f>
        <v/>
      </c>
      <c r="R8" s="50" t="str">
        <f>IFERROR(__xludf.DUMMYFUNCTION("IF(C8="""","""",IFERROR(FILTER(Info!$B$22:B81,Info!$A$22:A81=C8)+M8,""?""))"),"")</f>
        <v/>
      </c>
      <c r="S8" s="51" t="str">
        <f>IFS(OR(COUNTIF(Info!$A$22:A81,C8)&gt;0,C8=""),"",
AND(H8="",I8=""),J8,
TRUE,"?")</f>
        <v/>
      </c>
      <c r="T8" s="52" t="str">
        <f>IFS(OR(COUNTIF(Info!$A$22:A81,C8)&gt;0,C8=""),"",
AND(L8&lt;&gt;0,OR(R8="?",R8="")),"Fyll i R-kolumnen",
OR(C8="3x3 FMC",C8="3x3 MBLD"),R8,
AND(L8&lt;&gt;0,OR(S8="?",S8="")),"Fyll i S-kolumnen",
OR(COUNTIF(Info!$A$22:A81,C8)&gt;0,C8=""),"",
TRUE,Y8*R8/L8)</f>
        <v/>
      </c>
      <c r="U8" s="52"/>
      <c r="V8" s="53" t="str">
        <f>IFS(OR(COUNTIF(Info!$A$22:A81,C8)&gt;0,C8=""),"",
OR("3x3 MBLD"=C8,"3x3 FMC"=C8)=TRUE,"",
TRUE,MROUND((J8/N8),0.01))</f>
        <v/>
      </c>
      <c r="W8" s="54" t="str">
        <f>IFS(OR(COUNTIF(Info!$A$22:A81,C8)&gt;0,C8=""),"",
TRUE,L8/N8)</f>
        <v/>
      </c>
      <c r="X8" s="55" t="str">
        <f>IFS(OR(COUNTIF(Info!$A$22:A81,C8)&gt;0,C8=""),"",
OR("3x3 MBLD"=C8,"3x3 FMC"=C8)=TRUE,"",
OR(C8="4x4 BLD",C8="5x5 BLD",C8="4x4 / 5x5 BLD",AND(C8="3x3 BLD",H8&lt;&gt;""))=TRUE,MIN(V8,P8),
TRUE,MIN(P8,V8,MROUND(((V8*2/3)+((Y8-1.625)/2)),0.01)))</f>
        <v/>
      </c>
      <c r="Y8" s="56" t="str">
        <f>IFERROR(__xludf.DUMMYFUNCTION("IFS(OR(COUNTIF(Info!$A$22:A81,C8)&gt;0,C8=""""),"""",
FILTER(Info!$F$2:F81, Info!$A$2:A81 = C8) = ""Yes"",H8/AA8,
""3x3 FMC""=C8,Info!$B$9,""3x3 MBLD""=C8,Info!$B$18,
AND(E8=1,I8="""",H8="""",Q8=""No"",G8&gt;SUMIF(Info!$A$2:A81,C8,Info!$B$2:B81)*1.5),
MIN(SUMIF"&amp;"(Info!$A$2:A81,C8,Info!$B$2:B81)*1.1,SUMIF(Info!$A$2:A81,C8,Info!$B$2:B81)*(1.15-(0.15*(SUMIF(Info!$A$2:A81,C8,Info!$B$2:B81)*1.5)/G8))),
AND(E8=1,I8="""",H8="""",Q8=""Yes"",G8&gt;SUMIF(Info!$A$2:A81,C8,Info!$C$2:C81)*1.5),
MIN(SUMIF(Info!$A$2:A81,C8,Info!$C"&amp;"$2:C81)*1.1,SUMIF(Info!$A$2:A81,C8,Info!$C$2:C81)*(1.15-(0.15*(SUMIF(Info!$A$2:A81,C8,Info!$C$2:C81)*1.5)/G8))),
Q8=""No"",SUMIF(Info!$A$2:A81,C8,Info!$B$2:B81),
Q8=""Yes"",SUMIF(Info!$A$2:A81,C8,Info!$C$2:C81))"),"")</f>
        <v/>
      </c>
      <c r="Z8" s="57" t="str">
        <f>IFS(OR(COUNTIF(Info!$A$22:A81,C8)&gt;0,C8=""),"",
AND(OR("3x3 FMC"=C8,"3x3 MBLD"=C8),I8&lt;&gt;""),1,
AND(OR(H8&lt;&gt;"",I8&lt;&gt;""),F8="Avg of 5"),2,
F8="Avg of 5",AA8,
AND(OR(H8&lt;&gt;"",I8&lt;&gt;""),F8="Mean of 3",C8="6x6 / 7x7"),2,
AND(OR(H8&lt;&gt;"",I8&lt;&gt;""),F8="Mean of 3"),1,
F8="Mean of 3",AA8,
AND(OR(H8&lt;&gt;"",I8&lt;&gt;""),F8="Best of 3",C8="4x4 / 5x5 BLD"),2,
AND(OR(H8&lt;&gt;"",I8&lt;&gt;""),F8="Best of 3"),1,
F8="Best of 2",AA8,
F8="Best of 1",AA8)</f>
        <v/>
      </c>
      <c r="AA8" s="57" t="str">
        <f>IFS(OR(COUNTIF(Info!$A$22:A81,C8)&gt;0,C8=""),"",
AND(OR("3x3 MBLD"=C8,"3x3 FMC"=C8),F8="Best of 1"=TRUE),1,
AND(OR("3x3 MBLD"=C8,"3x3 FMC"=C8),F8="Best of 2"=TRUE),2,
AND(OR("3x3 MBLD"=C8,"3x3 FMC"=C8),OR(F8="Best of 3",F8="Mean of 3")=TRUE),3,
AND(F8="Mean of 3",C8="6x6 / 7x7"),6,
AND(F8="Best of 3",C8="4x4 / 5x5 BLD"),6,
F8="Avg of 5",5,F8="Mean of 3",3,F8="Best of 3",3,F8="Best of 2",2,F8="Best of 1",1)</f>
        <v/>
      </c>
      <c r="AB8" s="58"/>
    </row>
    <row r="9">
      <c r="A9" s="40">
        <f>IFERROR(__xludf.DUMMYFUNCTION("IFS(indirect(""A""&amp;row()-1)=""Start"",TIME(indirect(""A""&amp;row()-2),indirect(""B""&amp;row()-2),0),
$O$2=""No"",TIME(0,($A$6*60+$B$6)+CEILING(SUM($L$7:indirect(""L""&amp;row()-1)),5),0),
D9=$E$2,TIME(0,($A$6*60+$B$6)+CEILING(SUM(IFERROR(FILTER($L$7:indirect(""L""&amp;"&amp;"row()-1),REGEXMATCH($D$7:indirect(""D""&amp;row()-1),$E$2)),0)),5),0),
TRUE,""=time(hh;mm;ss)"")"),0.4166666666666667)</f>
        <v>0.4166666667</v>
      </c>
      <c r="B9" s="41">
        <f>IFERROR(__xludf.DUMMYFUNCTION("IFS($O$2=""No"",TIME(0,($A$6*60+$B$6)+CEILING(SUM($L$7:indirect(""L""&amp;row())),5),0),
D9=$E$2,TIME(0,($A$6*60+$B$6)+CEILING(SUM(FILTER($L$7:indirect(""L""&amp;row()),REGEXMATCH($D$7:indirect(""D""&amp;row()),$E$2))),5),0),
A9=""=time(hh;mm;ss)"",CONCATENATE(""Skri"&amp;"v tid i A""&amp;row()),
AND(A9&lt;&gt;"""",A9&lt;&gt;""=time(hh;mm;ss)""),A9+TIME(0,CEILING(indirect(""L""&amp;row()),5),0))"),0.4166666666666667)</f>
        <v>0.4166666667</v>
      </c>
      <c r="C9" s="42"/>
      <c r="D9" s="43" t="str">
        <f t="shared" ref="D9:D27" si="2">IFS($M$2=1,$E$2,
AND($M$2&gt;1,OR(C9="4x4 BLD",C9="5x5 BLD",C9="3x3 MBLD",C9="4x4 / 5x5 BLD")),$E$4,
$M$2&gt;1,$E$2)</f>
        <v>Stora salen</v>
      </c>
      <c r="E9" s="43" t="str">
        <f>IFERROR(__xludf.DUMMYFUNCTION("IFS(COUNTIF(Info!$A$22:A81,C9)&gt;0,"""",
AND(OR(""3x3 FMC""=C9,""3x3 MBLD""=C9),COUNTIF($C$7:indirect(""C""&amp;row()),indirect(""C""&amp;row()))&gt;=13),""E - Error"",
AND(OR(""3x3 FMC""=C9,""3x3 MBLD""=C9),COUNTIF($C$7:indirect(""C""&amp;row()),indirect(""C""&amp;row()))=12"&amp;"),""Final - A3"",
AND(OR(""3x3 FMC""=C9,""3x3 MBLD""=C9),COUNTIF($C$7:indirect(""C""&amp;row()),indirect(""C""&amp;row()))=11),""Final - A2"",
AND(OR(""3x3 FMC""=C9,""3x3 MBLD""=C9),COUNTIF($C$7:indirect(""C""&amp;row()),indirect(""C""&amp;row()))=10),""Final - A1"",
AND"&amp;"(OR(""3x3 FMC""=C9,""3x3 MBLD""=C9),COUNTIF($C$7:indirect(""C""&amp;row()),indirect(""C""&amp;row()))=9,
COUNTIF($C$7:$C$61,indirect(""C""&amp;row()))&gt;9),""R3 - A3"",
AND(OR(""3x3 FMC""=C9,""3x3 MBLD""=C9),COUNTIF($C$7:indirect(""C""&amp;row()),indirect(""C""&amp;row()))=9,
"&amp;"COUNTIF($C$7:$C$61,indirect(""C""&amp;row()))&lt;=9),""Final - A3"",
AND(OR(""3x3 FMC""=C9,""3x3 MBLD""=C9),COUNTIF($C$7:indirect(""C""&amp;row()),indirect(""C""&amp;row()))=8,
COUNTIF($C$7:$C$61,indirect(""C""&amp;row()))&gt;9),""R3 - A2"",
AND(OR(""3x3 FMC""=C9,""3x3 MBLD""="&amp;"C9),COUNTIF($C$7:indirect(""C""&amp;row()),indirect(""C""&amp;row()))=8,
COUNTIF($C$7:$C$61,indirect(""C""&amp;row()))&lt;=9),""Final - A2"",
AND(OR(""3x3 FMC""=C9,""3x3 MBLD""=C9),COUNTIF($C$7:indirect(""C""&amp;row()),indirect(""C""&amp;row()))=7,
COUNTIF($C$7:$C$61,indirect("&amp;"""C""&amp;row()))&gt;9),""R3 - A1"",
AND(OR(""3x3 FMC""=C9,""3x3 MBLD""=C9),COUNTIF($C$7:indirect(""C""&amp;row()),indirect(""C""&amp;row()))=7,
COUNTIF($C$7:$C$61,indirect(""C""&amp;row()))&lt;=9),""Final - A1"",
AND(OR(""3x3 FMC""=C9,""3x3 MBLD""=C9),COUNTIF($C$7:indirect("""&amp;"C""&amp;row()),indirect(""C""&amp;row()))=6,
COUNTIF($C$7:$C$61,indirect(""C""&amp;row()))&gt;6),""R2 - A3"",
AND(OR(""3x3 FMC""=C9,""3x3 MBLD""=C9),COUNTIF($C$7:indirect(""C""&amp;row()),indirect(""C""&amp;row()))=6,
COUNTIF($C$7:$C$61,indirect(""C""&amp;row()))&lt;=6),""Final - A3"""&amp;",
AND(OR(""3x3 FMC""=C9,""3x3 MBLD""=C9),COUNTIF($C$7:indirect(""C""&amp;row()),indirect(""C""&amp;row()))=5,
COUNTIF($C$7:$C$61,indirect(""C""&amp;row()))&gt;6),""R2 - A2"",
AND(OR(""3x3 FMC""=C9,""3x3 MBLD""=C9),COUNTIF($C$7:indirect(""C""&amp;row()),indirect(""C""&amp;row())"&amp;")=5,
COUNTIF($C$7:$C$61,indirect(""C""&amp;row()))&lt;=6),""Final - A2"",
AND(OR(""3x3 FMC""=C9,""3x3 MBLD""=C9),COUNTIF($C$7:indirect(""C""&amp;row()),indirect(""C""&amp;row()))=4,
COUNTIF($C$7:$C$61,indirect(""C""&amp;row()))&gt;6),""R2 - A1"",
AND(OR(""3x3 FMC""=C9,""3x3 MB"&amp;"LD""=C9),COUNTIF($C$7:indirect(""C""&amp;row()),indirect(""C""&amp;row()))=4,
COUNTIF($C$7:$C$61,indirect(""C""&amp;row()))&lt;=6),""Final - A1"",
AND(OR(""3x3 FMC""=C9,""3x3 MBLD""=C9),COUNTIF($C$7:indirect(""C""&amp;row()),indirect(""C""&amp;row()))=3),""R1 - A3"",
AND(OR(""3"&amp;"x3 FMC""=C9,""3x3 MBLD""=C9),COUNTIF($C$7:indirect(""C""&amp;row()),indirect(""C""&amp;row()))=2),""R1 - A2"",
AND(OR(""3x3 FMC""=C9,""3x3 MBLD""=C9),COUNTIF($C$7:indirect(""C""&amp;row()),indirect(""C""&amp;row()))=1),""R1 - A1"",
COUNTIF($C$7:indirect(""C""&amp;row()),indi"&amp;"rect(""C""&amp;row()))&gt;4,""E - Error"",
COUNTIF($C$7:indirect(""C""&amp;row()),indirect(""C""&amp;row()))=4,""Final"",
AND(COUNTIF($C$7:indirect(""C""&amp;row()),indirect(""C""&amp;row()))=3,COUNTIF($C$7:$C$61,indirect(""C""&amp;row()))&gt;COUNTIF($C$7:indirect(""C""&amp;row()),indirec"&amp;"t(""C""&amp;row()))),3,
AND(COUNTIF($C$7:indirect(""C""&amp;row()),indirect(""C""&amp;row()))=3,COUNTIF($C$7:$C$61,indirect(""C""&amp;row()))=COUNTIF($C$7:indirect(""C""&amp;row()),indirect(""C""&amp;row())),COUNTIF($C$7:indirect(""C""&amp;row()),indirect(""C""&amp;row()))&lt;FILTER(Info!$"&amp;"I$2:I81, Info!$A$2:A81 = C9),ROUNDUP((FILTER(Info!$H$2:H81,Info!$A$2:A81=C9)/FILTER(Info!$H$2:H81,Info!$A$2:A81=$K$2))*$I$2)&gt;99),3,
AND(COUNTIF($C$7:indirect(""C""&amp;row()),indirect(""C""&amp;row()))=3,COUNTIF($C$7:$C$61,indirect(""C""&amp;row()))=COUNTIF($C$7:indi"&amp;"rect(""C""&amp;row()),indirect(""C""&amp;row()))),""Final"",
AND(COUNTIF($C$7:indirect(""C""&amp;row()),indirect(""C""&amp;row()))=2,COUNTIF($C$7:$C$61,indirect(""C""&amp;row()))&gt;COUNTIF($C$7:indirect(""C""&amp;row()),indirect(""C""&amp;row()))),2,
AND(COUNTIF($C$7:indirect(""C""&amp;ro"&amp;"w()),indirect(""C""&amp;row()))=2,COUNTIF($C$7:$C$61,indirect(""C""&amp;row()))=COUNTIF($C$7:indirect(""C""&amp;row()),indirect(""C""&amp;row())),COUNTIF($C$7:indirect(""C""&amp;row()),indirect(""C""&amp;row()))&lt;FILTER(Info!$I$2:I81, Info!$A$2:A81 = C9),ROUNDUP((FILTER(Info!$H$2"&amp;":H81,Info!$A$2:A81=C9)/FILTER(Info!$H$2:H81,Info!$A$2:A81=$K$2))*$I$2)&gt;15),2,
AND(COUNTIF($C$7:indirect(""C""&amp;row()),indirect(""C""&amp;row()))=2,COUNTIF($C$7:$C$61,indirect(""C""&amp;row()))=COUNTIF($C$7:indirect(""C""&amp;row()),indirect(""C""&amp;row()))),""Final"",
C"&amp;"OUNTIF($C$7:indirect(""C""&amp;row()),indirect(""C""&amp;row()))=1,1,
COUNTIF($C$7:indirect(""C""&amp;row()),indirect(""C""&amp;row()))=0,"""")"),"")</f>
        <v/>
      </c>
      <c r="F9" s="44" t="str">
        <f>IFERROR(__xludf.DUMMYFUNCTION("IFS(C9="""","""",
AND(C9=""3x3 FMC"",MOD(COUNTIF($C$7:indirect(""C""&amp;row()),indirect(""C""&amp;row())),3)=0),""Mean of 3"",
AND(C9=""3x3 MBLD"",MOD(COUNTIF($C$7:indirect(""C""&amp;row()),indirect(""C""&amp;row())),3)=0),""Best of 3"",
AND(C9=""3x3 FMC"",MOD(COUNTIF($"&amp;"C$7:indirect(""C""&amp;row()),indirect(""C""&amp;row())),3)=2,
COUNTIF($C$7:$C$61,indirect(""C""&amp;row()))&lt;=COUNTIF($C$7:indirect(""C""&amp;row()),indirect(""C""&amp;row()))),""Best of 2"",
AND(C9=""3x3 FMC"",MOD(COUNTIF($C$7:indirect(""C""&amp;row()),indirect(""C""&amp;row())),3)"&amp;"=2,
COUNTIF($C$7:$C$61,indirect(""C""&amp;row()))&gt;COUNTIF($C$7:indirect(""C""&amp;row()),indirect(""C""&amp;row()))),""Mean of 3"",
AND(C9=""3x3 MBLD"",MOD(COUNTIF($C$7:indirect(""C""&amp;row()),indirect(""C""&amp;row())),3)=2,
COUNTIF($C$7:$C$61,indirect(""C""&amp;row()))&lt;=COUN"&amp;"TIF($C$7:indirect(""C""&amp;row()),indirect(""C""&amp;row()))),""Best of 2"",
AND(C9=""3x3 MBLD"",MOD(COUNTIF($C$7:indirect(""C""&amp;row()),indirect(""C""&amp;row())),3)=2,
COUNTIF($C$7:$C$61,indirect(""C""&amp;row()))&gt;COUNTIF($C$7:indirect(""C""&amp;row()),indirect(""C""&amp;row()"&amp;"))),""Best of 3"",
AND(C9=""3x3 FMC"",MOD(COUNTIF($C$7:indirect(""C""&amp;row()),indirect(""C""&amp;row())),3)=1,
COUNTIF($C$7:$C$61,indirect(""C""&amp;row()))&lt;=COUNTIF($C$7:indirect(""C""&amp;row()),indirect(""C""&amp;row()))),""Best of 1"",
AND(C9=""3x3 FMC"",MOD(COUNTIF($"&amp;"C$7:indirect(""C""&amp;row()),indirect(""C""&amp;row())),3)=1,
COUNTIF($C$7:$C$61,indirect(""C""&amp;row()))=COUNTIF($C$7:indirect(""C""&amp;row()),indirect(""C""&amp;row()))+1),""Best of 2"",
AND(C9=""3x3 FMC"",MOD(COUNTIF($C$7:indirect(""C""&amp;row()),indirect(""C""&amp;row())),3"&amp;")=1,
COUNTIF($C$7:$C$61,indirect(""C""&amp;row()))&gt;COUNTIF($C$7:indirect(""C""&amp;row()),indirect(""C""&amp;row()))),""Mean of 3"",
AND(C9=""3x3 MBLD"",MOD(COUNTIF($C$7:indirect(""C""&amp;row()),indirect(""C""&amp;row())),3)=1,
COUNTIF($C$7:$C$61,indirect(""C""&amp;row()))&lt;=COU"&amp;"NTIF($C$7:indirect(""C""&amp;row()),indirect(""C""&amp;row()))),""Best of 1"",
AND(C9=""3x3 MBLD"",MOD(COUNTIF($C$7:indirect(""C""&amp;row()),indirect(""C""&amp;row())),3)=1,
COUNTIF($C$7:$C$61,indirect(""C""&amp;row()))=COUNTIF($C$7:indirect(""C""&amp;row()),indirect(""C""&amp;row("&amp;")))+1),""Best of 2"",
AND(C9=""3x3 MBLD"",MOD(COUNTIF($C$7:indirect(""C""&amp;row()),indirect(""C""&amp;row())),3)=1,
COUNTIF($C$7:$C$61,indirect(""C""&amp;row()))&gt;COUNTIF($C$7:indirect(""C""&amp;row()),indirect(""C""&amp;row()))),""Best of 3"",
TRUE,(IFERROR(FILTER(Info!$D$"&amp;"2:D81, Info!$A$2:A81 = C9), """")))"),"")</f>
        <v/>
      </c>
      <c r="G9" s="45" t="str">
        <f>IFERROR(__xludf.DUMMYFUNCTION("IFS(OR(COUNTIF(Info!$A$22:A81,C9)&gt;0,C9=""""),"""",
OR(""3x3 MBLD""=C9,""3x3 FMC""=C9),60,
AND(E9=1,FILTER(Info!$F$2:F81, Info!$A$2:A81 = C9) = ""No""),FILTER(Info!$P$2:P81, Info!$A$2:A81 = C9),
AND(E9=2,FILTER(Info!$F$2:F81, Info!$A$2:A81 = C9) = ""No""),"&amp;"FILTER(Info!$Q$2:Q81, Info!$A$2:A81 = C9),
AND(E9=3,FILTER(Info!$F$2:F81, Info!$A$2:A81 = C9) = ""No""),FILTER(Info!$R$2:R81, Info!$A$2:A81 = C9),
AND(E9=""Final"",FILTER(Info!$F$2:F81, Info!$A$2:A81 = C9) = ""No""),FILTER(Info!$S$2:S81, Info!$A$2:A81 = C"&amp;"9),
FILTER(Info!$F$2:F81, Info!$A$2:A81 = C9) = ""Yes"","""")"),"")</f>
        <v/>
      </c>
      <c r="H9" s="45" t="str">
        <f>IFERROR(__xludf.DUMMYFUNCTION("IFS(OR(COUNTIF(Info!$A$22:A81,C9)&gt;0,C9=""""),"""",
OR(""3x3 MBLD""=C9,""3x3 FMC""=C9)=TRUE,"""",
FILTER(Info!$F$2:F81, Info!$A$2:A81 = C9) = ""Yes"",FILTER(Info!$O$2:O81, Info!$A$2:A81 = C9),
FILTER(Info!$F$2:F81, Info!$A$2:A81 = C9) = ""No"",IF(G9="""",F"&amp;"ILTER(Info!$O$2:O81, Info!$A$2:A81 = C9),""""))"),"")</f>
        <v/>
      </c>
      <c r="I9" s="45" t="str">
        <f>IFERROR(__xludf.DUMMYFUNCTION("IFS(OR(COUNTIF(Info!$A$22:A81,C9)&gt;0,C9="""",H9&lt;&gt;""""),"""",
AND(E9&lt;&gt;1,E9&lt;&gt;""R1 - A1"",E9&lt;&gt;""R1 - A2"",E9&lt;&gt;""R1 - A3""),"""",
FILTER(Info!$E$2:E81, Info!$A$2:A81 = C9) = ""Yes"",IF(H9="""",FILTER(Info!$L$2:L81, Info!$A$2:A81 = C9),""""),
FILTER(Info!$E$2:E"&amp;"81, Info!$A$2:A81 = C9) = ""No"","""")"),"")</f>
        <v/>
      </c>
      <c r="J9" s="45" t="str">
        <f>IFERROR(__xludf.DUMMYFUNCTION("IFS(OR(COUNTIF(Info!$A$22:A81,C9)&gt;0,C9="""",""3x3 MBLD""=C9,""3x3 FMC""=C9),"""",
AND(E9=1,FILTER(Info!$H$2:H81,Info!$A$2:A81 = C9)&lt;=FILTER(Info!$H$2:H81,Info!$A$2:A81=$K$2)),
ROUNDUP((FILTER(Info!$H$2:H81,Info!$A$2:A81 = C9)/FILTER(Info!$H$2:H81,Info!$A$"&amp;"2:A81=$K$2))*$I$2),
AND(E9=1,FILTER(Info!$H$2:H81,Info!$A$2:A81 = C9)&gt;FILTER(Info!$H$2:H81,Info!$A$2:A81=$K$2)),""K2 - Error"",
AND(E9=2,FILTER($J$7:indirect(""J""&amp;row()-1),$C$7:indirect(""C""&amp;row()-1)=C9)&lt;=7),""J - Error"",
E9=2,FLOOR(FILTER($J$7:indirec"&amp;"t(""J""&amp;row()-1),$C$7:indirect(""C""&amp;row()-1)=C9)*Info!$T$32),
AND(E9=3,FILTER($J$7:indirect(""J""&amp;row()-1),$C$7:indirect(""C""&amp;row()-1)=C9)&lt;=15),""J - Error"",
E9=3,FLOOR(Info!$T$32*FLOOR(FILTER($J$7:indirect(""J""&amp;row()-1),$C$7:indirect(""C""&amp;row()-1)=C"&amp;"9)*Info!$T$32)),
AND(E9=""Final"",COUNTIF($C$7:$C$61,C9)=2,FILTER($J$7:indirect(""J""&amp;row()-1),$C$7:indirect(""C""&amp;row()-1)=C9)&lt;=7),""J - Error"",
AND(E9=""Final"",COUNTIF($C$7:$C$61,C9)=2),
MIN(P9,FLOOR(FILTER($J$7:indirect(""J""&amp;row()-1),$C$7:indirect("&amp;"""C""&amp;row()-1)=C9)*Info!$T$32)),
AND(E9=""Final"",COUNTIF($C$7:$C$61,C9)=3,FILTER($J$7:indirect(""J""&amp;row()-1),$C$7:indirect(""C""&amp;row()-1)=C9)&lt;=15),""J - Error"",
AND(E9=""Final"",COUNTIF($C$7:$C$61,C9)=3),
MIN(P9,FLOOR(Info!$T$32*FLOOR(FILTER($J$7:indir"&amp;"ect(""J""&amp;row()-1),$C$7:indirect(""C""&amp;row()-1)=C9)*Info!$T$32))),
AND(E9=""Final"",COUNTIF($C$7:$C$61,C9)&gt;=4,FILTER($J$7:indirect(""J""&amp;row()-1),$C$7:indirect(""C""&amp;row()-1)=C9)&lt;=99),""J - Error"",
AND(E9=""Final"",COUNTIF($C$7:$C$61,C9)&gt;=4),
MIN(P9,FLOO"&amp;"R(Info!$T$32*FLOOR(Info!$T$32*FLOOR(FILTER($J$7:indirect(""J""&amp;row()-1),$C$7:indirect(""C""&amp;row()-1)=C9)*Info!$T$32)))))"),"")</f>
        <v/>
      </c>
      <c r="K9" s="46" t="str">
        <f>IFERROR(__xludf.DUMMYFUNCTION("IFS(AND(indirect(""D""&amp;row()+2)&lt;&gt;$E$2,indirect(""D""&amp;row()+1)=""""),CONCATENATE(""Tom rad! Kopiera hela rad ""&amp;row()&amp;"" dit""),
AND(indirect(""D""&amp;row()-1)&lt;&gt;""Rum"",indirect(""D""&amp;row()-1)=""""),CONCATENATE(""Tom rad! Kopiera hela rad ""&amp;row()&amp;"" dit""),
"&amp;"C9="""","""",
COUNTIF(Info!$A$22:A81,$K$2)&gt;0,""Det tyckte du var roligt? ( ͡❛ ͜ʖ ͡❛)"",
AND($M$2&gt;=2,$E$4=""""),""Skriv 1:a sidorummets namn i E4"",
AND($M$2&gt;=3,$K$4=""""),""Skriv 2:a sidorummets namn i K4"",
AND($M$2&gt;=4,$Q$4=""""),""Skriv 3:e sidorummets "&amp;"namn i Q4"",
AND($M$2&lt;2,$E$4&lt;&gt;""""),""Finns fler än 2 rum - ta bort i E4"",
AND($M$2&lt;3,$K$4&lt;&gt;""""),""Finns fler än 3 rum - ta bort i K4"",
AND($M$2&lt;4,$Q$4&lt;&gt;""""),""Finns fler än 4 rum - ta bort i Q4"",
OR(AND(D9&lt;&gt;$E$2,D9&lt;&gt;$E$4,D9&lt;&gt;$K$4,D9&lt;&gt;$Q$4),D9=""""),"&amp;"CONCATENATE(""Rum: ""&amp;D9&amp;"" finns ej, byt i D""&amp;row()),
AND(indirect(""D""&amp;row()-1)=""Rum"",C9=""""),CONCATENATE(""För att börja: skriv i cell C""&amp;row()),
AND(C9=""Paus"",M9&lt;=0),CONCATENATE(""Skriv pausens längd i M""&amp;row()),
OR(COUNTIF(Info!$A$22:A81,C9)"&amp;"&gt;0,C9=""""),"""",
AND(D9&lt;&gt;$E$2,$O$2=""Yes"",A9=""=time(hh;mm;ss)""),CONCATENATE(""Skriv starttid för ""&amp;C9&amp;"" i A""&amp;row()),
E9=""E - Error"",CONCATENATE(""För många ""&amp;C9&amp;"" rundor!""),
AND(C9&lt;&gt;""3x3 FMC"",C9&lt;&gt;""3x3 MBLD"",E9&lt;&gt;1,E9&lt;&gt;""Final"",IFERROR(FILT"&amp;"ER($E$7:indirect(""E""&amp;row()-1),
$E$7:indirect(""E""&amp;row()-1)=E9-1,$C$7:indirect(""C""&amp;row()-1)=C9))=FALSE),CONCATENATE(""Kan ej vara R""&amp;E9&amp;"", saknar R""&amp;(E9-1)),
AND(indirect(""E""&amp;row()-1)&lt;&gt;""Omgång"",IFERROR(FILTER($E$7:indirect(""E""&amp;row()-1),
$E$7:"&amp;"indirect(""E""&amp;row()-1)=E9,$C$7:indirect(""C""&amp;row()-1)=C9)=E9)=TRUE),CONCATENATE(""Runda ""&amp;E9&amp;"" i ""&amp;C9&amp;"" finns redan""),
AND(C9&lt;&gt;""3x3 BLD"",C9&lt;&gt;""4x4 BLD"",C9&lt;&gt;""5x5 BLD"",C9&lt;&gt;""4x4 / 5x5 BLD"",OR(E9=2,E9=3,E9=""Final""),H9&lt;&gt;""""),CONCATENATE(E9&amp;""-"&amp;"rundor brukar ej ha c.t.l.""),
AND(OR(E9=2,E9=3,E9=""Final""),I9&lt;&gt;""""),CONCATENATE(E9&amp;""-rundor brukar ej ha cutoff""),
AND(OR(C9=""3x3 FMC"",C9=""3x3 MBLD""),OR(E9=1,E9=2,E9=3,E9=""Final"")),CONCATENATE(C9&amp;""s omgång är Rx - Ax""),
AND(C9&lt;&gt;""3x3 MBLD"","&amp;"C9&lt;&gt;""3x3 FMC"",FILTER(Info!$D$2:D81, Info!$A$2:A81 = C9)&lt;&gt;F9),CONCATENATE(C9&amp;"" måste ha formatet ""&amp;FILTER(Info!$D$2:D81, Info!$A$2:A81 = C9)),
AND(C9=""3x3 MBLD"",OR(F9=""Avg of 5"",F9=""Mean of 3"")),CONCATENATE(""Ogiltigt format för ""&amp;C9),
AND(C9="""&amp;"3x3 FMC"",OR(F9=""Avg of 5"",F9=""Best of 3"")),CONCATENATE(""Ogiltigt format för ""&amp;C9),
AND(OR(F9=""Best of 1"",F9=""Best of 2"",F9=""Best of 3""),I9&lt;&gt;""""),CONCATENATE(F9&amp;""-rundor får ej ha cutoff""),
AND(OR(C9=""3x3 FMC"",C9=""3x3 MBLD""),G9&lt;&gt;60),CON"&amp;"CATENATE(C9&amp;"" måste ha time limit: 60""),
AND(OR(C9=""3x3 FMC"",C9=""3x3 MBLD""),H9&lt;&gt;""""),CONCATENATE(C9&amp;"" kan inte ha c.t.l.""),
AND(G9&lt;&gt;"""",H9&lt;&gt;""""),""Välj time limit ELLER c.t.l"",
AND(C9=""6x6 / 7x7"",G9="""",H9=""""),""Sätt time limit (x / y) el"&amp;"ler c.t.l (z)"",
AND(G9="""",H9=""""),""Sätt en time limit eller c.t.l"",
AND(OR(C9=""6x6 / 7x7"",C9=""4x4 / 5x5 BLD""),G9&lt;&gt;"""",REGEXMATCH(TO_TEXT(G9),"" / "")=FALSE),CONCATENATE(""Time limit måste vara x / y""),
AND(H9&lt;&gt;"""",I9&lt;&gt;""""),CONCATENATE(C9&amp;"" "&amp;"brukar ej ha cutoff OCH c.t.l""),
AND(E9=1,H9="""",I9="""",OR(FILTER(Info!$E$2:E81, Info!$A$2:A81 = C9) = ""Yes"",FILTER(Info!$F$2:F81, Info!$A$2:A81 = C9) = ""Yes""),OR(F9=""Avg of 5"",F9=""Mean of 3"")),CONCATENATE(C9&amp;"" bör ha cutoff eller c.t.l""),
AN"&amp;"D(C9=""6x6 / 7x7"",I9&lt;&gt;"""",REGEXMATCH(TO_TEXT(I9),"" / "")=FALSE),CONCATENATE(""Cutoff måste vara x / y""),
AND(H9&lt;&gt;"""",ISNUMBER(H9)=FALSE),""C.t.l. måste vara positivt tal (x)"",
AND(C9&lt;&gt;""6x6 / 7x7"",I9&lt;&gt;"""",ISNUMBER(I9)=FALSE),""Cutoff måste vara po"&amp;"sitivt tal (x)"",
AND(H9&lt;&gt;"""",FILTER(Info!$E$2:E81, Info!$A$2:A81 = C9) = ""No"",FILTER(Info!$F$2:F81, Info!$A$2:A81 = C9) = ""No""),CONCATENATE(C9&amp;"" brukar inte ha c.t.l.""),
AND(I9&lt;&gt;"""",FILTER(Info!$E$2:E81, Info!$A$2:A81 = C9) = ""No"",FILTER(Info!$"&amp;"F$2:F81, Info!$A$2:A81 = C9) = ""No""),CONCATENATE(C9&amp;"" brukar inte ha cutoff""),
AND(H9="""",FILTER(Info!$F$2:F81, Info!$A$2:A81 = C9) = ""Yes""),CONCATENATE(C9&amp;"" brukar ha c.t.l.""),
AND(C9&lt;&gt;""6x6 / 7x7"",C9&lt;&gt;""4x4 / 5x5 BLD"",G9&lt;&gt;"""",ISNUMBER(G9)=FA"&amp;"LSE),""Time limit måste vara positivt tal (x)"",
J9=""J - Error"",CONCATENATE(""För få deltagare i R1 för ""&amp;COUNTIF($C$7:$C$61,indirect(""C""&amp;row()))&amp;"" rundor""),
J9=""K2 - Error"",CONCATENATE(C9&amp;"" är mer populär - byt i K2!""),
AND(C9&lt;&gt;""6x6 / 7x7"",C"&amp;"9&lt;&gt;""4x4 / 5x5 BLD"",G9&lt;&gt;"""",I9&lt;&gt;"""",G9&lt;=I9),""Time limit måste vara &gt; cutoff"",
AND(C9&lt;&gt;""6x6 / 7x7"",C9&lt;&gt;""4x4 / 5x5 BLD"",H9&lt;&gt;"""",I9&lt;&gt;"""",H9&lt;=I9),""C.t.l. måste vara &gt; cutoff"",
AND(C9&lt;&gt;""3x3 FMC"",C9&lt;&gt;""3x3 MBLD"",J9=""""),CONCATENATE(""Fyll i ant"&amp;"al deltagare i J""&amp;row()),
AND(C9="""",OR(E9&lt;&gt;"""",F9&lt;&gt;"""",G9&lt;&gt;"""",H9&lt;&gt;"""",I9&lt;&gt;"""",J9&lt;&gt;"""")),""Skriv ALLTID gren / aktivitet först"",
AND(I9="""",H9="""",J9&lt;&gt;""""),J9,
OR(""3x3 FMC""=C9,""3x3 MBLD""=C9),J9,
AND(I9&lt;&gt;"""",""6x6 / 7x7""=C9),
IFS(ArrayFo"&amp;"rmula(SUM(IFERROR(SPLIT(I9,"" / ""))))&lt;(Info!$J$6+Info!$J$7)*2/3,CONCATENATE(""Höj helst cutoffs i ""&amp;C9),
ArrayFormula(SUM(IFERROR(SPLIT(I9,"" / ""))))&lt;=(Info!$J$6+Info!$J$7),ROUNDUP(J9*Info!$J$22),
ArrayFormula(SUM(IFERROR(SPLIT(I9,"" / ""))))&lt;=Info!$J$"&amp;"6+Info!$J$7,ROUNDUP(J9*Info!$K$22),
ArrayFormula(SUM(IFERROR(SPLIT(I9,"" / ""))))&lt;=Info!$K$6+Info!$K$7,ROUNDUP(J9*Info!L$22),
ArrayFormula(SUM(IFERROR(SPLIT(I9,"" / ""))))&lt;=Info!$L$6+Info!$L$7,ROUNDUP(J9*Info!$M$22),
ArrayFormula(SUM(IFERROR(SPLIT(I9,"" /"&amp;" ""))))&lt;=Info!$M$6+Info!$M$7,ROUNDUP(J9*Info!$N$22),
ArrayFormula(SUM(IFERROR(SPLIT(I9,"" / ""))))&lt;=(Info!$N$6+Info!$N$7)*3/2,ROUNDUP(J9*Info!$J$26),
ArrayFormula(SUM(IFERROR(SPLIT(I9,"" / ""))))&gt;(Info!$N$6+Info!$N$7)*3/2,CONCATENATE(""Sänk helst cutoffs "&amp;"i ""&amp;C9)),
AND(I9&lt;&gt;"""",FILTER(Info!$E$2:E81, Info!$A$2:A81 = C9) = ""Yes""),
IFS(I9&lt;FILTER(Info!$J$2:J81, Info!$A$2:A81 = C9)*2/3,CONCATENATE(""Höj helst cutoff i ""&amp;C9),
I9&lt;=FILTER(Info!$J$2:J81, Info!$A$2:A81 = C9),ROUNDUP(J9*Info!$J$22),
I9&lt;=FILTER(In"&amp;"fo!$K$2:K81, Info!$A$2:A81 = C9),ROUNDUP(J9*Info!$K$22),
I9&lt;=FILTER(Info!$L$2:L81, Info!$A$2:A81 = C9),ROUNDUP(J9*Info!L$22),
I9&lt;=FILTER(Info!$M$2:M81, Info!$A$2:A81 = C9),ROUNDUP(J9*Info!$M$22),
I9&lt;=FILTER(Info!$N$2:N81, Info!$A$2:A81 = C9),ROUNDUP(J9*In"&amp;"fo!$N$22),
I9&lt;=FILTER(Info!$N$2:N81, Info!$A$2:A81 = C9)*3/2,ROUNDUP(J9*Info!$J$26),
I9&gt;FILTER(Info!$N$2:N81, Info!$A$2:A81 = C9)*3/2,CONCATENATE(""Sänk helst cutoff i ""&amp;C9)),
AND(H9&lt;&gt;"""",""6x6 / 7x7""=C9),
IFS(H9/3&lt;=(Info!$J$6+Info!$J$7)*2/3,""Höj hels"&amp;"t cumulative time limit"",
H9/3&lt;=Info!$J$6+Info!$J$7,ROUNDUP(J9*Info!$J$24),
H9/3&lt;=Info!$K$6+Info!$K$7,ROUNDUP(J9*Info!$K$24),
H9/3&lt;=Info!$L$6+Info!$L$7,ROUNDUP(J9*Info!L$24),
H9/3&lt;=Info!$M$6+Info!$M$7,ROUNDUP(J9*Info!$M$24),
H9/3&lt;=Info!$N$6+Info!$N$7,ROU"&amp;"NDUP(J9*Info!$N$24),
H9/3&lt;=(Info!$N$6+Info!$N$7)*3/2,ROUNDUP(J9*Info!$L$26),
H9/3&gt;(Info!$J$6+Info!$J$7)*3/2,""Sänk helst cumulative time limit""),
AND(H9&lt;&gt;"""",FILTER(Info!$F$2:F81, Info!$A$2:A81 = C9) = ""Yes""),
IFS(H9&lt;=FILTER(Info!$J$2:J81, Info!$A$2:A"&amp;"81 = C9)*2/3,CONCATENATE(""Höj helst c.t.l. i ""&amp;C9),
H9&lt;=FILTER(Info!$J$2:J81, Info!$A$2:A81 = C9),ROUNDUP(J9*Info!$J$24),
H9&lt;=FILTER(Info!$K$2:K81, Info!$A$2:A81 = C9),ROUNDUP(J9*Info!$K$24),
H9&lt;=FILTER(Info!$L$2:L81, Info!$A$2:A81 = C9),ROUNDUP(J9*Info"&amp;"!L$24),
H9&lt;=FILTER(Info!$M$2:M81, Info!$A$2:A81 = C9),ROUNDUP(J9*Info!$M$24),
H9&lt;=FILTER(Info!$N$2:N81, Info!$A$2:A81 = C9),ROUNDUP(J9*Info!$N$24),
H9&lt;=FILTER(Info!$N$2:N81, Info!$A$2:A81 = C9)*3/2,ROUNDUP(J9*Info!$L$26),
H9&gt;FILTER(Info!$N$2:N81, Info!$A$"&amp;"2:A81 = C9)*3/2,CONCATENATE(""Sänk helst c.t.l. i ""&amp;C9)),
AND(H9&lt;&gt;"""",FILTER(Info!$F$2:F81, Info!$A$2:A81 = C9) = ""No""),
IFS(H9/AA9&lt;=FILTER(Info!$J$2:J81, Info!$A$2:A81 = C9)*2/3,CONCATENATE(""Höj helst c.t.l. i ""&amp;C9),
H9/AA9&lt;=FILTER(Info!$J$2:J81, I"&amp;"nfo!$A$2:A81 = C9),ROUNDUP(J9*Info!$J$24),
H9/AA9&lt;=FILTER(Info!$K$2:K81, Info!$A$2:A81 = C9),ROUNDUP(J9*Info!$K$24),
H9/AA9&lt;=FILTER(Info!$L$2:L81, Info!$A$2:A81 = C9),ROUNDUP(J9*Info!L$24),
H9/AA9&lt;=FILTER(Info!$M$2:M81, Info!$A$2:A81 = C9),ROUNDUP(J9*Info"&amp;"!$M$24),
H9/AA9&lt;=FILTER(Info!$N$2:N81, Info!$A$2:A81 = C9),ROUNDUP(J9*Info!$N$24),
H9/AA9&lt;=FILTER(Info!$N$2:N81, Info!$A$2:A81 = C9)*3/2,ROUNDUP(J9*Info!$L$26),
H9/AA9&gt;FILTER(Info!$N$2:N81, Info!$A$2:A81 = C9)*3/2,CONCATENATE(""Sänk helst c.t.l. i ""&amp;C9))"&amp;",
AND(I9="""",H9&lt;&gt;"""",J9&lt;&gt;""""),ROUNDUP(J9*Info!$T$29),
AND(I9&lt;&gt;"""",H9="""",J9&lt;&gt;""""),ROUNDUP(J9*Info!$T$26))"),"")</f>
        <v/>
      </c>
      <c r="L9" s="47">
        <f>IFERROR(__xludf.DUMMYFUNCTION("IFS(C9="""",0,
C9=""3x3 FMC"",Info!$B$9*N9+M9, C9=""3x3 MBLD"",Info!$B$18*N9+M9,
COUNTIF(Info!$A$22:A81,C9)&gt;0,FILTER(Info!$B$22:B81,Info!$A$22:A81=C9)+M9,
AND(C9&lt;&gt;"""",E9=""""),CONCATENATE(""Fyll i E""&amp;row()),
AND(C9&lt;&gt;"""",E9&lt;&gt;"""",E9&lt;&gt;1,E9&lt;&gt;2,E9&lt;&gt;3,E9&lt;&gt;"&amp;"""Final""),CONCATENATE(""Fel format på E""&amp;row()),
K9=CONCATENATE(""Runda ""&amp;E9&amp;"" i ""&amp;C9&amp;"" finns redan""),CONCATENATE(""Fel i E""&amp;row()),
AND(C9&lt;&gt;"""",F9=""""),CONCATENATE(""Fyll i F""&amp;row()),
K9=CONCATENATE(C9&amp;"" måste ha formatet ""&amp;FILTER(Info!$D$2:"&amp;"D81, Info!$A$2:A81 = C9)),CONCATENATE(""Fel format på F""&amp;row()),
AND(C9&lt;&gt;"""",D9=1,H9="""",FILTER(Info!$F$2:F81, Info!$A$2:A81 = C9) = ""Yes""),CONCATENATE(""Fyll i H""&amp;row()),
AND(C9&lt;&gt;"""",D9=1,I9="""",FILTER(Info!$E$2:E81, Info!$A$2:A81 = C9) = ""Yes"""&amp;"),CONCATENATE(""Fyll i I""&amp;row()),
AND(C9&lt;&gt;"""",J9=""""),CONCATENATE(""Fyll i J""&amp;row()),
AND(C9&lt;&gt;"""",K9="""",OR(H9&lt;&gt;"""",I9&lt;&gt;"""")),CONCATENATE(""Fyll i K""&amp;row()),
AND(C9&lt;&gt;"""",K9=""""),CONCATENATE(""Skriv samma i K""&amp;row()&amp;"" som i J""&amp;row()),
AND(OR("&amp;"C9=""4x4 BLD"",C9=""5x5 BLD"",C9=""4x4 / 5x5 BLD"")=TRUE,V9&lt;=P9),
MROUND(H9*(Info!$T$20-((Info!$T$20-1)/2)*(1-V9/P9))*(1+((J9/K9)-1)*(1-Info!$J$24))*N9+(Info!$T$11/2)+(N9*Info!$T$11)+(N9*Info!$T$14*(O9-1)),0.01)+M9,
AND(OR(C9=""4x4 BLD"",C9=""5x5 BLD"",C9"&amp;"=""4x4 / 5x5 BLD"")=TRUE,V9&gt;P9),
MROUND((((J9*Z9+K9*(AA9-Z9))*(H9*Info!$T$20/AA9))/X9)*(1+((J9/K9)-1)*(1-Info!$J$24))*(1+(X9-Info!$T$8)/100)+(Info!$T$11/2)+(N9*Info!$T$11)+(N9*Info!$T$14*(O9-1)),0.01)+M9,
AND(C9=""3x3 BLD"",V9&lt;=P9),
MROUND(H9*(Info!$T$23-"&amp;"((Info!$T$23-1)/2)*(1-V9/P9))*(1+((J9/K9)-1)*(1-Info!$J$24))*N9+(Info!$T$11/2)+(N9*Info!$T$11)+(N9*Info!$T$14*(O9-1)),0.01)+M9,
AND(C9=""3x3 BLD"",V9&gt;P9),
MROUND((((J9*Z9+K9*(AA9-Z9))*(H9*Info!$T$23/AA9))/X9)*(1+((J9/K9)-1)*(1-Info!$J$24))*(1+(X9-Info!$T$"&amp;"8)/100)+(Info!$T$11/2)+(N9*Info!$T$11)+(N9*Info!$T$14*(O9-1)),0.01)+M9,
E9=1,MROUND((((J9*Z9+K9*(AA9-Z9))*Y9)/X9)*(1+(X9-Info!$T$8)/100)+(N9*Info!$T$11)+(N9*Info!$T$14*(O9-1)),0.01)+M9,
AND(E9=""Final"",N9=1,FILTER(Info!$G$2:$G$20,Info!$A$2:$A$20=C9)=""My"&amp;"cket svår""),
MROUND((((J9*Z9+K9*(AA9-Z9))*(Y9*Info!$T$38))/X9)*(1+(X9-Info!$T$8)/100)+(N9*Info!$T$11)+(N9*Info!$T$14*(O9-1)),0.01)+M9,
AND(E9=""Final"",N9=1,FILTER(Info!$G$2:$G$20,Info!$A$2:$A$20=C9)=""Svår""),
MROUND((((J9*Z9+K9*(AA9-Z9))*(Y9*Info!$T$35"&amp;"))/X9)*(1+(X9-Info!$T$8)/100)+(N9*Info!$T$11)+(N9*Info!$T$14*(O9-1)),0.01)+M9,
E9=""Final"",MROUND((((J9*Z9+K9*(AA9-Z9))*(Y9*Info!$T$5))/X9)*(1+(X9-Info!$T$8)/100)+(N9*Info!$T$11)+(N9*Info!$T$14*(O9-1)),0.01)+M9,
OR(E9=2,E9=3),MROUND((((J9*Z9+K9*(AA9-Z9))"&amp;"*(Y9*Info!$T$2))/X9)*(1+(X9-Info!$T$8)/100)+(N9*Info!$T$11)+(N9*Info!$T$14*(O9-1)),0.01)+M9)"),0.0)</f>
        <v>0</v>
      </c>
      <c r="M9" s="48">
        <f t="shared" si="1"/>
        <v>0</v>
      </c>
      <c r="N9" s="48" t="str">
        <f>IFS(OR(COUNTIF(Info!$A$22:A81,C9)&gt;0,C9=""),"",
OR(C9="4x4 BLD",C9="5x5 BLD",C9="3x3 MBLD",C9="3x3 FMC",C9="4x4 / 5x5 BLD"),1,
AND(E9="Final",Q9="Yes",MAX(1,ROUNDUP(J9/P9))&gt;1),MAX(2,ROUNDUP(J9/P9)),
AND(E9="Final",Q9="No",MAX(1,ROUNDUP(J9/((P9*2)+2.625-Y9*1.5)))&gt;1),MAX(2,ROUNDUP(J9/((P9*2)+2.625-Y9*1.5))),
E9="Final",1,
Q9="Yes",MAX(2,ROUNDUP(J9/P9)),
TRUE,MAX(2,ROUNDUP(J9/((P9*2)+2.625-Y9*1.5))))</f>
        <v/>
      </c>
      <c r="O9" s="48" t="str">
        <f>IFS(OR(COUNTIF(Info!$A$22:A81,C9)&gt;0,C9=""),"",
OR("3x3 MBLD"=C9,"3x3 FMC"=C9)=TRUE,"",
D9=$E$4,$G$6,D9=$K$4,$M$6,D9=$Q$4,$S$6,D9=$W$4,$Y$6,
TRUE,$S$2)</f>
        <v/>
      </c>
      <c r="P9" s="48" t="str">
        <f>IFS(OR(COUNTIF(Info!$A$22:A81,C9)&gt;0,C9=""),"",
OR("3x3 MBLD"=C9,"3x3 FMC"=C9)=TRUE,"",
D9=$E$4,$E$6,D9=$K$4,$K$6,D9=$Q$4,$Q$6,D9=$W$4,$W$6,
TRUE,$Q$2)</f>
        <v/>
      </c>
      <c r="Q9" s="49" t="str">
        <f>IFS(OR(COUNTIF(Info!$A$22:A81,C9)&gt;0,C9=""),"",
OR("3x3 MBLD"=C9,"3x3 FMC"=C9)=TRUE,"",
D9=$E$4,$I$6,D9=$K$4,$O$6,D9=$Q$4,$U$6,D9=$W$4,$AA$6,
TRUE,$U$2)</f>
        <v/>
      </c>
      <c r="R9" s="50" t="str">
        <f>IFERROR(__xludf.DUMMYFUNCTION("IF(C9="""","""",IFERROR(FILTER(Info!$B$22:B81,Info!$A$22:A81=C9)+M9,""?""))"),"")</f>
        <v/>
      </c>
      <c r="S9" s="51" t="str">
        <f>IFS(OR(COUNTIF(Info!$A$22:A81,C9)&gt;0,C9=""),"",
AND(H9="",I9=""),J9,
TRUE,"?")</f>
        <v/>
      </c>
      <c r="T9" s="52" t="str">
        <f>IFS(OR(COUNTIF(Info!$A$22:A81,C9)&gt;0,C9=""),"",
AND(L9&lt;&gt;0,OR(R9="?",R9="")),"Fyll i R-kolumnen",
OR(C9="3x3 FMC",C9="3x3 MBLD"),R9,
AND(L9&lt;&gt;0,OR(S9="?",S9="")),"Fyll i S-kolumnen",
OR(COUNTIF(Info!$A$22:A81,C9)&gt;0,C9=""),"",
TRUE,Y9*R9/L9)</f>
        <v/>
      </c>
      <c r="U9" s="52"/>
      <c r="V9" s="53" t="str">
        <f>IFS(OR(COUNTIF(Info!$A$22:A81,C9)&gt;0,C9=""),"",
OR("3x3 MBLD"=C9,"3x3 FMC"=C9)=TRUE,"",
TRUE,MROUND((J9/N9),0.01))</f>
        <v/>
      </c>
      <c r="W9" s="54" t="str">
        <f>IFS(OR(COUNTIF(Info!$A$22:A81,C9)&gt;0,C9=""),"",
TRUE,L9/N9)</f>
        <v/>
      </c>
      <c r="X9" s="55" t="str">
        <f>IFS(OR(COUNTIF(Info!$A$22:A81,C9)&gt;0,C9=""),"",
OR("3x3 MBLD"=C9,"3x3 FMC"=C9)=TRUE,"",
OR(C9="4x4 BLD",C9="5x5 BLD",C9="4x4 / 5x5 BLD",AND(C9="3x3 BLD",H9&lt;&gt;""))=TRUE,MIN(V9,P9),
TRUE,MIN(P9,V9,MROUND(((V9*2/3)+((Y9-1.625)/2)),0.01)))</f>
        <v/>
      </c>
      <c r="Y9" s="56" t="str">
        <f>IFERROR(__xludf.DUMMYFUNCTION("IFS(OR(COUNTIF(Info!$A$22:A81,C9)&gt;0,C9=""""),"""",
FILTER(Info!$F$2:F81, Info!$A$2:A81 = C9) = ""Yes"",H9/AA9,
""3x3 FMC""=C9,Info!$B$9,""3x3 MBLD""=C9,Info!$B$18,
AND(E9=1,I9="""",H9="""",Q9=""No"",G9&gt;SUMIF(Info!$A$2:A81,C9,Info!$B$2:B81)*1.5),
MIN(SUMIF"&amp;"(Info!$A$2:A81,C9,Info!$B$2:B81)*1.1,SUMIF(Info!$A$2:A81,C9,Info!$B$2:B81)*(1.15-(0.15*(SUMIF(Info!$A$2:A81,C9,Info!$B$2:B81)*1.5)/G9))),
AND(E9=1,I9="""",H9="""",Q9=""Yes"",G9&gt;SUMIF(Info!$A$2:A81,C9,Info!$C$2:C81)*1.5),
MIN(SUMIF(Info!$A$2:A81,C9,Info!$C"&amp;"$2:C81)*1.1,SUMIF(Info!$A$2:A81,C9,Info!$C$2:C81)*(1.15-(0.15*(SUMIF(Info!$A$2:A81,C9,Info!$C$2:C81)*1.5)/G9))),
Q9=""No"",SUMIF(Info!$A$2:A81,C9,Info!$B$2:B81),
Q9=""Yes"",SUMIF(Info!$A$2:A81,C9,Info!$C$2:C81))"),"")</f>
        <v/>
      </c>
      <c r="Z9" s="57" t="str">
        <f>IFS(OR(COUNTIF(Info!$A$22:A81,C9)&gt;0,C9=""),"",
AND(OR("3x3 FMC"=C9,"3x3 MBLD"=C9),I9&lt;&gt;""),1,
AND(OR(H9&lt;&gt;"",I9&lt;&gt;""),F9="Avg of 5"),2,
F9="Avg of 5",AA9,
AND(OR(H9&lt;&gt;"",I9&lt;&gt;""),F9="Mean of 3",C9="6x6 / 7x7"),2,
AND(OR(H9&lt;&gt;"",I9&lt;&gt;""),F9="Mean of 3"),1,
F9="Mean of 3",AA9,
AND(OR(H9&lt;&gt;"",I9&lt;&gt;""),F9="Best of 3",C9="4x4 / 5x5 BLD"),2,
AND(OR(H9&lt;&gt;"",I9&lt;&gt;""),F9="Best of 3"),1,
F9="Best of 2",AA9,
F9="Best of 1",AA9)</f>
        <v/>
      </c>
      <c r="AA9" s="57" t="str">
        <f>IFS(OR(COUNTIF(Info!$A$22:A81,C9)&gt;0,C9=""),"",
AND(OR("3x3 MBLD"=C9,"3x3 FMC"=C9),F9="Best of 1"=TRUE),1,
AND(OR("3x3 MBLD"=C9,"3x3 FMC"=C9),F9="Best of 2"=TRUE),2,
AND(OR("3x3 MBLD"=C9,"3x3 FMC"=C9),OR(F9="Best of 3",F9="Mean of 3")=TRUE),3,
AND(F9="Mean of 3",C9="6x6 / 7x7"),6,
AND(F9="Best of 3",C9="4x4 / 5x5 BLD"),6,
F9="Avg of 5",5,F9="Mean of 3",3,F9="Best of 3",3,F9="Best of 2",2,F9="Best of 1",1)</f>
        <v/>
      </c>
      <c r="AB9" s="58"/>
    </row>
    <row r="10">
      <c r="A10" s="40">
        <f>IFERROR(__xludf.DUMMYFUNCTION("IFS(indirect(""A""&amp;row()-1)=""Start"",TIME(indirect(""A""&amp;row()-2),indirect(""B""&amp;row()-2),0),
$O$2=""No"",TIME(0,($A$6*60+$B$6)+CEILING(SUM($L$7:indirect(""L""&amp;row()-1)),5),0),
D10=$E$2,TIME(0,($A$6*60+$B$6)+CEILING(SUM(IFERROR(FILTER($L$7:indirect(""L"""&amp;"&amp;row()-1),REGEXMATCH($D$7:indirect(""D""&amp;row()-1),$E$2)),0)),5),0),
TRUE,""=time(hh;mm;ss)"")"),0.4166666666666667)</f>
        <v>0.4166666667</v>
      </c>
      <c r="B10" s="41">
        <f>IFERROR(__xludf.DUMMYFUNCTION("IFS($O$2=""No"",TIME(0,($A$6*60+$B$6)+CEILING(SUM($L$7:indirect(""L""&amp;row())),5),0),
D10=$E$2,TIME(0,($A$6*60+$B$6)+CEILING(SUM(FILTER($L$7:indirect(""L""&amp;row()),REGEXMATCH($D$7:indirect(""D""&amp;row()),$E$2))),5),0),
A10=""=time(hh;mm;ss)"",CONCATENATE(""Sk"&amp;"riv tid i A""&amp;row()),
AND(A10&lt;&gt;"""",A10&lt;&gt;""=time(hh;mm;ss)""),A10+TIME(0,CEILING(indirect(""L""&amp;row()),5),0))"),0.4166666666666667)</f>
        <v>0.4166666667</v>
      </c>
      <c r="C10" s="42"/>
      <c r="D10" s="43" t="str">
        <f t="shared" si="2"/>
        <v>Stora salen</v>
      </c>
      <c r="E10" s="43" t="str">
        <f>IFERROR(__xludf.DUMMYFUNCTION("IFS(COUNTIF(Info!$A$22:A81,C10)&gt;0,"""",
AND(OR(""3x3 FMC""=C10,""3x3 MBLD""=C10),COUNTIF($C$7:indirect(""C""&amp;row()),indirect(""C""&amp;row()))&gt;=13),""E - Error"",
AND(OR(""3x3 FMC""=C10,""3x3 MBLD""=C10),COUNTIF($C$7:indirect(""C""&amp;row()),indirect(""C""&amp;row()"&amp;"))=12),""Final - A3"",
AND(OR(""3x3 FMC""=C10,""3x3 MBLD""=C10),COUNTIF($C$7:indirect(""C""&amp;row()),indirect(""C""&amp;row()))=11),""Final - A2"",
AND(OR(""3x3 FMC""=C10,""3x3 MBLD""=C10),COUNTIF($C$7:indirect(""C""&amp;row()),indirect(""C""&amp;row()))=10),""Final - "&amp;"A1"",
AND(OR(""3x3 FMC""=C10,""3x3 MBLD""=C10),COUNTIF($C$7:indirect(""C""&amp;row()),indirect(""C""&amp;row()))=9,
COUNTIF($C$7:$C$61,indirect(""C""&amp;row()))&gt;9),""R3 - A3"",
AND(OR(""3x3 FMC""=C10,""3x3 MBLD""=C10),COUNTIF($C$7:indirect(""C""&amp;row()),indirect(""C"&amp;"""&amp;row()))=9,
COUNTIF($C$7:$C$61,indirect(""C""&amp;row()))&lt;=9),""Final - A3"",
AND(OR(""3x3 FMC""=C10,""3x3 MBLD""=C10),COUNTIF($C$7:indirect(""C""&amp;row()),indirect(""C""&amp;row()))=8,
COUNTIF($C$7:$C$61,indirect(""C""&amp;row()))&gt;9),""R3 - A2"",
AND(OR(""3x3 FMC""="&amp;"C10,""3x3 MBLD""=C10),COUNTIF($C$7:indirect(""C""&amp;row()),indirect(""C""&amp;row()))=8,
COUNTIF($C$7:$C$61,indirect(""C""&amp;row()))&lt;=9),""Final - A2"",
AND(OR(""3x3 FMC""=C10,""3x3 MBLD""=C10),COUNTIF($C$7:indirect(""C""&amp;row()),indirect(""C""&amp;row()))=7,
COUNTIF("&amp;"$C$7:$C$61,indirect(""C""&amp;row()))&gt;9),""R3 - A1"",
AND(OR(""3x3 FMC""=C10,""3x3 MBLD""=C10),COUNTIF($C$7:indirect(""C""&amp;row()),indirect(""C""&amp;row()))=7,
COUNTIF($C$7:$C$61,indirect(""C""&amp;row()))&lt;=9),""Final - A1"",
AND(OR(""3x3 FMC""=C10,""3x3 MBLD""=C10),"&amp;"COUNTIF($C$7:indirect(""C""&amp;row()),indirect(""C""&amp;row()))=6,
COUNTIF($C$7:$C$61,indirect(""C""&amp;row()))&gt;6),""R2 - A3"",
AND(OR(""3x3 FMC""=C10,""3x3 MBLD""=C10),COUNTIF($C$7:indirect(""C""&amp;row()),indirect(""C""&amp;row()))=6,
COUNTIF($C$7:$C$61,indirect(""C""&amp;"&amp;"row()))&lt;=6),""Final - A3"",
AND(OR(""3x3 FMC""=C10,""3x3 MBLD""=C10),COUNTIF($C$7:indirect(""C""&amp;row()),indirect(""C""&amp;row()))=5,
COUNTIF($C$7:$C$61,indirect(""C""&amp;row()))&gt;6),""R2 - A2"",
AND(OR(""3x3 FMC""=C10,""3x3 MBLD""=C10),COUNTIF($C$7:indirect(""C"&amp;"""&amp;row()),indirect(""C""&amp;row()))=5,
COUNTIF($C$7:$C$61,indirect(""C""&amp;row()))&lt;=6),""Final - A2"",
AND(OR(""3x3 FMC""=C10,""3x3 MBLD""=C10),COUNTIF($C$7:indirect(""C""&amp;row()),indirect(""C""&amp;row()))=4,
COUNTIF($C$7:$C$61,indirect(""C""&amp;row()))&gt;6),""R2 - A1"&amp;""",
AND(OR(""3x3 FMC""=C10,""3x3 MBLD""=C10),COUNTIF($C$7:indirect(""C""&amp;row()),indirect(""C""&amp;row()))=4,
COUNTIF($C$7:$C$61,indirect(""C""&amp;row()))&lt;=6),""Final - A1"",
AND(OR(""3x3 FMC""=C10,""3x3 MBLD""=C10),COUNTIF($C$7:indirect(""C""&amp;row()),indirect("""&amp;"C""&amp;row()))=3),""R1 - A3"",
AND(OR(""3x3 FMC""=C10,""3x3 MBLD""=C10),COUNTIF($C$7:indirect(""C""&amp;row()),indirect(""C""&amp;row()))=2),""R1 - A2"",
AND(OR(""3x3 FMC""=C10,""3x3 MBLD""=C10),COUNTIF($C$7:indirect(""C""&amp;row()),indirect(""C""&amp;row()))=1),""R1 -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C10),ROUNDUP((FILTER(Info!$H$2:H81,Info!$A$2:A81=C10)/FILTER(Info!$H$2:H81,Info!$A$2:A81=$K$2))*$I$2)&gt;99),3,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C10),ROUNDUP((FILTER(Info!$H$2:H81,Info!$A$2:A81=C10)/FILTER(Info!$H$2:H81,Info!$A$2:A81=$K$2))*$I$2)&gt;15),2,
AND(COUNTIF($C$7:indirect(""C""&amp;row()),indirect(""C""&amp;row()))=2,COUNTIF($C$7:$C$61,indirect(""C""&amp;row()))=COUNTIF($C$7:indirect("""&amp;"C""&amp;row()),indirect(""C""&amp;row()))),""Final"",
COUNTIF($C$7:indirect(""C""&amp;row()),indirect(""C""&amp;row()))=1,1,
COUNTIF($C$7:indirect(""C""&amp;row()),indirect(""C""&amp;row()))=0,"""")"),"")</f>
        <v/>
      </c>
      <c r="F10" s="44" t="str">
        <f>IFERROR(__xludf.DUMMYFUNCTION("IFS(C10="""","""",
AND(C10=""3x3 FMC"",MOD(COUNTIF($C$7:indirect(""C""&amp;row()),indirect(""C""&amp;row())),3)=0),""Mean of 3"",
AND(C10=""3x3 MBLD"",MOD(COUNTIF($C$7:indirect(""C""&amp;row()),indirect(""C""&amp;row())),3)=0),""Best of 3"",
AND(C10=""3x3 FMC"",MOD(COUNT"&amp;"IF($C$7:indirect(""C""&amp;row()),indirect(""C""&amp;row())),3)=2,
COUNTIF($C$7:$C$61,indirect(""C""&amp;row()))&lt;=COUNTIF($C$7:indirect(""C""&amp;row()),indirect(""C""&amp;row()))),""Best of 2"",
AND(C10=""3x3 FMC"",MOD(COUNTIF($C$7:indirect(""C""&amp;row()),indirect(""C""&amp;row()"&amp;")),3)=2,
COUNTIF($C$7:$C$61,indirect(""C""&amp;row()))&gt;COUNTIF($C$7:indirect(""C""&amp;row()),indirect(""C""&amp;row()))),""Mean of 3"",
AND(C10=""3x3 MBLD"",MOD(COUNTIF($C$7:indirect(""C""&amp;row()),indirect(""C""&amp;row())),3)=2,
COUNTIF($C$7:$C$61,indirect(""C""&amp;row()))"&amp;"&lt;=COUNTIF($C$7:indirect(""C""&amp;row()),indirect(""C""&amp;row()))),""Best of 2"",
AND(C10=""3x3 MBLD"",MOD(COUNTIF($C$7:indirect(""C""&amp;row()),indirect(""C""&amp;row())),3)=2,
COUNTIF($C$7:$C$61,indirect(""C""&amp;row()))&gt;COUNTIF($C$7:indirect(""C""&amp;row()),indirect(""C"&amp;"""&amp;row()))),""Best of 3"",
AND(C10=""3x3 FMC"",MOD(COUNTIF($C$7:indirect(""C""&amp;row()),indirect(""C""&amp;row())),3)=1,
COUNTIF($C$7:$C$61,indirect(""C""&amp;row()))&lt;=COUNTIF($C$7:indirect(""C""&amp;row()),indirect(""C""&amp;row()))),""Best of 1"",
AND(C10=""3x3 FMC"",MOD"&amp;"(COUNTIF($C$7:indirect(""C""&amp;row()),indirect(""C""&amp;row())),3)=1,
COUNTIF($C$7:$C$61,indirect(""C""&amp;row()))=COUNTIF($C$7:indirect(""C""&amp;row()),indirect(""C""&amp;row()))+1),""Best of 2"",
AND(C10=""3x3 FMC"",MOD(COUNTIF($C$7:indirect(""C""&amp;row()),indirect(""C"&amp;"""&amp;row())),3)=1,
COUNTIF($C$7:$C$61,indirect(""C""&amp;row()))&gt;COUNTIF($C$7:indirect(""C""&amp;row()),indirect(""C""&amp;row()))),""Mean of 3"",
AND(C10=""3x3 MBLD"",MOD(COUNTIF($C$7:indirect(""C""&amp;row()),indirect(""C""&amp;row())),3)=1,
COUNTIF($C$7:$C$61,indirect(""C"""&amp;"&amp;row()))&lt;=COUNTIF($C$7:indirect(""C""&amp;row()),indirect(""C""&amp;row()))),""Best of 1"",
AND(C10=""3x3 MBLD"",MOD(COUNTIF($C$7:indirect(""C""&amp;row()),indirect(""C""&amp;row())),3)=1,
COUNTIF($C$7:$C$61,indirect(""C""&amp;row()))=COUNTIF($C$7:indirect(""C""&amp;row()),indir"&amp;"ect(""C""&amp;row()))+1),""Best of 2"",
AND(C10=""3x3 MBLD"",MOD(COUNTIF($C$7:indirect(""C""&amp;row()),indirect(""C""&amp;row())),3)=1,
COUNTIF($C$7:$C$61,indirect(""C""&amp;row()))&gt;COUNTIF($C$7:indirect(""C""&amp;row()),indirect(""C""&amp;row()))),""Best of 3"",
TRUE,(IFERROR("&amp;"FILTER(Info!$D$2:D81, Info!$A$2:A81 = C10), """")))"),"")</f>
        <v/>
      </c>
      <c r="G10" s="45" t="str">
        <f>IFERROR(__xludf.DUMMYFUNCTION("IFS(OR(COUNTIF(Info!$A$22:A81,C10)&gt;0,C10=""""),"""",
OR(""3x3 MBLD""=C10,""3x3 FMC""=C10),60,
AND(E10=1,FILTER(Info!$F$2:F81, Info!$A$2:A81 = C10) = ""No""),FILTER(Info!$P$2:P81, Info!$A$2:A81 = C10),
AND(E10=2,FILTER(Info!$F$2:F81, Info!$A$2:A81 = C10) ="&amp;" ""No""),FILTER(Info!$Q$2:Q81, Info!$A$2:A81 = C10),
AND(E10=3,FILTER(Info!$F$2:F81, Info!$A$2:A81 = C10) = ""No""),FILTER(Info!$R$2:R81, Info!$A$2:A81 = C10),
AND(E10=""Final"",FILTER(Info!$F$2:F81, Info!$A$2:A81 = C10) = ""No""),FILTER(Info!$S$2:S81, In"&amp;"fo!$A$2:A81 = C10),
FILTER(Info!$F$2:F81, Info!$A$2:A81 = C10) = ""Yes"","""")"),"")</f>
        <v/>
      </c>
      <c r="H10" s="45" t="str">
        <f>IFERROR(__xludf.DUMMYFUNCTION("IFS(OR(COUNTIF(Info!$A$22:A81,C10)&gt;0,C10=""""),"""",
OR(""3x3 MBLD""=C10,""3x3 FMC""=C10)=TRUE,"""",
FILTER(Info!$F$2:F81, Info!$A$2:A81 = C10) = ""Yes"",FILTER(Info!$O$2:O81, Info!$A$2:A81 = C10),
FILTER(Info!$F$2:F81, Info!$A$2:A81 = C10) = ""No"",IF(G1"&amp;"0="""",FILTER(Info!$O$2:O81, Info!$A$2:A81 = C10),""""))"),"")</f>
        <v/>
      </c>
      <c r="I10" s="45" t="str">
        <f>IFERROR(__xludf.DUMMYFUNCTION("IFS(OR(COUNTIF(Info!$A$22:A81,C10)&gt;0,C10="""",H10&lt;&gt;""""),"""",
AND(E10&lt;&gt;1,E10&lt;&gt;""R1 - A1"",E10&lt;&gt;""R1 - A2"",E10&lt;&gt;""R1 - A3""),"""",
FILTER(Info!$E$2:E81, Info!$A$2:A81 = C10) = ""Yes"",IF(H10="""",FILTER(Info!$L$2:L81, Info!$A$2:A81 = C10),""""),
FILTER(I"&amp;"nfo!$E$2:E81, Info!$A$2:A81 = C10) = ""No"","""")"),"")</f>
        <v/>
      </c>
      <c r="J10" s="45" t="str">
        <f>IFERROR(__xludf.DUMMYFUNCTION("IFS(OR(COUNTIF(Info!$A$22:A81,C10)&gt;0,C10="""",""3x3 MBLD""=C10,""3x3 FMC""=C10),"""",
AND(E10=1,FILTER(Info!$H$2:H81,Info!$A$2:A81 = C10)&lt;=FILTER(Info!$H$2:H81,Info!$A$2:A81=$K$2)),
ROUNDUP((FILTER(Info!$H$2:H81,Info!$A$2:A81 = C10)/FILTER(Info!$H$2:H81,I"&amp;"nfo!$A$2:A81=$K$2))*$I$2),
AND(E10=1,FILTER(Info!$H$2:H81,Info!$A$2:A81 = C10)&gt;FILTER(Info!$H$2:H81,Info!$A$2:A81=$K$2)),""K2 - Error"",
AND(E10=2,FILTER($J$7:indirect(""J""&amp;row()-1),$C$7:indirect(""C""&amp;row()-1)=C10)&lt;=7),""J - Error"",
E10=2,FLOOR(FILTER("&amp;"$J$7:indirect(""J""&amp;row()-1),$C$7:indirect(""C""&amp;row()-1)=C10)*Info!$T$32),
AND(E10=3,FILTER($J$7:indirect(""J""&amp;row()-1),$C$7:indirect(""C""&amp;row()-1)=C10)&lt;=15),""J - Error"",
E10=3,FLOOR(Info!$T$32*FLOOR(FILTER($J$7:indirect(""J""&amp;row()-1),$C$7:indirect("&amp;"""C""&amp;row()-1)=C10)*Info!$T$32)),
AND(E10=""Final"",COUNTIF($C$7:$C$61,C10)=2,FILTER($J$7:indirect(""J""&amp;row()-1),$C$7:indirect(""C""&amp;row()-1)=C10)&lt;=7),""J - Error"",
AND(E10=""Final"",COUNTIF($C$7:$C$61,C10)=2),
MIN(P10,FLOOR(FILTER($J$7:indirect(""J""&amp;r"&amp;"ow()-1),$C$7:indirect(""C""&amp;row()-1)=C10)*Info!$T$32)),
AND(E10=""Final"",COUNTIF($C$7:$C$61,C10)=3,FILTER($J$7:indirect(""J""&amp;row()-1),$C$7:indirect(""C""&amp;row()-1)=C10)&lt;=15),""J - Error"",
AND(E10=""Final"",COUNTIF($C$7:$C$61,C10)=3),
MIN(P10,FLOOR(Info!"&amp;"$T$32*FLOOR(FILTER($J$7:indirect(""J""&amp;row()-1),$C$7:indirect(""C""&amp;row()-1)=C10)*Info!$T$32))),
AND(E10=""Final"",COUNTIF($C$7:$C$61,C10)&gt;=4,FILTER($J$7:indirect(""J""&amp;row()-1),$C$7:indirect(""C""&amp;row()-1)=C10)&lt;=99),""J - Error"",
AND(E10=""Final"",COUNT"&amp;"IF($C$7:$C$61,C10)&gt;=4),
MIN(P10,FLOOR(Info!$T$32*FLOOR(Info!$T$32*FLOOR(FILTER($J$7:indirect(""J""&amp;row()-1),$C$7:indirect(""C""&amp;row()-1)=C10)*Info!$T$32)))))"),"")</f>
        <v/>
      </c>
      <c r="K10" s="46" t="str">
        <f>IFERROR(__xludf.DUMMYFUNCTION("IFS(AND(indirect(""D""&amp;row()+2)&lt;&gt;$E$2,indirect(""D""&amp;row()+1)=""""),CONCATENATE(""Tom rad! Kopiera hela rad ""&amp;row()&amp;"" dit""),
AND(indirect(""D""&amp;row()-1)&lt;&gt;""Rum"",indirect(""D""&amp;row()-1)=""""),CONCATENATE(""Tom rad! Kopiera hela rad ""&amp;row()&amp;"" dit""),
"&amp;"C10="""","""",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OR(AND(D10&lt;&gt;$E$2,D10&lt;&gt;$E$4,D10&lt;&gt;$K$4,D10&lt;&gt;$Q$4),D10="&amp;"""""),CONCATENATE(""Rum: ""&amp;D10&amp;"" finns ej, byt i D""&amp;row()),
AND(indirect(""D""&amp;row()-1)=""Rum"",C10=""""),CONCATENATE(""För att börja: skriv i cell C""&amp;row()),
AND(C10=""Paus"",M10&lt;=0),CONCATENATE(""Skriv pausens längd i M""&amp;row()),
OR(COUNTIF(Info!$A$"&amp;"22:A81,C10)&gt;0,C10=""""),"""",
AND(D10&lt;&gt;$E$2,$O$2=""Yes"",A10=""=time(hh;mm;ss)""),CONCATENATE(""Skriv starttid för ""&amp;C10&amp;"" i A""&amp;row()),
E10=""E - Error"",CONCATENATE(""För många ""&amp;C10&amp;"" rundor!""),
AND(C10&lt;&gt;""3x3 FMC"",C10&lt;&gt;""3x3 MBLD"",E10&lt;&gt;1,E10&lt;&gt;"&amp;"""Final"",IFERROR(FILTER($E$7:indirect(""E""&amp;row()-1),
$E$7:indirect(""E""&amp;row()-1)=E10-1,$C$7:indirect(""C""&amp;row()-1)=C10))=FALSE),CONCATENATE(""Kan ej vara R""&amp;E10&amp;"", saknar R""&amp;(E10-1)),
AND(indirect(""E""&amp;row()-1)&lt;&gt;""Omgång"",IFERROR(FILTER($E$7:indi"&amp;"rect(""E""&amp;row()-1),
$E$7:indirect(""E""&amp;row()-1)=E10,$C$7:indirect(""C""&amp;row()-1)=C10)=E10)=TRUE),CONCATENATE(""Runda ""&amp;E10&amp;"" i ""&amp;C10&amp;"" finns redan""),
AND(C10&lt;&gt;""3x3 BLD"",C10&lt;&gt;""4x4 BLD"",C10&lt;&gt;""5x5 BLD"",C10&lt;&gt;""4x4 / 5x5 BLD"",OR(E10=2,E10=3,E10="&amp;"""Final""),H10&lt;&gt;""""),CONCATENATE(E10&amp;""-rundor brukar ej ha c.t.l.""),
AND(OR(E10=2,E10=3,E10=""Final""),I10&lt;&gt;""""),CONCATENATE(E10&amp;""-rundor brukar ej ha cutoff""),
AND(OR(C10=""3x3 FMC"",C10=""3x3 MBLD""),OR(E10=1,E10=2,E10=3,E10=""Final"")),CONCATENAT"&amp;"E(C10&amp;""s omgång är Rx - Ax""),
AND(C10&lt;&gt;""3x3 MBLD"",C10&lt;&gt;""3x3 FMC"",FILTER(Info!$D$2:D81, Info!$A$2:A81 = C10)&lt;&gt;F10),CONCATENATE(C10&amp;"" måste ha formatet ""&amp;FILTER(Info!$D$2:D81, Info!$A$2:A81 = C10)),
AND(C10=""3x3 MBLD"",OR(F10=""Avg of 5"",F10=""Mea"&amp;"n of 3"")),CONCATENATE(""Ogiltigt format för ""&amp;C10),
AND(C10=""3x3 FMC"",OR(F10=""Avg of 5"",F10=""Best of 3"")),CONCATENATE(""Ogiltigt format för ""&amp;C10),
AND(OR(F10=""Best of 1"",F10=""Best of 2"",F10=""Best of 3""),I10&lt;&gt;""""),CONCATENATE(F10&amp;""-rundor"&amp;" får ej ha cutoff""),
AND(OR(C10=""3x3 FMC"",C10=""3x3 MBLD""),G10&lt;&gt;60),CONCATENATE(C10&amp;"" måste ha time limit: 60""),
AND(OR(C10=""3x3 FMC"",C10=""3x3 MBLD""),H10&lt;&gt;""""),CONCATENATE(C10&amp;"" kan inte ha c.t.l.""),
AND(G10&lt;&gt;"""",H10&lt;&gt;""""),""Välj time limit"&amp;" ELLER c.t.l"",
AND(C10=""6x6 / 7x7"",G10="""",H10=""""),""Sätt time limit (x / y) eller c.t.l (z)"",
AND(G10="""",H10=""""),""Sätt en time limit eller c.t.l"",
AND(OR(C10=""6x6 / 7x7"",C10=""4x4 / 5x5 BLD""),G10&lt;&gt;"""",REGEXMATCH(TO_TEXT(G10),"" / "")=FAL"&amp;"SE),CONCATENATE(""Time limit måste vara x / y""),
AND(H10&lt;&gt;"""",I10&lt;&gt;""""),CONCATENATE(C10&amp;"" brukar ej ha cutoff OCH c.t.l""),
AND(E10=1,H10="""",I10="""",OR(FILTER(Info!$E$2:E81, Info!$A$2:A81 = C10) = ""Yes"",FILTER(Info!$F$2:F81, Info!$A$2:A81 = C10) "&amp;"= ""Yes""),OR(F10=""Avg of 5"",F10=""Mean of 3"")),CONCATENATE(C10&amp;"" bör ha cutoff eller c.t.l""),
AND(C10=""6x6 / 7x7"",I10&lt;&gt;"""",REGEXMATCH(TO_TEXT(I10),"" / "")=FALSE),CONCATENATE(""Cutoff måste vara x / y""),
AND(H10&lt;&gt;"""",ISNUMBER(H10)=FALSE),""C.t."&amp;"l. måste vara positivt tal (x)"",
AND(C10&lt;&gt;""6x6 / 7x7"",I10&lt;&gt;"""",ISNUMBER(I10)=FALSE),""Cutoff måste vara positivt tal (x)"",
AND(H10&lt;&gt;"""",FILTER(Info!$E$2:E81, Info!$A$2:A81 = C10) = ""No"",FILTER(Info!$F$2:F81, Info!$A$2:A81 = C10) = ""No""),CONCATEN"&amp;"ATE(C10&amp;"" brukar inte ha c.t.l.""),
AND(I10&lt;&gt;"""",FILTER(Info!$E$2:E81, Info!$A$2:A81 = C10) = ""No"",FILTER(Info!$F$2:F81, Info!$A$2:A81 = C10) = ""No""),CONCATENATE(C10&amp;"" brukar inte ha cutoff""),
AND(H10="""",FILTER(Info!$F$2:F81, Info!$A$2:A81 = C10"&amp;") = ""Yes""),CONCATENATE(C10&amp;"" brukar ha c.t.l.""),
AND(C10&lt;&gt;""6x6 / 7x7"",C10&lt;&gt;""4x4 / 5x5 BLD"",G10&lt;&gt;"""",ISNUMBER(G10)=FALSE),""Time limit måste vara positivt tal (x)"",
J10=""J - Error"",CONCATENATE(""För få deltagare i R1 för ""&amp;COUNTIF($C$7:$C$61,i"&amp;"ndirect(""C""&amp;row()))&amp;"" rundor""),
J10=""K2 - Error"",CONCATENATE(C10&amp;"" är mer populär - byt i K2!""),
AND(C10&lt;&gt;""6x6 / 7x7"",C10&lt;&gt;""4x4 / 5x5 BLD"",G10&lt;&gt;"""",I10&lt;&gt;"""",G10&lt;=I10),""Time limit måste vara &gt; cutoff"",
AND(C10&lt;&gt;""6x6 / 7x7"",C10&lt;&gt;""4x4 / 5x"&amp;"5 BLD"",H10&lt;&gt;"""",I10&lt;&gt;"""",H10&lt;=I10),""C.t.l. måste vara &gt; cutoff"",
AND(C10&lt;&gt;""3x3 FMC"",C10&lt;&gt;""3x3 MBLD"",J10=""""),CONCATENATE(""Fyll i antal deltagare i J""&amp;row()),
AND(C10="""",OR(E10&lt;&gt;"""",F10&lt;&gt;"""",G10&lt;&gt;"""",H10&lt;&gt;"""",I10&lt;&gt;"""",J10&lt;&gt;"""")),""Skriv"&amp;" ALLTID gren / aktivitet först"",
AND(I10="""",H10="""",J10&lt;&gt;""""),J10,
OR(""3x3 FMC""=C10,""3x3 MBLD""=C10),J10,
AND(I10&lt;&gt;"""",""6x6 / 7x7""=C10),
IFS(ArrayFormula(SUM(IFERROR(SPLIT(I10,"" / ""))))&lt;(Info!$J$6+Info!$J$7)*2/3,CONCATENATE(""Höj helst cutoff"&amp;"s i ""&amp;C10),
ArrayFormula(SUM(IFERROR(SPLIT(I10,"" / ""))))&lt;=(Info!$J$6+Info!$J$7),ROUNDUP(J10*Info!$J$22),
ArrayFormula(SUM(IFERROR(SPLIT(I10,"" / ""))))&lt;=Info!$J$6+Info!$J$7,ROUNDUP(J10*Info!$K$22),
ArrayFormula(SUM(IFERROR(SPLIT(I10,"" / ""))))&lt;=Info!$"&amp;"K$6+Info!$K$7,ROUNDUP(J10*Info!L$22),
ArrayFormula(SUM(IFERROR(SPLIT(I10,"" / ""))))&lt;=Info!$L$6+Info!$L$7,ROUNDUP(J10*Info!$M$22),
ArrayFormula(SUM(IFERROR(SPLIT(I10,"" / ""))))&lt;=Info!$M$6+Info!$M$7,ROUNDUP(J10*Info!$N$22),
ArrayFormula(SUM(IFERROR(SPLIT("&amp;"I10,"" / ""))))&lt;=(Info!$N$6+Info!$N$7)*3/2,ROUNDUP(J10*Info!$J$26),
ArrayFormula(SUM(IFERROR(SPLIT(I10,"" / ""))))&gt;(Info!$N$6+Info!$N$7)*3/2,CONCATENATE(""Sänk helst cutoffs i ""&amp;C10)),
AND(I10&lt;&gt;"""",FILTER(Info!$E$2:E81, Info!$A$2:A81 = C10) = ""Yes""),
"&amp;"IFS(I10&lt;FILTER(Info!$J$2:J81, Info!$A$2:A81 = C10)*2/3,CONCATENATE(""Höj helst cutoff i ""&amp;C10),
I10&lt;=FILTER(Info!$J$2:J81, Info!$A$2:A81 = C10),ROUNDUP(J10*Info!$J$22),
I10&lt;=FILTER(Info!$K$2:K81, Info!$A$2:A81 = C10),ROUNDUP(J10*Info!$K$22),
I10&lt;=FILTER("&amp;"Info!$L$2:L81, Info!$A$2:A81 = C10),ROUNDUP(J10*Info!L$22),
I10&lt;=FILTER(Info!$M$2:M81, Info!$A$2:A81 = C10),ROUNDUP(J10*Info!$M$22),
I10&lt;=FILTER(Info!$N$2:N81, Info!$A$2:A81 = C10),ROUNDUP(J10*Info!$N$22),
I10&lt;=FILTER(Info!$N$2:N81, Info!$A$2:A81 = C10)*3"&amp;"/2,ROUNDUP(J10*Info!$J$26),
I10&gt;FILTER(Info!$N$2:N81, Info!$A$2:A81 = C10)*3/2,CONCATENATE(""Sänk helst cutoff i ""&amp;C10)),
AND(H10&lt;&gt;"""",""6x6 / 7x7""=C10),
IFS(H10/3&lt;=(Info!$J$6+Info!$J$7)*2/3,""Höj helst cumulative time limit"",
H10/3&lt;=Info!$J$6+Info!$J"&amp;"$7,ROUNDUP(J10*Info!$J$24),
H10/3&lt;=Info!$K$6+Info!$K$7,ROUNDUP(J10*Info!$K$24),
H10/3&lt;=Info!$L$6+Info!$L$7,ROUNDUP(J10*Info!L$24),
H10/3&lt;=Info!$M$6+Info!$M$7,ROUNDUP(J10*Info!$M$24),
H10/3&lt;=Info!$N$6+Info!$N$7,ROUNDUP(J10*Info!$N$24),
H10/3&lt;=(Info!$N$6+In"&amp;"fo!$N$7)*3/2,ROUNDUP(J10*Info!$L$26),
H10/3&gt;(Info!$J$6+Info!$J$7)*3/2,""Sänk helst cumulative time limit""),
AND(H10&lt;&gt;"""",FILTER(Info!$F$2:F81, Info!$A$2:A81 = C10) = ""Yes""),
IFS(H10&lt;=FILTER(Info!$J$2:J81, Info!$A$2:A81 = C10)*2/3,CONCATENATE(""Höj hel"&amp;"st c.t.l. i ""&amp;C10),
H10&lt;=FILTER(Info!$J$2:J81, Info!$A$2:A81 = C10),ROUNDUP(J10*Info!$J$24),
H10&lt;=FILTER(Info!$K$2:K81, Info!$A$2:A81 = C10),ROUNDUP(J10*Info!$K$24),
H10&lt;=FILTER(Info!$L$2:L81, Info!$A$2:A81 = C10),ROUNDUP(J10*Info!L$24),
H10&lt;=FILTER(Info"&amp;"!$M$2:M81, Info!$A$2:A81 = C10),ROUNDUP(J10*Info!$M$24),
H10&lt;=FILTER(Info!$N$2:N81, Info!$A$2:A81 = C10),ROUNDUP(J10*Info!$N$24),
H10&lt;=FILTER(Info!$N$2:N81, Info!$A$2:A81 = C10)*3/2,ROUNDUP(J10*Info!$L$26),
H10&gt;FILTER(Info!$N$2:N81, Info!$A$2:A81 = C10)*3"&amp;"/2,CONCATENATE(""Sänk helst c.t.l. i ""&amp;C10)),
AND(H10&lt;&gt;"""",FILTER(Info!$F$2:F81, Info!$A$2:A81 = C10) = ""No""),
IFS(H10/AA10&lt;=FILTER(Info!$J$2:J81, Info!$A$2:A81 = C10)*2/3,CONCATENATE(""Höj helst c.t.l. i ""&amp;C10),
H10/AA10&lt;=FILTER(Info!$J$2:J81, Info!"&amp;"$A$2:A81 = C10),ROUNDUP(J10*Info!$J$24),
H10/AA10&lt;=FILTER(Info!$K$2:K81, Info!$A$2:A81 = C10),ROUNDUP(J10*Info!$K$24),
H10/AA10&lt;=FILTER(Info!$L$2:L81, Info!$A$2:A81 = C10),ROUNDUP(J10*Info!L$24),
H10/AA10&lt;=FILTER(Info!$M$2:M81, Info!$A$2:A81 = C10),ROUNDU"&amp;"P(J10*Info!$M$24),
H10/AA10&lt;=FILTER(Info!$N$2:N81, Info!$A$2:A81 = C10),ROUNDUP(J10*Info!$N$24),
H10/AA10&lt;=FILTER(Info!$N$2:N81, Info!$A$2:A81 = C10)*3/2,ROUNDUP(J10*Info!$L$26),
H10/AA10&gt;FILTER(Info!$N$2:N81, Info!$A$2:A81 = C10)*3/2,CONCATENATE(""Sänk h"&amp;"elst c.t.l. i ""&amp;C10)),
AND(I10="""",H10&lt;&gt;"""",J10&lt;&gt;""""),ROUNDUP(J10*Info!$T$29),
AND(I10&lt;&gt;"""",H10="""",J10&lt;&gt;""""),ROUNDUP(J10*Info!$T$26))"),"")</f>
        <v/>
      </c>
      <c r="L10" s="47">
        <f>IFERROR(__xludf.DUMMYFUNCTION("IFS(C10="""",0,
C10=""3x3 FMC"",Info!$B$9*N10+M10, C10=""3x3 MBLD"",Info!$B$18*N10+M10,
COUNTIF(Info!$A$22:A81,C10)&gt;0,FILTER(Info!$B$22:B81,Info!$A$22:A81=C10)+M10,
AND(C10&lt;&gt;"""",E10=""""),CONCATENATE(""Fyll i E""&amp;row()),
AND(C10&lt;&gt;"""",E10&lt;&gt;"""",E10&lt;&gt;1,E1"&amp;"0&lt;&gt;2,E10&lt;&gt;3,E10&lt;&gt;""Final""),CONCATENATE(""Fel format på E""&amp;row()),
K10=CONCATENATE(""Runda ""&amp;E10&amp;"" i ""&amp;C10&amp;"" finns redan""),CONCATENATE(""Fel i E""&amp;row()),
AND(C10&lt;&gt;"""",F10=""""),CONCATENATE(""Fyll i F""&amp;row()),
K10=CONCATENATE(C10&amp;"" måste ha forma"&amp;"tet ""&amp;FILTER(Info!$D$2:D81, Info!$A$2:A81 = C10)),CONCATENATE(""Fel format på F""&amp;row()),
AND(C10&lt;&gt;"""",D10=1,H10="""",FILTER(Info!$F$2:F81, Info!$A$2:A81 = C10) = ""Yes""),CONCATENATE(""Fyll i H""&amp;row()),
AND(C10&lt;&gt;"""",D10=1,I10="""",FILTER(Info!$E$2:E8"&amp;"1, Info!$A$2:A81 = C10) = ""Yes""),CONCATENATE(""Fyll i I""&amp;row()),
AND(C10&lt;&gt;"""",J10=""""),CONCATENATE(""Fyll i J""&amp;row()),
AND(C10&lt;&gt;"""",K10="""",OR(H10&lt;&gt;"""",I10&lt;&gt;"""")),CONCATENATE(""Fyll i K""&amp;row()),
AND(C10&lt;&gt;"""",K10=""""),CONCATENATE(""Skriv samma"&amp;" i K""&amp;row()&amp;"" som i J""&amp;row()),
AND(OR(C10=""4x4 BLD"",C10=""5x5 BLD"",C10=""4x4 / 5x5 BLD"")=TRUE,V10&lt;=P10),
MROUND(H10*(Info!$T$20-((Info!$T$20-1)/2)*(1-V10/P10))*(1+((J10/K10)-1)*(1-Info!$J$24))*N10+(Info!$T$11/2)+(N10*Info!$T$11)+(N10*Info!$T$14*(O1"&amp;"0-1)),0.01)+M10,
AND(OR(C10=""4x4 BLD"",C10=""5x5 BLD"",C10=""4x4 / 5x5 BLD"")=TRUE,V10&gt;P10),
MROUND((((J10*Z10+K10*(AA10-Z10))*(H10*Info!$T$20/AA10))/X10)*(1+((J10/K10)-1)*(1-Info!$J$24))*(1+(X10-Info!$T$8)/100)+(Info!$T$11/2)+(N10*Info!$T$11)+(N10*Info!"&amp;"$T$14*(O10-1)),0.01)+M10,
AND(C10=""3x3 BLD"",V10&lt;=P10),
MROUND(H10*(Info!$T$23-((Info!$T$23-1)/2)*(1-V10/P10))*(1+((J10/K10)-1)*(1-Info!$J$24))*N10+(Info!$T$11/2)+(N10*Info!$T$11)+(N10*Info!$T$14*(O10-1)),0.01)+M10,
AND(C10=""3x3 BLD"",V10&gt;P10),
MROUND(("&amp;"((J10*Z10+K10*(AA10-Z10))*(H10*Info!$T$23/AA10))/X10)*(1+((J10/K10)-1)*(1-Info!$J$24))*(1+(X10-Info!$T$8)/100)+(Info!$T$11/2)+(N10*Info!$T$11)+(N10*Info!$T$14*(O10-1)),0.01)+M10,
E10=1,MROUND((((J10*Z10+K10*(AA10-Z10))*Y10)/X10)*(1+(X10-Info!$T$8)/100)+(N"&amp;"10*Info!$T$11)+(N10*Info!$T$14*(O10-1)),0.01)+M10,
AND(E10=""Final"",N10=1,FILTER(Info!$G$2:$G$20,Info!$A$2:$A$20=C10)=""Mycket svår""),
MROUND((((J10*Z10+K10*(AA10-Z10))*(Y10*Info!$T$38))/X10)*(1+(X10-Info!$T$8)/100)+(N10*Info!$T$11)+(N10*Info!$T$14*(O10"&amp;"-1)),0.01)+M10,
AND(E10=""Final"",N10=1,FILTER(Info!$G$2:$G$20,Info!$A$2:$A$20=C10)=""Svår""),
MROUND((((J10*Z10+K10*(AA10-Z10))*(Y10*Info!$T$35))/X10)*(1+(X10-Info!$T$8)/100)+(N10*Info!$T$11)+(N10*Info!$T$14*(O10-1)),0.01)+M10,
E10=""Final"",MROUND((((J1"&amp;"0*Z10+K10*(AA10-Z10))*(Y10*Info!$T$5))/X10)*(1+(X10-Info!$T$8)/100)+(N10*Info!$T$11)+(N10*Info!$T$14*(O10-1)),0.01)+M10,
OR(E10=2,E10=3),MROUND((((J10*Z10+K10*(AA10-Z10))*(Y10*Info!$T$2))/X10)*(1+(X10-Info!$T$8)/100)+(N10*Info!$T$11)+(N10*Info!$T$14*(O10-"&amp;"1)),0.01)+M10)"),0.0)</f>
        <v>0</v>
      </c>
      <c r="M10" s="48">
        <f t="shared" si="1"/>
        <v>0</v>
      </c>
      <c r="N10" s="48" t="str">
        <f>IFS(OR(COUNTIF(Info!$A$22:A81,C10)&gt;0,C10=""),"",
OR(C10="4x4 BLD",C10="5x5 BLD",C10="3x3 MBLD",C10="3x3 FMC",C10="4x4 / 5x5 BLD"),1,
AND(E10="Final",Q10="Yes",MAX(1,ROUNDUP(J10/P10))&gt;1),MAX(2,ROUNDUP(J10/P10)),
AND(E10="Final",Q10="No",MAX(1,ROUNDUP(J10/((P10*2)+2.625-Y10*1.5)))&gt;1),MAX(2,ROUNDUP(J10/((P10*2)+2.625-Y10*1.5))),
E10="Final",1,
Q10="Yes",MAX(2,ROUNDUP(J10/P10)),
TRUE,MAX(2,ROUNDUP(J10/((P10*2)+2.625-Y10*1.5))))</f>
        <v/>
      </c>
      <c r="O10" s="48" t="str">
        <f>IFS(OR(COUNTIF(Info!$A$22:A81,C10)&gt;0,C10=""),"",
OR("3x3 MBLD"=C10,"3x3 FMC"=C10)=TRUE,"",
D10=$E$4,$G$6,D10=$K$4,$M$6,D10=$Q$4,$S$6,D10=$W$4,$Y$6,
TRUE,$S$2)</f>
        <v/>
      </c>
      <c r="P10" s="48" t="str">
        <f>IFS(OR(COUNTIF(Info!$A$22:A81,C10)&gt;0,C10=""),"",
OR("3x3 MBLD"=C10,"3x3 FMC"=C10)=TRUE,"",
D10=$E$4,$E$6,D10=$K$4,$K$6,D10=$Q$4,$Q$6,D10=$W$4,$W$6,
TRUE,$Q$2)</f>
        <v/>
      </c>
      <c r="Q10" s="49" t="str">
        <f>IFS(OR(COUNTIF(Info!$A$22:A81,C10)&gt;0,C10=""),"",
OR("3x3 MBLD"=C10,"3x3 FMC"=C10)=TRUE,"",
D10=$E$4,$I$6,D10=$K$4,$O$6,D10=$Q$4,$U$6,D10=$W$4,$AA$6,
TRUE,$U$2)</f>
        <v/>
      </c>
      <c r="R10" s="50" t="str">
        <f>IFERROR(__xludf.DUMMYFUNCTION("IF(C10="""","""",IFERROR(FILTER(Info!$B$22:B81,Info!$A$22:A81=C10)+M10,""?""))"),"")</f>
        <v/>
      </c>
      <c r="S10" s="51" t="str">
        <f>IFS(OR(COUNTIF(Info!$A$22:A81,C10)&gt;0,C10=""),"",
AND(H10="",I10=""),J10,
TRUE,"?")</f>
        <v/>
      </c>
      <c r="T10" s="52" t="str">
        <f>IFS(OR(COUNTIF(Info!$A$22:A81,C10)&gt;0,C10=""),"",
AND(L10&lt;&gt;0,OR(R10="?",R10="")),"Fyll i R-kolumnen",
OR(C10="3x3 FMC",C10="3x3 MBLD"),R10,
AND(L10&lt;&gt;0,OR(S10="?",S10="")),"Fyll i S-kolumnen",
OR(COUNTIF(Info!$A$22:A81,C10)&gt;0,C10=""),"",
TRUE,Y10*R10/L10)</f>
        <v/>
      </c>
      <c r="U10" s="52"/>
      <c r="V10" s="53" t="str">
        <f>IFS(OR(COUNTIF(Info!$A$22:A81,C10)&gt;0,C10=""),"",
OR("3x3 MBLD"=C10,"3x3 FMC"=C10)=TRUE,"",
TRUE,MROUND((J10/N10),0.01))</f>
        <v/>
      </c>
      <c r="W10" s="54" t="str">
        <f>IFS(OR(COUNTIF(Info!$A$22:A81,C10)&gt;0,C10=""),"",
TRUE,L10/N10)</f>
        <v/>
      </c>
      <c r="X10" s="55" t="str">
        <f>IFS(OR(COUNTIF(Info!$A$22:A81,C10)&gt;0,C10=""),"",
OR("3x3 MBLD"=C10,"3x3 FMC"=C10)=TRUE,"",
OR(C10="4x4 BLD",C10="5x5 BLD",C10="4x4 / 5x5 BLD",AND(C10="3x3 BLD",H10&lt;&gt;""))=TRUE,MIN(V10,P10),
TRUE,MIN(P10,V10,MROUND(((V10*2/3)+((Y10-1.625)/2)),0.01)))</f>
        <v/>
      </c>
      <c r="Y10" s="56" t="str">
        <f>IFERROR(__xludf.DUMMYFUNCTION("IFS(OR(COUNTIF(Info!$A$22:A81,C10)&gt;0,C10=""""),"""",
FILTER(Info!$F$2:F81, Info!$A$2:A81 = C10) = ""Yes"",H10/AA10,
""3x3 FMC""=C10,Info!$B$9,""3x3 MBLD""=C10,Info!$B$18,
AND(E10=1,I10="""",H10="""",Q10=""No"",G10&gt;SUMIF(Info!$A$2:A81,C10,Info!$B$2:B81)*1."&amp;"5),
MIN(SUMIF(Info!$A$2:A81,C10,Info!$B$2:B81)*1.1,SUMIF(Info!$A$2:A81,C10,Info!$B$2:B81)*(1.15-(0.15*(SUMIF(Info!$A$2:A81,C10,Info!$B$2:B81)*1.5)/G10))),
AND(E10=1,I10="""",H10="""",Q10=""Yes"",G10&gt;SUMIF(Info!$A$2:A81,C10,Info!$C$2:C81)*1.5),
MIN(SUMIF(I"&amp;"nfo!$A$2:A81,C10,Info!$C$2:C81)*1.1,SUMIF(Info!$A$2:A81,C10,Info!$C$2:C81)*(1.15-(0.15*(SUMIF(Info!$A$2:A81,C10,Info!$C$2:C81)*1.5)/G10))),
Q10=""No"",SUMIF(Info!$A$2:A81,C10,Info!$B$2:B81),
Q10=""Yes"",SUMIF(Info!$A$2:A81,C10,Info!$C$2:C81))"),"")</f>
        <v/>
      </c>
      <c r="Z10" s="57" t="str">
        <f>IFS(OR(COUNTIF(Info!$A$22:A81,C10)&gt;0,C10=""),"",
AND(OR("3x3 FMC"=C10,"3x3 MBLD"=C10),I10&lt;&gt;""),1,
AND(OR(H10&lt;&gt;"",I10&lt;&gt;""),F10="Avg of 5"),2,
F10="Avg of 5",AA10,
AND(OR(H10&lt;&gt;"",I10&lt;&gt;""),F10="Mean of 3",C10="6x6 / 7x7"),2,
AND(OR(H10&lt;&gt;"",I10&lt;&gt;""),F10="Mean of 3"),1,
F10="Mean of 3",AA10,
AND(OR(H10&lt;&gt;"",I10&lt;&gt;""),F10="Best of 3",C10="4x4 / 5x5 BLD"),2,
AND(OR(H10&lt;&gt;"",I10&lt;&gt;""),F10="Best of 3"),1,
F10="Best of 2",AA10,
F10="Best of 1",AA10)</f>
        <v/>
      </c>
      <c r="AA10" s="57" t="str">
        <f>IFS(OR(COUNTIF(Info!$A$22:A81,C10)&gt;0,C10=""),"",
AND(OR("3x3 MBLD"=C10,"3x3 FMC"=C10),F10="Best of 1"=TRUE),1,
AND(OR("3x3 MBLD"=C10,"3x3 FMC"=C10),F10="Best of 2"=TRUE),2,
AND(OR("3x3 MBLD"=C10,"3x3 FMC"=C10),OR(F10="Best of 3",F10="Mean of 3")=TRUE),3,
AND(F10="Mean of 3",C10="6x6 / 7x7"),6,
AND(F10="Best of 3",C10="4x4 / 5x5 BLD"),6,
F10="Avg of 5",5,F10="Mean of 3",3,F10="Best of 3",3,F10="Best of 2",2,F10="Best of 1",1)</f>
        <v/>
      </c>
      <c r="AB10" s="58"/>
    </row>
    <row r="11">
      <c r="A11" s="40">
        <f>IFERROR(__xludf.DUMMYFUNCTION("IFS(indirect(""A""&amp;row()-1)=""Start"",TIME(indirect(""A""&amp;row()-2),indirect(""B""&amp;row()-2),0),
$O$2=""No"",TIME(0,($A$6*60+$B$6)+CEILING(SUM($L$7:indirect(""L""&amp;row()-1)),5),0),
D11=$E$2,TIME(0,($A$6*60+$B$6)+CEILING(SUM(IFERROR(FILTER($L$7:indirect(""L"""&amp;"&amp;row()-1),REGEXMATCH($D$7:indirect(""D""&amp;row()-1),$E$2)),0)),5),0),
TRUE,""=time(hh;mm;ss)"")"),0.4166666666666667)</f>
        <v>0.4166666667</v>
      </c>
      <c r="B11" s="41">
        <f>IFERROR(__xludf.DUMMYFUNCTION("IFS($O$2=""No"",TIME(0,($A$6*60+$B$6)+CEILING(SUM($L$7:indirect(""L""&amp;row())),5),0),
D11=$E$2,TIME(0,($A$6*60+$B$6)+CEILING(SUM(FILTER($L$7:indirect(""L""&amp;row()),REGEXMATCH($D$7:indirect(""D""&amp;row()),$E$2))),5),0),
A11=""=time(hh;mm;ss)"",CONCATENATE(""Sk"&amp;"riv tid i A""&amp;row()),
AND(A11&lt;&gt;"""",A11&lt;&gt;""=time(hh;mm;ss)""),A11+TIME(0,CEILING(indirect(""L""&amp;row()),5),0))"),0.4166666666666667)</f>
        <v>0.4166666667</v>
      </c>
      <c r="C11" s="42"/>
      <c r="D11" s="43" t="str">
        <f t="shared" si="2"/>
        <v>Stora salen</v>
      </c>
      <c r="E11" s="43" t="str">
        <f>IFERROR(__xludf.DUMMYFUNCTION("IFS(COUNTIF(Info!$A$22:A81,C11)&gt;0,"""",
AND(OR(""3x3 FMC""=C11,""3x3 MBLD""=C11),COUNTIF($C$7:indirect(""C""&amp;row()),indirect(""C""&amp;row()))&gt;=13),""E - Error"",
AND(OR(""3x3 FMC""=C11,""3x3 MBLD""=C11),COUNTIF($C$7:indirect(""C""&amp;row()),indirect(""C""&amp;row()"&amp;"))=12),""Final - A3"",
AND(OR(""3x3 FMC""=C11,""3x3 MBLD""=C11),COUNTIF($C$7:indirect(""C""&amp;row()),indirect(""C""&amp;row()))=11),""Final - A2"",
AND(OR(""3x3 FMC""=C11,""3x3 MBLD""=C11),COUNTIF($C$7:indirect(""C""&amp;row()),indirect(""C""&amp;row()))=10),""Final - "&amp;"A1"",
AND(OR(""3x3 FMC""=C11,""3x3 MBLD""=C11),COUNTIF($C$7:indirect(""C""&amp;row()),indirect(""C""&amp;row()))=9,
COUNTIF($C$7:$C$61,indirect(""C""&amp;row()))&gt;9),""R3 - A3"",
AND(OR(""3x3 FMC""=C11,""3x3 MBLD""=C11),COUNTIF($C$7:indirect(""C""&amp;row()),indirect(""C"&amp;"""&amp;row()))=9,
COUNTIF($C$7:$C$61,indirect(""C""&amp;row()))&lt;=9),""Final - A3"",
AND(OR(""3x3 FMC""=C11,""3x3 MBLD""=C11),COUNTIF($C$7:indirect(""C""&amp;row()),indirect(""C""&amp;row()))=8,
COUNTIF($C$7:$C$61,indirect(""C""&amp;row()))&gt;9),""R3 - A2"",
AND(OR(""3x3 FMC""="&amp;"C11,""3x3 MBLD""=C11),COUNTIF($C$7:indirect(""C""&amp;row()),indirect(""C""&amp;row()))=8,
COUNTIF($C$7:$C$61,indirect(""C""&amp;row()))&lt;=9),""Final - A2"",
AND(OR(""3x3 FMC""=C11,""3x3 MBLD""=C11),COUNTIF($C$7:indirect(""C""&amp;row()),indirect(""C""&amp;row()))=7,
COUNTIF("&amp;"$C$7:$C$61,indirect(""C""&amp;row()))&gt;9),""R3 - A1"",
AND(OR(""3x3 FMC""=C11,""3x3 MBLD""=C11),COUNTIF($C$7:indirect(""C""&amp;row()),indirect(""C""&amp;row()))=7,
COUNTIF($C$7:$C$61,indirect(""C""&amp;row()))&lt;=9),""Final - A1"",
AND(OR(""3x3 FMC""=C11,""3x3 MBLD""=C11),"&amp;"COUNTIF($C$7:indirect(""C""&amp;row()),indirect(""C""&amp;row()))=6,
COUNTIF($C$7:$C$61,indirect(""C""&amp;row()))&gt;6),""R2 - A3"",
AND(OR(""3x3 FMC""=C11,""3x3 MBLD""=C11),COUNTIF($C$7:indirect(""C""&amp;row()),indirect(""C""&amp;row()))=6,
COUNTIF($C$7:$C$61,indirect(""C""&amp;"&amp;"row()))&lt;=6),""Final - A3"",
AND(OR(""3x3 FMC""=C11,""3x3 MBLD""=C11),COUNTIF($C$7:indirect(""C""&amp;row()),indirect(""C""&amp;row()))=5,
COUNTIF($C$7:$C$61,indirect(""C""&amp;row()))&gt;6),""R2 - A2"",
AND(OR(""3x3 FMC""=C11,""3x3 MBLD""=C11),COUNTIF($C$7:indirect(""C"&amp;"""&amp;row()),indirect(""C""&amp;row()))=5,
COUNTIF($C$7:$C$61,indirect(""C""&amp;row()))&lt;=6),""Final - A2"",
AND(OR(""3x3 FMC""=C11,""3x3 MBLD""=C11),COUNTIF($C$7:indirect(""C""&amp;row()),indirect(""C""&amp;row()))=4,
COUNTIF($C$7:$C$61,indirect(""C""&amp;row()))&gt;6),""R2 - A1"&amp;""",
AND(OR(""3x3 FMC""=C11,""3x3 MBLD""=C11),COUNTIF($C$7:indirect(""C""&amp;row()),indirect(""C""&amp;row()))=4,
COUNTIF($C$7:$C$61,indirect(""C""&amp;row()))&lt;=6),""Final - A1"",
AND(OR(""3x3 FMC""=C11,""3x3 MBLD""=C11),COUNTIF($C$7:indirect(""C""&amp;row()),indirect("""&amp;"C""&amp;row()))=3),""R1 - A3"",
AND(OR(""3x3 FMC""=C11,""3x3 MBLD""=C11),COUNTIF($C$7:indirect(""C""&amp;row()),indirect(""C""&amp;row()))=2),""R1 - A2"",
AND(OR(""3x3 FMC""=C11,""3x3 MBLD""=C11),COUNTIF($C$7:indirect(""C""&amp;row()),indirect(""C""&amp;row()))=1),""R1 -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C11),ROUNDUP((FILTER(Info!$H$2:H81,Info!$A$2:A81=C11)/FILTER(Info!$H$2:H81,Info!$A$2:A81=$K$2))*$I$2)&gt;99),3,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C11),ROUNDUP((FILTER(Info!$H$2:H81,Info!$A$2:A81=C11)/FILTER(Info!$H$2:H81,Info!$A$2:A81=$K$2))*$I$2)&gt;15),2,
AND(COUNTIF($C$7:indirect(""C""&amp;row()),indirect(""C""&amp;row()))=2,COUNTIF($C$7:$C$61,indirect(""C""&amp;row()))=COUNTIF($C$7:indirect("""&amp;"C""&amp;row()),indirect(""C""&amp;row()))),""Final"",
COUNTIF($C$7:indirect(""C""&amp;row()),indirect(""C""&amp;row()))=1,1,
COUNTIF($C$7:indirect(""C""&amp;row()),indirect(""C""&amp;row()))=0,"""")"),"")</f>
        <v/>
      </c>
      <c r="F11" s="44" t="str">
        <f>IFERROR(__xludf.DUMMYFUNCTION("IFS(C11="""","""",
AND(C11=""3x3 FMC"",MOD(COUNTIF($C$7:indirect(""C""&amp;row()),indirect(""C""&amp;row())),3)=0),""Mean of 3"",
AND(C11=""3x3 MBLD"",MOD(COUNTIF($C$7:indirect(""C""&amp;row()),indirect(""C""&amp;row())),3)=0),""Best of 3"",
AND(C11=""3x3 FMC"",MOD(COUNT"&amp;"IF($C$7:indirect(""C""&amp;row()),indirect(""C""&amp;row())),3)=2,
COUNTIF($C$7:$C$61,indirect(""C""&amp;row()))&lt;=COUNTIF($C$7:indirect(""C""&amp;row()),indirect(""C""&amp;row()))),""Best of 2"",
AND(C11=""3x3 FMC"",MOD(COUNTIF($C$7:indirect(""C""&amp;row()),indirect(""C""&amp;row()"&amp;")),3)=2,
COUNTIF($C$7:$C$61,indirect(""C""&amp;row()))&gt;COUNTIF($C$7:indirect(""C""&amp;row()),indirect(""C""&amp;row()))),""Mean of 3"",
AND(C11=""3x3 MBLD"",MOD(COUNTIF($C$7:indirect(""C""&amp;row()),indirect(""C""&amp;row())),3)=2,
COUNTIF($C$7:$C$61,indirect(""C""&amp;row()))"&amp;"&lt;=COUNTIF($C$7:indirect(""C""&amp;row()),indirect(""C""&amp;row()))),""Best of 2"",
AND(C11=""3x3 MBLD"",MOD(COUNTIF($C$7:indirect(""C""&amp;row()),indirect(""C""&amp;row())),3)=2,
COUNTIF($C$7:$C$61,indirect(""C""&amp;row()))&gt;COUNTIF($C$7:indirect(""C""&amp;row()),indirect(""C"&amp;"""&amp;row()))),""Best of 3"",
AND(C11=""3x3 FMC"",MOD(COUNTIF($C$7:indirect(""C""&amp;row()),indirect(""C""&amp;row())),3)=1,
COUNTIF($C$7:$C$61,indirect(""C""&amp;row()))&lt;=COUNTIF($C$7:indirect(""C""&amp;row()),indirect(""C""&amp;row()))),""Best of 1"",
AND(C11=""3x3 FMC"",MOD"&amp;"(COUNTIF($C$7:indirect(""C""&amp;row()),indirect(""C""&amp;row())),3)=1,
COUNTIF($C$7:$C$61,indirect(""C""&amp;row()))=COUNTIF($C$7:indirect(""C""&amp;row()),indirect(""C""&amp;row()))+1),""Best of 2"",
AND(C11=""3x3 FMC"",MOD(COUNTIF($C$7:indirect(""C""&amp;row()),indirect(""C"&amp;"""&amp;row())),3)=1,
COUNTIF($C$7:$C$61,indirect(""C""&amp;row()))&gt;COUNTIF($C$7:indirect(""C""&amp;row()),indirect(""C""&amp;row()))),""Mean of 3"",
AND(C11=""3x3 MBLD"",MOD(COUNTIF($C$7:indirect(""C""&amp;row()),indirect(""C""&amp;row())),3)=1,
COUNTIF($C$7:$C$61,indirect(""C"""&amp;"&amp;row()))&lt;=COUNTIF($C$7:indirect(""C""&amp;row()),indirect(""C""&amp;row()))),""Best of 1"",
AND(C11=""3x3 MBLD"",MOD(COUNTIF($C$7:indirect(""C""&amp;row()),indirect(""C""&amp;row())),3)=1,
COUNTIF($C$7:$C$61,indirect(""C""&amp;row()))=COUNTIF($C$7:indirect(""C""&amp;row()),indir"&amp;"ect(""C""&amp;row()))+1),""Best of 2"",
AND(C11=""3x3 MBLD"",MOD(COUNTIF($C$7:indirect(""C""&amp;row()),indirect(""C""&amp;row())),3)=1,
COUNTIF($C$7:$C$61,indirect(""C""&amp;row()))&gt;COUNTIF($C$7:indirect(""C""&amp;row()),indirect(""C""&amp;row()))),""Best of 3"",
TRUE,(IFERROR("&amp;"FILTER(Info!$D$2:D81, Info!$A$2:A81 = C11), """")))"),"")</f>
        <v/>
      </c>
      <c r="G11" s="45" t="str">
        <f>IFERROR(__xludf.DUMMYFUNCTION("IFS(OR(COUNTIF(Info!$A$22:A81,C11)&gt;0,C11=""""),"""",
OR(""3x3 MBLD""=C11,""3x3 FMC""=C11),60,
AND(E11=1,FILTER(Info!$F$2:F81, Info!$A$2:A81 = C11) = ""No""),FILTER(Info!$P$2:P81, Info!$A$2:A81 = C11),
AND(E11=2,FILTER(Info!$F$2:F81, Info!$A$2:A81 = C11) ="&amp;" ""No""),FILTER(Info!$Q$2:Q81, Info!$A$2:A81 = C11),
AND(E11=3,FILTER(Info!$F$2:F81, Info!$A$2:A81 = C11) = ""No""),FILTER(Info!$R$2:R81, Info!$A$2:A81 = C11),
AND(E11=""Final"",FILTER(Info!$F$2:F81, Info!$A$2:A81 = C11) = ""No""),FILTER(Info!$S$2:S81, In"&amp;"fo!$A$2:A81 = C11),
FILTER(Info!$F$2:F81, Info!$A$2:A81 = C11) = ""Yes"","""")"),"")</f>
        <v/>
      </c>
      <c r="H11" s="45" t="str">
        <f>IFERROR(__xludf.DUMMYFUNCTION("IFS(OR(COUNTIF(Info!$A$22:A81,C11)&gt;0,C11=""""),"""",
OR(""3x3 MBLD""=C11,""3x3 FMC""=C11)=TRUE,"""",
FILTER(Info!$F$2:F81, Info!$A$2:A81 = C11) = ""Yes"",FILTER(Info!$O$2:O81, Info!$A$2:A81 = C11),
FILTER(Info!$F$2:F81, Info!$A$2:A81 = C11) = ""No"",IF(G1"&amp;"1="""",FILTER(Info!$O$2:O81, Info!$A$2:A81 = C11),""""))"),"")</f>
        <v/>
      </c>
      <c r="I11" s="45" t="str">
        <f>IFERROR(__xludf.DUMMYFUNCTION("IFS(OR(COUNTIF(Info!$A$22:A81,C11)&gt;0,C11="""",H11&lt;&gt;""""),"""",
AND(E11&lt;&gt;1,E11&lt;&gt;""R1 - A1"",E11&lt;&gt;""R1 - A2"",E11&lt;&gt;""R1 - A3""),"""",
FILTER(Info!$E$2:E81, Info!$A$2:A81 = C11) = ""Yes"",IF(H11="""",FILTER(Info!$L$2:L81, Info!$A$2:A81 = C11),""""),
FILTER(I"&amp;"nfo!$E$2:E81, Info!$A$2:A81 = C11) = ""No"","""")"),"")</f>
        <v/>
      </c>
      <c r="J11" s="45" t="str">
        <f>IFERROR(__xludf.DUMMYFUNCTION("IFS(OR(COUNTIF(Info!$A$22:A81,C11)&gt;0,C11="""",""3x3 MBLD""=C11,""3x3 FMC""=C11),"""",
AND(E11=1,FILTER(Info!$H$2:H81,Info!$A$2:A81 = C11)&lt;=FILTER(Info!$H$2:H81,Info!$A$2:A81=$K$2)),
ROUNDUP((FILTER(Info!$H$2:H81,Info!$A$2:A81 = C11)/FILTER(Info!$H$2:H81,I"&amp;"nfo!$A$2:A81=$K$2))*$I$2),
AND(E11=1,FILTER(Info!$H$2:H81,Info!$A$2:A81 = C11)&gt;FILTER(Info!$H$2:H81,Info!$A$2:A81=$K$2)),""K2 - Error"",
AND(E11=2,FILTER($J$7:indirect(""J""&amp;row()-1),$C$7:indirect(""C""&amp;row()-1)=C11)&lt;=7),""J - Error"",
E11=2,FLOOR(FILTER("&amp;"$J$7:indirect(""J""&amp;row()-1),$C$7:indirect(""C""&amp;row()-1)=C11)*Info!$T$32),
AND(E11=3,FILTER($J$7:indirect(""J""&amp;row()-1),$C$7:indirect(""C""&amp;row()-1)=C11)&lt;=15),""J - Error"",
E11=3,FLOOR(Info!$T$32*FLOOR(FILTER($J$7:indirect(""J""&amp;row()-1),$C$7:indirect("&amp;"""C""&amp;row()-1)=C11)*Info!$T$32)),
AND(E11=""Final"",COUNTIF($C$7:$C$61,C11)=2,FILTER($J$7:indirect(""J""&amp;row()-1),$C$7:indirect(""C""&amp;row()-1)=C11)&lt;=7),""J - Error"",
AND(E11=""Final"",COUNTIF($C$7:$C$61,C11)=2),
MIN(P11,FLOOR(FILTER($J$7:indirect(""J""&amp;r"&amp;"ow()-1),$C$7:indirect(""C""&amp;row()-1)=C11)*Info!$T$32)),
AND(E11=""Final"",COUNTIF($C$7:$C$61,C11)=3,FILTER($J$7:indirect(""J""&amp;row()-1),$C$7:indirect(""C""&amp;row()-1)=C11)&lt;=15),""J - Error"",
AND(E11=""Final"",COUNTIF($C$7:$C$61,C11)=3),
MIN(P11,FLOOR(Info!"&amp;"$T$32*FLOOR(FILTER($J$7:indirect(""J""&amp;row()-1),$C$7:indirect(""C""&amp;row()-1)=C11)*Info!$T$32))),
AND(E11=""Final"",COUNTIF($C$7:$C$61,C11)&gt;=4,FILTER($J$7:indirect(""J""&amp;row()-1),$C$7:indirect(""C""&amp;row()-1)=C11)&lt;=99),""J - Error"",
AND(E11=""Final"",COUNT"&amp;"IF($C$7:$C$61,C11)&gt;=4),
MIN(P11,FLOOR(Info!$T$32*FLOOR(Info!$T$32*FLOOR(FILTER($J$7:indirect(""J""&amp;row()-1),$C$7:indirect(""C""&amp;row()-1)=C11)*Info!$T$32)))))"),"")</f>
        <v/>
      </c>
      <c r="K11" s="46" t="str">
        <f>IFERROR(__xludf.DUMMYFUNCTION("IFS(AND(indirect(""D""&amp;row()+2)&lt;&gt;$E$2,indirect(""D""&amp;row()+1)=""""),CONCATENATE(""Tom rad! Kopiera hela rad ""&amp;row()&amp;"" dit""),
AND(indirect(""D""&amp;row()-1)&lt;&gt;""Rum"",indirect(""D""&amp;row()-1)=""""),CONCATENATE(""Tom rad! Kopiera hela rad ""&amp;row()&amp;"" dit""),
"&amp;"C11="""","""",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OR(AND(D11&lt;&gt;$E$2,D11&lt;&gt;$E$4,D11&lt;&gt;$K$4,D11&lt;&gt;$Q$4),D11="&amp;"""""),CONCATENATE(""Rum: ""&amp;D11&amp;"" finns ej, byt i D""&amp;row()),
AND(indirect(""D""&amp;row()-1)=""Rum"",C11=""""),CONCATENATE(""För att börja: skriv i cell C""&amp;row()),
AND(C11=""Paus"",M11&lt;=0),CONCATENATE(""Skriv pausens längd i M""&amp;row()),
OR(COUNTIF(Info!$A$"&amp;"22:A81,C11)&gt;0,C11=""""),"""",
AND(D11&lt;&gt;$E$2,$O$2=""Yes"",A11=""=time(hh;mm;ss)""),CONCATENATE(""Skriv starttid för ""&amp;C11&amp;"" i A""&amp;row()),
E11=""E - Error"",CONCATENATE(""För många ""&amp;C11&amp;"" rundor!""),
AND(C11&lt;&gt;""3x3 FMC"",C11&lt;&gt;""3x3 MBLD"",E11&lt;&gt;1,E11&lt;&gt;"&amp;"""Final"",IFERROR(FILTER($E$7:indirect(""E""&amp;row()-1),
$E$7:indirect(""E""&amp;row()-1)=E11-1,$C$7:indirect(""C""&amp;row()-1)=C11))=FALSE),CONCATENATE(""Kan ej vara R""&amp;E11&amp;"", saknar R""&amp;(E11-1)),
AND(indirect(""E""&amp;row()-1)&lt;&gt;""Omgång"",IFERROR(FILTER($E$7:indi"&amp;"rect(""E""&amp;row()-1),
$E$7:indirect(""E""&amp;row()-1)=E11,$C$7:indirect(""C""&amp;row()-1)=C11)=E11)=TRUE),CONCATENATE(""Runda ""&amp;E11&amp;"" i ""&amp;C11&amp;"" finns redan""),
AND(C11&lt;&gt;""3x3 BLD"",C11&lt;&gt;""4x4 BLD"",C11&lt;&gt;""5x5 BLD"",C11&lt;&gt;""4x4 / 5x5 BLD"",OR(E11=2,E11=3,E11="&amp;"""Final""),H11&lt;&gt;""""),CONCATENATE(E11&amp;""-rundor brukar ej ha c.t.l.""),
AND(OR(E11=2,E11=3,E11=""Final""),I11&lt;&gt;""""),CONCATENATE(E11&amp;""-rundor brukar ej ha cutoff""),
AND(OR(C11=""3x3 FMC"",C11=""3x3 MBLD""),OR(E11=1,E11=2,E11=3,E11=""Final"")),CONCATENAT"&amp;"E(C11&amp;""s omgång är Rx - Ax""),
AND(C11&lt;&gt;""3x3 MBLD"",C11&lt;&gt;""3x3 FMC"",FILTER(Info!$D$2:D81, Info!$A$2:A81 = C11)&lt;&gt;F11),CONCATENATE(C11&amp;"" måste ha formatet ""&amp;FILTER(Info!$D$2:D81, Info!$A$2:A81 = C11)),
AND(C11=""3x3 MBLD"",OR(F11=""Avg of 5"",F11=""Mea"&amp;"n of 3"")),CONCATENATE(""Ogiltigt format för ""&amp;C11),
AND(C11=""3x3 FMC"",OR(F11=""Avg of 5"",F11=""Best of 3"")),CONCATENATE(""Ogiltigt format för ""&amp;C11),
AND(OR(F11=""Best of 1"",F11=""Best of 2"",F11=""Best of 3""),I11&lt;&gt;""""),CONCATENATE(F11&amp;""-rundor"&amp;" får ej ha cutoff""),
AND(OR(C11=""3x3 FMC"",C11=""3x3 MBLD""),G11&lt;&gt;60),CONCATENATE(C11&amp;"" måste ha time limit: 60""),
AND(OR(C11=""3x3 FMC"",C11=""3x3 MBLD""),H11&lt;&gt;""""),CONCATENATE(C11&amp;"" kan inte ha c.t.l.""),
AND(G11&lt;&gt;"""",H11&lt;&gt;""""),""Välj time limit"&amp;" ELLER c.t.l"",
AND(C11=""6x6 / 7x7"",G11="""",H11=""""),""Sätt time limit (x / y) eller c.t.l (z)"",
AND(G11="""",H11=""""),""Sätt en time limit eller c.t.l"",
AND(OR(C11=""6x6 / 7x7"",C11=""4x4 / 5x5 BLD""),G11&lt;&gt;"""",REGEXMATCH(TO_TEXT(G11),"" / "")=FAL"&amp;"SE),CONCATENATE(""Time limit måste vara x / y""),
AND(H11&lt;&gt;"""",I11&lt;&gt;""""),CONCATENATE(C11&amp;"" brukar ej ha cutoff OCH c.t.l""),
AND(E11=1,H11="""",I11="""",OR(FILTER(Info!$E$2:E81, Info!$A$2:A81 = C11) = ""Yes"",FILTER(Info!$F$2:F81, Info!$A$2:A81 = C11) "&amp;"= ""Yes""),OR(F11=""Avg of 5"",F11=""Mean of 3"")),CONCATENATE(C11&amp;"" bör ha cutoff eller c.t.l""),
AND(C11=""6x6 / 7x7"",I11&lt;&gt;"""",REGEXMATCH(TO_TEXT(I11),"" / "")=FALSE),CONCATENATE(""Cutoff måste vara x / y""),
AND(H11&lt;&gt;"""",ISNUMBER(H11)=FALSE),""C.t."&amp;"l. måste vara positivt tal (x)"",
AND(C11&lt;&gt;""6x6 / 7x7"",I11&lt;&gt;"""",ISNUMBER(I11)=FALSE),""Cutoff måste vara positivt tal (x)"",
AND(H11&lt;&gt;"""",FILTER(Info!$E$2:E81, Info!$A$2:A81 = C11) = ""No"",FILTER(Info!$F$2:F81, Info!$A$2:A81 = C11) = ""No""),CONCATEN"&amp;"ATE(C11&amp;"" brukar inte ha c.t.l.""),
AND(I11&lt;&gt;"""",FILTER(Info!$E$2:E81, Info!$A$2:A81 = C11) = ""No"",FILTER(Info!$F$2:F81, Info!$A$2:A81 = C11) = ""No""),CONCATENATE(C11&amp;"" brukar inte ha cutoff""),
AND(H11="""",FILTER(Info!$F$2:F81, Info!$A$2:A81 = C11"&amp;") = ""Yes""),CONCATENATE(C11&amp;"" brukar ha c.t.l.""),
AND(C11&lt;&gt;""6x6 / 7x7"",C11&lt;&gt;""4x4 / 5x5 BLD"",G11&lt;&gt;"""",ISNUMBER(G11)=FALSE),""Time limit måste vara positivt tal (x)"",
J11=""J - Error"",CONCATENATE(""För få deltagare i R1 för ""&amp;COUNTIF($C$7:$C$61,i"&amp;"ndirect(""C""&amp;row()))&amp;"" rundor""),
J11=""K2 - Error"",CONCATENATE(C11&amp;"" är mer populär - byt i K2!""),
AND(C11&lt;&gt;""6x6 / 7x7"",C11&lt;&gt;""4x4 / 5x5 BLD"",G11&lt;&gt;"""",I11&lt;&gt;"""",G11&lt;=I11),""Time limit måste vara &gt; cutoff"",
AND(C11&lt;&gt;""6x6 / 7x7"",C11&lt;&gt;""4x4 / 5x"&amp;"5 BLD"",H11&lt;&gt;"""",I11&lt;&gt;"""",H11&lt;=I11),""C.t.l. måste vara &gt; cutoff"",
AND(C11&lt;&gt;""3x3 FMC"",C11&lt;&gt;""3x3 MBLD"",J11=""""),CONCATENATE(""Fyll i antal deltagare i J""&amp;row()),
AND(C11="""",OR(E11&lt;&gt;"""",F11&lt;&gt;"""",G11&lt;&gt;"""",H11&lt;&gt;"""",I11&lt;&gt;"""",J11&lt;&gt;"""")),""Skriv"&amp;" ALLTID gren / aktivitet först"",
AND(I11="""",H11="""",J11&lt;&gt;""""),J11,
OR(""3x3 FMC""=C11,""3x3 MBLD""=C11),J11,
AND(I11&lt;&gt;"""",""6x6 / 7x7""=C11),
IFS(ArrayFormula(SUM(IFERROR(SPLIT(I11,"" / ""))))&lt;(Info!$J$6+Info!$J$7)*2/3,CONCATENATE(""Höj helst cutoff"&amp;"s i ""&amp;C11),
ArrayFormula(SUM(IFERROR(SPLIT(I11,"" / ""))))&lt;=(Info!$J$6+Info!$J$7),ROUNDUP(J11*Info!$J$22),
ArrayFormula(SUM(IFERROR(SPLIT(I11,"" / ""))))&lt;=Info!$J$6+Info!$J$7,ROUNDUP(J11*Info!$K$22),
ArrayFormula(SUM(IFERROR(SPLIT(I11,"" / ""))))&lt;=Info!$"&amp;"K$6+Info!$K$7,ROUNDUP(J11*Info!L$22),
ArrayFormula(SUM(IFERROR(SPLIT(I11,"" / ""))))&lt;=Info!$L$6+Info!$L$7,ROUNDUP(J11*Info!$M$22),
ArrayFormula(SUM(IFERROR(SPLIT(I11,"" / ""))))&lt;=Info!$M$6+Info!$M$7,ROUNDUP(J11*Info!$N$22),
ArrayFormula(SUM(IFERROR(SPLIT("&amp;"I11,"" / ""))))&lt;=(Info!$N$6+Info!$N$7)*3/2,ROUNDUP(J11*Info!$J$26),
ArrayFormula(SUM(IFERROR(SPLIT(I11,"" / ""))))&gt;(Info!$N$6+Info!$N$7)*3/2,CONCATENATE(""Sänk helst cutoffs i ""&amp;C11)),
AND(I11&lt;&gt;"""",FILTER(Info!$E$2:E81, Info!$A$2:A81 = C11) = ""Yes""),
"&amp;"IFS(I11&lt;FILTER(Info!$J$2:J81, Info!$A$2:A81 = C11)*2/3,CONCATENATE(""Höj helst cutoff i ""&amp;C11),
I11&lt;=FILTER(Info!$J$2:J81, Info!$A$2:A81 = C11),ROUNDUP(J11*Info!$J$22),
I11&lt;=FILTER(Info!$K$2:K81, Info!$A$2:A81 = C11),ROUNDUP(J11*Info!$K$22),
I11&lt;=FILTER("&amp;"Info!$L$2:L81, Info!$A$2:A81 = C11),ROUNDUP(J11*Info!L$22),
I11&lt;=FILTER(Info!$M$2:M81, Info!$A$2:A81 = C11),ROUNDUP(J11*Info!$M$22),
I11&lt;=FILTER(Info!$N$2:N81, Info!$A$2:A81 = C11),ROUNDUP(J11*Info!$N$22),
I11&lt;=FILTER(Info!$N$2:N81, Info!$A$2:A81 = C11)*3"&amp;"/2,ROUNDUP(J11*Info!$J$26),
I11&gt;FILTER(Info!$N$2:N81, Info!$A$2:A81 = C11)*3/2,CONCATENATE(""Sänk helst cutoff i ""&amp;C11)),
AND(H11&lt;&gt;"""",""6x6 / 7x7""=C11),
IFS(H11/3&lt;=(Info!$J$6+Info!$J$7)*2/3,""Höj helst cumulative time limit"",
H11/3&lt;=Info!$J$6+Info!$J"&amp;"$7,ROUNDUP(J11*Info!$J$24),
H11/3&lt;=Info!$K$6+Info!$K$7,ROUNDUP(J11*Info!$K$24),
H11/3&lt;=Info!$L$6+Info!$L$7,ROUNDUP(J11*Info!L$24),
H11/3&lt;=Info!$M$6+Info!$M$7,ROUNDUP(J11*Info!$M$24),
H11/3&lt;=Info!$N$6+Info!$N$7,ROUNDUP(J11*Info!$N$24),
H11/3&lt;=(Info!$N$6+In"&amp;"fo!$N$7)*3/2,ROUNDUP(J11*Info!$L$26),
H11/3&gt;(Info!$J$6+Info!$J$7)*3/2,""Sänk helst cumulative time limit""),
AND(H11&lt;&gt;"""",FILTER(Info!$F$2:F81, Info!$A$2:A81 = C11) = ""Yes""),
IFS(H11&lt;=FILTER(Info!$J$2:J81, Info!$A$2:A81 = C11)*2/3,CONCATENATE(""Höj hel"&amp;"st c.t.l. i ""&amp;C11),
H11&lt;=FILTER(Info!$J$2:J81, Info!$A$2:A81 = C11),ROUNDUP(J11*Info!$J$24),
H11&lt;=FILTER(Info!$K$2:K81, Info!$A$2:A81 = C11),ROUNDUP(J11*Info!$K$24),
H11&lt;=FILTER(Info!$L$2:L81, Info!$A$2:A81 = C11),ROUNDUP(J11*Info!L$24),
H11&lt;=FILTER(Info"&amp;"!$M$2:M81, Info!$A$2:A81 = C11),ROUNDUP(J11*Info!$M$24),
H11&lt;=FILTER(Info!$N$2:N81, Info!$A$2:A81 = C11),ROUNDUP(J11*Info!$N$24),
H11&lt;=FILTER(Info!$N$2:N81, Info!$A$2:A81 = C11)*3/2,ROUNDUP(J11*Info!$L$26),
H11&gt;FILTER(Info!$N$2:N81, Info!$A$2:A81 = C11)*3"&amp;"/2,CONCATENATE(""Sänk helst c.t.l. i ""&amp;C11)),
AND(H11&lt;&gt;"""",FILTER(Info!$F$2:F81, Info!$A$2:A81 = C11) = ""No""),
IFS(H11/AA11&lt;=FILTER(Info!$J$2:J81, Info!$A$2:A81 = C11)*2/3,CONCATENATE(""Höj helst c.t.l. i ""&amp;C11),
H11/AA11&lt;=FILTER(Info!$J$2:J81, Info!"&amp;"$A$2:A81 = C11),ROUNDUP(J11*Info!$J$24),
H11/AA11&lt;=FILTER(Info!$K$2:K81, Info!$A$2:A81 = C11),ROUNDUP(J11*Info!$K$24),
H11/AA11&lt;=FILTER(Info!$L$2:L81, Info!$A$2:A81 = C11),ROUNDUP(J11*Info!L$24),
H11/AA11&lt;=FILTER(Info!$M$2:M81, Info!$A$2:A81 = C11),ROUNDU"&amp;"P(J11*Info!$M$24),
H11/AA11&lt;=FILTER(Info!$N$2:N81, Info!$A$2:A81 = C11),ROUNDUP(J11*Info!$N$24),
H11/AA11&lt;=FILTER(Info!$N$2:N81, Info!$A$2:A81 = C11)*3/2,ROUNDUP(J11*Info!$L$26),
H11/AA11&gt;FILTER(Info!$N$2:N81, Info!$A$2:A81 = C11)*3/2,CONCATENATE(""Sänk h"&amp;"elst c.t.l. i ""&amp;C11)),
AND(I11="""",H11&lt;&gt;"""",J11&lt;&gt;""""),ROUNDUP(J11*Info!$T$29),
AND(I11&lt;&gt;"""",H11="""",J11&lt;&gt;""""),ROUNDUP(J11*Info!$T$26))"),"")</f>
        <v/>
      </c>
      <c r="L11" s="47">
        <f>IFERROR(__xludf.DUMMYFUNCTION("IFS(C11="""",0,
C11=""3x3 FMC"",Info!$B$9*N11+M11, C11=""3x3 MBLD"",Info!$B$18*N11+M11,
COUNTIF(Info!$A$22:A81,C11)&gt;0,FILTER(Info!$B$22:B81,Info!$A$22:A81=C11)+M11,
AND(C11&lt;&gt;"""",E11=""""),CONCATENATE(""Fyll i E""&amp;row()),
AND(C11&lt;&gt;"""",E11&lt;&gt;"""",E11&lt;&gt;1,E1"&amp;"1&lt;&gt;2,E11&lt;&gt;3,E11&lt;&gt;""Final""),CONCATENATE(""Fel format på E""&amp;row()),
K11=CONCATENATE(""Runda ""&amp;E11&amp;"" i ""&amp;C11&amp;"" finns redan""),CONCATENATE(""Fel i E""&amp;row()),
AND(C11&lt;&gt;"""",F11=""""),CONCATENATE(""Fyll i F""&amp;row()),
K11=CONCATENATE(C11&amp;"" måste ha forma"&amp;"tet ""&amp;FILTER(Info!$D$2:D81, Info!$A$2:A81 = C11)),CONCATENATE(""Fel format på F""&amp;row()),
AND(C11&lt;&gt;"""",D11=1,H11="""",FILTER(Info!$F$2:F81, Info!$A$2:A81 = C11) = ""Yes""),CONCATENATE(""Fyll i H""&amp;row()),
AND(C11&lt;&gt;"""",D11=1,I11="""",FILTER(Info!$E$2:E8"&amp;"1, Info!$A$2:A81 = C11) = ""Yes""),CONCATENATE(""Fyll i I""&amp;row()),
AND(C11&lt;&gt;"""",J11=""""),CONCATENATE(""Fyll i J""&amp;row()),
AND(C11&lt;&gt;"""",K11="""",OR(H11&lt;&gt;"""",I11&lt;&gt;"""")),CONCATENATE(""Fyll i K""&amp;row()),
AND(C11&lt;&gt;"""",K11=""""),CONCATENATE(""Skriv samma"&amp;" i K""&amp;row()&amp;"" som i J""&amp;row()),
AND(OR(C11=""4x4 BLD"",C11=""5x5 BLD"",C11=""4x4 / 5x5 BLD"")=TRUE,V11&lt;=P11),
MROUND(H11*(Info!$T$20-((Info!$T$20-1)/2)*(1-V11/P11))*(1+((J11/K11)-1)*(1-Info!$J$24))*N11+(Info!$T$11/2)+(N11*Info!$T$11)+(N11*Info!$T$14*(O1"&amp;"1-1)),0.01)+M11,
AND(OR(C11=""4x4 BLD"",C11=""5x5 BLD"",C11=""4x4 / 5x5 BLD"")=TRUE,V11&gt;P11),
MROUND((((J11*Z11+K11*(AA11-Z11))*(H11*Info!$T$20/AA11))/X11)*(1+((J11/K11)-1)*(1-Info!$J$24))*(1+(X11-Info!$T$8)/100)+(Info!$T$11/2)+(N11*Info!$T$11)+(N11*Info!"&amp;"$T$14*(O11-1)),0.01)+M11,
AND(C11=""3x3 BLD"",V11&lt;=P11),
MROUND(H11*(Info!$T$23-((Info!$T$23-1)/2)*(1-V11/P11))*(1+((J11/K11)-1)*(1-Info!$J$24))*N11+(Info!$T$11/2)+(N11*Info!$T$11)+(N11*Info!$T$14*(O11-1)),0.01)+M11,
AND(C11=""3x3 BLD"",V11&gt;P11),
MROUND(("&amp;"((J11*Z11+K11*(AA11-Z11))*(H11*Info!$T$23/AA11))/X11)*(1+((J11/K11)-1)*(1-Info!$J$24))*(1+(X11-Info!$T$8)/100)+(Info!$T$11/2)+(N11*Info!$T$11)+(N11*Info!$T$14*(O11-1)),0.01)+M11,
E11=1,MROUND((((J11*Z11+K11*(AA11-Z11))*Y11)/X11)*(1+(X11-Info!$T$8)/100)+(N"&amp;"11*Info!$T$11)+(N11*Info!$T$14*(O11-1)),0.01)+M11,
AND(E11=""Final"",N11=1,FILTER(Info!$G$2:$G$20,Info!$A$2:$A$20=C11)=""Mycket svår""),
MROUND((((J11*Z11+K11*(AA11-Z11))*(Y11*Info!$T$38))/X11)*(1+(X11-Info!$T$8)/100)+(N11*Info!$T$11)+(N11*Info!$T$14*(O11"&amp;"-1)),0.01)+M11,
AND(E11=""Final"",N11=1,FILTER(Info!$G$2:$G$20,Info!$A$2:$A$20=C11)=""Svår""),
MROUND((((J11*Z11+K11*(AA11-Z11))*(Y11*Info!$T$35))/X11)*(1+(X11-Info!$T$8)/100)+(N11*Info!$T$11)+(N11*Info!$T$14*(O11-1)),0.01)+M11,
E11=""Final"",MROUND((((J1"&amp;"1*Z11+K11*(AA11-Z11))*(Y11*Info!$T$5))/X11)*(1+(X11-Info!$T$8)/100)+(N11*Info!$T$11)+(N11*Info!$T$14*(O11-1)),0.01)+M11,
OR(E11=2,E11=3),MROUND((((J11*Z11+K11*(AA11-Z11))*(Y11*Info!$T$2))/X11)*(1+(X11-Info!$T$8)/100)+(N11*Info!$T$11)+(N11*Info!$T$14*(O11-"&amp;"1)),0.01)+M11)"),0.0)</f>
        <v>0</v>
      </c>
      <c r="M11" s="48">
        <f t="shared" si="1"/>
        <v>0</v>
      </c>
      <c r="N11" s="48" t="str">
        <f>IFS(OR(COUNTIF(Info!$A$22:A81,C11)&gt;0,C11=""),"",
OR(C11="4x4 BLD",C11="5x5 BLD",C11="3x3 MBLD",C11="3x3 FMC",C11="4x4 / 5x5 BLD"),1,
AND(E11="Final",Q11="Yes",MAX(1,ROUNDUP(J11/P11))&gt;1),MAX(2,ROUNDUP(J11/P11)),
AND(E11="Final",Q11="No",MAX(1,ROUNDUP(J11/((P11*2)+2.625-Y11*1.5)))&gt;1),MAX(2,ROUNDUP(J11/((P11*2)+2.625-Y11*1.5))),
E11="Final",1,
Q11="Yes",MAX(2,ROUNDUP(J11/P11)),
TRUE,MAX(2,ROUNDUP(J11/((P11*2)+2.625-Y11*1.5))))</f>
        <v/>
      </c>
      <c r="O11" s="48" t="str">
        <f>IFS(OR(COUNTIF(Info!$A$22:A81,C11)&gt;0,C11=""),"",
OR("3x3 MBLD"=C11,"3x3 FMC"=C11)=TRUE,"",
D11=$E$4,$G$6,D11=$K$4,$M$6,D11=$Q$4,$S$6,D11=$W$4,$Y$6,
TRUE,$S$2)</f>
        <v/>
      </c>
      <c r="P11" s="48" t="str">
        <f>IFS(OR(COUNTIF(Info!$A$22:A81,C11)&gt;0,C11=""),"",
OR("3x3 MBLD"=C11,"3x3 FMC"=C11)=TRUE,"",
D11=$E$4,$E$6,D11=$K$4,$K$6,D11=$Q$4,$Q$6,D11=$W$4,$W$6,
TRUE,$Q$2)</f>
        <v/>
      </c>
      <c r="Q11" s="49" t="str">
        <f>IFS(OR(COUNTIF(Info!$A$22:A81,C11)&gt;0,C11=""),"",
OR("3x3 MBLD"=C11,"3x3 FMC"=C11)=TRUE,"",
D11=$E$4,$I$6,D11=$K$4,$O$6,D11=$Q$4,$U$6,D11=$W$4,$AA$6,
TRUE,$U$2)</f>
        <v/>
      </c>
      <c r="R11" s="50" t="str">
        <f>IFERROR(__xludf.DUMMYFUNCTION("IF(C11="""","""",IFERROR(FILTER(Info!$B$22:B81,Info!$A$22:A81=C11)+M11,""?""))"),"")</f>
        <v/>
      </c>
      <c r="S11" s="51" t="str">
        <f>IFS(OR(COUNTIF(Info!$A$22:A81,C11)&gt;0,C11=""),"",
AND(H11="",I11=""),J11,
TRUE,"?")</f>
        <v/>
      </c>
      <c r="T11" s="52" t="str">
        <f>IFS(OR(COUNTIF(Info!$A$22:A81,C11)&gt;0,C11=""),"",
AND(L11&lt;&gt;0,OR(R11="?",R11="")),"Fyll i R-kolumnen",
OR(C11="3x3 FMC",C11="3x3 MBLD"),R11,
AND(L11&lt;&gt;0,OR(S11="?",S11="")),"Fyll i S-kolumnen",
OR(COUNTIF(Info!$A$22:A81,C11)&gt;0,C11=""),"",
TRUE,Y11*R11/L11)</f>
        <v/>
      </c>
      <c r="U11" s="52"/>
      <c r="V11" s="53" t="str">
        <f>IFS(OR(COUNTIF(Info!$A$22:A81,C11)&gt;0,C11=""),"",
OR("3x3 MBLD"=C11,"3x3 FMC"=C11)=TRUE,"",
TRUE,MROUND((J11/N11),0.01))</f>
        <v/>
      </c>
      <c r="W11" s="54" t="str">
        <f>IFS(OR(COUNTIF(Info!$A$22:A81,C11)&gt;0,C11=""),"",
TRUE,L11/N11)</f>
        <v/>
      </c>
      <c r="X11" s="55" t="str">
        <f>IFS(OR(COUNTIF(Info!$A$22:A81,C11)&gt;0,C11=""),"",
OR("3x3 MBLD"=C11,"3x3 FMC"=C11)=TRUE,"",
OR(C11="4x4 BLD",C11="5x5 BLD",C11="4x4 / 5x5 BLD",AND(C11="3x3 BLD",H11&lt;&gt;""))=TRUE,MIN(V11,P11),
TRUE,MIN(P11,V11,MROUND(((V11*2/3)+((Y11-1.625)/2)),0.01)))</f>
        <v/>
      </c>
      <c r="Y11" s="56" t="str">
        <f>IFERROR(__xludf.DUMMYFUNCTION("IFS(OR(COUNTIF(Info!$A$22:A81,C11)&gt;0,C11=""""),"""",
FILTER(Info!$F$2:F81, Info!$A$2:A81 = C11) = ""Yes"",H11/AA11,
""3x3 FMC""=C11,Info!$B$9,""3x3 MBLD""=C11,Info!$B$18,
AND(E11=1,I11="""",H11="""",Q11=""No"",G11&gt;SUMIF(Info!$A$2:A81,C11,Info!$B$2:B81)*1."&amp;"5),
MIN(SUMIF(Info!$A$2:A81,C11,Info!$B$2:B81)*1.1,SUMIF(Info!$A$2:A81,C11,Info!$B$2:B81)*(1.15-(0.15*(SUMIF(Info!$A$2:A81,C11,Info!$B$2:B81)*1.5)/G11))),
AND(E11=1,I11="""",H11="""",Q11=""Yes"",G11&gt;SUMIF(Info!$A$2:A81,C11,Info!$C$2:C81)*1.5),
MIN(SUMIF(I"&amp;"nfo!$A$2:A81,C11,Info!$C$2:C81)*1.1,SUMIF(Info!$A$2:A81,C11,Info!$C$2:C81)*(1.15-(0.15*(SUMIF(Info!$A$2:A81,C11,Info!$C$2:C81)*1.5)/G11))),
Q11=""No"",SUMIF(Info!$A$2:A81,C11,Info!$B$2:B81),
Q11=""Yes"",SUMIF(Info!$A$2:A81,C11,Info!$C$2:C81))"),"")</f>
        <v/>
      </c>
      <c r="Z11" s="57" t="str">
        <f>IFS(OR(COUNTIF(Info!$A$22:A81,C11)&gt;0,C11=""),"",
AND(OR("3x3 FMC"=C11,"3x3 MBLD"=C11),I11&lt;&gt;""),1,
AND(OR(H11&lt;&gt;"",I11&lt;&gt;""),F11="Avg of 5"),2,
F11="Avg of 5",AA11,
AND(OR(H11&lt;&gt;"",I11&lt;&gt;""),F11="Mean of 3",C11="6x6 / 7x7"),2,
AND(OR(H11&lt;&gt;"",I11&lt;&gt;""),F11="Mean of 3"),1,
F11="Mean of 3",AA11,
AND(OR(H11&lt;&gt;"",I11&lt;&gt;""),F11="Best of 3",C11="4x4 / 5x5 BLD"),2,
AND(OR(H11&lt;&gt;"",I11&lt;&gt;""),F11="Best of 3"),1,
F11="Best of 2",AA11,
F11="Best of 1",AA11)</f>
        <v/>
      </c>
      <c r="AA11" s="57" t="str">
        <f>IFS(OR(COUNTIF(Info!$A$22:A81,C11)&gt;0,C11=""),"",
AND(OR("3x3 MBLD"=C11,"3x3 FMC"=C11),F11="Best of 1"=TRUE),1,
AND(OR("3x3 MBLD"=C11,"3x3 FMC"=C11),F11="Best of 2"=TRUE),2,
AND(OR("3x3 MBLD"=C11,"3x3 FMC"=C11),OR(F11="Best of 3",F11="Mean of 3")=TRUE),3,
AND(F11="Mean of 3",C11="6x6 / 7x7"),6,
AND(F11="Best of 3",C11="4x4 / 5x5 BLD"),6,
F11="Avg of 5",5,F11="Mean of 3",3,F11="Best of 3",3,F11="Best of 2",2,F11="Best of 1",1)</f>
        <v/>
      </c>
      <c r="AB11" s="58"/>
    </row>
    <row r="12">
      <c r="A12" s="40">
        <f>IFERROR(__xludf.DUMMYFUNCTION("IFS(indirect(""A""&amp;row()-1)=""Start"",TIME(indirect(""A""&amp;row()-2),indirect(""B""&amp;row()-2),0),
$O$2=""No"",TIME(0,($A$6*60+$B$6)+CEILING(SUM($L$7:indirect(""L""&amp;row()-1)),5),0),
D12=$E$2,TIME(0,($A$6*60+$B$6)+CEILING(SUM(IFERROR(FILTER($L$7:indirect(""L"""&amp;"&amp;row()-1),REGEXMATCH($D$7:indirect(""D""&amp;row()-1),$E$2)),0)),5),0),
TRUE,""=time(hh;mm;ss)"")"),0.4166666666666667)</f>
        <v>0.4166666667</v>
      </c>
      <c r="B12" s="41">
        <f>IFERROR(__xludf.DUMMYFUNCTION("IFS($O$2=""No"",TIME(0,($A$6*60+$B$6)+CEILING(SUM($L$7:indirect(""L""&amp;row())),5),0),
D12=$E$2,TIME(0,($A$6*60+$B$6)+CEILING(SUM(FILTER($L$7:indirect(""L""&amp;row()),REGEXMATCH($D$7:indirect(""D""&amp;row()),$E$2))),5),0),
A12=""=time(hh;mm;ss)"",CONCATENATE(""Sk"&amp;"riv tid i A""&amp;row()),
AND(A12&lt;&gt;"""",A12&lt;&gt;""=time(hh;mm;ss)""),A12+TIME(0,CEILING(indirect(""L""&amp;row()),5),0))"),0.4166666666666667)</f>
        <v>0.4166666667</v>
      </c>
      <c r="C12" s="42"/>
      <c r="D12" s="43" t="str">
        <f t="shared" si="2"/>
        <v>Stora salen</v>
      </c>
      <c r="E12" s="43" t="str">
        <f>IFERROR(__xludf.DUMMYFUNCTION("IFS(COUNTIF(Info!$A$22:A81,C12)&gt;0,"""",
AND(OR(""3x3 FMC""=C12,""3x3 MBLD""=C12),COUNTIF($C$7:indirect(""C""&amp;row()),indirect(""C""&amp;row()))&gt;=13),""E - Error"",
AND(OR(""3x3 FMC""=C12,""3x3 MBLD""=C12),COUNTIF($C$7:indirect(""C""&amp;row()),indirect(""C""&amp;row()"&amp;"))=12),""Final - A3"",
AND(OR(""3x3 FMC""=C12,""3x3 MBLD""=C12),COUNTIF($C$7:indirect(""C""&amp;row()),indirect(""C""&amp;row()))=11),""Final - A2"",
AND(OR(""3x3 FMC""=C12,""3x3 MBLD""=C12),COUNTIF($C$7:indirect(""C""&amp;row()),indirect(""C""&amp;row()))=10),""Final - "&amp;"A1"",
AND(OR(""3x3 FMC""=C12,""3x3 MBLD""=C12),COUNTIF($C$7:indirect(""C""&amp;row()),indirect(""C""&amp;row()))=9,
COUNTIF($C$7:$C$61,indirect(""C""&amp;row()))&gt;9),""R3 - A3"",
AND(OR(""3x3 FMC""=C12,""3x3 MBLD""=C12),COUNTIF($C$7:indirect(""C""&amp;row()),indirect(""C"&amp;"""&amp;row()))=9,
COUNTIF($C$7:$C$61,indirect(""C""&amp;row()))&lt;=9),""Final - A3"",
AND(OR(""3x3 FMC""=C12,""3x3 MBLD""=C12),COUNTIF($C$7:indirect(""C""&amp;row()),indirect(""C""&amp;row()))=8,
COUNTIF($C$7:$C$61,indirect(""C""&amp;row()))&gt;9),""R3 - A2"",
AND(OR(""3x3 FMC""="&amp;"C12,""3x3 MBLD""=C12),COUNTIF($C$7:indirect(""C""&amp;row()),indirect(""C""&amp;row()))=8,
COUNTIF($C$7:$C$61,indirect(""C""&amp;row()))&lt;=9),""Final - A2"",
AND(OR(""3x3 FMC""=C12,""3x3 MBLD""=C12),COUNTIF($C$7:indirect(""C""&amp;row()),indirect(""C""&amp;row()))=7,
COUNTIF("&amp;"$C$7:$C$61,indirect(""C""&amp;row()))&gt;9),""R3 - A1"",
AND(OR(""3x3 FMC""=C12,""3x3 MBLD""=C12),COUNTIF($C$7:indirect(""C""&amp;row()),indirect(""C""&amp;row()))=7,
COUNTIF($C$7:$C$61,indirect(""C""&amp;row()))&lt;=9),""Final - A1"",
AND(OR(""3x3 FMC""=C12,""3x3 MBLD""=C12),"&amp;"COUNTIF($C$7:indirect(""C""&amp;row()),indirect(""C""&amp;row()))=6,
COUNTIF($C$7:$C$61,indirect(""C""&amp;row()))&gt;6),""R2 - A3"",
AND(OR(""3x3 FMC""=C12,""3x3 MBLD""=C12),COUNTIF($C$7:indirect(""C""&amp;row()),indirect(""C""&amp;row()))=6,
COUNTIF($C$7:$C$61,indirect(""C""&amp;"&amp;"row()))&lt;=6),""Final - A3"",
AND(OR(""3x3 FMC""=C12,""3x3 MBLD""=C12),COUNTIF($C$7:indirect(""C""&amp;row()),indirect(""C""&amp;row()))=5,
COUNTIF($C$7:$C$61,indirect(""C""&amp;row()))&gt;6),""R2 - A2"",
AND(OR(""3x3 FMC""=C12,""3x3 MBLD""=C12),COUNTIF($C$7:indirect(""C"&amp;"""&amp;row()),indirect(""C""&amp;row()))=5,
COUNTIF($C$7:$C$61,indirect(""C""&amp;row()))&lt;=6),""Final - A2"",
AND(OR(""3x3 FMC""=C12,""3x3 MBLD""=C12),COUNTIF($C$7:indirect(""C""&amp;row()),indirect(""C""&amp;row()))=4,
COUNTIF($C$7:$C$61,indirect(""C""&amp;row()))&gt;6),""R2 - A1"&amp;""",
AND(OR(""3x3 FMC""=C12,""3x3 MBLD""=C12),COUNTIF($C$7:indirect(""C""&amp;row()),indirect(""C""&amp;row()))=4,
COUNTIF($C$7:$C$61,indirect(""C""&amp;row()))&lt;=6),""Final - A1"",
AND(OR(""3x3 FMC""=C12,""3x3 MBLD""=C12),COUNTIF($C$7:indirect(""C""&amp;row()),indirect("""&amp;"C""&amp;row()))=3),""R1 - A3"",
AND(OR(""3x3 FMC""=C12,""3x3 MBLD""=C12),COUNTIF($C$7:indirect(""C""&amp;row()),indirect(""C""&amp;row()))=2),""R1 - A2"",
AND(OR(""3x3 FMC""=C12,""3x3 MBLD""=C12),COUNTIF($C$7:indirect(""C""&amp;row()),indirect(""C""&amp;row()))=1),""R1 -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C12),ROUNDUP((FILTER(Info!$H$2:H81,Info!$A$2:A81=C12)/FILTER(Info!$H$2:H81,Info!$A$2:A81=$K$2))*$I$2)&gt;99),3,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C12),ROUNDUP((FILTER(Info!$H$2:H81,Info!$A$2:A81=C12)/FILTER(Info!$H$2:H81,Info!$A$2:A81=$K$2))*$I$2)&gt;15),2,
AND(COUNTIF($C$7:indirect(""C""&amp;row()),indirect(""C""&amp;row()))=2,COUNTIF($C$7:$C$61,indirect(""C""&amp;row()))=COUNTIF($C$7:indirect("""&amp;"C""&amp;row()),indirect(""C""&amp;row()))),""Final"",
COUNTIF($C$7:indirect(""C""&amp;row()),indirect(""C""&amp;row()))=1,1,
COUNTIF($C$7:indirect(""C""&amp;row()),indirect(""C""&amp;row()))=0,"""")"),"")</f>
        <v/>
      </c>
      <c r="F12" s="44" t="str">
        <f>IFERROR(__xludf.DUMMYFUNCTION("IFS(C12="""","""",
AND(C12=""3x3 FMC"",MOD(COUNTIF($C$7:indirect(""C""&amp;row()),indirect(""C""&amp;row())),3)=0),""Mean of 3"",
AND(C12=""3x3 MBLD"",MOD(COUNTIF($C$7:indirect(""C""&amp;row()),indirect(""C""&amp;row())),3)=0),""Best of 3"",
AND(C12=""3x3 FMC"",MOD(COUNT"&amp;"IF($C$7:indirect(""C""&amp;row()),indirect(""C""&amp;row())),3)=2,
COUNTIF($C$7:$C$61,indirect(""C""&amp;row()))&lt;=COUNTIF($C$7:indirect(""C""&amp;row()),indirect(""C""&amp;row()))),""Best of 2"",
AND(C12=""3x3 FMC"",MOD(COUNTIF($C$7:indirect(""C""&amp;row()),indirect(""C""&amp;row()"&amp;")),3)=2,
COUNTIF($C$7:$C$61,indirect(""C""&amp;row()))&gt;COUNTIF($C$7:indirect(""C""&amp;row()),indirect(""C""&amp;row()))),""Mean of 3"",
AND(C12=""3x3 MBLD"",MOD(COUNTIF($C$7:indirect(""C""&amp;row()),indirect(""C""&amp;row())),3)=2,
COUNTIF($C$7:$C$61,indirect(""C""&amp;row()))"&amp;"&lt;=COUNTIF($C$7:indirect(""C""&amp;row()),indirect(""C""&amp;row()))),""Best of 2"",
AND(C12=""3x3 MBLD"",MOD(COUNTIF($C$7:indirect(""C""&amp;row()),indirect(""C""&amp;row())),3)=2,
COUNTIF($C$7:$C$61,indirect(""C""&amp;row()))&gt;COUNTIF($C$7:indirect(""C""&amp;row()),indirect(""C"&amp;"""&amp;row()))),""Best of 3"",
AND(C12=""3x3 FMC"",MOD(COUNTIF($C$7:indirect(""C""&amp;row()),indirect(""C""&amp;row())),3)=1,
COUNTIF($C$7:$C$61,indirect(""C""&amp;row()))&lt;=COUNTIF($C$7:indirect(""C""&amp;row()),indirect(""C""&amp;row()))),""Best of 1"",
AND(C12=""3x3 FMC"",MOD"&amp;"(COUNTIF($C$7:indirect(""C""&amp;row()),indirect(""C""&amp;row())),3)=1,
COUNTIF($C$7:$C$61,indirect(""C""&amp;row()))=COUNTIF($C$7:indirect(""C""&amp;row()),indirect(""C""&amp;row()))+1),""Best of 2"",
AND(C12=""3x3 FMC"",MOD(COUNTIF($C$7:indirect(""C""&amp;row()),indirect(""C"&amp;"""&amp;row())),3)=1,
COUNTIF($C$7:$C$61,indirect(""C""&amp;row()))&gt;COUNTIF($C$7:indirect(""C""&amp;row()),indirect(""C""&amp;row()))),""Mean of 3"",
AND(C12=""3x3 MBLD"",MOD(COUNTIF($C$7:indirect(""C""&amp;row()),indirect(""C""&amp;row())),3)=1,
COUNTIF($C$7:$C$61,indirect(""C"""&amp;"&amp;row()))&lt;=COUNTIF($C$7:indirect(""C""&amp;row()),indirect(""C""&amp;row()))),""Best of 1"",
AND(C12=""3x3 MBLD"",MOD(COUNTIF($C$7:indirect(""C""&amp;row()),indirect(""C""&amp;row())),3)=1,
COUNTIF($C$7:$C$61,indirect(""C""&amp;row()))=COUNTIF($C$7:indirect(""C""&amp;row()),indir"&amp;"ect(""C""&amp;row()))+1),""Best of 2"",
AND(C12=""3x3 MBLD"",MOD(COUNTIF($C$7:indirect(""C""&amp;row()),indirect(""C""&amp;row())),3)=1,
COUNTIF($C$7:$C$61,indirect(""C""&amp;row()))&gt;COUNTIF($C$7:indirect(""C""&amp;row()),indirect(""C""&amp;row()))),""Best of 3"",
TRUE,(IFERROR("&amp;"FILTER(Info!$D$2:D81, Info!$A$2:A81 = C12), """")))"),"")</f>
        <v/>
      </c>
      <c r="G12" s="45" t="str">
        <f>IFERROR(__xludf.DUMMYFUNCTION("IFS(OR(COUNTIF(Info!$A$22:A81,C12)&gt;0,C12=""""),"""",
OR(""3x3 MBLD""=C12,""3x3 FMC""=C12),60,
AND(E12=1,FILTER(Info!$F$2:F81, Info!$A$2:A81 = C12) = ""No""),FILTER(Info!$P$2:P81, Info!$A$2:A81 = C12),
AND(E12=2,FILTER(Info!$F$2:F81, Info!$A$2:A81 = C12) ="&amp;" ""No""),FILTER(Info!$Q$2:Q81, Info!$A$2:A81 = C12),
AND(E12=3,FILTER(Info!$F$2:F81, Info!$A$2:A81 = C12) = ""No""),FILTER(Info!$R$2:R81, Info!$A$2:A81 = C12),
AND(E12=""Final"",FILTER(Info!$F$2:F81, Info!$A$2:A81 = C12) = ""No""),FILTER(Info!$S$2:S81, In"&amp;"fo!$A$2:A81 = C12),
FILTER(Info!$F$2:F81, Info!$A$2:A81 = C12) = ""Yes"","""")"),"")</f>
        <v/>
      </c>
      <c r="H12" s="45" t="str">
        <f>IFERROR(__xludf.DUMMYFUNCTION("IFS(OR(COUNTIF(Info!$A$22:A81,C12)&gt;0,C12=""""),"""",
OR(""3x3 MBLD""=C12,""3x3 FMC""=C12)=TRUE,"""",
FILTER(Info!$F$2:F81, Info!$A$2:A81 = C12) = ""Yes"",FILTER(Info!$O$2:O81, Info!$A$2:A81 = C12),
FILTER(Info!$F$2:F81, Info!$A$2:A81 = C12) = ""No"",IF(G1"&amp;"2="""",FILTER(Info!$O$2:O81, Info!$A$2:A81 = C12),""""))"),"")</f>
        <v/>
      </c>
      <c r="I12" s="45" t="str">
        <f>IFERROR(__xludf.DUMMYFUNCTION("IFS(OR(COUNTIF(Info!$A$22:A81,C12)&gt;0,C12="""",H12&lt;&gt;""""),"""",
AND(E12&lt;&gt;1,E12&lt;&gt;""R1 - A1"",E12&lt;&gt;""R1 - A2"",E12&lt;&gt;""R1 - A3""),"""",
FILTER(Info!$E$2:E81, Info!$A$2:A81 = C12) = ""Yes"",IF(H12="""",FILTER(Info!$L$2:L81, Info!$A$2:A81 = C12),""""),
FILTER(I"&amp;"nfo!$E$2:E81, Info!$A$2:A81 = C12) = ""No"","""")"),"")</f>
        <v/>
      </c>
      <c r="J12" s="45" t="str">
        <f>IFERROR(__xludf.DUMMYFUNCTION("IFS(OR(COUNTIF(Info!$A$22:A81,C12)&gt;0,C12="""",""3x3 MBLD""=C12,""3x3 FMC""=C12),"""",
AND(E12=1,FILTER(Info!$H$2:H81,Info!$A$2:A81 = C12)&lt;=FILTER(Info!$H$2:H81,Info!$A$2:A81=$K$2)),
ROUNDUP((FILTER(Info!$H$2:H81,Info!$A$2:A81 = C12)/FILTER(Info!$H$2:H81,I"&amp;"nfo!$A$2:A81=$K$2))*$I$2),
AND(E12=1,FILTER(Info!$H$2:H81,Info!$A$2:A81 = C12)&gt;FILTER(Info!$H$2:H81,Info!$A$2:A81=$K$2)),""K2 - Error"",
AND(E12=2,FILTER($J$7:indirect(""J""&amp;row()-1),$C$7:indirect(""C""&amp;row()-1)=C12)&lt;=7),""J - Error"",
E12=2,FLOOR(FILTER("&amp;"$J$7:indirect(""J""&amp;row()-1),$C$7:indirect(""C""&amp;row()-1)=C12)*Info!$T$32),
AND(E12=3,FILTER($J$7:indirect(""J""&amp;row()-1),$C$7:indirect(""C""&amp;row()-1)=C12)&lt;=15),""J - Error"",
E12=3,FLOOR(Info!$T$32*FLOOR(FILTER($J$7:indirect(""J""&amp;row()-1),$C$7:indirect("&amp;"""C""&amp;row()-1)=C12)*Info!$T$32)),
AND(E12=""Final"",COUNTIF($C$7:$C$61,C12)=2,FILTER($J$7:indirect(""J""&amp;row()-1),$C$7:indirect(""C""&amp;row()-1)=C12)&lt;=7),""J - Error"",
AND(E12=""Final"",COUNTIF($C$7:$C$61,C12)=2),
MIN(P12,FLOOR(FILTER($J$7:indirect(""J""&amp;r"&amp;"ow()-1),$C$7:indirect(""C""&amp;row()-1)=C12)*Info!$T$32)),
AND(E12=""Final"",COUNTIF($C$7:$C$61,C12)=3,FILTER($J$7:indirect(""J""&amp;row()-1),$C$7:indirect(""C""&amp;row()-1)=C12)&lt;=15),""J - Error"",
AND(E12=""Final"",COUNTIF($C$7:$C$61,C12)=3),
MIN(P12,FLOOR(Info!"&amp;"$T$32*FLOOR(FILTER($J$7:indirect(""J""&amp;row()-1),$C$7:indirect(""C""&amp;row()-1)=C12)*Info!$T$32))),
AND(E12=""Final"",COUNTIF($C$7:$C$61,C12)&gt;=4,FILTER($J$7:indirect(""J""&amp;row()-1),$C$7:indirect(""C""&amp;row()-1)=C12)&lt;=99),""J - Error"",
AND(E12=""Final"",COUNT"&amp;"IF($C$7:$C$61,C12)&gt;=4),
MIN(P12,FLOOR(Info!$T$32*FLOOR(Info!$T$32*FLOOR(FILTER($J$7:indirect(""J""&amp;row()-1),$C$7:indirect(""C""&amp;row()-1)=C12)*Info!$T$32)))))"),"")</f>
        <v/>
      </c>
      <c r="K12" s="46" t="str">
        <f>IFERROR(__xludf.DUMMYFUNCTION("IFS(AND(indirect(""D""&amp;row()+2)&lt;&gt;$E$2,indirect(""D""&amp;row()+1)=""""),CONCATENATE(""Tom rad! Kopiera hela rad ""&amp;row()&amp;"" dit""),
AND(indirect(""D""&amp;row()-1)&lt;&gt;""Rum"",indirect(""D""&amp;row()-1)=""""),CONCATENATE(""Tom rad! Kopiera hela rad ""&amp;row()&amp;"" dit""),
"&amp;"C12="""","""",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OR(AND(D12&lt;&gt;$E$2,D12&lt;&gt;$E$4,D12&lt;&gt;$K$4,D12&lt;&gt;$Q$4),D12="&amp;"""""),CONCATENATE(""Rum: ""&amp;D12&amp;"" finns ej, byt i D""&amp;row()),
AND(indirect(""D""&amp;row()-1)=""Rum"",C12=""""),CONCATENATE(""För att börja: skriv i cell C""&amp;row()),
AND(C12=""Paus"",M12&lt;=0),CONCATENATE(""Skriv pausens längd i M""&amp;row()),
OR(COUNTIF(Info!$A$"&amp;"22:A81,C12)&gt;0,C12=""""),"""",
AND(D12&lt;&gt;$E$2,$O$2=""Yes"",A12=""=time(hh;mm;ss)""),CONCATENATE(""Skriv starttid för ""&amp;C12&amp;"" i A""&amp;row()),
E12=""E - Error"",CONCATENATE(""För många ""&amp;C12&amp;"" rundor!""),
AND(C12&lt;&gt;""3x3 FMC"",C12&lt;&gt;""3x3 MBLD"",E12&lt;&gt;1,E12&lt;&gt;"&amp;"""Final"",IFERROR(FILTER($E$7:indirect(""E""&amp;row()-1),
$E$7:indirect(""E""&amp;row()-1)=E12-1,$C$7:indirect(""C""&amp;row()-1)=C12))=FALSE),CONCATENATE(""Kan ej vara R""&amp;E12&amp;"", saknar R""&amp;(E12-1)),
AND(indirect(""E""&amp;row()-1)&lt;&gt;""Omgång"",IFERROR(FILTER($E$7:indi"&amp;"rect(""E""&amp;row()-1),
$E$7:indirect(""E""&amp;row()-1)=E12,$C$7:indirect(""C""&amp;row()-1)=C12)=E12)=TRUE),CONCATENATE(""Runda ""&amp;E12&amp;"" i ""&amp;C12&amp;"" finns redan""),
AND(C12&lt;&gt;""3x3 BLD"",C12&lt;&gt;""4x4 BLD"",C12&lt;&gt;""5x5 BLD"",C12&lt;&gt;""4x4 / 5x5 BLD"",OR(E12=2,E12=3,E12="&amp;"""Final""),H12&lt;&gt;""""),CONCATENATE(E12&amp;""-rundor brukar ej ha c.t.l.""),
AND(OR(E12=2,E12=3,E12=""Final""),I12&lt;&gt;""""),CONCATENATE(E12&amp;""-rundor brukar ej ha cutoff""),
AND(OR(C12=""3x3 FMC"",C12=""3x3 MBLD""),OR(E12=1,E12=2,E12=3,E12=""Final"")),CONCATENAT"&amp;"E(C12&amp;""s omgång är Rx - Ax""),
AND(C12&lt;&gt;""3x3 MBLD"",C12&lt;&gt;""3x3 FMC"",FILTER(Info!$D$2:D81, Info!$A$2:A81 = C12)&lt;&gt;F12),CONCATENATE(C12&amp;"" måste ha formatet ""&amp;FILTER(Info!$D$2:D81, Info!$A$2:A81 = C12)),
AND(C12=""3x3 MBLD"",OR(F12=""Avg of 5"",F12=""Mea"&amp;"n of 3"")),CONCATENATE(""Ogiltigt format för ""&amp;C12),
AND(C12=""3x3 FMC"",OR(F12=""Avg of 5"",F12=""Best of 3"")),CONCATENATE(""Ogiltigt format för ""&amp;C12),
AND(OR(F12=""Best of 1"",F12=""Best of 2"",F12=""Best of 3""),I12&lt;&gt;""""),CONCATENATE(F12&amp;""-rundor"&amp;" får ej ha cutoff""),
AND(OR(C12=""3x3 FMC"",C12=""3x3 MBLD""),G12&lt;&gt;60),CONCATENATE(C12&amp;"" måste ha time limit: 60""),
AND(OR(C12=""3x3 FMC"",C12=""3x3 MBLD""),H12&lt;&gt;""""),CONCATENATE(C12&amp;"" kan inte ha c.t.l.""),
AND(G12&lt;&gt;"""",H12&lt;&gt;""""),""Välj time limit"&amp;" ELLER c.t.l"",
AND(C12=""6x6 / 7x7"",G12="""",H12=""""),""Sätt time limit (x / y) eller c.t.l (z)"",
AND(G12="""",H12=""""),""Sätt en time limit eller c.t.l"",
AND(OR(C12=""6x6 / 7x7"",C12=""4x4 / 5x5 BLD""),G12&lt;&gt;"""",REGEXMATCH(TO_TEXT(G12),"" / "")=FAL"&amp;"SE),CONCATENATE(""Time limit måste vara x / y""),
AND(H12&lt;&gt;"""",I12&lt;&gt;""""),CONCATENATE(C12&amp;"" brukar ej ha cutoff OCH c.t.l""),
AND(E12=1,H12="""",I12="""",OR(FILTER(Info!$E$2:E81, Info!$A$2:A81 = C12) = ""Yes"",FILTER(Info!$F$2:F81, Info!$A$2:A81 = C12) "&amp;"= ""Yes""),OR(F12=""Avg of 5"",F12=""Mean of 3"")),CONCATENATE(C12&amp;"" bör ha cutoff eller c.t.l""),
AND(C12=""6x6 / 7x7"",I12&lt;&gt;"""",REGEXMATCH(TO_TEXT(I12),"" / "")=FALSE),CONCATENATE(""Cutoff måste vara x / y""),
AND(H12&lt;&gt;"""",ISNUMBER(H12)=FALSE),""C.t."&amp;"l. måste vara positivt tal (x)"",
AND(C12&lt;&gt;""6x6 / 7x7"",I12&lt;&gt;"""",ISNUMBER(I12)=FALSE),""Cutoff måste vara positivt tal (x)"",
AND(H12&lt;&gt;"""",FILTER(Info!$E$2:E81, Info!$A$2:A81 = C12) = ""No"",FILTER(Info!$F$2:F81, Info!$A$2:A81 = C12) = ""No""),CONCATEN"&amp;"ATE(C12&amp;"" brukar inte ha c.t.l.""),
AND(I12&lt;&gt;"""",FILTER(Info!$E$2:E81, Info!$A$2:A81 = C12) = ""No"",FILTER(Info!$F$2:F81, Info!$A$2:A81 = C12) = ""No""),CONCATENATE(C12&amp;"" brukar inte ha cutoff""),
AND(H12="""",FILTER(Info!$F$2:F81, Info!$A$2:A81 = C12"&amp;") = ""Yes""),CONCATENATE(C12&amp;"" brukar ha c.t.l.""),
AND(C12&lt;&gt;""6x6 / 7x7"",C12&lt;&gt;""4x4 / 5x5 BLD"",G12&lt;&gt;"""",ISNUMBER(G12)=FALSE),""Time limit måste vara positivt tal (x)"",
J12=""J - Error"",CONCATENATE(""För få deltagare i R1 för ""&amp;COUNTIF($C$7:$C$61,i"&amp;"ndirect(""C""&amp;row()))&amp;"" rundor""),
J12=""K2 - Error"",CONCATENATE(C12&amp;"" är mer populär - byt i K2!""),
AND(C12&lt;&gt;""6x6 / 7x7"",C12&lt;&gt;""4x4 / 5x5 BLD"",G12&lt;&gt;"""",I12&lt;&gt;"""",G12&lt;=I12),""Time limit måste vara &gt; cutoff"",
AND(C12&lt;&gt;""6x6 / 7x7"",C12&lt;&gt;""4x4 / 5x"&amp;"5 BLD"",H12&lt;&gt;"""",I12&lt;&gt;"""",H12&lt;=I12),""C.t.l. måste vara &gt; cutoff"",
AND(C12&lt;&gt;""3x3 FMC"",C12&lt;&gt;""3x3 MBLD"",J12=""""),CONCATENATE(""Fyll i antal deltagare i J""&amp;row()),
AND(C12="""",OR(E12&lt;&gt;"""",F12&lt;&gt;"""",G12&lt;&gt;"""",H12&lt;&gt;"""",I12&lt;&gt;"""",J12&lt;&gt;"""")),""Skriv"&amp;" ALLTID gren / aktivitet först"",
AND(I12="""",H12="""",J12&lt;&gt;""""),J12,
OR(""3x3 FMC""=C12,""3x3 MBLD""=C12),J12,
AND(I12&lt;&gt;"""",""6x6 / 7x7""=C12),
IFS(ArrayFormula(SUM(IFERROR(SPLIT(I12,"" / ""))))&lt;(Info!$J$6+Info!$J$7)*2/3,CONCATENATE(""Höj helst cutoff"&amp;"s i ""&amp;C12),
ArrayFormula(SUM(IFERROR(SPLIT(I12,"" / ""))))&lt;=(Info!$J$6+Info!$J$7),ROUNDUP(J12*Info!$J$22),
ArrayFormula(SUM(IFERROR(SPLIT(I12,"" / ""))))&lt;=Info!$J$6+Info!$J$7,ROUNDUP(J12*Info!$K$22),
ArrayFormula(SUM(IFERROR(SPLIT(I12,"" / ""))))&lt;=Info!$"&amp;"K$6+Info!$K$7,ROUNDUP(J12*Info!L$22),
ArrayFormula(SUM(IFERROR(SPLIT(I12,"" / ""))))&lt;=Info!$L$6+Info!$L$7,ROUNDUP(J12*Info!$M$22),
ArrayFormula(SUM(IFERROR(SPLIT(I12,"" / ""))))&lt;=Info!$M$6+Info!$M$7,ROUNDUP(J12*Info!$N$22),
ArrayFormula(SUM(IFERROR(SPLIT("&amp;"I12,"" / ""))))&lt;=(Info!$N$6+Info!$N$7)*3/2,ROUNDUP(J12*Info!$J$26),
ArrayFormula(SUM(IFERROR(SPLIT(I12,"" / ""))))&gt;(Info!$N$6+Info!$N$7)*3/2,CONCATENATE(""Sänk helst cutoffs i ""&amp;C12)),
AND(I12&lt;&gt;"""",FILTER(Info!$E$2:E81, Info!$A$2:A81 = C12) = ""Yes""),
"&amp;"IFS(I12&lt;FILTER(Info!$J$2:J81, Info!$A$2:A81 = C12)*2/3,CONCATENATE(""Höj helst cutoff i ""&amp;C12),
I12&lt;=FILTER(Info!$J$2:J81, Info!$A$2:A81 = C12),ROUNDUP(J12*Info!$J$22),
I12&lt;=FILTER(Info!$K$2:K81, Info!$A$2:A81 = C12),ROUNDUP(J12*Info!$K$22),
I12&lt;=FILTER("&amp;"Info!$L$2:L81, Info!$A$2:A81 = C12),ROUNDUP(J12*Info!L$22),
I12&lt;=FILTER(Info!$M$2:M81, Info!$A$2:A81 = C12),ROUNDUP(J12*Info!$M$22),
I12&lt;=FILTER(Info!$N$2:N81, Info!$A$2:A81 = C12),ROUNDUP(J12*Info!$N$22),
I12&lt;=FILTER(Info!$N$2:N81, Info!$A$2:A81 = C12)*3"&amp;"/2,ROUNDUP(J12*Info!$J$26),
I12&gt;FILTER(Info!$N$2:N81, Info!$A$2:A81 = C12)*3/2,CONCATENATE(""Sänk helst cutoff i ""&amp;C12)),
AND(H12&lt;&gt;"""",""6x6 / 7x7""=C12),
IFS(H12/3&lt;=(Info!$J$6+Info!$J$7)*2/3,""Höj helst cumulative time limit"",
H12/3&lt;=Info!$J$6+Info!$J"&amp;"$7,ROUNDUP(J12*Info!$J$24),
H12/3&lt;=Info!$K$6+Info!$K$7,ROUNDUP(J12*Info!$K$24),
H12/3&lt;=Info!$L$6+Info!$L$7,ROUNDUP(J12*Info!L$24),
H12/3&lt;=Info!$M$6+Info!$M$7,ROUNDUP(J12*Info!$M$24),
H12/3&lt;=Info!$N$6+Info!$N$7,ROUNDUP(J12*Info!$N$24),
H12/3&lt;=(Info!$N$6+In"&amp;"fo!$N$7)*3/2,ROUNDUP(J12*Info!$L$26),
H12/3&gt;(Info!$J$6+Info!$J$7)*3/2,""Sänk helst cumulative time limit""),
AND(H12&lt;&gt;"""",FILTER(Info!$F$2:F81, Info!$A$2:A81 = C12) = ""Yes""),
IFS(H12&lt;=FILTER(Info!$J$2:J81, Info!$A$2:A81 = C12)*2/3,CONCATENATE(""Höj hel"&amp;"st c.t.l. i ""&amp;C12),
H12&lt;=FILTER(Info!$J$2:J81, Info!$A$2:A81 = C12),ROUNDUP(J12*Info!$J$24),
H12&lt;=FILTER(Info!$K$2:K81, Info!$A$2:A81 = C12),ROUNDUP(J12*Info!$K$24),
H12&lt;=FILTER(Info!$L$2:L81, Info!$A$2:A81 = C12),ROUNDUP(J12*Info!L$24),
H12&lt;=FILTER(Info"&amp;"!$M$2:M81, Info!$A$2:A81 = C12),ROUNDUP(J12*Info!$M$24),
H12&lt;=FILTER(Info!$N$2:N81, Info!$A$2:A81 = C12),ROUNDUP(J12*Info!$N$24),
H12&lt;=FILTER(Info!$N$2:N81, Info!$A$2:A81 = C12)*3/2,ROUNDUP(J12*Info!$L$26),
H12&gt;FILTER(Info!$N$2:N81, Info!$A$2:A81 = C12)*3"&amp;"/2,CONCATENATE(""Sänk helst c.t.l. i ""&amp;C12)),
AND(H12&lt;&gt;"""",FILTER(Info!$F$2:F81, Info!$A$2:A81 = C12) = ""No""),
IFS(H12/AA12&lt;=FILTER(Info!$J$2:J81, Info!$A$2:A81 = C12)*2/3,CONCATENATE(""Höj helst c.t.l. i ""&amp;C12),
H12/AA12&lt;=FILTER(Info!$J$2:J81, Info!"&amp;"$A$2:A81 = C12),ROUNDUP(J12*Info!$J$24),
H12/AA12&lt;=FILTER(Info!$K$2:K81, Info!$A$2:A81 = C12),ROUNDUP(J12*Info!$K$24),
H12/AA12&lt;=FILTER(Info!$L$2:L81, Info!$A$2:A81 = C12),ROUNDUP(J12*Info!L$24),
H12/AA12&lt;=FILTER(Info!$M$2:M81, Info!$A$2:A81 = C12),ROUNDU"&amp;"P(J12*Info!$M$24),
H12/AA12&lt;=FILTER(Info!$N$2:N81, Info!$A$2:A81 = C12),ROUNDUP(J12*Info!$N$24),
H12/AA12&lt;=FILTER(Info!$N$2:N81, Info!$A$2:A81 = C12)*3/2,ROUNDUP(J12*Info!$L$26),
H12/AA12&gt;FILTER(Info!$N$2:N81, Info!$A$2:A81 = C12)*3/2,CONCATENATE(""Sänk h"&amp;"elst c.t.l. i ""&amp;C12)),
AND(I12="""",H12&lt;&gt;"""",J12&lt;&gt;""""),ROUNDUP(J12*Info!$T$29),
AND(I12&lt;&gt;"""",H12="""",J12&lt;&gt;""""),ROUNDUP(J12*Info!$T$26))"),"")</f>
        <v/>
      </c>
      <c r="L12" s="47">
        <f>IFERROR(__xludf.DUMMYFUNCTION("IFS(C12="""",0,
C12=""3x3 FMC"",Info!$B$9*N12+M12, C12=""3x3 MBLD"",Info!$B$18*N12+M12,
COUNTIF(Info!$A$22:A81,C12)&gt;0,FILTER(Info!$B$22:B81,Info!$A$22:A81=C12)+M12,
AND(C12&lt;&gt;"""",E12=""""),CONCATENATE(""Fyll i E""&amp;row()),
AND(C12&lt;&gt;"""",E12&lt;&gt;"""",E12&lt;&gt;1,E1"&amp;"2&lt;&gt;2,E12&lt;&gt;3,E12&lt;&gt;""Final""),CONCATENATE(""Fel format på E""&amp;row()),
K12=CONCATENATE(""Runda ""&amp;E12&amp;"" i ""&amp;C12&amp;"" finns redan""),CONCATENATE(""Fel i E""&amp;row()),
AND(C12&lt;&gt;"""",F12=""""),CONCATENATE(""Fyll i F""&amp;row()),
K12=CONCATENATE(C12&amp;"" måste ha forma"&amp;"tet ""&amp;FILTER(Info!$D$2:D81, Info!$A$2:A81 = C12)),CONCATENATE(""Fel format på F""&amp;row()),
AND(C12&lt;&gt;"""",D12=1,H12="""",FILTER(Info!$F$2:F81, Info!$A$2:A81 = C12) = ""Yes""),CONCATENATE(""Fyll i H""&amp;row()),
AND(C12&lt;&gt;"""",D12=1,I12="""",FILTER(Info!$E$2:E8"&amp;"1, Info!$A$2:A81 = C12) = ""Yes""),CONCATENATE(""Fyll i I""&amp;row()),
AND(C12&lt;&gt;"""",J12=""""),CONCATENATE(""Fyll i J""&amp;row()),
AND(C12&lt;&gt;"""",K12="""",OR(H12&lt;&gt;"""",I12&lt;&gt;"""")),CONCATENATE(""Fyll i K""&amp;row()),
AND(C12&lt;&gt;"""",K12=""""),CONCATENATE(""Skriv samma"&amp;" i K""&amp;row()&amp;"" som i J""&amp;row()),
AND(OR(C12=""4x4 BLD"",C12=""5x5 BLD"",C12=""4x4 / 5x5 BLD"")=TRUE,V12&lt;=P12),
MROUND(H12*(Info!$T$20-((Info!$T$20-1)/2)*(1-V12/P12))*(1+((J12/K12)-1)*(1-Info!$J$24))*N12+(Info!$T$11/2)+(N12*Info!$T$11)+(N12*Info!$T$14*(O1"&amp;"2-1)),0.01)+M12,
AND(OR(C12=""4x4 BLD"",C12=""5x5 BLD"",C12=""4x4 / 5x5 BLD"")=TRUE,V12&gt;P12),
MROUND((((J12*Z12+K12*(AA12-Z12))*(H12*Info!$T$20/AA12))/X12)*(1+((J12/K12)-1)*(1-Info!$J$24))*(1+(X12-Info!$T$8)/100)+(Info!$T$11/2)+(N12*Info!$T$11)+(N12*Info!"&amp;"$T$14*(O12-1)),0.01)+M12,
AND(C12=""3x3 BLD"",V12&lt;=P12),
MROUND(H12*(Info!$T$23-((Info!$T$23-1)/2)*(1-V12/P12))*(1+((J12/K12)-1)*(1-Info!$J$24))*N12+(Info!$T$11/2)+(N12*Info!$T$11)+(N12*Info!$T$14*(O12-1)),0.01)+M12,
AND(C12=""3x3 BLD"",V12&gt;P12),
MROUND(("&amp;"((J12*Z12+K12*(AA12-Z12))*(H12*Info!$T$23/AA12))/X12)*(1+((J12/K12)-1)*(1-Info!$J$24))*(1+(X12-Info!$T$8)/100)+(Info!$T$11/2)+(N12*Info!$T$11)+(N12*Info!$T$14*(O12-1)),0.01)+M12,
E12=1,MROUND((((J12*Z12+K12*(AA12-Z12))*Y12)/X12)*(1+(X12-Info!$T$8)/100)+(N"&amp;"12*Info!$T$11)+(N12*Info!$T$14*(O12-1)),0.01)+M12,
AND(E12=""Final"",N12=1,FILTER(Info!$G$2:$G$20,Info!$A$2:$A$20=C12)=""Mycket svår""),
MROUND((((J12*Z12+K12*(AA12-Z12))*(Y12*Info!$T$38))/X12)*(1+(X12-Info!$T$8)/100)+(N12*Info!$T$11)+(N12*Info!$T$14*(O12"&amp;"-1)),0.01)+M12,
AND(E12=""Final"",N12=1,FILTER(Info!$G$2:$G$20,Info!$A$2:$A$20=C12)=""Svår""),
MROUND((((J12*Z12+K12*(AA12-Z12))*(Y12*Info!$T$35))/X12)*(1+(X12-Info!$T$8)/100)+(N12*Info!$T$11)+(N12*Info!$T$14*(O12-1)),0.01)+M12,
E12=""Final"",MROUND((((J1"&amp;"2*Z12+K12*(AA12-Z12))*(Y12*Info!$T$5))/X12)*(1+(X12-Info!$T$8)/100)+(N12*Info!$T$11)+(N12*Info!$T$14*(O12-1)),0.01)+M12,
OR(E12=2,E12=3),MROUND((((J12*Z12+K12*(AA12-Z12))*(Y12*Info!$T$2))/X12)*(1+(X12-Info!$T$8)/100)+(N12*Info!$T$11)+(N12*Info!$T$14*(O12-"&amp;"1)),0.01)+M12)"),0.0)</f>
        <v>0</v>
      </c>
      <c r="M12" s="48">
        <f t="shared" si="1"/>
        <v>0</v>
      </c>
      <c r="N12" s="48" t="str">
        <f>IFS(OR(COUNTIF(Info!$A$22:A81,C12)&gt;0,C12=""),"",
OR(C12="4x4 BLD",C12="5x5 BLD",C12="3x3 MBLD",C12="3x3 FMC",C12="4x4 / 5x5 BLD"),1,
AND(E12="Final",Q12="Yes",MAX(1,ROUNDUP(J12/P12))&gt;1),MAX(2,ROUNDUP(J12/P12)),
AND(E12="Final",Q12="No",MAX(1,ROUNDUP(J12/((P12*2)+2.625-Y12*1.5)))&gt;1),MAX(2,ROUNDUP(J12/((P12*2)+2.625-Y12*1.5))),
E12="Final",1,
Q12="Yes",MAX(2,ROUNDUP(J12/P12)),
TRUE,MAX(2,ROUNDUP(J12/((P12*2)+2.625-Y12*1.5))))</f>
        <v/>
      </c>
      <c r="O12" s="48" t="str">
        <f>IFS(OR(COUNTIF(Info!$A$22:A81,C12)&gt;0,C12=""),"",
OR("3x3 MBLD"=C12,"3x3 FMC"=C12)=TRUE,"",
D12=$E$4,$G$6,D12=$K$4,$M$6,D12=$Q$4,$S$6,D12=$W$4,$Y$6,
TRUE,$S$2)</f>
        <v/>
      </c>
      <c r="P12" s="48" t="str">
        <f>IFS(OR(COUNTIF(Info!$A$22:A81,C12)&gt;0,C12=""),"",
OR("3x3 MBLD"=C12,"3x3 FMC"=C12)=TRUE,"",
D12=$E$4,$E$6,D12=$K$4,$K$6,D12=$Q$4,$Q$6,D12=$W$4,$W$6,
TRUE,$Q$2)</f>
        <v/>
      </c>
      <c r="Q12" s="49" t="str">
        <f>IFS(OR(COUNTIF(Info!$A$22:A81,C12)&gt;0,C12=""),"",
OR("3x3 MBLD"=C12,"3x3 FMC"=C12)=TRUE,"",
D12=$E$4,$I$6,D12=$K$4,$O$6,D12=$Q$4,$U$6,D12=$W$4,$AA$6,
TRUE,$U$2)</f>
        <v/>
      </c>
      <c r="R12" s="50" t="str">
        <f>IFERROR(__xludf.DUMMYFUNCTION("IF(C12="""","""",IFERROR(FILTER(Info!$B$22:B81,Info!$A$22:A81=C12)+M12,""?""))"),"")</f>
        <v/>
      </c>
      <c r="S12" s="51" t="str">
        <f>IFS(OR(COUNTIF(Info!$A$22:A81,C12)&gt;0,C12=""),"",
AND(H12="",I12=""),J12,
TRUE,"?")</f>
        <v/>
      </c>
      <c r="T12" s="52" t="str">
        <f>IFS(OR(COUNTIF(Info!$A$22:A81,C12)&gt;0,C12=""),"",
AND(L12&lt;&gt;0,OR(R12="?",R12="")),"Fyll i R-kolumnen",
OR(C12="3x3 FMC",C12="3x3 MBLD"),R12,
AND(L12&lt;&gt;0,OR(S12="?",S12="")),"Fyll i S-kolumnen",
OR(COUNTIF(Info!$A$22:A81,C12)&gt;0,C12=""),"",
TRUE,Y12*R12/L12)</f>
        <v/>
      </c>
      <c r="U12" s="52"/>
      <c r="V12" s="53" t="str">
        <f>IFS(OR(COUNTIF(Info!$A$22:A81,C12)&gt;0,C12=""),"",
OR("3x3 MBLD"=C12,"3x3 FMC"=C12)=TRUE,"",
TRUE,MROUND((J12/N12),0.01))</f>
        <v/>
      </c>
      <c r="W12" s="54" t="str">
        <f>IFS(OR(COUNTIF(Info!$A$22:A81,C12)&gt;0,C12=""),"",
TRUE,L12/N12)</f>
        <v/>
      </c>
      <c r="X12" s="55" t="str">
        <f>IFS(OR(COUNTIF(Info!$A$22:A81,C12)&gt;0,C12=""),"",
OR("3x3 MBLD"=C12,"3x3 FMC"=C12)=TRUE,"",
OR(C12="4x4 BLD",C12="5x5 BLD",C12="4x4 / 5x5 BLD",AND(C12="3x3 BLD",H12&lt;&gt;""))=TRUE,MIN(V12,P12),
TRUE,MIN(P12,V12,MROUND(((V12*2/3)+((Y12-1.625)/2)),0.01)))</f>
        <v/>
      </c>
      <c r="Y12" s="56" t="str">
        <f>IFERROR(__xludf.DUMMYFUNCTION("IFS(OR(COUNTIF(Info!$A$22:A81,C12)&gt;0,C12=""""),"""",
FILTER(Info!$F$2:F81, Info!$A$2:A81 = C12) = ""Yes"",H12/AA12,
""3x3 FMC""=C12,Info!$B$9,""3x3 MBLD""=C12,Info!$B$18,
AND(E12=1,I12="""",H12="""",Q12=""No"",G12&gt;SUMIF(Info!$A$2:A81,C12,Info!$B$2:B81)*1."&amp;"5),
MIN(SUMIF(Info!$A$2:A81,C12,Info!$B$2:B81)*1.1,SUMIF(Info!$A$2:A81,C12,Info!$B$2:B81)*(1.15-(0.15*(SUMIF(Info!$A$2:A81,C12,Info!$B$2:B81)*1.5)/G12))),
AND(E12=1,I12="""",H12="""",Q12=""Yes"",G12&gt;SUMIF(Info!$A$2:A81,C12,Info!$C$2:C81)*1.5),
MIN(SUMIF(I"&amp;"nfo!$A$2:A81,C12,Info!$C$2:C81)*1.1,SUMIF(Info!$A$2:A81,C12,Info!$C$2:C81)*(1.15-(0.15*(SUMIF(Info!$A$2:A81,C12,Info!$C$2:C81)*1.5)/G12))),
Q12=""No"",SUMIF(Info!$A$2:A81,C12,Info!$B$2:B81),
Q12=""Yes"",SUMIF(Info!$A$2:A81,C12,Info!$C$2:C81))"),"")</f>
        <v/>
      </c>
      <c r="Z12" s="57" t="str">
        <f>IFS(OR(COUNTIF(Info!$A$22:A81,C12)&gt;0,C12=""),"",
AND(OR("3x3 FMC"=C12,"3x3 MBLD"=C12),I12&lt;&gt;""),1,
AND(OR(H12&lt;&gt;"",I12&lt;&gt;""),F12="Avg of 5"),2,
F12="Avg of 5",AA12,
AND(OR(H12&lt;&gt;"",I12&lt;&gt;""),F12="Mean of 3",C12="6x6 / 7x7"),2,
AND(OR(H12&lt;&gt;"",I12&lt;&gt;""),F12="Mean of 3"),1,
F12="Mean of 3",AA12,
AND(OR(H12&lt;&gt;"",I12&lt;&gt;""),F12="Best of 3",C12="4x4 / 5x5 BLD"),2,
AND(OR(H12&lt;&gt;"",I12&lt;&gt;""),F12="Best of 3"),1,
F12="Best of 2",AA12,
F12="Best of 1",AA12)</f>
        <v/>
      </c>
      <c r="AA12" s="57" t="str">
        <f>IFS(OR(COUNTIF(Info!$A$22:A81,C12)&gt;0,C12=""),"",
AND(OR("3x3 MBLD"=C12,"3x3 FMC"=C12),F12="Best of 1"=TRUE),1,
AND(OR("3x3 MBLD"=C12,"3x3 FMC"=C12),F12="Best of 2"=TRUE),2,
AND(OR("3x3 MBLD"=C12,"3x3 FMC"=C12),OR(F12="Best of 3",F12="Mean of 3")=TRUE),3,
AND(F12="Mean of 3",C12="6x6 / 7x7"),6,
AND(F12="Best of 3",C12="4x4 / 5x5 BLD"),6,
F12="Avg of 5",5,F12="Mean of 3",3,F12="Best of 3",3,F12="Best of 2",2,F12="Best of 1",1)</f>
        <v/>
      </c>
      <c r="AB12" s="58"/>
    </row>
    <row r="13">
      <c r="A13" s="40">
        <f>IFERROR(__xludf.DUMMYFUNCTION("IFS(indirect(""A""&amp;row()-1)=""Start"",TIME(indirect(""A""&amp;row()-2),indirect(""B""&amp;row()-2),0),
$O$2=""No"",TIME(0,($A$6*60+$B$6)+CEILING(SUM($L$7:indirect(""L""&amp;row()-1)),5),0),
D13=$E$2,TIME(0,($A$6*60+$B$6)+CEILING(SUM(IFERROR(FILTER($L$7:indirect(""L"""&amp;"&amp;row()-1),REGEXMATCH($D$7:indirect(""D""&amp;row()-1),$E$2)),0)),5),0),
TRUE,""=time(hh;mm;ss)"")"),0.4166666666666667)</f>
        <v>0.4166666667</v>
      </c>
      <c r="B13" s="41">
        <f>IFERROR(__xludf.DUMMYFUNCTION("IFS($O$2=""No"",TIME(0,($A$6*60+$B$6)+CEILING(SUM($L$7:indirect(""L""&amp;row())),5),0),
D13=$E$2,TIME(0,($A$6*60+$B$6)+CEILING(SUM(FILTER($L$7:indirect(""L""&amp;row()),REGEXMATCH($D$7:indirect(""D""&amp;row()),$E$2))),5),0),
A13=""=time(hh;mm;ss)"",CONCATENATE(""Sk"&amp;"riv tid i A""&amp;row()),
AND(A13&lt;&gt;"""",A13&lt;&gt;""=time(hh;mm;ss)""),A13+TIME(0,CEILING(indirect(""L""&amp;row()),5),0))"),0.4166666666666667)</f>
        <v>0.4166666667</v>
      </c>
      <c r="C13" s="42"/>
      <c r="D13" s="43" t="str">
        <f t="shared" si="2"/>
        <v>Stora salen</v>
      </c>
      <c r="E13" s="43" t="str">
        <f>IFERROR(__xludf.DUMMYFUNCTION("IFS(COUNTIF(Info!$A$22:A81,C13)&gt;0,"""",
AND(OR(""3x3 FMC""=C13,""3x3 MBLD""=C13),COUNTIF($C$7:indirect(""C""&amp;row()),indirect(""C""&amp;row()))&gt;=13),""E - Error"",
AND(OR(""3x3 FMC""=C13,""3x3 MBLD""=C13),COUNTIF($C$7:indirect(""C""&amp;row()),indirect(""C""&amp;row()"&amp;"))=12),""Final - A3"",
AND(OR(""3x3 FMC""=C13,""3x3 MBLD""=C13),COUNTIF($C$7:indirect(""C""&amp;row()),indirect(""C""&amp;row()))=11),""Final - A2"",
AND(OR(""3x3 FMC""=C13,""3x3 MBLD""=C13),COUNTIF($C$7:indirect(""C""&amp;row()),indirect(""C""&amp;row()))=10),""Final - "&amp;"A1"",
AND(OR(""3x3 FMC""=C13,""3x3 MBLD""=C13),COUNTIF($C$7:indirect(""C""&amp;row()),indirect(""C""&amp;row()))=9,
COUNTIF($C$7:$C$61,indirect(""C""&amp;row()))&gt;9),""R3 - A3"",
AND(OR(""3x3 FMC""=C13,""3x3 MBLD""=C13),COUNTIF($C$7:indirect(""C""&amp;row()),indirect(""C"&amp;"""&amp;row()))=9,
COUNTIF($C$7:$C$61,indirect(""C""&amp;row()))&lt;=9),""Final - A3"",
AND(OR(""3x3 FMC""=C13,""3x3 MBLD""=C13),COUNTIF($C$7:indirect(""C""&amp;row()),indirect(""C""&amp;row()))=8,
COUNTIF($C$7:$C$61,indirect(""C""&amp;row()))&gt;9),""R3 - A2"",
AND(OR(""3x3 FMC""="&amp;"C13,""3x3 MBLD""=C13),COUNTIF($C$7:indirect(""C""&amp;row()),indirect(""C""&amp;row()))=8,
COUNTIF($C$7:$C$61,indirect(""C""&amp;row()))&lt;=9),""Final - A2"",
AND(OR(""3x3 FMC""=C13,""3x3 MBLD""=C13),COUNTIF($C$7:indirect(""C""&amp;row()),indirect(""C""&amp;row()))=7,
COUNTIF("&amp;"$C$7:$C$61,indirect(""C""&amp;row()))&gt;9),""R3 - A1"",
AND(OR(""3x3 FMC""=C13,""3x3 MBLD""=C13),COUNTIF($C$7:indirect(""C""&amp;row()),indirect(""C""&amp;row()))=7,
COUNTIF($C$7:$C$61,indirect(""C""&amp;row()))&lt;=9),""Final - A1"",
AND(OR(""3x3 FMC""=C13,""3x3 MBLD""=C13),"&amp;"COUNTIF($C$7:indirect(""C""&amp;row()),indirect(""C""&amp;row()))=6,
COUNTIF($C$7:$C$61,indirect(""C""&amp;row()))&gt;6),""R2 - A3"",
AND(OR(""3x3 FMC""=C13,""3x3 MBLD""=C13),COUNTIF($C$7:indirect(""C""&amp;row()),indirect(""C""&amp;row()))=6,
COUNTIF($C$7:$C$61,indirect(""C""&amp;"&amp;"row()))&lt;=6),""Final - A3"",
AND(OR(""3x3 FMC""=C13,""3x3 MBLD""=C13),COUNTIF($C$7:indirect(""C""&amp;row()),indirect(""C""&amp;row()))=5,
COUNTIF($C$7:$C$61,indirect(""C""&amp;row()))&gt;6),""R2 - A2"",
AND(OR(""3x3 FMC""=C13,""3x3 MBLD""=C13),COUNTIF($C$7:indirect(""C"&amp;"""&amp;row()),indirect(""C""&amp;row()))=5,
COUNTIF($C$7:$C$61,indirect(""C""&amp;row()))&lt;=6),""Final - A2"",
AND(OR(""3x3 FMC""=C13,""3x3 MBLD""=C13),COUNTIF($C$7:indirect(""C""&amp;row()),indirect(""C""&amp;row()))=4,
COUNTIF($C$7:$C$61,indirect(""C""&amp;row()))&gt;6),""R2 - A1"&amp;""",
AND(OR(""3x3 FMC""=C13,""3x3 MBLD""=C13),COUNTIF($C$7:indirect(""C""&amp;row()),indirect(""C""&amp;row()))=4,
COUNTIF($C$7:$C$61,indirect(""C""&amp;row()))&lt;=6),""Final - A1"",
AND(OR(""3x3 FMC""=C13,""3x3 MBLD""=C13),COUNTIF($C$7:indirect(""C""&amp;row()),indirect("""&amp;"C""&amp;row()))=3),""R1 - A3"",
AND(OR(""3x3 FMC""=C13,""3x3 MBLD""=C13),COUNTIF($C$7:indirect(""C""&amp;row()),indirect(""C""&amp;row()))=2),""R1 - A2"",
AND(OR(""3x3 FMC""=C13,""3x3 MBLD""=C13),COUNTIF($C$7:indirect(""C""&amp;row()),indirect(""C""&amp;row()))=1),""R1 -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C13),ROUNDUP((FILTER(Info!$H$2:H81,Info!$A$2:A81=C13)/FILTER(Info!$H$2:H81,Info!$A$2:A81=$K$2))*$I$2)&gt;99),3,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C13),ROUNDUP((FILTER(Info!$H$2:H81,Info!$A$2:A81=C13)/FILTER(Info!$H$2:H81,Info!$A$2:A81=$K$2))*$I$2)&gt;15),2,
AND(COUNTIF($C$7:indirect(""C""&amp;row()),indirect(""C""&amp;row()))=2,COUNTIF($C$7:$C$61,indirect(""C""&amp;row()))=COUNTIF($C$7:indirect("""&amp;"C""&amp;row()),indirect(""C""&amp;row()))),""Final"",
COUNTIF($C$7:indirect(""C""&amp;row()),indirect(""C""&amp;row()))=1,1,
COUNTIF($C$7:indirect(""C""&amp;row()),indirect(""C""&amp;row()))=0,"""")"),"")</f>
        <v/>
      </c>
      <c r="F13" s="44" t="str">
        <f>IFERROR(__xludf.DUMMYFUNCTION("IFS(C13="""","""",
AND(C13=""3x3 FMC"",MOD(COUNTIF($C$7:indirect(""C""&amp;row()),indirect(""C""&amp;row())),3)=0),""Mean of 3"",
AND(C13=""3x3 MBLD"",MOD(COUNTIF($C$7:indirect(""C""&amp;row()),indirect(""C""&amp;row())),3)=0),""Best of 3"",
AND(C13=""3x3 FMC"",MOD(COUNT"&amp;"IF($C$7:indirect(""C""&amp;row()),indirect(""C""&amp;row())),3)=2,
COUNTIF($C$7:$C$61,indirect(""C""&amp;row()))&lt;=COUNTIF($C$7:indirect(""C""&amp;row()),indirect(""C""&amp;row()))),""Best of 2"",
AND(C13=""3x3 FMC"",MOD(COUNTIF($C$7:indirect(""C""&amp;row()),indirect(""C""&amp;row()"&amp;")),3)=2,
COUNTIF($C$7:$C$61,indirect(""C""&amp;row()))&gt;COUNTIF($C$7:indirect(""C""&amp;row()),indirect(""C""&amp;row()))),""Mean of 3"",
AND(C13=""3x3 MBLD"",MOD(COUNTIF($C$7:indirect(""C""&amp;row()),indirect(""C""&amp;row())),3)=2,
COUNTIF($C$7:$C$61,indirect(""C""&amp;row()))"&amp;"&lt;=COUNTIF($C$7:indirect(""C""&amp;row()),indirect(""C""&amp;row()))),""Best of 2"",
AND(C13=""3x3 MBLD"",MOD(COUNTIF($C$7:indirect(""C""&amp;row()),indirect(""C""&amp;row())),3)=2,
COUNTIF($C$7:$C$61,indirect(""C""&amp;row()))&gt;COUNTIF($C$7:indirect(""C""&amp;row()),indirect(""C"&amp;"""&amp;row()))),""Best of 3"",
AND(C13=""3x3 FMC"",MOD(COUNTIF($C$7:indirect(""C""&amp;row()),indirect(""C""&amp;row())),3)=1,
COUNTIF($C$7:$C$61,indirect(""C""&amp;row()))&lt;=COUNTIF($C$7:indirect(""C""&amp;row()),indirect(""C""&amp;row()))),""Best of 1"",
AND(C13=""3x3 FMC"",MOD"&amp;"(COUNTIF($C$7:indirect(""C""&amp;row()),indirect(""C""&amp;row())),3)=1,
COUNTIF($C$7:$C$61,indirect(""C""&amp;row()))=COUNTIF($C$7:indirect(""C""&amp;row()),indirect(""C""&amp;row()))+1),""Best of 2"",
AND(C13=""3x3 FMC"",MOD(COUNTIF($C$7:indirect(""C""&amp;row()),indirect(""C"&amp;"""&amp;row())),3)=1,
COUNTIF($C$7:$C$61,indirect(""C""&amp;row()))&gt;COUNTIF($C$7:indirect(""C""&amp;row()),indirect(""C""&amp;row()))),""Mean of 3"",
AND(C13=""3x3 MBLD"",MOD(COUNTIF($C$7:indirect(""C""&amp;row()),indirect(""C""&amp;row())),3)=1,
COUNTIF($C$7:$C$61,indirect(""C"""&amp;"&amp;row()))&lt;=COUNTIF($C$7:indirect(""C""&amp;row()),indirect(""C""&amp;row()))),""Best of 1"",
AND(C13=""3x3 MBLD"",MOD(COUNTIF($C$7:indirect(""C""&amp;row()),indirect(""C""&amp;row())),3)=1,
COUNTIF($C$7:$C$61,indirect(""C""&amp;row()))=COUNTIF($C$7:indirect(""C""&amp;row()),indir"&amp;"ect(""C""&amp;row()))+1),""Best of 2"",
AND(C13=""3x3 MBLD"",MOD(COUNTIF($C$7:indirect(""C""&amp;row()),indirect(""C""&amp;row())),3)=1,
COUNTIF($C$7:$C$61,indirect(""C""&amp;row()))&gt;COUNTIF($C$7:indirect(""C""&amp;row()),indirect(""C""&amp;row()))),""Best of 3"",
TRUE,(IFERROR("&amp;"FILTER(Info!$D$2:D81, Info!$A$2:A81 = C13), """")))"),"")</f>
        <v/>
      </c>
      <c r="G13" s="45" t="str">
        <f>IFERROR(__xludf.DUMMYFUNCTION("IFS(OR(COUNTIF(Info!$A$22:A81,C13)&gt;0,C13=""""),"""",
OR(""3x3 MBLD""=C13,""3x3 FMC""=C13),60,
AND(E13=1,FILTER(Info!$F$2:F81, Info!$A$2:A81 = C13) = ""No""),FILTER(Info!$P$2:P81, Info!$A$2:A81 = C13),
AND(E13=2,FILTER(Info!$F$2:F81, Info!$A$2:A81 = C13) ="&amp;" ""No""),FILTER(Info!$Q$2:Q81, Info!$A$2:A81 = C13),
AND(E13=3,FILTER(Info!$F$2:F81, Info!$A$2:A81 = C13) = ""No""),FILTER(Info!$R$2:R81, Info!$A$2:A81 = C13),
AND(E13=""Final"",FILTER(Info!$F$2:F81, Info!$A$2:A81 = C13) = ""No""),FILTER(Info!$S$2:S81, In"&amp;"fo!$A$2:A81 = C13),
FILTER(Info!$F$2:F81, Info!$A$2:A81 = C13) = ""Yes"","""")"),"")</f>
        <v/>
      </c>
      <c r="H13" s="45" t="str">
        <f>IFERROR(__xludf.DUMMYFUNCTION("IFS(OR(COUNTIF(Info!$A$22:A81,C13)&gt;0,C13=""""),"""",
OR(""3x3 MBLD""=C13,""3x3 FMC""=C13)=TRUE,"""",
FILTER(Info!$F$2:F81, Info!$A$2:A81 = C13) = ""Yes"",FILTER(Info!$O$2:O81, Info!$A$2:A81 = C13),
FILTER(Info!$F$2:F81, Info!$A$2:A81 = C13) = ""No"",IF(G1"&amp;"3="""",FILTER(Info!$O$2:O81, Info!$A$2:A81 = C13),""""))"),"")</f>
        <v/>
      </c>
      <c r="I13" s="45" t="str">
        <f>IFERROR(__xludf.DUMMYFUNCTION("IFS(OR(COUNTIF(Info!$A$22:A81,C13)&gt;0,C13="""",H13&lt;&gt;""""),"""",
AND(E13&lt;&gt;1,E13&lt;&gt;""R1 - A1"",E13&lt;&gt;""R1 - A2"",E13&lt;&gt;""R1 - A3""),"""",
FILTER(Info!$E$2:E81, Info!$A$2:A81 = C13) = ""Yes"",IF(H13="""",FILTER(Info!$L$2:L81, Info!$A$2:A81 = C13),""""),
FILTER(I"&amp;"nfo!$E$2:E81, Info!$A$2:A81 = C13) = ""No"","""")"),"")</f>
        <v/>
      </c>
      <c r="J13" s="45" t="str">
        <f>IFERROR(__xludf.DUMMYFUNCTION("IFS(OR(COUNTIF(Info!$A$22:A81,C13)&gt;0,C13="""",""3x3 MBLD""=C13,""3x3 FMC""=C13),"""",
AND(E13=1,FILTER(Info!$H$2:H81,Info!$A$2:A81 = C13)&lt;=FILTER(Info!$H$2:H81,Info!$A$2:A81=$K$2)),
ROUNDUP((FILTER(Info!$H$2:H81,Info!$A$2:A81 = C13)/FILTER(Info!$H$2:H81,I"&amp;"nfo!$A$2:A81=$K$2))*$I$2),
AND(E13=1,FILTER(Info!$H$2:H81,Info!$A$2:A81 = C13)&gt;FILTER(Info!$H$2:H81,Info!$A$2:A81=$K$2)),""K2 - Error"",
AND(E13=2,FILTER($J$7:indirect(""J""&amp;row()-1),$C$7:indirect(""C""&amp;row()-1)=C13)&lt;=7),""J - Error"",
E13=2,FLOOR(FILTER("&amp;"$J$7:indirect(""J""&amp;row()-1),$C$7:indirect(""C""&amp;row()-1)=C13)*Info!$T$32),
AND(E13=3,FILTER($J$7:indirect(""J""&amp;row()-1),$C$7:indirect(""C""&amp;row()-1)=C13)&lt;=15),""J - Error"",
E13=3,FLOOR(Info!$T$32*FLOOR(FILTER($J$7:indirect(""J""&amp;row()-1),$C$7:indirect("&amp;"""C""&amp;row()-1)=C13)*Info!$T$32)),
AND(E13=""Final"",COUNTIF($C$7:$C$61,C13)=2,FILTER($J$7:indirect(""J""&amp;row()-1),$C$7:indirect(""C""&amp;row()-1)=C13)&lt;=7),""J - Error"",
AND(E13=""Final"",COUNTIF($C$7:$C$61,C13)=2),
MIN(P13,FLOOR(FILTER($J$7:indirect(""J""&amp;r"&amp;"ow()-1),$C$7:indirect(""C""&amp;row()-1)=C13)*Info!$T$32)),
AND(E13=""Final"",COUNTIF($C$7:$C$61,C13)=3,FILTER($J$7:indirect(""J""&amp;row()-1),$C$7:indirect(""C""&amp;row()-1)=C13)&lt;=15),""J - Error"",
AND(E13=""Final"",COUNTIF($C$7:$C$61,C13)=3),
MIN(P13,FLOOR(Info!"&amp;"$T$32*FLOOR(FILTER($J$7:indirect(""J""&amp;row()-1),$C$7:indirect(""C""&amp;row()-1)=C13)*Info!$T$32))),
AND(E13=""Final"",COUNTIF($C$7:$C$61,C13)&gt;=4,FILTER($J$7:indirect(""J""&amp;row()-1),$C$7:indirect(""C""&amp;row()-1)=C13)&lt;=99),""J - Error"",
AND(E13=""Final"",COUNT"&amp;"IF($C$7:$C$61,C13)&gt;=4),
MIN(P13,FLOOR(Info!$T$32*FLOOR(Info!$T$32*FLOOR(FILTER($J$7:indirect(""J""&amp;row()-1),$C$7:indirect(""C""&amp;row()-1)=C13)*Info!$T$32)))))"),"")</f>
        <v/>
      </c>
      <c r="K13" s="46" t="str">
        <f>IFERROR(__xludf.DUMMYFUNCTION("IFS(AND(indirect(""D""&amp;row()+2)&lt;&gt;$E$2,indirect(""D""&amp;row()+1)=""""),CONCATENATE(""Tom rad! Kopiera hela rad ""&amp;row()&amp;"" dit""),
AND(indirect(""D""&amp;row()-1)&lt;&gt;""Rum"",indirect(""D""&amp;row()-1)=""""),CONCATENATE(""Tom rad! Kopiera hela rad ""&amp;row()&amp;"" dit""),
"&amp;"C13="""","""",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OR(AND(D13&lt;&gt;$E$2,D13&lt;&gt;$E$4,D13&lt;&gt;$K$4,D13&lt;&gt;$Q$4),D13="&amp;"""""),CONCATENATE(""Rum: ""&amp;D13&amp;"" finns ej, byt i D""&amp;row()),
AND(indirect(""D""&amp;row()-1)=""Rum"",C13=""""),CONCATENATE(""För att börja: skriv i cell C""&amp;row()),
AND(C13=""Paus"",M13&lt;=0),CONCATENATE(""Skriv pausens längd i M""&amp;row()),
OR(COUNTIF(Info!$A$"&amp;"22:A81,C13)&gt;0,C13=""""),"""",
AND(D13&lt;&gt;$E$2,$O$2=""Yes"",A13=""=time(hh;mm;ss)""),CONCATENATE(""Skriv starttid för ""&amp;C13&amp;"" i A""&amp;row()),
E13=""E - Error"",CONCATENATE(""För många ""&amp;C13&amp;"" rundor!""),
AND(C13&lt;&gt;""3x3 FMC"",C13&lt;&gt;""3x3 MBLD"",E13&lt;&gt;1,E13&lt;&gt;"&amp;"""Final"",IFERROR(FILTER($E$7:indirect(""E""&amp;row()-1),
$E$7:indirect(""E""&amp;row()-1)=E13-1,$C$7:indirect(""C""&amp;row()-1)=C13))=FALSE),CONCATENATE(""Kan ej vara R""&amp;E13&amp;"", saknar R""&amp;(E13-1)),
AND(indirect(""E""&amp;row()-1)&lt;&gt;""Omgång"",IFERROR(FILTER($E$7:indi"&amp;"rect(""E""&amp;row()-1),
$E$7:indirect(""E""&amp;row()-1)=E13,$C$7:indirect(""C""&amp;row()-1)=C13)=E13)=TRUE),CONCATENATE(""Runda ""&amp;E13&amp;"" i ""&amp;C13&amp;"" finns redan""),
AND(C13&lt;&gt;""3x3 BLD"",C13&lt;&gt;""4x4 BLD"",C13&lt;&gt;""5x5 BLD"",C13&lt;&gt;""4x4 / 5x5 BLD"",OR(E13=2,E13=3,E13="&amp;"""Final""),H13&lt;&gt;""""),CONCATENATE(E13&amp;""-rundor brukar ej ha c.t.l.""),
AND(OR(E13=2,E13=3,E13=""Final""),I13&lt;&gt;""""),CONCATENATE(E13&amp;""-rundor brukar ej ha cutoff""),
AND(OR(C13=""3x3 FMC"",C13=""3x3 MBLD""),OR(E13=1,E13=2,E13=3,E13=""Final"")),CONCATENAT"&amp;"E(C13&amp;""s omgång är Rx - Ax""),
AND(C13&lt;&gt;""3x3 MBLD"",C13&lt;&gt;""3x3 FMC"",FILTER(Info!$D$2:D81, Info!$A$2:A81 = C13)&lt;&gt;F13),CONCATENATE(C13&amp;"" måste ha formatet ""&amp;FILTER(Info!$D$2:D81, Info!$A$2:A81 = C13)),
AND(C13=""3x3 MBLD"",OR(F13=""Avg of 5"",F13=""Mea"&amp;"n of 3"")),CONCATENATE(""Ogiltigt format för ""&amp;C13),
AND(C13=""3x3 FMC"",OR(F13=""Avg of 5"",F13=""Best of 3"")),CONCATENATE(""Ogiltigt format för ""&amp;C13),
AND(OR(F13=""Best of 1"",F13=""Best of 2"",F13=""Best of 3""),I13&lt;&gt;""""),CONCATENATE(F13&amp;""-rundor"&amp;" får ej ha cutoff""),
AND(OR(C13=""3x3 FMC"",C13=""3x3 MBLD""),G13&lt;&gt;60),CONCATENATE(C13&amp;"" måste ha time limit: 60""),
AND(OR(C13=""3x3 FMC"",C13=""3x3 MBLD""),H13&lt;&gt;""""),CONCATENATE(C13&amp;"" kan inte ha c.t.l.""),
AND(G13&lt;&gt;"""",H13&lt;&gt;""""),""Välj time limit"&amp;" ELLER c.t.l"",
AND(C13=""6x6 / 7x7"",G13="""",H13=""""),""Sätt time limit (x / y) eller c.t.l (z)"",
AND(G13="""",H13=""""),""Sätt en time limit eller c.t.l"",
AND(OR(C13=""6x6 / 7x7"",C13=""4x4 / 5x5 BLD""),G13&lt;&gt;"""",REGEXMATCH(TO_TEXT(G13),"" / "")=FAL"&amp;"SE),CONCATENATE(""Time limit måste vara x / y""),
AND(H13&lt;&gt;"""",I13&lt;&gt;""""),CONCATENATE(C13&amp;"" brukar ej ha cutoff OCH c.t.l""),
AND(E13=1,H13="""",I13="""",OR(FILTER(Info!$E$2:E81, Info!$A$2:A81 = C13) = ""Yes"",FILTER(Info!$F$2:F81, Info!$A$2:A81 = C13) "&amp;"= ""Yes""),OR(F13=""Avg of 5"",F13=""Mean of 3"")),CONCATENATE(C13&amp;"" bör ha cutoff eller c.t.l""),
AND(C13=""6x6 / 7x7"",I13&lt;&gt;"""",REGEXMATCH(TO_TEXT(I13),"" / "")=FALSE),CONCATENATE(""Cutoff måste vara x / y""),
AND(H13&lt;&gt;"""",ISNUMBER(H13)=FALSE),""C.t."&amp;"l. måste vara positivt tal (x)"",
AND(C13&lt;&gt;""6x6 / 7x7"",I13&lt;&gt;"""",ISNUMBER(I13)=FALSE),""Cutoff måste vara positivt tal (x)"",
AND(H13&lt;&gt;"""",FILTER(Info!$E$2:E81, Info!$A$2:A81 = C13) = ""No"",FILTER(Info!$F$2:F81, Info!$A$2:A81 = C13) = ""No""),CONCATEN"&amp;"ATE(C13&amp;"" brukar inte ha c.t.l.""),
AND(I13&lt;&gt;"""",FILTER(Info!$E$2:E81, Info!$A$2:A81 = C13) = ""No"",FILTER(Info!$F$2:F81, Info!$A$2:A81 = C13) = ""No""),CONCATENATE(C13&amp;"" brukar inte ha cutoff""),
AND(H13="""",FILTER(Info!$F$2:F81, Info!$A$2:A81 = C13"&amp;") = ""Yes""),CONCATENATE(C13&amp;"" brukar ha c.t.l.""),
AND(C13&lt;&gt;""6x6 / 7x7"",C13&lt;&gt;""4x4 / 5x5 BLD"",G13&lt;&gt;"""",ISNUMBER(G13)=FALSE),""Time limit måste vara positivt tal (x)"",
J13=""J - Error"",CONCATENATE(""För få deltagare i R1 för ""&amp;COUNTIF($C$7:$C$61,i"&amp;"ndirect(""C""&amp;row()))&amp;"" rundor""),
J13=""K2 - Error"",CONCATENATE(C13&amp;"" är mer populär - byt i K2!""),
AND(C13&lt;&gt;""6x6 / 7x7"",C13&lt;&gt;""4x4 / 5x5 BLD"",G13&lt;&gt;"""",I13&lt;&gt;"""",G13&lt;=I13),""Time limit måste vara &gt; cutoff"",
AND(C13&lt;&gt;""6x6 / 7x7"",C13&lt;&gt;""4x4 / 5x"&amp;"5 BLD"",H13&lt;&gt;"""",I13&lt;&gt;"""",H13&lt;=I13),""C.t.l. måste vara &gt; cutoff"",
AND(C13&lt;&gt;""3x3 FMC"",C13&lt;&gt;""3x3 MBLD"",J13=""""),CONCATENATE(""Fyll i antal deltagare i J""&amp;row()),
AND(C13="""",OR(E13&lt;&gt;"""",F13&lt;&gt;"""",G13&lt;&gt;"""",H13&lt;&gt;"""",I13&lt;&gt;"""",J13&lt;&gt;"""")),""Skriv"&amp;" ALLTID gren / aktivitet först"",
AND(I13="""",H13="""",J13&lt;&gt;""""),J13,
OR(""3x3 FMC""=C13,""3x3 MBLD""=C13),J13,
AND(I13&lt;&gt;"""",""6x6 / 7x7""=C13),
IFS(ArrayFormula(SUM(IFERROR(SPLIT(I13,"" / ""))))&lt;(Info!$J$6+Info!$J$7)*2/3,CONCATENATE(""Höj helst cutoff"&amp;"s i ""&amp;C13),
ArrayFormula(SUM(IFERROR(SPLIT(I13,"" / ""))))&lt;=(Info!$J$6+Info!$J$7),ROUNDUP(J13*Info!$J$22),
ArrayFormula(SUM(IFERROR(SPLIT(I13,"" / ""))))&lt;=Info!$J$6+Info!$J$7,ROUNDUP(J13*Info!$K$22),
ArrayFormula(SUM(IFERROR(SPLIT(I13,"" / ""))))&lt;=Info!$"&amp;"K$6+Info!$K$7,ROUNDUP(J13*Info!L$22),
ArrayFormula(SUM(IFERROR(SPLIT(I13,"" / ""))))&lt;=Info!$L$6+Info!$L$7,ROUNDUP(J13*Info!$M$22),
ArrayFormula(SUM(IFERROR(SPLIT(I13,"" / ""))))&lt;=Info!$M$6+Info!$M$7,ROUNDUP(J13*Info!$N$22),
ArrayFormula(SUM(IFERROR(SPLIT("&amp;"I13,"" / ""))))&lt;=(Info!$N$6+Info!$N$7)*3/2,ROUNDUP(J13*Info!$J$26),
ArrayFormula(SUM(IFERROR(SPLIT(I13,"" / ""))))&gt;(Info!$N$6+Info!$N$7)*3/2,CONCATENATE(""Sänk helst cutoffs i ""&amp;C13)),
AND(I13&lt;&gt;"""",FILTER(Info!$E$2:E81, Info!$A$2:A81 = C13) = ""Yes""),
"&amp;"IFS(I13&lt;FILTER(Info!$J$2:J81, Info!$A$2:A81 = C13)*2/3,CONCATENATE(""Höj helst cutoff i ""&amp;C13),
I13&lt;=FILTER(Info!$J$2:J81, Info!$A$2:A81 = C13),ROUNDUP(J13*Info!$J$22),
I13&lt;=FILTER(Info!$K$2:K81, Info!$A$2:A81 = C13),ROUNDUP(J13*Info!$K$22),
I13&lt;=FILTER("&amp;"Info!$L$2:L81, Info!$A$2:A81 = C13),ROUNDUP(J13*Info!L$22),
I13&lt;=FILTER(Info!$M$2:M81, Info!$A$2:A81 = C13),ROUNDUP(J13*Info!$M$22),
I13&lt;=FILTER(Info!$N$2:N81, Info!$A$2:A81 = C13),ROUNDUP(J13*Info!$N$22),
I13&lt;=FILTER(Info!$N$2:N81, Info!$A$2:A81 = C13)*3"&amp;"/2,ROUNDUP(J13*Info!$J$26),
I13&gt;FILTER(Info!$N$2:N81, Info!$A$2:A81 = C13)*3/2,CONCATENATE(""Sänk helst cutoff i ""&amp;C13)),
AND(H13&lt;&gt;"""",""6x6 / 7x7""=C13),
IFS(H13/3&lt;=(Info!$J$6+Info!$J$7)*2/3,""Höj helst cumulative time limit"",
H13/3&lt;=Info!$J$6+Info!$J"&amp;"$7,ROUNDUP(J13*Info!$J$24),
H13/3&lt;=Info!$K$6+Info!$K$7,ROUNDUP(J13*Info!$K$24),
H13/3&lt;=Info!$L$6+Info!$L$7,ROUNDUP(J13*Info!L$24),
H13/3&lt;=Info!$M$6+Info!$M$7,ROUNDUP(J13*Info!$M$24),
H13/3&lt;=Info!$N$6+Info!$N$7,ROUNDUP(J13*Info!$N$24),
H13/3&lt;=(Info!$N$6+In"&amp;"fo!$N$7)*3/2,ROUNDUP(J13*Info!$L$26),
H13/3&gt;(Info!$J$6+Info!$J$7)*3/2,""Sänk helst cumulative time limit""),
AND(H13&lt;&gt;"""",FILTER(Info!$F$2:F81, Info!$A$2:A81 = C13) = ""Yes""),
IFS(H13&lt;=FILTER(Info!$J$2:J81, Info!$A$2:A81 = C13)*2/3,CONCATENATE(""Höj hel"&amp;"st c.t.l. i ""&amp;C13),
H13&lt;=FILTER(Info!$J$2:J81, Info!$A$2:A81 = C13),ROUNDUP(J13*Info!$J$24),
H13&lt;=FILTER(Info!$K$2:K81, Info!$A$2:A81 = C13),ROUNDUP(J13*Info!$K$24),
H13&lt;=FILTER(Info!$L$2:L81, Info!$A$2:A81 = C13),ROUNDUP(J13*Info!L$24),
H13&lt;=FILTER(Info"&amp;"!$M$2:M81, Info!$A$2:A81 = C13),ROUNDUP(J13*Info!$M$24),
H13&lt;=FILTER(Info!$N$2:N81, Info!$A$2:A81 = C13),ROUNDUP(J13*Info!$N$24),
H13&lt;=FILTER(Info!$N$2:N81, Info!$A$2:A81 = C13)*3/2,ROUNDUP(J13*Info!$L$26),
H13&gt;FILTER(Info!$N$2:N81, Info!$A$2:A81 = C13)*3"&amp;"/2,CONCATENATE(""Sänk helst c.t.l. i ""&amp;C13)),
AND(H13&lt;&gt;"""",FILTER(Info!$F$2:F81, Info!$A$2:A81 = C13) = ""No""),
IFS(H13/AA13&lt;=FILTER(Info!$J$2:J81, Info!$A$2:A81 = C13)*2/3,CONCATENATE(""Höj helst c.t.l. i ""&amp;C13),
H13/AA13&lt;=FILTER(Info!$J$2:J81, Info!"&amp;"$A$2:A81 = C13),ROUNDUP(J13*Info!$J$24),
H13/AA13&lt;=FILTER(Info!$K$2:K81, Info!$A$2:A81 = C13),ROUNDUP(J13*Info!$K$24),
H13/AA13&lt;=FILTER(Info!$L$2:L81, Info!$A$2:A81 = C13),ROUNDUP(J13*Info!L$24),
H13/AA13&lt;=FILTER(Info!$M$2:M81, Info!$A$2:A81 = C13),ROUNDU"&amp;"P(J13*Info!$M$24),
H13/AA13&lt;=FILTER(Info!$N$2:N81, Info!$A$2:A81 = C13),ROUNDUP(J13*Info!$N$24),
H13/AA13&lt;=FILTER(Info!$N$2:N81, Info!$A$2:A81 = C13)*3/2,ROUNDUP(J13*Info!$L$26),
H13/AA13&gt;FILTER(Info!$N$2:N81, Info!$A$2:A81 = C13)*3/2,CONCATENATE(""Sänk h"&amp;"elst c.t.l. i ""&amp;C13)),
AND(I13="""",H13&lt;&gt;"""",J13&lt;&gt;""""),ROUNDUP(J13*Info!$T$29),
AND(I13&lt;&gt;"""",H13="""",J13&lt;&gt;""""),ROUNDUP(J13*Info!$T$26))"),"")</f>
        <v/>
      </c>
      <c r="L13" s="47">
        <f>IFERROR(__xludf.DUMMYFUNCTION("IFS(C13="""",0,
C13=""3x3 FMC"",Info!$B$9*N13+M13, C13=""3x3 MBLD"",Info!$B$18*N13+M13,
COUNTIF(Info!$A$22:A81,C13)&gt;0,FILTER(Info!$B$22:B81,Info!$A$22:A81=C13)+M13,
AND(C13&lt;&gt;"""",E13=""""),CONCATENATE(""Fyll i E""&amp;row()),
AND(C13&lt;&gt;"""",E13&lt;&gt;"""",E13&lt;&gt;1,E1"&amp;"3&lt;&gt;2,E13&lt;&gt;3,E13&lt;&gt;""Final""),CONCATENATE(""Fel format på E""&amp;row()),
K13=CONCATENATE(""Runda ""&amp;E13&amp;"" i ""&amp;C13&amp;"" finns redan""),CONCATENATE(""Fel i E""&amp;row()),
AND(C13&lt;&gt;"""",F13=""""),CONCATENATE(""Fyll i F""&amp;row()),
K13=CONCATENATE(C13&amp;"" måste ha forma"&amp;"tet ""&amp;FILTER(Info!$D$2:D81, Info!$A$2:A81 = C13)),CONCATENATE(""Fel format på F""&amp;row()),
AND(C13&lt;&gt;"""",D13=1,H13="""",FILTER(Info!$F$2:F81, Info!$A$2:A81 = C13) = ""Yes""),CONCATENATE(""Fyll i H""&amp;row()),
AND(C13&lt;&gt;"""",D13=1,I13="""",FILTER(Info!$E$2:E8"&amp;"1, Info!$A$2:A81 = C13) = ""Yes""),CONCATENATE(""Fyll i I""&amp;row()),
AND(C13&lt;&gt;"""",J13=""""),CONCATENATE(""Fyll i J""&amp;row()),
AND(C13&lt;&gt;"""",K13="""",OR(H13&lt;&gt;"""",I13&lt;&gt;"""")),CONCATENATE(""Fyll i K""&amp;row()),
AND(C13&lt;&gt;"""",K13=""""),CONCATENATE(""Skriv samma"&amp;" i K""&amp;row()&amp;"" som i J""&amp;row()),
AND(OR(C13=""4x4 BLD"",C13=""5x5 BLD"",C13=""4x4 / 5x5 BLD"")=TRUE,V13&lt;=P13),
MROUND(H13*(Info!$T$20-((Info!$T$20-1)/2)*(1-V13/P13))*(1+((J13/K13)-1)*(1-Info!$J$24))*N13+(Info!$T$11/2)+(N13*Info!$T$11)+(N13*Info!$T$14*(O1"&amp;"3-1)),0.01)+M13,
AND(OR(C13=""4x4 BLD"",C13=""5x5 BLD"",C13=""4x4 / 5x5 BLD"")=TRUE,V13&gt;P13),
MROUND((((J13*Z13+K13*(AA13-Z13))*(H13*Info!$T$20/AA13))/X13)*(1+((J13/K13)-1)*(1-Info!$J$24))*(1+(X13-Info!$T$8)/100)+(Info!$T$11/2)+(N13*Info!$T$11)+(N13*Info!"&amp;"$T$14*(O13-1)),0.01)+M13,
AND(C13=""3x3 BLD"",V13&lt;=P13),
MROUND(H13*(Info!$T$23-((Info!$T$23-1)/2)*(1-V13/P13))*(1+((J13/K13)-1)*(1-Info!$J$24))*N13+(Info!$T$11/2)+(N13*Info!$T$11)+(N13*Info!$T$14*(O13-1)),0.01)+M13,
AND(C13=""3x3 BLD"",V13&gt;P13),
MROUND(("&amp;"((J13*Z13+K13*(AA13-Z13))*(H13*Info!$T$23/AA13))/X13)*(1+((J13/K13)-1)*(1-Info!$J$24))*(1+(X13-Info!$T$8)/100)+(Info!$T$11/2)+(N13*Info!$T$11)+(N13*Info!$T$14*(O13-1)),0.01)+M13,
E13=1,MROUND((((J13*Z13+K13*(AA13-Z13))*Y13)/X13)*(1+(X13-Info!$T$8)/100)+(N"&amp;"13*Info!$T$11)+(N13*Info!$T$14*(O13-1)),0.01)+M13,
AND(E13=""Final"",N13=1,FILTER(Info!$G$2:$G$20,Info!$A$2:$A$20=C13)=""Mycket svår""),
MROUND((((J13*Z13+K13*(AA13-Z13))*(Y13*Info!$T$38))/X13)*(1+(X13-Info!$T$8)/100)+(N13*Info!$T$11)+(N13*Info!$T$14*(O13"&amp;"-1)),0.01)+M13,
AND(E13=""Final"",N13=1,FILTER(Info!$G$2:$G$20,Info!$A$2:$A$20=C13)=""Svår""),
MROUND((((J13*Z13+K13*(AA13-Z13))*(Y13*Info!$T$35))/X13)*(1+(X13-Info!$T$8)/100)+(N13*Info!$T$11)+(N13*Info!$T$14*(O13-1)),0.01)+M13,
E13=""Final"",MROUND((((J1"&amp;"3*Z13+K13*(AA13-Z13))*(Y13*Info!$T$5))/X13)*(1+(X13-Info!$T$8)/100)+(N13*Info!$T$11)+(N13*Info!$T$14*(O13-1)),0.01)+M13,
OR(E13=2,E13=3),MROUND((((J13*Z13+K13*(AA13-Z13))*(Y13*Info!$T$2))/X13)*(1+(X13-Info!$T$8)/100)+(N13*Info!$T$11)+(N13*Info!$T$14*(O13-"&amp;"1)),0.01)+M13)"),0.0)</f>
        <v>0</v>
      </c>
      <c r="M13" s="48">
        <f t="shared" si="1"/>
        <v>0</v>
      </c>
      <c r="N13" s="48" t="str">
        <f>IFS(OR(COUNTIF(Info!$A$22:A81,C13)&gt;0,C13=""),"",
OR(C13="4x4 BLD",C13="5x5 BLD",C13="3x3 MBLD",C13="3x3 FMC",C13="4x4 / 5x5 BLD"),1,
AND(E13="Final",Q13="Yes",MAX(1,ROUNDUP(J13/P13))&gt;1),MAX(2,ROUNDUP(J13/P13)),
AND(E13="Final",Q13="No",MAX(1,ROUNDUP(J13/((P13*2)+2.625-Y13*1.5)))&gt;1),MAX(2,ROUNDUP(J13/((P13*2)+2.625-Y13*1.5))),
E13="Final",1,
Q13="Yes",MAX(2,ROUNDUP(J13/P13)),
TRUE,MAX(2,ROUNDUP(J13/((P13*2)+2.625-Y13*1.5))))</f>
        <v/>
      </c>
      <c r="O13" s="48" t="str">
        <f>IFS(OR(COUNTIF(Info!$A$22:A81,C13)&gt;0,C13=""),"",
OR("3x3 MBLD"=C13,"3x3 FMC"=C13)=TRUE,"",
D13=$E$4,$G$6,D13=$K$4,$M$6,D13=$Q$4,$S$6,D13=$W$4,$Y$6,
TRUE,$S$2)</f>
        <v/>
      </c>
      <c r="P13" s="48" t="str">
        <f>IFS(OR(COUNTIF(Info!$A$22:A81,C13)&gt;0,C13=""),"",
OR("3x3 MBLD"=C13,"3x3 FMC"=C13)=TRUE,"",
D13=$E$4,$E$6,D13=$K$4,$K$6,D13=$Q$4,$Q$6,D13=$W$4,$W$6,
TRUE,$Q$2)</f>
        <v/>
      </c>
      <c r="Q13" s="49" t="str">
        <f>IFS(OR(COUNTIF(Info!$A$22:A81,C13)&gt;0,C13=""),"",
OR("3x3 MBLD"=C13,"3x3 FMC"=C13)=TRUE,"",
D13=$E$4,$I$6,D13=$K$4,$O$6,D13=$Q$4,$U$6,D13=$W$4,$AA$6,
TRUE,$U$2)</f>
        <v/>
      </c>
      <c r="R13" s="50" t="str">
        <f>IFERROR(__xludf.DUMMYFUNCTION("IF(C13="""","""",IFERROR(FILTER(Info!$B$22:B81,Info!$A$22:A81=C13)+M13,""?""))"),"")</f>
        <v/>
      </c>
      <c r="S13" s="51" t="str">
        <f>IFS(OR(COUNTIF(Info!$A$22:A81,C13)&gt;0,C13=""),"",
AND(H13="",I13=""),J13,
TRUE,"?")</f>
        <v/>
      </c>
      <c r="T13" s="52" t="str">
        <f>IFS(OR(COUNTIF(Info!$A$22:A81,C13)&gt;0,C13=""),"",
AND(L13&lt;&gt;0,OR(R13="?",R13="")),"Fyll i R-kolumnen",
OR(C13="3x3 FMC",C13="3x3 MBLD"),R13,
AND(L13&lt;&gt;0,OR(S13="?",S13="")),"Fyll i S-kolumnen",
OR(COUNTIF(Info!$A$22:A81,C13)&gt;0,C13=""),"",
TRUE,Y13*R13/L13)</f>
        <v/>
      </c>
      <c r="U13" s="52"/>
      <c r="V13" s="53" t="str">
        <f>IFS(OR(COUNTIF(Info!$A$22:A81,C13)&gt;0,C13=""),"",
OR("3x3 MBLD"=C13,"3x3 FMC"=C13)=TRUE,"",
TRUE,MROUND((J13/N13),0.01))</f>
        <v/>
      </c>
      <c r="W13" s="54" t="str">
        <f>IFS(OR(COUNTIF(Info!$A$22:A81,C13)&gt;0,C13=""),"",
TRUE,L13/N13)</f>
        <v/>
      </c>
      <c r="X13" s="55" t="str">
        <f>IFS(OR(COUNTIF(Info!$A$22:A81,C13)&gt;0,C13=""),"",
OR("3x3 MBLD"=C13,"3x3 FMC"=C13)=TRUE,"",
OR(C13="4x4 BLD",C13="5x5 BLD",C13="4x4 / 5x5 BLD",AND(C13="3x3 BLD",H13&lt;&gt;""))=TRUE,MIN(V13,P13),
TRUE,MIN(P13,V13,MROUND(((V13*2/3)+((Y13-1.625)/2)),0.01)))</f>
        <v/>
      </c>
      <c r="Y13" s="56" t="str">
        <f>IFERROR(__xludf.DUMMYFUNCTION("IFS(OR(COUNTIF(Info!$A$22:A81,C13)&gt;0,C13=""""),"""",
FILTER(Info!$F$2:F81, Info!$A$2:A81 = C13) = ""Yes"",H13/AA13,
""3x3 FMC""=C13,Info!$B$9,""3x3 MBLD""=C13,Info!$B$18,
AND(E13=1,I13="""",H13="""",Q13=""No"",G13&gt;SUMIF(Info!$A$2:A81,C13,Info!$B$2:B81)*1."&amp;"5),
MIN(SUMIF(Info!$A$2:A81,C13,Info!$B$2:B81)*1.1,SUMIF(Info!$A$2:A81,C13,Info!$B$2:B81)*(1.15-(0.15*(SUMIF(Info!$A$2:A81,C13,Info!$B$2:B81)*1.5)/G13))),
AND(E13=1,I13="""",H13="""",Q13=""Yes"",G13&gt;SUMIF(Info!$A$2:A81,C13,Info!$C$2:C81)*1.5),
MIN(SUMIF(I"&amp;"nfo!$A$2:A81,C13,Info!$C$2:C81)*1.1,SUMIF(Info!$A$2:A81,C13,Info!$C$2:C81)*(1.15-(0.15*(SUMIF(Info!$A$2:A81,C13,Info!$C$2:C81)*1.5)/G13))),
Q13=""No"",SUMIF(Info!$A$2:A81,C13,Info!$B$2:B81),
Q13=""Yes"",SUMIF(Info!$A$2:A81,C13,Info!$C$2:C81))"),"")</f>
        <v/>
      </c>
      <c r="Z13" s="57" t="str">
        <f>IFS(OR(COUNTIF(Info!$A$22:A81,C13)&gt;0,C13=""),"",
AND(OR("3x3 FMC"=C13,"3x3 MBLD"=C13),I13&lt;&gt;""),1,
AND(OR(H13&lt;&gt;"",I13&lt;&gt;""),F13="Avg of 5"),2,
F13="Avg of 5",AA13,
AND(OR(H13&lt;&gt;"",I13&lt;&gt;""),F13="Mean of 3",C13="6x6 / 7x7"),2,
AND(OR(H13&lt;&gt;"",I13&lt;&gt;""),F13="Mean of 3"),1,
F13="Mean of 3",AA13,
AND(OR(H13&lt;&gt;"",I13&lt;&gt;""),F13="Best of 3",C13="4x4 / 5x5 BLD"),2,
AND(OR(H13&lt;&gt;"",I13&lt;&gt;""),F13="Best of 3"),1,
F13="Best of 2",AA13,
F13="Best of 1",AA13)</f>
        <v/>
      </c>
      <c r="AA13" s="57" t="str">
        <f>IFS(OR(COUNTIF(Info!$A$22:A81,C13)&gt;0,C13=""),"",
AND(OR("3x3 MBLD"=C13,"3x3 FMC"=C13),F13="Best of 1"=TRUE),1,
AND(OR("3x3 MBLD"=C13,"3x3 FMC"=C13),F13="Best of 2"=TRUE),2,
AND(OR("3x3 MBLD"=C13,"3x3 FMC"=C13),OR(F13="Best of 3",F13="Mean of 3")=TRUE),3,
AND(F13="Mean of 3",C13="6x6 / 7x7"),6,
AND(F13="Best of 3",C13="4x4 / 5x5 BLD"),6,
F13="Avg of 5",5,F13="Mean of 3",3,F13="Best of 3",3,F13="Best of 2",2,F13="Best of 1",1)</f>
        <v/>
      </c>
      <c r="AB13" s="58"/>
    </row>
    <row r="14">
      <c r="A14" s="40">
        <f>IFERROR(__xludf.DUMMYFUNCTION("IFS(indirect(""A""&amp;row()-1)=""Start"",TIME(indirect(""A""&amp;row()-2),indirect(""B""&amp;row()-2),0),
$O$2=""No"",TIME(0,($A$6*60+$B$6)+CEILING(SUM($L$7:indirect(""L""&amp;row()-1)),5),0),
D14=$E$2,TIME(0,($A$6*60+$B$6)+CEILING(SUM(IFERROR(FILTER($L$7:indirect(""L"""&amp;"&amp;row()-1),REGEXMATCH($D$7:indirect(""D""&amp;row()-1),$E$2)),0)),5),0),
TRUE,""=time(hh;mm;ss)"")"),0.4166666666666667)</f>
        <v>0.4166666667</v>
      </c>
      <c r="B14" s="41">
        <f>IFERROR(__xludf.DUMMYFUNCTION("IFS($O$2=""No"",TIME(0,($A$6*60+$B$6)+CEILING(SUM($L$7:indirect(""L""&amp;row())),5),0),
D14=$E$2,TIME(0,($A$6*60+$B$6)+CEILING(SUM(FILTER($L$7:indirect(""L""&amp;row()),REGEXMATCH($D$7:indirect(""D""&amp;row()),$E$2))),5),0),
A14=""=time(hh;mm;ss)"",CONCATENATE(""Sk"&amp;"riv tid i A""&amp;row()),
AND(A14&lt;&gt;"""",A14&lt;&gt;""=time(hh;mm;ss)""),A14+TIME(0,CEILING(indirect(""L""&amp;row()),5),0))"),0.4166666666666667)</f>
        <v>0.4166666667</v>
      </c>
      <c r="C14" s="42"/>
      <c r="D14" s="43" t="str">
        <f t="shared" si="2"/>
        <v>Stora salen</v>
      </c>
      <c r="E14" s="43" t="str">
        <f>IFERROR(__xludf.DUMMYFUNCTION("IFS(COUNTIF(Info!$A$22:A81,C14)&gt;0,"""",
AND(OR(""3x3 FMC""=C14,""3x3 MBLD""=C14),COUNTIF($C$7:indirect(""C""&amp;row()),indirect(""C""&amp;row()))&gt;=13),""E - Error"",
AND(OR(""3x3 FMC""=C14,""3x3 MBLD""=C14),COUNTIF($C$7:indirect(""C""&amp;row()),indirect(""C""&amp;row()"&amp;"))=12),""Final - A3"",
AND(OR(""3x3 FMC""=C14,""3x3 MBLD""=C14),COUNTIF($C$7:indirect(""C""&amp;row()),indirect(""C""&amp;row()))=11),""Final - A2"",
AND(OR(""3x3 FMC""=C14,""3x3 MBLD""=C14),COUNTIF($C$7:indirect(""C""&amp;row()),indirect(""C""&amp;row()))=10),""Final - "&amp;"A1"",
AND(OR(""3x3 FMC""=C14,""3x3 MBLD""=C14),COUNTIF($C$7:indirect(""C""&amp;row()),indirect(""C""&amp;row()))=9,
COUNTIF($C$7:$C$61,indirect(""C""&amp;row()))&gt;9),""R3 - A3"",
AND(OR(""3x3 FMC""=C14,""3x3 MBLD""=C14),COUNTIF($C$7:indirect(""C""&amp;row()),indirect(""C"&amp;"""&amp;row()))=9,
COUNTIF($C$7:$C$61,indirect(""C""&amp;row()))&lt;=9),""Final - A3"",
AND(OR(""3x3 FMC""=C14,""3x3 MBLD""=C14),COUNTIF($C$7:indirect(""C""&amp;row()),indirect(""C""&amp;row()))=8,
COUNTIF($C$7:$C$61,indirect(""C""&amp;row()))&gt;9),""R3 - A2"",
AND(OR(""3x3 FMC""="&amp;"C14,""3x3 MBLD""=C14),COUNTIF($C$7:indirect(""C""&amp;row()),indirect(""C""&amp;row()))=8,
COUNTIF($C$7:$C$61,indirect(""C""&amp;row()))&lt;=9),""Final - A2"",
AND(OR(""3x3 FMC""=C14,""3x3 MBLD""=C14),COUNTIF($C$7:indirect(""C""&amp;row()),indirect(""C""&amp;row()))=7,
COUNTIF("&amp;"$C$7:$C$61,indirect(""C""&amp;row()))&gt;9),""R3 - A1"",
AND(OR(""3x3 FMC""=C14,""3x3 MBLD""=C14),COUNTIF($C$7:indirect(""C""&amp;row()),indirect(""C""&amp;row()))=7,
COUNTIF($C$7:$C$61,indirect(""C""&amp;row()))&lt;=9),""Final - A1"",
AND(OR(""3x3 FMC""=C14,""3x3 MBLD""=C14),"&amp;"COUNTIF($C$7:indirect(""C""&amp;row()),indirect(""C""&amp;row()))=6,
COUNTIF($C$7:$C$61,indirect(""C""&amp;row()))&gt;6),""R2 - A3"",
AND(OR(""3x3 FMC""=C14,""3x3 MBLD""=C14),COUNTIF($C$7:indirect(""C""&amp;row()),indirect(""C""&amp;row()))=6,
COUNTIF($C$7:$C$61,indirect(""C""&amp;"&amp;"row()))&lt;=6),""Final - A3"",
AND(OR(""3x3 FMC""=C14,""3x3 MBLD""=C14),COUNTIF($C$7:indirect(""C""&amp;row()),indirect(""C""&amp;row()))=5,
COUNTIF($C$7:$C$61,indirect(""C""&amp;row()))&gt;6),""R2 - A2"",
AND(OR(""3x3 FMC""=C14,""3x3 MBLD""=C14),COUNTIF($C$7:indirect(""C"&amp;"""&amp;row()),indirect(""C""&amp;row()))=5,
COUNTIF($C$7:$C$61,indirect(""C""&amp;row()))&lt;=6),""Final - A2"",
AND(OR(""3x3 FMC""=C14,""3x3 MBLD""=C14),COUNTIF($C$7:indirect(""C""&amp;row()),indirect(""C""&amp;row()))=4,
COUNTIF($C$7:$C$61,indirect(""C""&amp;row()))&gt;6),""R2 - A1"&amp;""",
AND(OR(""3x3 FMC""=C14,""3x3 MBLD""=C14),COUNTIF($C$7:indirect(""C""&amp;row()),indirect(""C""&amp;row()))=4,
COUNTIF($C$7:$C$61,indirect(""C""&amp;row()))&lt;=6),""Final - A1"",
AND(OR(""3x3 FMC""=C14,""3x3 MBLD""=C14),COUNTIF($C$7:indirect(""C""&amp;row()),indirect("""&amp;"C""&amp;row()))=3),""R1 - A3"",
AND(OR(""3x3 FMC""=C14,""3x3 MBLD""=C14),COUNTIF($C$7:indirect(""C""&amp;row()),indirect(""C""&amp;row()))=2),""R1 - A2"",
AND(OR(""3x3 FMC""=C14,""3x3 MBLD""=C14),COUNTIF($C$7:indirect(""C""&amp;row()),indirect(""C""&amp;row()))=1),""R1 -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C14),ROUNDUP((FILTER(Info!$H$2:H81,Info!$A$2:A81=C14)/FILTER(Info!$H$2:H81,Info!$A$2:A81=$K$2))*$I$2)&gt;99),3,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C14),ROUNDUP((FILTER(Info!$H$2:H81,Info!$A$2:A81=C14)/FILTER(Info!$H$2:H81,Info!$A$2:A81=$K$2))*$I$2)&gt;15),2,
AND(COUNTIF($C$7:indirect(""C""&amp;row()),indirect(""C""&amp;row()))=2,COUNTIF($C$7:$C$61,indirect(""C""&amp;row()))=COUNTIF($C$7:indirect("""&amp;"C""&amp;row()),indirect(""C""&amp;row()))),""Final"",
COUNTIF($C$7:indirect(""C""&amp;row()),indirect(""C""&amp;row()))=1,1,
COUNTIF($C$7:indirect(""C""&amp;row()),indirect(""C""&amp;row()))=0,"""")"),"")</f>
        <v/>
      </c>
      <c r="F14" s="44" t="str">
        <f>IFERROR(__xludf.DUMMYFUNCTION("IFS(C14="""","""",
AND(C14=""3x3 FMC"",MOD(COUNTIF($C$7:indirect(""C""&amp;row()),indirect(""C""&amp;row())),3)=0),""Mean of 3"",
AND(C14=""3x3 MBLD"",MOD(COUNTIF($C$7:indirect(""C""&amp;row()),indirect(""C""&amp;row())),3)=0),""Best of 3"",
AND(C14=""3x3 FMC"",MOD(COUNT"&amp;"IF($C$7:indirect(""C""&amp;row()),indirect(""C""&amp;row())),3)=2,
COUNTIF($C$7:$C$61,indirect(""C""&amp;row()))&lt;=COUNTIF($C$7:indirect(""C""&amp;row()),indirect(""C""&amp;row()))),""Best of 2"",
AND(C14=""3x3 FMC"",MOD(COUNTIF($C$7:indirect(""C""&amp;row()),indirect(""C""&amp;row()"&amp;")),3)=2,
COUNTIF($C$7:$C$61,indirect(""C""&amp;row()))&gt;COUNTIF($C$7:indirect(""C""&amp;row()),indirect(""C""&amp;row()))),""Mean of 3"",
AND(C14=""3x3 MBLD"",MOD(COUNTIF($C$7:indirect(""C""&amp;row()),indirect(""C""&amp;row())),3)=2,
COUNTIF($C$7:$C$61,indirect(""C""&amp;row()))"&amp;"&lt;=COUNTIF($C$7:indirect(""C""&amp;row()),indirect(""C""&amp;row()))),""Best of 2"",
AND(C14=""3x3 MBLD"",MOD(COUNTIF($C$7:indirect(""C""&amp;row()),indirect(""C""&amp;row())),3)=2,
COUNTIF($C$7:$C$61,indirect(""C""&amp;row()))&gt;COUNTIF($C$7:indirect(""C""&amp;row()),indirect(""C"&amp;"""&amp;row()))),""Best of 3"",
AND(C14=""3x3 FMC"",MOD(COUNTIF($C$7:indirect(""C""&amp;row()),indirect(""C""&amp;row())),3)=1,
COUNTIF($C$7:$C$61,indirect(""C""&amp;row()))&lt;=COUNTIF($C$7:indirect(""C""&amp;row()),indirect(""C""&amp;row()))),""Best of 1"",
AND(C14=""3x3 FMC"",MOD"&amp;"(COUNTIF($C$7:indirect(""C""&amp;row()),indirect(""C""&amp;row())),3)=1,
COUNTIF($C$7:$C$61,indirect(""C""&amp;row()))=COUNTIF($C$7:indirect(""C""&amp;row()),indirect(""C""&amp;row()))+1),""Best of 2"",
AND(C14=""3x3 FMC"",MOD(COUNTIF($C$7:indirect(""C""&amp;row()),indirect(""C"&amp;"""&amp;row())),3)=1,
COUNTIF($C$7:$C$61,indirect(""C""&amp;row()))&gt;COUNTIF($C$7:indirect(""C""&amp;row()),indirect(""C""&amp;row()))),""Mean of 3"",
AND(C14=""3x3 MBLD"",MOD(COUNTIF($C$7:indirect(""C""&amp;row()),indirect(""C""&amp;row())),3)=1,
COUNTIF($C$7:$C$61,indirect(""C"""&amp;"&amp;row()))&lt;=COUNTIF($C$7:indirect(""C""&amp;row()),indirect(""C""&amp;row()))),""Best of 1"",
AND(C14=""3x3 MBLD"",MOD(COUNTIF($C$7:indirect(""C""&amp;row()),indirect(""C""&amp;row())),3)=1,
COUNTIF($C$7:$C$61,indirect(""C""&amp;row()))=COUNTIF($C$7:indirect(""C""&amp;row()),indir"&amp;"ect(""C""&amp;row()))+1),""Best of 2"",
AND(C14=""3x3 MBLD"",MOD(COUNTIF($C$7:indirect(""C""&amp;row()),indirect(""C""&amp;row())),3)=1,
COUNTIF($C$7:$C$61,indirect(""C""&amp;row()))&gt;COUNTIF($C$7:indirect(""C""&amp;row()),indirect(""C""&amp;row()))),""Best of 3"",
TRUE,(IFERROR("&amp;"FILTER(Info!$D$2:D81, Info!$A$2:A81 = C14), """")))"),"")</f>
        <v/>
      </c>
      <c r="G14" s="45" t="str">
        <f>IFERROR(__xludf.DUMMYFUNCTION("IFS(OR(COUNTIF(Info!$A$22:A81,C14)&gt;0,C14=""""),"""",
OR(""3x3 MBLD""=C14,""3x3 FMC""=C14),60,
AND(E14=1,FILTER(Info!$F$2:F81, Info!$A$2:A81 = C14) = ""No""),FILTER(Info!$P$2:P81, Info!$A$2:A81 = C14),
AND(E14=2,FILTER(Info!$F$2:F81, Info!$A$2:A81 = C14) ="&amp;" ""No""),FILTER(Info!$Q$2:Q81, Info!$A$2:A81 = C14),
AND(E14=3,FILTER(Info!$F$2:F81, Info!$A$2:A81 = C14) = ""No""),FILTER(Info!$R$2:R81, Info!$A$2:A81 = C14),
AND(E14=""Final"",FILTER(Info!$F$2:F81, Info!$A$2:A81 = C14) = ""No""),FILTER(Info!$S$2:S81, In"&amp;"fo!$A$2:A81 = C14),
FILTER(Info!$F$2:F81, Info!$A$2:A81 = C14) = ""Yes"","""")"),"")</f>
        <v/>
      </c>
      <c r="H14" s="45" t="str">
        <f>IFERROR(__xludf.DUMMYFUNCTION("IFS(OR(COUNTIF(Info!$A$22:A81,C14)&gt;0,C14=""""),"""",
OR(""3x3 MBLD""=C14,""3x3 FMC""=C14)=TRUE,"""",
FILTER(Info!$F$2:F81, Info!$A$2:A81 = C14) = ""Yes"",FILTER(Info!$O$2:O81, Info!$A$2:A81 = C14),
FILTER(Info!$F$2:F81, Info!$A$2:A81 = C14) = ""No"",IF(G1"&amp;"4="""",FILTER(Info!$O$2:O81, Info!$A$2:A81 = C14),""""))"),"")</f>
        <v/>
      </c>
      <c r="I14" s="45" t="str">
        <f>IFERROR(__xludf.DUMMYFUNCTION("IFS(OR(COUNTIF(Info!$A$22:A81,C14)&gt;0,C14="""",H14&lt;&gt;""""),"""",
AND(E14&lt;&gt;1,E14&lt;&gt;""R1 - A1"",E14&lt;&gt;""R1 - A2"",E14&lt;&gt;""R1 - A3""),"""",
FILTER(Info!$E$2:E81, Info!$A$2:A81 = C14) = ""Yes"",IF(H14="""",FILTER(Info!$L$2:L81, Info!$A$2:A81 = C14),""""),
FILTER(I"&amp;"nfo!$E$2:E81, Info!$A$2:A81 = C14) = ""No"","""")"),"")</f>
        <v/>
      </c>
      <c r="J14" s="45" t="str">
        <f>IFERROR(__xludf.DUMMYFUNCTION("IFS(OR(COUNTIF(Info!$A$22:A81,C14)&gt;0,C14="""",""3x3 MBLD""=C14,""3x3 FMC""=C14),"""",
AND(E14=1,FILTER(Info!$H$2:H81,Info!$A$2:A81 = C14)&lt;=FILTER(Info!$H$2:H81,Info!$A$2:A81=$K$2)),
ROUNDUP((FILTER(Info!$H$2:H81,Info!$A$2:A81 = C14)/FILTER(Info!$H$2:H81,I"&amp;"nfo!$A$2:A81=$K$2))*$I$2),
AND(E14=1,FILTER(Info!$H$2:H81,Info!$A$2:A81 = C14)&gt;FILTER(Info!$H$2:H81,Info!$A$2:A81=$K$2)),""K2 - Error"",
AND(E14=2,FILTER($J$7:indirect(""J""&amp;row()-1),$C$7:indirect(""C""&amp;row()-1)=C14)&lt;=7),""J - Error"",
E14=2,FLOOR(FILTER("&amp;"$J$7:indirect(""J""&amp;row()-1),$C$7:indirect(""C""&amp;row()-1)=C14)*Info!$T$32),
AND(E14=3,FILTER($J$7:indirect(""J""&amp;row()-1),$C$7:indirect(""C""&amp;row()-1)=C14)&lt;=15),""J - Error"",
E14=3,FLOOR(Info!$T$32*FLOOR(FILTER($J$7:indirect(""J""&amp;row()-1),$C$7:indirect("&amp;"""C""&amp;row()-1)=C14)*Info!$T$32)),
AND(E14=""Final"",COUNTIF($C$7:$C$61,C14)=2,FILTER($J$7:indirect(""J""&amp;row()-1),$C$7:indirect(""C""&amp;row()-1)=C14)&lt;=7),""J - Error"",
AND(E14=""Final"",COUNTIF($C$7:$C$61,C14)=2),
MIN(P14,FLOOR(FILTER($J$7:indirect(""J""&amp;r"&amp;"ow()-1),$C$7:indirect(""C""&amp;row()-1)=C14)*Info!$T$32)),
AND(E14=""Final"",COUNTIF($C$7:$C$61,C14)=3,FILTER($J$7:indirect(""J""&amp;row()-1),$C$7:indirect(""C""&amp;row()-1)=C14)&lt;=15),""J - Error"",
AND(E14=""Final"",COUNTIF($C$7:$C$61,C14)=3),
MIN(P14,FLOOR(Info!"&amp;"$T$32*FLOOR(FILTER($J$7:indirect(""J""&amp;row()-1),$C$7:indirect(""C""&amp;row()-1)=C14)*Info!$T$32))),
AND(E14=""Final"",COUNTIF($C$7:$C$61,C14)&gt;=4,FILTER($J$7:indirect(""J""&amp;row()-1),$C$7:indirect(""C""&amp;row()-1)=C14)&lt;=99),""J - Error"",
AND(E14=""Final"",COUNT"&amp;"IF($C$7:$C$61,C14)&gt;=4),
MIN(P14,FLOOR(Info!$T$32*FLOOR(Info!$T$32*FLOOR(FILTER($J$7:indirect(""J""&amp;row()-1),$C$7:indirect(""C""&amp;row()-1)=C14)*Info!$T$32)))))"),"")</f>
        <v/>
      </c>
      <c r="K14" s="46" t="str">
        <f>IFERROR(__xludf.DUMMYFUNCTION("IFS(AND(indirect(""D""&amp;row()+2)&lt;&gt;$E$2,indirect(""D""&amp;row()+1)=""""),CONCATENATE(""Tom rad! Kopiera hela rad ""&amp;row()&amp;"" dit""),
AND(indirect(""D""&amp;row()-1)&lt;&gt;""Rum"",indirect(""D""&amp;row()-1)=""""),CONCATENATE(""Tom rad! Kopiera hela rad ""&amp;row()&amp;"" dit""),
"&amp;"C14="""","""",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OR(AND(D14&lt;&gt;$E$2,D14&lt;&gt;$E$4,D14&lt;&gt;$K$4,D14&lt;&gt;$Q$4),D14="&amp;"""""),CONCATENATE(""Rum: ""&amp;D14&amp;"" finns ej, byt i D""&amp;row()),
AND(indirect(""D""&amp;row()-1)=""Rum"",C14=""""),CONCATENATE(""För att börja: skriv i cell C""&amp;row()),
AND(C14=""Paus"",M14&lt;=0),CONCATENATE(""Skriv pausens längd i M""&amp;row()),
OR(COUNTIF(Info!$A$"&amp;"22:A81,C14)&gt;0,C14=""""),"""",
AND(D14&lt;&gt;$E$2,$O$2=""Yes"",A14=""=time(hh;mm;ss)""),CONCATENATE(""Skriv starttid för ""&amp;C14&amp;"" i A""&amp;row()),
E14=""E - Error"",CONCATENATE(""För många ""&amp;C14&amp;"" rundor!""),
AND(C14&lt;&gt;""3x3 FMC"",C14&lt;&gt;""3x3 MBLD"",E14&lt;&gt;1,E14&lt;&gt;"&amp;"""Final"",IFERROR(FILTER($E$7:indirect(""E""&amp;row()-1),
$E$7:indirect(""E""&amp;row()-1)=E14-1,$C$7:indirect(""C""&amp;row()-1)=C14))=FALSE),CONCATENATE(""Kan ej vara R""&amp;E14&amp;"", saknar R""&amp;(E14-1)),
AND(indirect(""E""&amp;row()-1)&lt;&gt;""Omgång"",IFERROR(FILTER($E$7:indi"&amp;"rect(""E""&amp;row()-1),
$E$7:indirect(""E""&amp;row()-1)=E14,$C$7:indirect(""C""&amp;row()-1)=C14)=E14)=TRUE),CONCATENATE(""Runda ""&amp;E14&amp;"" i ""&amp;C14&amp;"" finns redan""),
AND(C14&lt;&gt;""3x3 BLD"",C14&lt;&gt;""4x4 BLD"",C14&lt;&gt;""5x5 BLD"",C14&lt;&gt;""4x4 / 5x5 BLD"",OR(E14=2,E14=3,E14="&amp;"""Final""),H14&lt;&gt;""""),CONCATENATE(E14&amp;""-rundor brukar ej ha c.t.l.""),
AND(OR(E14=2,E14=3,E14=""Final""),I14&lt;&gt;""""),CONCATENATE(E14&amp;""-rundor brukar ej ha cutoff""),
AND(OR(C14=""3x3 FMC"",C14=""3x3 MBLD""),OR(E14=1,E14=2,E14=3,E14=""Final"")),CONCATENAT"&amp;"E(C14&amp;""s omgång är Rx - Ax""),
AND(C14&lt;&gt;""3x3 MBLD"",C14&lt;&gt;""3x3 FMC"",FILTER(Info!$D$2:D81, Info!$A$2:A81 = C14)&lt;&gt;F14),CONCATENATE(C14&amp;"" måste ha formatet ""&amp;FILTER(Info!$D$2:D81, Info!$A$2:A81 = C14)),
AND(C14=""3x3 MBLD"",OR(F14=""Avg of 5"",F14=""Mea"&amp;"n of 3"")),CONCATENATE(""Ogiltigt format för ""&amp;C14),
AND(C14=""3x3 FMC"",OR(F14=""Avg of 5"",F14=""Best of 3"")),CONCATENATE(""Ogiltigt format för ""&amp;C14),
AND(OR(F14=""Best of 1"",F14=""Best of 2"",F14=""Best of 3""),I14&lt;&gt;""""),CONCATENATE(F14&amp;""-rundor"&amp;" får ej ha cutoff""),
AND(OR(C14=""3x3 FMC"",C14=""3x3 MBLD""),G14&lt;&gt;60),CONCATENATE(C14&amp;"" måste ha time limit: 60""),
AND(OR(C14=""3x3 FMC"",C14=""3x3 MBLD""),H14&lt;&gt;""""),CONCATENATE(C14&amp;"" kan inte ha c.t.l.""),
AND(G14&lt;&gt;"""",H14&lt;&gt;""""),""Välj time limit"&amp;" ELLER c.t.l"",
AND(C14=""6x6 / 7x7"",G14="""",H14=""""),""Sätt time limit (x / y) eller c.t.l (z)"",
AND(G14="""",H14=""""),""Sätt en time limit eller c.t.l"",
AND(OR(C14=""6x6 / 7x7"",C14=""4x4 / 5x5 BLD""),G14&lt;&gt;"""",REGEXMATCH(TO_TEXT(G14),"" / "")=FAL"&amp;"SE),CONCATENATE(""Time limit måste vara x / y""),
AND(H14&lt;&gt;"""",I14&lt;&gt;""""),CONCATENATE(C14&amp;"" brukar ej ha cutoff OCH c.t.l""),
AND(E14=1,H14="""",I14="""",OR(FILTER(Info!$E$2:E81, Info!$A$2:A81 = C14) = ""Yes"",FILTER(Info!$F$2:F81, Info!$A$2:A81 = C14) "&amp;"= ""Yes""),OR(F14=""Avg of 5"",F14=""Mean of 3"")),CONCATENATE(C14&amp;"" bör ha cutoff eller c.t.l""),
AND(C14=""6x6 / 7x7"",I14&lt;&gt;"""",REGEXMATCH(TO_TEXT(I14),"" / "")=FALSE),CONCATENATE(""Cutoff måste vara x / y""),
AND(H14&lt;&gt;"""",ISNUMBER(H14)=FALSE),""C.t."&amp;"l. måste vara positivt tal (x)"",
AND(C14&lt;&gt;""6x6 / 7x7"",I14&lt;&gt;"""",ISNUMBER(I14)=FALSE),""Cutoff måste vara positivt tal (x)"",
AND(H14&lt;&gt;"""",FILTER(Info!$E$2:E81, Info!$A$2:A81 = C14) = ""No"",FILTER(Info!$F$2:F81, Info!$A$2:A81 = C14) = ""No""),CONCATEN"&amp;"ATE(C14&amp;"" brukar inte ha c.t.l.""),
AND(I14&lt;&gt;"""",FILTER(Info!$E$2:E81, Info!$A$2:A81 = C14) = ""No"",FILTER(Info!$F$2:F81, Info!$A$2:A81 = C14) = ""No""),CONCATENATE(C14&amp;"" brukar inte ha cutoff""),
AND(H14="""",FILTER(Info!$F$2:F81, Info!$A$2:A81 = C14"&amp;") = ""Yes""),CONCATENATE(C14&amp;"" brukar ha c.t.l.""),
AND(C14&lt;&gt;""6x6 / 7x7"",C14&lt;&gt;""4x4 / 5x5 BLD"",G14&lt;&gt;"""",ISNUMBER(G14)=FALSE),""Time limit måste vara positivt tal (x)"",
J14=""J - Error"",CONCATENATE(""För få deltagare i R1 för ""&amp;COUNTIF($C$7:$C$61,i"&amp;"ndirect(""C""&amp;row()))&amp;"" rundor""),
J14=""K2 - Error"",CONCATENATE(C14&amp;"" är mer populär - byt i K2!""),
AND(C14&lt;&gt;""6x6 / 7x7"",C14&lt;&gt;""4x4 / 5x5 BLD"",G14&lt;&gt;"""",I14&lt;&gt;"""",G14&lt;=I14),""Time limit måste vara &gt; cutoff"",
AND(C14&lt;&gt;""6x6 / 7x7"",C14&lt;&gt;""4x4 / 5x"&amp;"5 BLD"",H14&lt;&gt;"""",I14&lt;&gt;"""",H14&lt;=I14),""C.t.l. måste vara &gt; cutoff"",
AND(C14&lt;&gt;""3x3 FMC"",C14&lt;&gt;""3x3 MBLD"",J14=""""),CONCATENATE(""Fyll i antal deltagare i J""&amp;row()),
AND(C14="""",OR(E14&lt;&gt;"""",F14&lt;&gt;"""",G14&lt;&gt;"""",H14&lt;&gt;"""",I14&lt;&gt;"""",J14&lt;&gt;"""")),""Skriv"&amp;" ALLTID gren / aktivitet först"",
AND(I14="""",H14="""",J14&lt;&gt;""""),J14,
OR(""3x3 FMC""=C14,""3x3 MBLD""=C14),J14,
AND(I14&lt;&gt;"""",""6x6 / 7x7""=C14),
IFS(ArrayFormula(SUM(IFERROR(SPLIT(I14,"" / ""))))&lt;(Info!$J$6+Info!$J$7)*2/3,CONCATENATE(""Höj helst cutoff"&amp;"s i ""&amp;C14),
ArrayFormula(SUM(IFERROR(SPLIT(I14,"" / ""))))&lt;=(Info!$J$6+Info!$J$7),ROUNDUP(J14*Info!$J$22),
ArrayFormula(SUM(IFERROR(SPLIT(I14,"" / ""))))&lt;=Info!$J$6+Info!$J$7,ROUNDUP(J14*Info!$K$22),
ArrayFormula(SUM(IFERROR(SPLIT(I14,"" / ""))))&lt;=Info!$"&amp;"K$6+Info!$K$7,ROUNDUP(J14*Info!L$22),
ArrayFormula(SUM(IFERROR(SPLIT(I14,"" / ""))))&lt;=Info!$L$6+Info!$L$7,ROUNDUP(J14*Info!$M$22),
ArrayFormula(SUM(IFERROR(SPLIT(I14,"" / ""))))&lt;=Info!$M$6+Info!$M$7,ROUNDUP(J14*Info!$N$22),
ArrayFormula(SUM(IFERROR(SPLIT("&amp;"I14,"" / ""))))&lt;=(Info!$N$6+Info!$N$7)*3/2,ROUNDUP(J14*Info!$J$26),
ArrayFormula(SUM(IFERROR(SPLIT(I14,"" / ""))))&gt;(Info!$N$6+Info!$N$7)*3/2,CONCATENATE(""Sänk helst cutoffs i ""&amp;C14)),
AND(I14&lt;&gt;"""",FILTER(Info!$E$2:E81, Info!$A$2:A81 = C14) = ""Yes""),
"&amp;"IFS(I14&lt;FILTER(Info!$J$2:J81, Info!$A$2:A81 = C14)*2/3,CONCATENATE(""Höj helst cutoff i ""&amp;C14),
I14&lt;=FILTER(Info!$J$2:J81, Info!$A$2:A81 = C14),ROUNDUP(J14*Info!$J$22),
I14&lt;=FILTER(Info!$K$2:K81, Info!$A$2:A81 = C14),ROUNDUP(J14*Info!$K$22),
I14&lt;=FILTER("&amp;"Info!$L$2:L81, Info!$A$2:A81 = C14),ROUNDUP(J14*Info!L$22),
I14&lt;=FILTER(Info!$M$2:M81, Info!$A$2:A81 = C14),ROUNDUP(J14*Info!$M$22),
I14&lt;=FILTER(Info!$N$2:N81, Info!$A$2:A81 = C14),ROUNDUP(J14*Info!$N$22),
I14&lt;=FILTER(Info!$N$2:N81, Info!$A$2:A81 = C14)*3"&amp;"/2,ROUNDUP(J14*Info!$J$26),
I14&gt;FILTER(Info!$N$2:N81, Info!$A$2:A81 = C14)*3/2,CONCATENATE(""Sänk helst cutoff i ""&amp;C14)),
AND(H14&lt;&gt;"""",""6x6 / 7x7""=C14),
IFS(H14/3&lt;=(Info!$J$6+Info!$J$7)*2/3,""Höj helst cumulative time limit"",
H14/3&lt;=Info!$J$6+Info!$J"&amp;"$7,ROUNDUP(J14*Info!$J$24),
H14/3&lt;=Info!$K$6+Info!$K$7,ROUNDUP(J14*Info!$K$24),
H14/3&lt;=Info!$L$6+Info!$L$7,ROUNDUP(J14*Info!L$24),
H14/3&lt;=Info!$M$6+Info!$M$7,ROUNDUP(J14*Info!$M$24),
H14/3&lt;=Info!$N$6+Info!$N$7,ROUNDUP(J14*Info!$N$24),
H14/3&lt;=(Info!$N$6+In"&amp;"fo!$N$7)*3/2,ROUNDUP(J14*Info!$L$26),
H14/3&gt;(Info!$J$6+Info!$J$7)*3/2,""Sänk helst cumulative time limit""),
AND(H14&lt;&gt;"""",FILTER(Info!$F$2:F81, Info!$A$2:A81 = C14) = ""Yes""),
IFS(H14&lt;=FILTER(Info!$J$2:J81, Info!$A$2:A81 = C14)*2/3,CONCATENATE(""Höj hel"&amp;"st c.t.l. i ""&amp;C14),
H14&lt;=FILTER(Info!$J$2:J81, Info!$A$2:A81 = C14),ROUNDUP(J14*Info!$J$24),
H14&lt;=FILTER(Info!$K$2:K81, Info!$A$2:A81 = C14),ROUNDUP(J14*Info!$K$24),
H14&lt;=FILTER(Info!$L$2:L81, Info!$A$2:A81 = C14),ROUNDUP(J14*Info!L$24),
H14&lt;=FILTER(Info"&amp;"!$M$2:M81, Info!$A$2:A81 = C14),ROUNDUP(J14*Info!$M$24),
H14&lt;=FILTER(Info!$N$2:N81, Info!$A$2:A81 = C14),ROUNDUP(J14*Info!$N$24),
H14&lt;=FILTER(Info!$N$2:N81, Info!$A$2:A81 = C14)*3/2,ROUNDUP(J14*Info!$L$26),
H14&gt;FILTER(Info!$N$2:N81, Info!$A$2:A81 = C14)*3"&amp;"/2,CONCATENATE(""Sänk helst c.t.l. i ""&amp;C14)),
AND(H14&lt;&gt;"""",FILTER(Info!$F$2:F81, Info!$A$2:A81 = C14) = ""No""),
IFS(H14/AA14&lt;=FILTER(Info!$J$2:J81, Info!$A$2:A81 = C14)*2/3,CONCATENATE(""Höj helst c.t.l. i ""&amp;C14),
H14/AA14&lt;=FILTER(Info!$J$2:J81, Info!"&amp;"$A$2:A81 = C14),ROUNDUP(J14*Info!$J$24),
H14/AA14&lt;=FILTER(Info!$K$2:K81, Info!$A$2:A81 = C14),ROUNDUP(J14*Info!$K$24),
H14/AA14&lt;=FILTER(Info!$L$2:L81, Info!$A$2:A81 = C14),ROUNDUP(J14*Info!L$24),
H14/AA14&lt;=FILTER(Info!$M$2:M81, Info!$A$2:A81 = C14),ROUNDU"&amp;"P(J14*Info!$M$24),
H14/AA14&lt;=FILTER(Info!$N$2:N81, Info!$A$2:A81 = C14),ROUNDUP(J14*Info!$N$24),
H14/AA14&lt;=FILTER(Info!$N$2:N81, Info!$A$2:A81 = C14)*3/2,ROUNDUP(J14*Info!$L$26),
H14/AA14&gt;FILTER(Info!$N$2:N81, Info!$A$2:A81 = C14)*3/2,CONCATENATE(""Sänk h"&amp;"elst c.t.l. i ""&amp;C14)),
AND(I14="""",H14&lt;&gt;"""",J14&lt;&gt;""""),ROUNDUP(J14*Info!$T$29),
AND(I14&lt;&gt;"""",H14="""",J14&lt;&gt;""""),ROUNDUP(J14*Info!$T$26))"),"")</f>
        <v/>
      </c>
      <c r="L14" s="47">
        <f>IFERROR(__xludf.DUMMYFUNCTION("IFS(C14="""",0,
C14=""3x3 FMC"",Info!$B$9*N14+M14, C14=""3x3 MBLD"",Info!$B$18*N14+M14,
COUNTIF(Info!$A$22:A81,C14)&gt;0,FILTER(Info!$B$22:B81,Info!$A$22:A81=C14)+M14,
AND(C14&lt;&gt;"""",E14=""""),CONCATENATE(""Fyll i E""&amp;row()),
AND(C14&lt;&gt;"""",E14&lt;&gt;"""",E14&lt;&gt;1,E1"&amp;"4&lt;&gt;2,E14&lt;&gt;3,E14&lt;&gt;""Final""),CONCATENATE(""Fel format på E""&amp;row()),
K14=CONCATENATE(""Runda ""&amp;E14&amp;"" i ""&amp;C14&amp;"" finns redan""),CONCATENATE(""Fel i E""&amp;row()),
AND(C14&lt;&gt;"""",F14=""""),CONCATENATE(""Fyll i F""&amp;row()),
K14=CONCATENATE(C14&amp;"" måste ha forma"&amp;"tet ""&amp;FILTER(Info!$D$2:D81, Info!$A$2:A81 = C14)),CONCATENATE(""Fel format på F""&amp;row()),
AND(C14&lt;&gt;"""",D14=1,H14="""",FILTER(Info!$F$2:F81, Info!$A$2:A81 = C14) = ""Yes""),CONCATENATE(""Fyll i H""&amp;row()),
AND(C14&lt;&gt;"""",D14=1,I14="""",FILTER(Info!$E$2:E8"&amp;"1, Info!$A$2:A81 = C14) = ""Yes""),CONCATENATE(""Fyll i I""&amp;row()),
AND(C14&lt;&gt;"""",J14=""""),CONCATENATE(""Fyll i J""&amp;row()),
AND(C14&lt;&gt;"""",K14="""",OR(H14&lt;&gt;"""",I14&lt;&gt;"""")),CONCATENATE(""Fyll i K""&amp;row()),
AND(C14&lt;&gt;"""",K14=""""),CONCATENATE(""Skriv samma"&amp;" i K""&amp;row()&amp;"" som i J""&amp;row()),
AND(OR(C14=""4x4 BLD"",C14=""5x5 BLD"",C14=""4x4 / 5x5 BLD"")=TRUE,V14&lt;=P14),
MROUND(H14*(Info!$T$20-((Info!$T$20-1)/2)*(1-V14/P14))*(1+((J14/K14)-1)*(1-Info!$J$24))*N14+(Info!$T$11/2)+(N14*Info!$T$11)+(N14*Info!$T$14*(O1"&amp;"4-1)),0.01)+M14,
AND(OR(C14=""4x4 BLD"",C14=""5x5 BLD"",C14=""4x4 / 5x5 BLD"")=TRUE,V14&gt;P14),
MROUND((((J14*Z14+K14*(AA14-Z14))*(H14*Info!$T$20/AA14))/X14)*(1+((J14/K14)-1)*(1-Info!$J$24))*(1+(X14-Info!$T$8)/100)+(Info!$T$11/2)+(N14*Info!$T$11)+(N14*Info!"&amp;"$T$14*(O14-1)),0.01)+M14,
AND(C14=""3x3 BLD"",V14&lt;=P14),
MROUND(H14*(Info!$T$23-((Info!$T$23-1)/2)*(1-V14/P14))*(1+((J14/K14)-1)*(1-Info!$J$24))*N14+(Info!$T$11/2)+(N14*Info!$T$11)+(N14*Info!$T$14*(O14-1)),0.01)+M14,
AND(C14=""3x3 BLD"",V14&gt;P14),
MROUND(("&amp;"((J14*Z14+K14*(AA14-Z14))*(H14*Info!$T$23/AA14))/X14)*(1+((J14/K14)-1)*(1-Info!$J$24))*(1+(X14-Info!$T$8)/100)+(Info!$T$11/2)+(N14*Info!$T$11)+(N14*Info!$T$14*(O14-1)),0.01)+M14,
E14=1,MROUND((((J14*Z14+K14*(AA14-Z14))*Y14)/X14)*(1+(X14-Info!$T$8)/100)+(N"&amp;"14*Info!$T$11)+(N14*Info!$T$14*(O14-1)),0.01)+M14,
AND(E14=""Final"",N14=1,FILTER(Info!$G$2:$G$20,Info!$A$2:$A$20=C14)=""Mycket svår""),
MROUND((((J14*Z14+K14*(AA14-Z14))*(Y14*Info!$T$38))/X14)*(1+(X14-Info!$T$8)/100)+(N14*Info!$T$11)+(N14*Info!$T$14*(O14"&amp;"-1)),0.01)+M14,
AND(E14=""Final"",N14=1,FILTER(Info!$G$2:$G$20,Info!$A$2:$A$20=C14)=""Svår""),
MROUND((((J14*Z14+K14*(AA14-Z14))*(Y14*Info!$T$35))/X14)*(1+(X14-Info!$T$8)/100)+(N14*Info!$T$11)+(N14*Info!$T$14*(O14-1)),0.01)+M14,
E14=""Final"",MROUND((((J1"&amp;"4*Z14+K14*(AA14-Z14))*(Y14*Info!$T$5))/X14)*(1+(X14-Info!$T$8)/100)+(N14*Info!$T$11)+(N14*Info!$T$14*(O14-1)),0.01)+M14,
OR(E14=2,E14=3),MROUND((((J14*Z14+K14*(AA14-Z14))*(Y14*Info!$T$2))/X14)*(1+(X14-Info!$T$8)/100)+(N14*Info!$T$11)+(N14*Info!$T$14*(O14-"&amp;"1)),0.01)+M14)"),0.0)</f>
        <v>0</v>
      </c>
      <c r="M14" s="48">
        <f t="shared" si="1"/>
        <v>0</v>
      </c>
      <c r="N14" s="48" t="str">
        <f>IFS(OR(COUNTIF(Info!$A$22:A81,C14)&gt;0,C14=""),"",
OR(C14="4x4 BLD",C14="5x5 BLD",C14="3x3 MBLD",C14="3x3 FMC",C14="4x4 / 5x5 BLD"),1,
AND(E14="Final",Q14="Yes",MAX(1,ROUNDUP(J14/P14))&gt;1),MAX(2,ROUNDUP(J14/P14)),
AND(E14="Final",Q14="No",MAX(1,ROUNDUP(J14/((P14*2)+2.625-Y14*1.5)))&gt;1),MAX(2,ROUNDUP(J14/((P14*2)+2.625-Y14*1.5))),
E14="Final",1,
Q14="Yes",MAX(2,ROUNDUP(J14/P14)),
TRUE,MAX(2,ROUNDUP(J14/((P14*2)+2.625-Y14*1.5))))</f>
        <v/>
      </c>
      <c r="O14" s="48" t="str">
        <f>IFS(OR(COUNTIF(Info!$A$22:A81,C14)&gt;0,C14=""),"",
OR("3x3 MBLD"=C14,"3x3 FMC"=C14)=TRUE,"",
D14=$E$4,$G$6,D14=$K$4,$M$6,D14=$Q$4,$S$6,D14=$W$4,$Y$6,
TRUE,$S$2)</f>
        <v/>
      </c>
      <c r="P14" s="48" t="str">
        <f>IFS(OR(COUNTIF(Info!$A$22:A81,C14)&gt;0,C14=""),"",
OR("3x3 MBLD"=C14,"3x3 FMC"=C14)=TRUE,"",
D14=$E$4,$E$6,D14=$K$4,$K$6,D14=$Q$4,$Q$6,D14=$W$4,$W$6,
TRUE,$Q$2)</f>
        <v/>
      </c>
      <c r="Q14" s="49" t="str">
        <f>IFS(OR(COUNTIF(Info!$A$22:A81,C14)&gt;0,C14=""),"",
OR("3x3 MBLD"=C14,"3x3 FMC"=C14)=TRUE,"",
D14=$E$4,$I$6,D14=$K$4,$O$6,D14=$Q$4,$U$6,D14=$W$4,$AA$6,
TRUE,$U$2)</f>
        <v/>
      </c>
      <c r="R14" s="50" t="str">
        <f>IFERROR(__xludf.DUMMYFUNCTION("IF(C14="""","""",IFERROR(FILTER(Info!$B$22:B81,Info!$A$22:A81=C14)+M14,""?""))"),"")</f>
        <v/>
      </c>
      <c r="S14" s="51" t="str">
        <f>IFS(OR(COUNTIF(Info!$A$22:A81,C14)&gt;0,C14=""),"",
AND(H14="",I14=""),J14,
TRUE,"?")</f>
        <v/>
      </c>
      <c r="T14" s="52" t="str">
        <f>IFS(OR(COUNTIF(Info!$A$22:A81,C14)&gt;0,C14=""),"",
AND(L14&lt;&gt;0,OR(R14="?",R14="")),"Fyll i R-kolumnen",
OR(C14="3x3 FMC",C14="3x3 MBLD"),R14,
AND(L14&lt;&gt;0,OR(S14="?",S14="")),"Fyll i S-kolumnen",
OR(COUNTIF(Info!$A$22:A81,C14)&gt;0,C14=""),"",
TRUE,Y14*R14/L14)</f>
        <v/>
      </c>
      <c r="U14" s="52"/>
      <c r="V14" s="53" t="str">
        <f>IFS(OR(COUNTIF(Info!$A$22:A81,C14)&gt;0,C14=""),"",
OR("3x3 MBLD"=C14,"3x3 FMC"=C14)=TRUE,"",
TRUE,MROUND((J14/N14),0.01))</f>
        <v/>
      </c>
      <c r="W14" s="54" t="str">
        <f>IFS(OR(COUNTIF(Info!$A$22:A81,C14)&gt;0,C14=""),"",
TRUE,L14/N14)</f>
        <v/>
      </c>
      <c r="X14" s="55" t="str">
        <f>IFS(OR(COUNTIF(Info!$A$22:A81,C14)&gt;0,C14=""),"",
OR("3x3 MBLD"=C14,"3x3 FMC"=C14)=TRUE,"",
OR(C14="4x4 BLD",C14="5x5 BLD",C14="4x4 / 5x5 BLD",AND(C14="3x3 BLD",H14&lt;&gt;""))=TRUE,MIN(V14,P14),
TRUE,MIN(P14,V14,MROUND(((V14*2/3)+((Y14-1.625)/2)),0.01)))</f>
        <v/>
      </c>
      <c r="Y14" s="56" t="str">
        <f>IFERROR(__xludf.DUMMYFUNCTION("IFS(OR(COUNTIF(Info!$A$22:A81,C14)&gt;0,C14=""""),"""",
FILTER(Info!$F$2:F81, Info!$A$2:A81 = C14) = ""Yes"",H14/AA14,
""3x3 FMC""=C14,Info!$B$9,""3x3 MBLD""=C14,Info!$B$18,
AND(E14=1,I14="""",H14="""",Q14=""No"",G14&gt;SUMIF(Info!$A$2:A81,C14,Info!$B$2:B81)*1."&amp;"5),
MIN(SUMIF(Info!$A$2:A81,C14,Info!$B$2:B81)*1.1,SUMIF(Info!$A$2:A81,C14,Info!$B$2:B81)*(1.15-(0.15*(SUMIF(Info!$A$2:A81,C14,Info!$B$2:B81)*1.5)/G14))),
AND(E14=1,I14="""",H14="""",Q14=""Yes"",G14&gt;SUMIF(Info!$A$2:A81,C14,Info!$C$2:C81)*1.5),
MIN(SUMIF(I"&amp;"nfo!$A$2:A81,C14,Info!$C$2:C81)*1.1,SUMIF(Info!$A$2:A81,C14,Info!$C$2:C81)*(1.15-(0.15*(SUMIF(Info!$A$2:A81,C14,Info!$C$2:C81)*1.5)/G14))),
Q14=""No"",SUMIF(Info!$A$2:A81,C14,Info!$B$2:B81),
Q14=""Yes"",SUMIF(Info!$A$2:A81,C14,Info!$C$2:C81))"),"")</f>
        <v/>
      </c>
      <c r="Z14" s="57" t="str">
        <f>IFS(OR(COUNTIF(Info!$A$22:A81,C14)&gt;0,C14=""),"",
AND(OR("3x3 FMC"=C14,"3x3 MBLD"=C14),I14&lt;&gt;""),1,
AND(OR(H14&lt;&gt;"",I14&lt;&gt;""),F14="Avg of 5"),2,
F14="Avg of 5",AA14,
AND(OR(H14&lt;&gt;"",I14&lt;&gt;""),F14="Mean of 3",C14="6x6 / 7x7"),2,
AND(OR(H14&lt;&gt;"",I14&lt;&gt;""),F14="Mean of 3"),1,
F14="Mean of 3",AA14,
AND(OR(H14&lt;&gt;"",I14&lt;&gt;""),F14="Best of 3",C14="4x4 / 5x5 BLD"),2,
AND(OR(H14&lt;&gt;"",I14&lt;&gt;""),F14="Best of 3"),1,
F14="Best of 2",AA14,
F14="Best of 1",AA14)</f>
        <v/>
      </c>
      <c r="AA14" s="57" t="str">
        <f>IFS(OR(COUNTIF(Info!$A$22:A81,C14)&gt;0,C14=""),"",
AND(OR("3x3 MBLD"=C14,"3x3 FMC"=C14),F14="Best of 1"=TRUE),1,
AND(OR("3x3 MBLD"=C14,"3x3 FMC"=C14),F14="Best of 2"=TRUE),2,
AND(OR("3x3 MBLD"=C14,"3x3 FMC"=C14),OR(F14="Best of 3",F14="Mean of 3")=TRUE),3,
AND(F14="Mean of 3",C14="6x6 / 7x7"),6,
AND(F14="Best of 3",C14="4x4 / 5x5 BLD"),6,
F14="Avg of 5",5,F14="Mean of 3",3,F14="Best of 3",3,F14="Best of 2",2,F14="Best of 1",1)</f>
        <v/>
      </c>
      <c r="AB14" s="58"/>
    </row>
    <row r="15">
      <c r="A15" s="40">
        <f>IFERROR(__xludf.DUMMYFUNCTION("IFS(indirect(""A""&amp;row()-1)=""Start"",TIME(indirect(""A""&amp;row()-2),indirect(""B""&amp;row()-2),0),
$O$2=""No"",TIME(0,($A$6*60+$B$6)+CEILING(SUM($L$7:indirect(""L""&amp;row()-1)),5),0),
D15=$E$2,TIME(0,($A$6*60+$B$6)+CEILING(SUM(IFERROR(FILTER($L$7:indirect(""L"""&amp;"&amp;row()-1),REGEXMATCH($D$7:indirect(""D""&amp;row()-1),$E$2)),0)),5),0),
TRUE,""=time(hh;mm;ss)"")"),0.4166666666666667)</f>
        <v>0.4166666667</v>
      </c>
      <c r="B15" s="41">
        <f>IFERROR(__xludf.DUMMYFUNCTION("IFS($O$2=""No"",TIME(0,($A$6*60+$B$6)+CEILING(SUM($L$7:indirect(""L""&amp;row())),5),0),
D15=$E$2,TIME(0,($A$6*60+$B$6)+CEILING(SUM(FILTER($L$7:indirect(""L""&amp;row()),REGEXMATCH($D$7:indirect(""D""&amp;row()),$E$2))),5),0),
A15=""=time(hh;mm;ss)"",CONCATENATE(""Sk"&amp;"riv tid i A""&amp;row()),
AND(A15&lt;&gt;"""",A15&lt;&gt;""=time(hh;mm;ss)""),A15+TIME(0,CEILING(indirect(""L""&amp;row()),5),0))"),0.4166666666666667)</f>
        <v>0.4166666667</v>
      </c>
      <c r="C15" s="42"/>
      <c r="D15" s="43" t="str">
        <f t="shared" si="2"/>
        <v>Stora salen</v>
      </c>
      <c r="E15" s="43" t="str">
        <f>IFERROR(__xludf.DUMMYFUNCTION("IFS(COUNTIF(Info!$A$22:A81,C15)&gt;0,"""",
AND(OR(""3x3 FMC""=C15,""3x3 MBLD""=C15),COUNTIF($C$7:indirect(""C""&amp;row()),indirect(""C""&amp;row()))&gt;=13),""E - Error"",
AND(OR(""3x3 FMC""=C15,""3x3 MBLD""=C15),COUNTIF($C$7:indirect(""C""&amp;row()),indirect(""C""&amp;row()"&amp;"))=12),""Final - A3"",
AND(OR(""3x3 FMC""=C15,""3x3 MBLD""=C15),COUNTIF($C$7:indirect(""C""&amp;row()),indirect(""C""&amp;row()))=11),""Final - A2"",
AND(OR(""3x3 FMC""=C15,""3x3 MBLD""=C15),COUNTIF($C$7:indirect(""C""&amp;row()),indirect(""C""&amp;row()))=10),""Final - "&amp;"A1"",
AND(OR(""3x3 FMC""=C15,""3x3 MBLD""=C15),COUNTIF($C$7:indirect(""C""&amp;row()),indirect(""C""&amp;row()))=9,
COUNTIF($C$7:$C$61,indirect(""C""&amp;row()))&gt;9),""R3 - A3"",
AND(OR(""3x3 FMC""=C15,""3x3 MBLD""=C15),COUNTIF($C$7:indirect(""C""&amp;row()),indirect(""C"&amp;"""&amp;row()))=9,
COUNTIF($C$7:$C$61,indirect(""C""&amp;row()))&lt;=9),""Final - A3"",
AND(OR(""3x3 FMC""=C15,""3x3 MBLD""=C15),COUNTIF($C$7:indirect(""C""&amp;row()),indirect(""C""&amp;row()))=8,
COUNTIF($C$7:$C$61,indirect(""C""&amp;row()))&gt;9),""R3 - A2"",
AND(OR(""3x3 FMC""="&amp;"C15,""3x3 MBLD""=C15),COUNTIF($C$7:indirect(""C""&amp;row()),indirect(""C""&amp;row()))=8,
COUNTIF($C$7:$C$61,indirect(""C""&amp;row()))&lt;=9),""Final - A2"",
AND(OR(""3x3 FMC""=C15,""3x3 MBLD""=C15),COUNTIF($C$7:indirect(""C""&amp;row()),indirect(""C""&amp;row()))=7,
COUNTIF("&amp;"$C$7:$C$61,indirect(""C""&amp;row()))&gt;9),""R3 - A1"",
AND(OR(""3x3 FMC""=C15,""3x3 MBLD""=C15),COUNTIF($C$7:indirect(""C""&amp;row()),indirect(""C""&amp;row()))=7,
COUNTIF($C$7:$C$61,indirect(""C""&amp;row()))&lt;=9),""Final - A1"",
AND(OR(""3x3 FMC""=C15,""3x3 MBLD""=C15),"&amp;"COUNTIF($C$7:indirect(""C""&amp;row()),indirect(""C""&amp;row()))=6,
COUNTIF($C$7:$C$61,indirect(""C""&amp;row()))&gt;6),""R2 - A3"",
AND(OR(""3x3 FMC""=C15,""3x3 MBLD""=C15),COUNTIF($C$7:indirect(""C""&amp;row()),indirect(""C""&amp;row()))=6,
COUNTIF($C$7:$C$61,indirect(""C""&amp;"&amp;"row()))&lt;=6),""Final - A3"",
AND(OR(""3x3 FMC""=C15,""3x3 MBLD""=C15),COUNTIF($C$7:indirect(""C""&amp;row()),indirect(""C""&amp;row()))=5,
COUNTIF($C$7:$C$61,indirect(""C""&amp;row()))&gt;6),""R2 - A2"",
AND(OR(""3x3 FMC""=C15,""3x3 MBLD""=C15),COUNTIF($C$7:indirect(""C"&amp;"""&amp;row()),indirect(""C""&amp;row()))=5,
COUNTIF($C$7:$C$61,indirect(""C""&amp;row()))&lt;=6),""Final - A2"",
AND(OR(""3x3 FMC""=C15,""3x3 MBLD""=C15),COUNTIF($C$7:indirect(""C""&amp;row()),indirect(""C""&amp;row()))=4,
COUNTIF($C$7:$C$61,indirect(""C""&amp;row()))&gt;6),""R2 - A1"&amp;""",
AND(OR(""3x3 FMC""=C15,""3x3 MBLD""=C15),COUNTIF($C$7:indirect(""C""&amp;row()),indirect(""C""&amp;row()))=4,
COUNTIF($C$7:$C$61,indirect(""C""&amp;row()))&lt;=6),""Final - A1"",
AND(OR(""3x3 FMC""=C15,""3x3 MBLD""=C15),COUNTIF($C$7:indirect(""C""&amp;row()),indirect("""&amp;"C""&amp;row()))=3),""R1 - A3"",
AND(OR(""3x3 FMC""=C15,""3x3 MBLD""=C15),COUNTIF($C$7:indirect(""C""&amp;row()),indirect(""C""&amp;row()))=2),""R1 - A2"",
AND(OR(""3x3 FMC""=C15,""3x3 MBLD""=C15),COUNTIF($C$7:indirect(""C""&amp;row()),indirect(""C""&amp;row()))=1),""R1 -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C15),ROUNDUP((FILTER(Info!$H$2:H81,Info!$A$2:A81=C15)/FILTER(Info!$H$2:H81,Info!$A$2:A81=$K$2))*$I$2)&gt;99),3,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C15),ROUNDUP((FILTER(Info!$H$2:H81,Info!$A$2:A81=C15)/FILTER(Info!$H$2:H81,Info!$A$2:A81=$K$2))*$I$2)&gt;15),2,
AND(COUNTIF($C$7:indirect(""C""&amp;row()),indirect(""C""&amp;row()))=2,COUNTIF($C$7:$C$61,indirect(""C""&amp;row()))=COUNTIF($C$7:indirect("""&amp;"C""&amp;row()),indirect(""C""&amp;row()))),""Final"",
COUNTIF($C$7:indirect(""C""&amp;row()),indirect(""C""&amp;row()))=1,1,
COUNTIF($C$7:indirect(""C""&amp;row()),indirect(""C""&amp;row()))=0,"""")"),"")</f>
        <v/>
      </c>
      <c r="F15" s="44" t="str">
        <f>IFERROR(__xludf.DUMMYFUNCTION("IFS(C15="""","""",
AND(C15=""3x3 FMC"",MOD(COUNTIF($C$7:indirect(""C""&amp;row()),indirect(""C""&amp;row())),3)=0),""Mean of 3"",
AND(C15=""3x3 MBLD"",MOD(COUNTIF($C$7:indirect(""C""&amp;row()),indirect(""C""&amp;row())),3)=0),""Best of 3"",
AND(C15=""3x3 FMC"",MOD(COUNT"&amp;"IF($C$7:indirect(""C""&amp;row()),indirect(""C""&amp;row())),3)=2,
COUNTIF($C$7:$C$61,indirect(""C""&amp;row()))&lt;=COUNTIF($C$7:indirect(""C""&amp;row()),indirect(""C""&amp;row()))),""Best of 2"",
AND(C15=""3x3 FMC"",MOD(COUNTIF($C$7:indirect(""C""&amp;row()),indirect(""C""&amp;row()"&amp;")),3)=2,
COUNTIF($C$7:$C$61,indirect(""C""&amp;row()))&gt;COUNTIF($C$7:indirect(""C""&amp;row()),indirect(""C""&amp;row()))),""Mean of 3"",
AND(C15=""3x3 MBLD"",MOD(COUNTIF($C$7:indirect(""C""&amp;row()),indirect(""C""&amp;row())),3)=2,
COUNTIF($C$7:$C$61,indirect(""C""&amp;row()))"&amp;"&lt;=COUNTIF($C$7:indirect(""C""&amp;row()),indirect(""C""&amp;row()))),""Best of 2"",
AND(C15=""3x3 MBLD"",MOD(COUNTIF($C$7:indirect(""C""&amp;row()),indirect(""C""&amp;row())),3)=2,
COUNTIF($C$7:$C$61,indirect(""C""&amp;row()))&gt;COUNTIF($C$7:indirect(""C""&amp;row()),indirect(""C"&amp;"""&amp;row()))),""Best of 3"",
AND(C15=""3x3 FMC"",MOD(COUNTIF($C$7:indirect(""C""&amp;row()),indirect(""C""&amp;row())),3)=1,
COUNTIF($C$7:$C$61,indirect(""C""&amp;row()))&lt;=COUNTIF($C$7:indirect(""C""&amp;row()),indirect(""C""&amp;row()))),""Best of 1"",
AND(C15=""3x3 FMC"",MOD"&amp;"(COUNTIF($C$7:indirect(""C""&amp;row()),indirect(""C""&amp;row())),3)=1,
COUNTIF($C$7:$C$61,indirect(""C""&amp;row()))=COUNTIF($C$7:indirect(""C""&amp;row()),indirect(""C""&amp;row()))+1),""Best of 2"",
AND(C15=""3x3 FMC"",MOD(COUNTIF($C$7:indirect(""C""&amp;row()),indirect(""C"&amp;"""&amp;row())),3)=1,
COUNTIF($C$7:$C$61,indirect(""C""&amp;row()))&gt;COUNTIF($C$7:indirect(""C""&amp;row()),indirect(""C""&amp;row()))),""Mean of 3"",
AND(C15=""3x3 MBLD"",MOD(COUNTIF($C$7:indirect(""C""&amp;row()),indirect(""C""&amp;row())),3)=1,
COUNTIF($C$7:$C$61,indirect(""C"""&amp;"&amp;row()))&lt;=COUNTIF($C$7:indirect(""C""&amp;row()),indirect(""C""&amp;row()))),""Best of 1"",
AND(C15=""3x3 MBLD"",MOD(COUNTIF($C$7:indirect(""C""&amp;row()),indirect(""C""&amp;row())),3)=1,
COUNTIF($C$7:$C$61,indirect(""C""&amp;row()))=COUNTIF($C$7:indirect(""C""&amp;row()),indir"&amp;"ect(""C""&amp;row()))+1),""Best of 2"",
AND(C15=""3x3 MBLD"",MOD(COUNTIF($C$7:indirect(""C""&amp;row()),indirect(""C""&amp;row())),3)=1,
COUNTIF($C$7:$C$61,indirect(""C""&amp;row()))&gt;COUNTIF($C$7:indirect(""C""&amp;row()),indirect(""C""&amp;row()))),""Best of 3"",
TRUE,(IFERROR("&amp;"FILTER(Info!$D$2:D81, Info!$A$2:A81 = C15), """")))"),"")</f>
        <v/>
      </c>
      <c r="G15" s="45" t="str">
        <f>IFERROR(__xludf.DUMMYFUNCTION("IFS(OR(COUNTIF(Info!$A$22:A81,C15)&gt;0,C15=""""),"""",
OR(""3x3 MBLD""=C15,""3x3 FMC""=C15),60,
AND(E15=1,FILTER(Info!$F$2:F81, Info!$A$2:A81 = C15) = ""No""),FILTER(Info!$P$2:P81, Info!$A$2:A81 = C15),
AND(E15=2,FILTER(Info!$F$2:F81, Info!$A$2:A81 = C15) ="&amp;" ""No""),FILTER(Info!$Q$2:Q81, Info!$A$2:A81 = C15),
AND(E15=3,FILTER(Info!$F$2:F81, Info!$A$2:A81 = C15) = ""No""),FILTER(Info!$R$2:R81, Info!$A$2:A81 = C15),
AND(E15=""Final"",FILTER(Info!$F$2:F81, Info!$A$2:A81 = C15) = ""No""),FILTER(Info!$S$2:S81, In"&amp;"fo!$A$2:A81 = C15),
FILTER(Info!$F$2:F81, Info!$A$2:A81 = C15) = ""Yes"","""")"),"")</f>
        <v/>
      </c>
      <c r="H15" s="45" t="str">
        <f>IFERROR(__xludf.DUMMYFUNCTION("IFS(OR(COUNTIF(Info!$A$22:A81,C15)&gt;0,C15=""""),"""",
OR(""3x3 MBLD""=C15,""3x3 FMC""=C15)=TRUE,"""",
FILTER(Info!$F$2:F81, Info!$A$2:A81 = C15) = ""Yes"",FILTER(Info!$O$2:O81, Info!$A$2:A81 = C15),
FILTER(Info!$F$2:F81, Info!$A$2:A81 = C15) = ""No"",IF(G1"&amp;"5="""",FILTER(Info!$O$2:O81, Info!$A$2:A81 = C15),""""))"),"")</f>
        <v/>
      </c>
      <c r="I15" s="45" t="str">
        <f>IFERROR(__xludf.DUMMYFUNCTION("IFS(OR(COUNTIF(Info!$A$22:A81,C15)&gt;0,C15="""",H15&lt;&gt;""""),"""",
AND(E15&lt;&gt;1,E15&lt;&gt;""R1 - A1"",E15&lt;&gt;""R1 - A2"",E15&lt;&gt;""R1 - A3""),"""",
FILTER(Info!$E$2:E81, Info!$A$2:A81 = C15) = ""Yes"",IF(H15="""",FILTER(Info!$L$2:L81, Info!$A$2:A81 = C15),""""),
FILTER(I"&amp;"nfo!$E$2:E81, Info!$A$2:A81 = C15) = ""No"","""")"),"")</f>
        <v/>
      </c>
      <c r="J15" s="45" t="str">
        <f>IFERROR(__xludf.DUMMYFUNCTION("IFS(OR(COUNTIF(Info!$A$22:A81,C15)&gt;0,C15="""",""3x3 MBLD""=C15,""3x3 FMC""=C15),"""",
AND(E15=1,FILTER(Info!$H$2:H81,Info!$A$2:A81 = C15)&lt;=FILTER(Info!$H$2:H81,Info!$A$2:A81=$K$2)),
ROUNDUP((FILTER(Info!$H$2:H81,Info!$A$2:A81 = C15)/FILTER(Info!$H$2:H81,I"&amp;"nfo!$A$2:A81=$K$2))*$I$2),
AND(E15=1,FILTER(Info!$H$2:H81,Info!$A$2:A81 = C15)&gt;FILTER(Info!$H$2:H81,Info!$A$2:A81=$K$2)),""K2 - Error"",
AND(E15=2,FILTER($J$7:indirect(""J""&amp;row()-1),$C$7:indirect(""C""&amp;row()-1)=C15)&lt;=7),""J - Error"",
E15=2,FLOOR(FILTER("&amp;"$J$7:indirect(""J""&amp;row()-1),$C$7:indirect(""C""&amp;row()-1)=C15)*Info!$T$32),
AND(E15=3,FILTER($J$7:indirect(""J""&amp;row()-1),$C$7:indirect(""C""&amp;row()-1)=C15)&lt;=15),""J - Error"",
E15=3,FLOOR(Info!$T$32*FLOOR(FILTER($J$7:indirect(""J""&amp;row()-1),$C$7:indirect("&amp;"""C""&amp;row()-1)=C15)*Info!$T$32)),
AND(E15=""Final"",COUNTIF($C$7:$C$61,C15)=2,FILTER($J$7:indirect(""J""&amp;row()-1),$C$7:indirect(""C""&amp;row()-1)=C15)&lt;=7),""J - Error"",
AND(E15=""Final"",COUNTIF($C$7:$C$61,C15)=2),
MIN(P15,FLOOR(FILTER($J$7:indirect(""J""&amp;r"&amp;"ow()-1),$C$7:indirect(""C""&amp;row()-1)=C15)*Info!$T$32)),
AND(E15=""Final"",COUNTIF($C$7:$C$61,C15)=3,FILTER($J$7:indirect(""J""&amp;row()-1),$C$7:indirect(""C""&amp;row()-1)=C15)&lt;=15),""J - Error"",
AND(E15=""Final"",COUNTIF($C$7:$C$61,C15)=3),
MIN(P15,FLOOR(Info!"&amp;"$T$32*FLOOR(FILTER($J$7:indirect(""J""&amp;row()-1),$C$7:indirect(""C""&amp;row()-1)=C15)*Info!$T$32))),
AND(E15=""Final"",COUNTIF($C$7:$C$61,C15)&gt;=4,FILTER($J$7:indirect(""J""&amp;row()-1),$C$7:indirect(""C""&amp;row()-1)=C15)&lt;=99),""J - Error"",
AND(E15=""Final"",COUNT"&amp;"IF($C$7:$C$61,C15)&gt;=4),
MIN(P15,FLOOR(Info!$T$32*FLOOR(Info!$T$32*FLOOR(FILTER($J$7:indirect(""J""&amp;row()-1),$C$7:indirect(""C""&amp;row()-1)=C15)*Info!$T$32)))))"),"")</f>
        <v/>
      </c>
      <c r="K15" s="46" t="str">
        <f>IFERROR(__xludf.DUMMYFUNCTION("IFS(AND(indirect(""D""&amp;row()+2)&lt;&gt;$E$2,indirect(""D""&amp;row()+1)=""""),CONCATENATE(""Tom rad! Kopiera hela rad ""&amp;row()&amp;"" dit""),
AND(indirect(""D""&amp;row()-1)&lt;&gt;""Rum"",indirect(""D""&amp;row()-1)=""""),CONCATENATE(""Tom rad! Kopiera hela rad ""&amp;row()&amp;"" dit""),
"&amp;"C15="""","""",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OR(AND(D15&lt;&gt;$E$2,D15&lt;&gt;$E$4,D15&lt;&gt;$K$4,D15&lt;&gt;$Q$4),D15="&amp;"""""),CONCATENATE(""Rum: ""&amp;D15&amp;"" finns ej, byt i D""&amp;row()),
AND(indirect(""D""&amp;row()-1)=""Rum"",C15=""""),CONCATENATE(""För att börja: skriv i cell C""&amp;row()),
AND(C15=""Paus"",M15&lt;=0),CONCATENATE(""Skriv pausens längd i M""&amp;row()),
OR(COUNTIF(Info!$A$"&amp;"22:A81,C15)&gt;0,C15=""""),"""",
AND(D15&lt;&gt;$E$2,$O$2=""Yes"",A15=""=time(hh;mm;ss)""),CONCATENATE(""Skriv starttid för ""&amp;C15&amp;"" i A""&amp;row()),
E15=""E - Error"",CONCATENATE(""För många ""&amp;C15&amp;"" rundor!""),
AND(C15&lt;&gt;""3x3 FMC"",C15&lt;&gt;""3x3 MBLD"",E15&lt;&gt;1,E15&lt;&gt;"&amp;"""Final"",IFERROR(FILTER($E$7:indirect(""E""&amp;row()-1),
$E$7:indirect(""E""&amp;row()-1)=E15-1,$C$7:indirect(""C""&amp;row()-1)=C15))=FALSE),CONCATENATE(""Kan ej vara R""&amp;E15&amp;"", saknar R""&amp;(E15-1)),
AND(indirect(""E""&amp;row()-1)&lt;&gt;""Omgång"",IFERROR(FILTER($E$7:indi"&amp;"rect(""E""&amp;row()-1),
$E$7:indirect(""E""&amp;row()-1)=E15,$C$7:indirect(""C""&amp;row()-1)=C15)=E15)=TRUE),CONCATENATE(""Runda ""&amp;E15&amp;"" i ""&amp;C15&amp;"" finns redan""),
AND(C15&lt;&gt;""3x3 BLD"",C15&lt;&gt;""4x4 BLD"",C15&lt;&gt;""5x5 BLD"",C15&lt;&gt;""4x4 / 5x5 BLD"",OR(E15=2,E15=3,E15="&amp;"""Final""),H15&lt;&gt;""""),CONCATENATE(E15&amp;""-rundor brukar ej ha c.t.l.""),
AND(OR(E15=2,E15=3,E15=""Final""),I15&lt;&gt;""""),CONCATENATE(E15&amp;""-rundor brukar ej ha cutoff""),
AND(OR(C15=""3x3 FMC"",C15=""3x3 MBLD""),OR(E15=1,E15=2,E15=3,E15=""Final"")),CONCATENAT"&amp;"E(C15&amp;""s omgång är Rx - Ax""),
AND(C15&lt;&gt;""3x3 MBLD"",C15&lt;&gt;""3x3 FMC"",FILTER(Info!$D$2:D81, Info!$A$2:A81 = C15)&lt;&gt;F15),CONCATENATE(C15&amp;"" måste ha formatet ""&amp;FILTER(Info!$D$2:D81, Info!$A$2:A81 = C15)),
AND(C15=""3x3 MBLD"",OR(F15=""Avg of 5"",F15=""Mea"&amp;"n of 3"")),CONCATENATE(""Ogiltigt format för ""&amp;C15),
AND(C15=""3x3 FMC"",OR(F15=""Avg of 5"",F15=""Best of 3"")),CONCATENATE(""Ogiltigt format för ""&amp;C15),
AND(OR(F15=""Best of 1"",F15=""Best of 2"",F15=""Best of 3""),I15&lt;&gt;""""),CONCATENATE(F15&amp;""-rundor"&amp;" får ej ha cutoff""),
AND(OR(C15=""3x3 FMC"",C15=""3x3 MBLD""),G15&lt;&gt;60),CONCATENATE(C15&amp;"" måste ha time limit: 60""),
AND(OR(C15=""3x3 FMC"",C15=""3x3 MBLD""),H15&lt;&gt;""""),CONCATENATE(C15&amp;"" kan inte ha c.t.l.""),
AND(G15&lt;&gt;"""",H15&lt;&gt;""""),""Välj time limit"&amp;" ELLER c.t.l"",
AND(C15=""6x6 / 7x7"",G15="""",H15=""""),""Sätt time limit (x / y) eller c.t.l (z)"",
AND(G15="""",H15=""""),""Sätt en time limit eller c.t.l"",
AND(OR(C15=""6x6 / 7x7"",C15=""4x4 / 5x5 BLD""),G15&lt;&gt;"""",REGEXMATCH(TO_TEXT(G15),"" / "")=FAL"&amp;"SE),CONCATENATE(""Time limit måste vara x / y""),
AND(H15&lt;&gt;"""",I15&lt;&gt;""""),CONCATENATE(C15&amp;"" brukar ej ha cutoff OCH c.t.l""),
AND(E15=1,H15="""",I15="""",OR(FILTER(Info!$E$2:E81, Info!$A$2:A81 = C15) = ""Yes"",FILTER(Info!$F$2:F81, Info!$A$2:A81 = C15) "&amp;"= ""Yes""),OR(F15=""Avg of 5"",F15=""Mean of 3"")),CONCATENATE(C15&amp;"" bör ha cutoff eller c.t.l""),
AND(C15=""6x6 / 7x7"",I15&lt;&gt;"""",REGEXMATCH(TO_TEXT(I15),"" / "")=FALSE),CONCATENATE(""Cutoff måste vara x / y""),
AND(H15&lt;&gt;"""",ISNUMBER(H15)=FALSE),""C.t."&amp;"l. måste vara positivt tal (x)"",
AND(C15&lt;&gt;""6x6 / 7x7"",I15&lt;&gt;"""",ISNUMBER(I15)=FALSE),""Cutoff måste vara positivt tal (x)"",
AND(H15&lt;&gt;"""",FILTER(Info!$E$2:E81, Info!$A$2:A81 = C15) = ""No"",FILTER(Info!$F$2:F81, Info!$A$2:A81 = C15) = ""No""),CONCATEN"&amp;"ATE(C15&amp;"" brukar inte ha c.t.l.""),
AND(I15&lt;&gt;"""",FILTER(Info!$E$2:E81, Info!$A$2:A81 = C15) = ""No"",FILTER(Info!$F$2:F81, Info!$A$2:A81 = C15) = ""No""),CONCATENATE(C15&amp;"" brukar inte ha cutoff""),
AND(H15="""",FILTER(Info!$F$2:F81, Info!$A$2:A81 = C15"&amp;") = ""Yes""),CONCATENATE(C15&amp;"" brukar ha c.t.l.""),
AND(C15&lt;&gt;""6x6 / 7x7"",C15&lt;&gt;""4x4 / 5x5 BLD"",G15&lt;&gt;"""",ISNUMBER(G15)=FALSE),""Time limit måste vara positivt tal (x)"",
J15=""J - Error"",CONCATENATE(""För få deltagare i R1 för ""&amp;COUNTIF($C$7:$C$61,i"&amp;"ndirect(""C""&amp;row()))&amp;"" rundor""),
J15=""K2 - Error"",CONCATENATE(C15&amp;"" är mer populär - byt i K2!""),
AND(C15&lt;&gt;""6x6 / 7x7"",C15&lt;&gt;""4x4 / 5x5 BLD"",G15&lt;&gt;"""",I15&lt;&gt;"""",G15&lt;=I15),""Time limit måste vara &gt; cutoff"",
AND(C15&lt;&gt;""6x6 / 7x7"",C15&lt;&gt;""4x4 / 5x"&amp;"5 BLD"",H15&lt;&gt;"""",I15&lt;&gt;"""",H15&lt;=I15),""C.t.l. måste vara &gt; cutoff"",
AND(C15&lt;&gt;""3x3 FMC"",C15&lt;&gt;""3x3 MBLD"",J15=""""),CONCATENATE(""Fyll i antal deltagare i J""&amp;row()),
AND(C15="""",OR(E15&lt;&gt;"""",F15&lt;&gt;"""",G15&lt;&gt;"""",H15&lt;&gt;"""",I15&lt;&gt;"""",J15&lt;&gt;"""")),""Skriv"&amp;" ALLTID gren / aktivitet först"",
AND(I15="""",H15="""",J15&lt;&gt;""""),J15,
OR(""3x3 FMC""=C15,""3x3 MBLD""=C15),J15,
AND(I15&lt;&gt;"""",""6x6 / 7x7""=C15),
IFS(ArrayFormula(SUM(IFERROR(SPLIT(I15,"" / ""))))&lt;(Info!$J$6+Info!$J$7)*2/3,CONCATENATE(""Höj helst cutoff"&amp;"s i ""&amp;C15),
ArrayFormula(SUM(IFERROR(SPLIT(I15,"" / ""))))&lt;=(Info!$J$6+Info!$J$7),ROUNDUP(J15*Info!$J$22),
ArrayFormula(SUM(IFERROR(SPLIT(I15,"" / ""))))&lt;=Info!$J$6+Info!$J$7,ROUNDUP(J15*Info!$K$22),
ArrayFormula(SUM(IFERROR(SPLIT(I15,"" / ""))))&lt;=Info!$"&amp;"K$6+Info!$K$7,ROUNDUP(J15*Info!L$22),
ArrayFormula(SUM(IFERROR(SPLIT(I15,"" / ""))))&lt;=Info!$L$6+Info!$L$7,ROUNDUP(J15*Info!$M$22),
ArrayFormula(SUM(IFERROR(SPLIT(I15,"" / ""))))&lt;=Info!$M$6+Info!$M$7,ROUNDUP(J15*Info!$N$22),
ArrayFormula(SUM(IFERROR(SPLIT("&amp;"I15,"" / ""))))&lt;=(Info!$N$6+Info!$N$7)*3/2,ROUNDUP(J15*Info!$J$26),
ArrayFormula(SUM(IFERROR(SPLIT(I15,"" / ""))))&gt;(Info!$N$6+Info!$N$7)*3/2,CONCATENATE(""Sänk helst cutoffs i ""&amp;C15)),
AND(I15&lt;&gt;"""",FILTER(Info!$E$2:E81, Info!$A$2:A81 = C15) = ""Yes""),
"&amp;"IFS(I15&lt;FILTER(Info!$J$2:J81, Info!$A$2:A81 = C15)*2/3,CONCATENATE(""Höj helst cutoff i ""&amp;C15),
I15&lt;=FILTER(Info!$J$2:J81, Info!$A$2:A81 = C15),ROUNDUP(J15*Info!$J$22),
I15&lt;=FILTER(Info!$K$2:K81, Info!$A$2:A81 = C15),ROUNDUP(J15*Info!$K$22),
I15&lt;=FILTER("&amp;"Info!$L$2:L81, Info!$A$2:A81 = C15),ROUNDUP(J15*Info!L$22),
I15&lt;=FILTER(Info!$M$2:M81, Info!$A$2:A81 = C15),ROUNDUP(J15*Info!$M$22),
I15&lt;=FILTER(Info!$N$2:N81, Info!$A$2:A81 = C15),ROUNDUP(J15*Info!$N$22),
I15&lt;=FILTER(Info!$N$2:N81, Info!$A$2:A81 = C15)*3"&amp;"/2,ROUNDUP(J15*Info!$J$26),
I15&gt;FILTER(Info!$N$2:N81, Info!$A$2:A81 = C15)*3/2,CONCATENATE(""Sänk helst cutoff i ""&amp;C15)),
AND(H15&lt;&gt;"""",""6x6 / 7x7""=C15),
IFS(H15/3&lt;=(Info!$J$6+Info!$J$7)*2/3,""Höj helst cumulative time limit"",
H15/3&lt;=Info!$J$6+Info!$J"&amp;"$7,ROUNDUP(J15*Info!$J$24),
H15/3&lt;=Info!$K$6+Info!$K$7,ROUNDUP(J15*Info!$K$24),
H15/3&lt;=Info!$L$6+Info!$L$7,ROUNDUP(J15*Info!L$24),
H15/3&lt;=Info!$M$6+Info!$M$7,ROUNDUP(J15*Info!$M$24),
H15/3&lt;=Info!$N$6+Info!$N$7,ROUNDUP(J15*Info!$N$24),
H15/3&lt;=(Info!$N$6+In"&amp;"fo!$N$7)*3/2,ROUNDUP(J15*Info!$L$26),
H15/3&gt;(Info!$J$6+Info!$J$7)*3/2,""Sänk helst cumulative time limit""),
AND(H15&lt;&gt;"""",FILTER(Info!$F$2:F81, Info!$A$2:A81 = C15) = ""Yes""),
IFS(H15&lt;=FILTER(Info!$J$2:J81, Info!$A$2:A81 = C15)*2/3,CONCATENATE(""Höj hel"&amp;"st c.t.l. i ""&amp;C15),
H15&lt;=FILTER(Info!$J$2:J81, Info!$A$2:A81 = C15),ROUNDUP(J15*Info!$J$24),
H15&lt;=FILTER(Info!$K$2:K81, Info!$A$2:A81 = C15),ROUNDUP(J15*Info!$K$24),
H15&lt;=FILTER(Info!$L$2:L81, Info!$A$2:A81 = C15),ROUNDUP(J15*Info!L$24),
H15&lt;=FILTER(Info"&amp;"!$M$2:M81, Info!$A$2:A81 = C15),ROUNDUP(J15*Info!$M$24),
H15&lt;=FILTER(Info!$N$2:N81, Info!$A$2:A81 = C15),ROUNDUP(J15*Info!$N$24),
H15&lt;=FILTER(Info!$N$2:N81, Info!$A$2:A81 = C15)*3/2,ROUNDUP(J15*Info!$L$26),
H15&gt;FILTER(Info!$N$2:N81, Info!$A$2:A81 = C15)*3"&amp;"/2,CONCATENATE(""Sänk helst c.t.l. i ""&amp;C15)),
AND(H15&lt;&gt;"""",FILTER(Info!$F$2:F81, Info!$A$2:A81 = C15) = ""No""),
IFS(H15/AA15&lt;=FILTER(Info!$J$2:J81, Info!$A$2:A81 = C15)*2/3,CONCATENATE(""Höj helst c.t.l. i ""&amp;C15),
H15/AA15&lt;=FILTER(Info!$J$2:J81, Info!"&amp;"$A$2:A81 = C15),ROUNDUP(J15*Info!$J$24),
H15/AA15&lt;=FILTER(Info!$K$2:K81, Info!$A$2:A81 = C15),ROUNDUP(J15*Info!$K$24),
H15/AA15&lt;=FILTER(Info!$L$2:L81, Info!$A$2:A81 = C15),ROUNDUP(J15*Info!L$24),
H15/AA15&lt;=FILTER(Info!$M$2:M81, Info!$A$2:A81 = C15),ROUNDU"&amp;"P(J15*Info!$M$24),
H15/AA15&lt;=FILTER(Info!$N$2:N81, Info!$A$2:A81 = C15),ROUNDUP(J15*Info!$N$24),
H15/AA15&lt;=FILTER(Info!$N$2:N81, Info!$A$2:A81 = C15)*3/2,ROUNDUP(J15*Info!$L$26),
H15/AA15&gt;FILTER(Info!$N$2:N81, Info!$A$2:A81 = C15)*3/2,CONCATENATE(""Sänk h"&amp;"elst c.t.l. i ""&amp;C15)),
AND(I15="""",H15&lt;&gt;"""",J15&lt;&gt;""""),ROUNDUP(J15*Info!$T$29),
AND(I15&lt;&gt;"""",H15="""",J15&lt;&gt;""""),ROUNDUP(J15*Info!$T$26))"),"")</f>
        <v/>
      </c>
      <c r="L15" s="47">
        <f>IFERROR(__xludf.DUMMYFUNCTION("IFS(C15="""",0,
C15=""3x3 FMC"",Info!$B$9*N15+M15, C15=""3x3 MBLD"",Info!$B$18*N15+M15,
COUNTIF(Info!$A$22:A81,C15)&gt;0,FILTER(Info!$B$22:B81,Info!$A$22:A81=C15)+M15,
AND(C15&lt;&gt;"""",E15=""""),CONCATENATE(""Fyll i E""&amp;row()),
AND(C15&lt;&gt;"""",E15&lt;&gt;"""",E15&lt;&gt;1,E1"&amp;"5&lt;&gt;2,E15&lt;&gt;3,E15&lt;&gt;""Final""),CONCATENATE(""Fel format på E""&amp;row()),
K15=CONCATENATE(""Runda ""&amp;E15&amp;"" i ""&amp;C15&amp;"" finns redan""),CONCATENATE(""Fel i E""&amp;row()),
AND(C15&lt;&gt;"""",F15=""""),CONCATENATE(""Fyll i F""&amp;row()),
K15=CONCATENATE(C15&amp;"" måste ha forma"&amp;"tet ""&amp;FILTER(Info!$D$2:D81, Info!$A$2:A81 = C15)),CONCATENATE(""Fel format på F""&amp;row()),
AND(C15&lt;&gt;"""",D15=1,H15="""",FILTER(Info!$F$2:F81, Info!$A$2:A81 = C15) = ""Yes""),CONCATENATE(""Fyll i H""&amp;row()),
AND(C15&lt;&gt;"""",D15=1,I15="""",FILTER(Info!$E$2:E8"&amp;"1, Info!$A$2:A81 = C15) = ""Yes""),CONCATENATE(""Fyll i I""&amp;row()),
AND(C15&lt;&gt;"""",J15=""""),CONCATENATE(""Fyll i J""&amp;row()),
AND(C15&lt;&gt;"""",K15="""",OR(H15&lt;&gt;"""",I15&lt;&gt;"""")),CONCATENATE(""Fyll i K""&amp;row()),
AND(C15&lt;&gt;"""",K15=""""),CONCATENATE(""Skriv samma"&amp;" i K""&amp;row()&amp;"" som i J""&amp;row()),
AND(OR(C15=""4x4 BLD"",C15=""5x5 BLD"",C15=""4x4 / 5x5 BLD"")=TRUE,V15&lt;=P15),
MROUND(H15*(Info!$T$20-((Info!$T$20-1)/2)*(1-V15/P15))*(1+((J15/K15)-1)*(1-Info!$J$24))*N15+(Info!$T$11/2)+(N15*Info!$T$11)+(N15*Info!$T$14*(O1"&amp;"5-1)),0.01)+M15,
AND(OR(C15=""4x4 BLD"",C15=""5x5 BLD"",C15=""4x4 / 5x5 BLD"")=TRUE,V15&gt;P15),
MROUND((((J15*Z15+K15*(AA15-Z15))*(H15*Info!$T$20/AA15))/X15)*(1+((J15/K15)-1)*(1-Info!$J$24))*(1+(X15-Info!$T$8)/100)+(Info!$T$11/2)+(N15*Info!$T$11)+(N15*Info!"&amp;"$T$14*(O15-1)),0.01)+M15,
AND(C15=""3x3 BLD"",V15&lt;=P15),
MROUND(H15*(Info!$T$23-((Info!$T$23-1)/2)*(1-V15/P15))*(1+((J15/K15)-1)*(1-Info!$J$24))*N15+(Info!$T$11/2)+(N15*Info!$T$11)+(N15*Info!$T$14*(O15-1)),0.01)+M15,
AND(C15=""3x3 BLD"",V15&gt;P15),
MROUND(("&amp;"((J15*Z15+K15*(AA15-Z15))*(H15*Info!$T$23/AA15))/X15)*(1+((J15/K15)-1)*(1-Info!$J$24))*(1+(X15-Info!$T$8)/100)+(Info!$T$11/2)+(N15*Info!$T$11)+(N15*Info!$T$14*(O15-1)),0.01)+M15,
E15=1,MROUND((((J15*Z15+K15*(AA15-Z15))*Y15)/X15)*(1+(X15-Info!$T$8)/100)+(N"&amp;"15*Info!$T$11)+(N15*Info!$T$14*(O15-1)),0.01)+M15,
AND(E15=""Final"",N15=1,FILTER(Info!$G$2:$G$20,Info!$A$2:$A$20=C15)=""Mycket svår""),
MROUND((((J15*Z15+K15*(AA15-Z15))*(Y15*Info!$T$38))/X15)*(1+(X15-Info!$T$8)/100)+(N15*Info!$T$11)+(N15*Info!$T$14*(O15"&amp;"-1)),0.01)+M15,
AND(E15=""Final"",N15=1,FILTER(Info!$G$2:$G$20,Info!$A$2:$A$20=C15)=""Svår""),
MROUND((((J15*Z15+K15*(AA15-Z15))*(Y15*Info!$T$35))/X15)*(1+(X15-Info!$T$8)/100)+(N15*Info!$T$11)+(N15*Info!$T$14*(O15-1)),0.01)+M15,
E15=""Final"",MROUND((((J1"&amp;"5*Z15+K15*(AA15-Z15))*(Y15*Info!$T$5))/X15)*(1+(X15-Info!$T$8)/100)+(N15*Info!$T$11)+(N15*Info!$T$14*(O15-1)),0.01)+M15,
OR(E15=2,E15=3),MROUND((((J15*Z15+K15*(AA15-Z15))*(Y15*Info!$T$2))/X15)*(1+(X15-Info!$T$8)/100)+(N15*Info!$T$11)+(N15*Info!$T$14*(O15-"&amp;"1)),0.01)+M15)"),0.0)</f>
        <v>0</v>
      </c>
      <c r="M15" s="48">
        <f t="shared" si="1"/>
        <v>0</v>
      </c>
      <c r="N15" s="48" t="str">
        <f>IFS(OR(COUNTIF(Info!$A$22:A81,C15)&gt;0,C15=""),"",
OR(C15="4x4 BLD",C15="5x5 BLD",C15="3x3 MBLD",C15="3x3 FMC",C15="4x4 / 5x5 BLD"),1,
AND(E15="Final",Q15="Yes",MAX(1,ROUNDUP(J15/P15))&gt;1),MAX(2,ROUNDUP(J15/P15)),
AND(E15="Final",Q15="No",MAX(1,ROUNDUP(J15/((P15*2)+2.625-Y15*1.5)))&gt;1),MAX(2,ROUNDUP(J15/((P15*2)+2.625-Y15*1.5))),
E15="Final",1,
Q15="Yes",MAX(2,ROUNDUP(J15/P15)),
TRUE,MAX(2,ROUNDUP(J15/((P15*2)+2.625-Y15*1.5))))</f>
        <v/>
      </c>
      <c r="O15" s="48" t="str">
        <f>IFS(OR(COUNTIF(Info!$A$22:A81,C15)&gt;0,C15=""),"",
OR("3x3 MBLD"=C15,"3x3 FMC"=C15)=TRUE,"",
D15=$E$4,$G$6,D15=$K$4,$M$6,D15=$Q$4,$S$6,D15=$W$4,$Y$6,
TRUE,$S$2)</f>
        <v/>
      </c>
      <c r="P15" s="48" t="str">
        <f>IFS(OR(COUNTIF(Info!$A$22:A81,C15)&gt;0,C15=""),"",
OR("3x3 MBLD"=C15,"3x3 FMC"=C15)=TRUE,"",
D15=$E$4,$E$6,D15=$K$4,$K$6,D15=$Q$4,$Q$6,D15=$W$4,$W$6,
TRUE,$Q$2)</f>
        <v/>
      </c>
      <c r="Q15" s="49" t="str">
        <f>IFS(OR(COUNTIF(Info!$A$22:A81,C15)&gt;0,C15=""),"",
OR("3x3 MBLD"=C15,"3x3 FMC"=C15)=TRUE,"",
D15=$E$4,$I$6,D15=$K$4,$O$6,D15=$Q$4,$U$6,D15=$W$4,$AA$6,
TRUE,$U$2)</f>
        <v/>
      </c>
      <c r="R15" s="50" t="str">
        <f>IFERROR(__xludf.DUMMYFUNCTION("IF(C15="""","""",IFERROR(FILTER(Info!$B$22:B81,Info!$A$22:A81=C15)+M15,""?""))"),"")</f>
        <v/>
      </c>
      <c r="S15" s="51" t="str">
        <f>IFS(OR(COUNTIF(Info!$A$22:A81,C15)&gt;0,C15=""),"",
AND(H15="",I15=""),J15,
TRUE,"?")</f>
        <v/>
      </c>
      <c r="T15" s="52" t="str">
        <f>IFS(OR(COUNTIF(Info!$A$22:A81,C15)&gt;0,C15=""),"",
AND(L15&lt;&gt;0,OR(R15="?",R15="")),"Fyll i R-kolumnen",
OR(C15="3x3 FMC",C15="3x3 MBLD"),R15,
AND(L15&lt;&gt;0,OR(S15="?",S15="")),"Fyll i S-kolumnen",
OR(COUNTIF(Info!$A$22:A81,C15)&gt;0,C15=""),"",
TRUE,Y15*R15/L15)</f>
        <v/>
      </c>
      <c r="U15" s="52"/>
      <c r="V15" s="53" t="str">
        <f>IFS(OR(COUNTIF(Info!$A$22:A81,C15)&gt;0,C15=""),"",
OR("3x3 MBLD"=C15,"3x3 FMC"=C15)=TRUE,"",
TRUE,MROUND((J15/N15),0.01))</f>
        <v/>
      </c>
      <c r="W15" s="54" t="str">
        <f>IFS(OR(COUNTIF(Info!$A$22:A81,C15)&gt;0,C15=""),"",
TRUE,L15/N15)</f>
        <v/>
      </c>
      <c r="X15" s="55" t="str">
        <f>IFS(OR(COUNTIF(Info!$A$22:A81,C15)&gt;0,C15=""),"",
OR("3x3 MBLD"=C15,"3x3 FMC"=C15)=TRUE,"",
OR(C15="4x4 BLD",C15="5x5 BLD",C15="4x4 / 5x5 BLD",AND(C15="3x3 BLD",H15&lt;&gt;""))=TRUE,MIN(V15,P15),
TRUE,MIN(P15,V15,MROUND(((V15*2/3)+((Y15-1.625)/2)),0.01)))</f>
        <v/>
      </c>
      <c r="Y15" s="56" t="str">
        <f>IFERROR(__xludf.DUMMYFUNCTION("IFS(OR(COUNTIF(Info!$A$22:A81,C15)&gt;0,C15=""""),"""",
FILTER(Info!$F$2:F81, Info!$A$2:A81 = C15) = ""Yes"",H15/AA15,
""3x3 FMC""=C15,Info!$B$9,""3x3 MBLD""=C15,Info!$B$18,
AND(E15=1,I15="""",H15="""",Q15=""No"",G15&gt;SUMIF(Info!$A$2:A81,C15,Info!$B$2:B81)*1."&amp;"5),
MIN(SUMIF(Info!$A$2:A81,C15,Info!$B$2:B81)*1.1,SUMIF(Info!$A$2:A81,C15,Info!$B$2:B81)*(1.15-(0.15*(SUMIF(Info!$A$2:A81,C15,Info!$B$2:B81)*1.5)/G15))),
AND(E15=1,I15="""",H15="""",Q15=""Yes"",G15&gt;SUMIF(Info!$A$2:A81,C15,Info!$C$2:C81)*1.5),
MIN(SUMIF(I"&amp;"nfo!$A$2:A81,C15,Info!$C$2:C81)*1.1,SUMIF(Info!$A$2:A81,C15,Info!$C$2:C81)*(1.15-(0.15*(SUMIF(Info!$A$2:A81,C15,Info!$C$2:C81)*1.5)/G15))),
Q15=""No"",SUMIF(Info!$A$2:A81,C15,Info!$B$2:B81),
Q15=""Yes"",SUMIF(Info!$A$2:A81,C15,Info!$C$2:C81))"),"")</f>
        <v/>
      </c>
      <c r="Z15" s="57" t="str">
        <f>IFS(OR(COUNTIF(Info!$A$22:A81,C15)&gt;0,C15=""),"",
AND(OR("3x3 FMC"=C15,"3x3 MBLD"=C15),I15&lt;&gt;""),1,
AND(OR(H15&lt;&gt;"",I15&lt;&gt;""),F15="Avg of 5"),2,
F15="Avg of 5",AA15,
AND(OR(H15&lt;&gt;"",I15&lt;&gt;""),F15="Mean of 3",C15="6x6 / 7x7"),2,
AND(OR(H15&lt;&gt;"",I15&lt;&gt;""),F15="Mean of 3"),1,
F15="Mean of 3",AA15,
AND(OR(H15&lt;&gt;"",I15&lt;&gt;""),F15="Best of 3",C15="4x4 / 5x5 BLD"),2,
AND(OR(H15&lt;&gt;"",I15&lt;&gt;""),F15="Best of 3"),1,
F15="Best of 2",AA15,
F15="Best of 1",AA15)</f>
        <v/>
      </c>
      <c r="AA15" s="57" t="str">
        <f>IFS(OR(COUNTIF(Info!$A$22:A81,C15)&gt;0,C15=""),"",
AND(OR("3x3 MBLD"=C15,"3x3 FMC"=C15),F15="Best of 1"=TRUE),1,
AND(OR("3x3 MBLD"=C15,"3x3 FMC"=C15),F15="Best of 2"=TRUE),2,
AND(OR("3x3 MBLD"=C15,"3x3 FMC"=C15),OR(F15="Best of 3",F15="Mean of 3")=TRUE),3,
AND(F15="Mean of 3",C15="6x6 / 7x7"),6,
AND(F15="Best of 3",C15="4x4 / 5x5 BLD"),6,
F15="Avg of 5",5,F15="Mean of 3",3,F15="Best of 3",3,F15="Best of 2",2,F15="Best of 1",1)</f>
        <v/>
      </c>
      <c r="AB15" s="58"/>
    </row>
    <row r="16">
      <c r="A16" s="40">
        <f>IFERROR(__xludf.DUMMYFUNCTION("IFS(indirect(""A""&amp;row()-1)=""Start"",TIME(indirect(""A""&amp;row()-2),indirect(""B""&amp;row()-2),0),
$O$2=""No"",TIME(0,($A$6*60+$B$6)+CEILING(SUM($L$7:indirect(""L""&amp;row()-1)),5),0),
D16=$E$2,TIME(0,($A$6*60+$B$6)+CEILING(SUM(IFERROR(FILTER($L$7:indirect(""L"""&amp;"&amp;row()-1),REGEXMATCH($D$7:indirect(""D""&amp;row()-1),$E$2)),0)),5),0),
TRUE,""=time(hh;mm;ss)"")"),0.4166666666666667)</f>
        <v>0.4166666667</v>
      </c>
      <c r="B16" s="41">
        <f>IFERROR(__xludf.DUMMYFUNCTION("IFS($O$2=""No"",TIME(0,($A$6*60+$B$6)+CEILING(SUM($L$7:indirect(""L""&amp;row())),5),0),
D16=$E$2,TIME(0,($A$6*60+$B$6)+CEILING(SUM(FILTER($L$7:indirect(""L""&amp;row()),REGEXMATCH($D$7:indirect(""D""&amp;row()),$E$2))),5),0),
A16=""=time(hh;mm;ss)"",CONCATENATE(""Sk"&amp;"riv tid i A""&amp;row()),
AND(A16&lt;&gt;"""",A16&lt;&gt;""=time(hh;mm;ss)""),A16+TIME(0,CEILING(indirect(""L""&amp;row()),5),0))"),0.4166666666666667)</f>
        <v>0.4166666667</v>
      </c>
      <c r="C16" s="42"/>
      <c r="D16" s="43" t="str">
        <f t="shared" si="2"/>
        <v>Stora salen</v>
      </c>
      <c r="E16" s="43" t="str">
        <f>IFERROR(__xludf.DUMMYFUNCTION("IFS(COUNTIF(Info!$A$22:A81,C16)&gt;0,"""",
AND(OR(""3x3 FMC""=C16,""3x3 MBLD""=C16),COUNTIF($C$7:indirect(""C""&amp;row()),indirect(""C""&amp;row()))&gt;=13),""E - Error"",
AND(OR(""3x3 FMC""=C16,""3x3 MBLD""=C16),COUNTIF($C$7:indirect(""C""&amp;row()),indirect(""C""&amp;row()"&amp;"))=12),""Final - A3"",
AND(OR(""3x3 FMC""=C16,""3x3 MBLD""=C16),COUNTIF($C$7:indirect(""C""&amp;row()),indirect(""C""&amp;row()))=11),""Final - A2"",
AND(OR(""3x3 FMC""=C16,""3x3 MBLD""=C16),COUNTIF($C$7:indirect(""C""&amp;row()),indirect(""C""&amp;row()))=10),""Final - "&amp;"A1"",
AND(OR(""3x3 FMC""=C16,""3x3 MBLD""=C16),COUNTIF($C$7:indirect(""C""&amp;row()),indirect(""C""&amp;row()))=9,
COUNTIF($C$7:$C$61,indirect(""C""&amp;row()))&gt;9),""R3 - A3"",
AND(OR(""3x3 FMC""=C16,""3x3 MBLD""=C16),COUNTIF($C$7:indirect(""C""&amp;row()),indirect(""C"&amp;"""&amp;row()))=9,
COUNTIF($C$7:$C$61,indirect(""C""&amp;row()))&lt;=9),""Final - A3"",
AND(OR(""3x3 FMC""=C16,""3x3 MBLD""=C16),COUNTIF($C$7:indirect(""C""&amp;row()),indirect(""C""&amp;row()))=8,
COUNTIF($C$7:$C$61,indirect(""C""&amp;row()))&gt;9),""R3 - A2"",
AND(OR(""3x3 FMC""="&amp;"C16,""3x3 MBLD""=C16),COUNTIF($C$7:indirect(""C""&amp;row()),indirect(""C""&amp;row()))=8,
COUNTIF($C$7:$C$61,indirect(""C""&amp;row()))&lt;=9),""Final - A2"",
AND(OR(""3x3 FMC""=C16,""3x3 MBLD""=C16),COUNTIF($C$7:indirect(""C""&amp;row()),indirect(""C""&amp;row()))=7,
COUNTIF("&amp;"$C$7:$C$61,indirect(""C""&amp;row()))&gt;9),""R3 - A1"",
AND(OR(""3x3 FMC""=C16,""3x3 MBLD""=C16),COUNTIF($C$7:indirect(""C""&amp;row()),indirect(""C""&amp;row()))=7,
COUNTIF($C$7:$C$61,indirect(""C""&amp;row()))&lt;=9),""Final - A1"",
AND(OR(""3x3 FMC""=C16,""3x3 MBLD""=C16),"&amp;"COUNTIF($C$7:indirect(""C""&amp;row()),indirect(""C""&amp;row()))=6,
COUNTIF($C$7:$C$61,indirect(""C""&amp;row()))&gt;6),""R2 - A3"",
AND(OR(""3x3 FMC""=C16,""3x3 MBLD""=C16),COUNTIF($C$7:indirect(""C""&amp;row()),indirect(""C""&amp;row()))=6,
COUNTIF($C$7:$C$61,indirect(""C""&amp;"&amp;"row()))&lt;=6),""Final - A3"",
AND(OR(""3x3 FMC""=C16,""3x3 MBLD""=C16),COUNTIF($C$7:indirect(""C""&amp;row()),indirect(""C""&amp;row()))=5,
COUNTIF($C$7:$C$61,indirect(""C""&amp;row()))&gt;6),""R2 - A2"",
AND(OR(""3x3 FMC""=C16,""3x3 MBLD""=C16),COUNTIF($C$7:indirect(""C"&amp;"""&amp;row()),indirect(""C""&amp;row()))=5,
COUNTIF($C$7:$C$61,indirect(""C""&amp;row()))&lt;=6),""Final - A2"",
AND(OR(""3x3 FMC""=C16,""3x3 MBLD""=C16),COUNTIF($C$7:indirect(""C""&amp;row()),indirect(""C""&amp;row()))=4,
COUNTIF($C$7:$C$61,indirect(""C""&amp;row()))&gt;6),""R2 - A1"&amp;""",
AND(OR(""3x3 FMC""=C16,""3x3 MBLD""=C16),COUNTIF($C$7:indirect(""C""&amp;row()),indirect(""C""&amp;row()))=4,
COUNTIF($C$7:$C$61,indirect(""C""&amp;row()))&lt;=6),""Final - A1"",
AND(OR(""3x3 FMC""=C16,""3x3 MBLD""=C16),COUNTIF($C$7:indirect(""C""&amp;row()),indirect("""&amp;"C""&amp;row()))=3),""R1 - A3"",
AND(OR(""3x3 FMC""=C16,""3x3 MBLD""=C16),COUNTIF($C$7:indirect(""C""&amp;row()),indirect(""C""&amp;row()))=2),""R1 - A2"",
AND(OR(""3x3 FMC""=C16,""3x3 MBLD""=C16),COUNTIF($C$7:indirect(""C""&amp;row()),indirect(""C""&amp;row()))=1),""R1 -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C16),ROUNDUP((FILTER(Info!$H$2:H81,Info!$A$2:A81=C16)/FILTER(Info!$H$2:H81,Info!$A$2:A81=$K$2))*$I$2)&gt;99),3,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C16),ROUNDUP((FILTER(Info!$H$2:H81,Info!$A$2:A81=C16)/FILTER(Info!$H$2:H81,Info!$A$2:A81=$K$2))*$I$2)&gt;15),2,
AND(COUNTIF($C$7:indirect(""C""&amp;row()),indirect(""C""&amp;row()))=2,COUNTIF($C$7:$C$61,indirect(""C""&amp;row()))=COUNTIF($C$7:indirect("""&amp;"C""&amp;row()),indirect(""C""&amp;row()))),""Final"",
COUNTIF($C$7:indirect(""C""&amp;row()),indirect(""C""&amp;row()))=1,1,
COUNTIF($C$7:indirect(""C""&amp;row()),indirect(""C""&amp;row()))=0,"""")"),"")</f>
        <v/>
      </c>
      <c r="F16" s="44" t="str">
        <f>IFERROR(__xludf.DUMMYFUNCTION("IFS(C16="""","""",
AND(C16=""3x3 FMC"",MOD(COUNTIF($C$7:indirect(""C""&amp;row()),indirect(""C""&amp;row())),3)=0),""Mean of 3"",
AND(C16=""3x3 MBLD"",MOD(COUNTIF($C$7:indirect(""C""&amp;row()),indirect(""C""&amp;row())),3)=0),""Best of 3"",
AND(C16=""3x3 FMC"",MOD(COUNT"&amp;"IF($C$7:indirect(""C""&amp;row()),indirect(""C""&amp;row())),3)=2,
COUNTIF($C$7:$C$61,indirect(""C""&amp;row()))&lt;=COUNTIF($C$7:indirect(""C""&amp;row()),indirect(""C""&amp;row()))),""Best of 2"",
AND(C16=""3x3 FMC"",MOD(COUNTIF($C$7:indirect(""C""&amp;row()),indirect(""C""&amp;row()"&amp;")),3)=2,
COUNTIF($C$7:$C$61,indirect(""C""&amp;row()))&gt;COUNTIF($C$7:indirect(""C""&amp;row()),indirect(""C""&amp;row()))),""Mean of 3"",
AND(C16=""3x3 MBLD"",MOD(COUNTIF($C$7:indirect(""C""&amp;row()),indirect(""C""&amp;row())),3)=2,
COUNTIF($C$7:$C$61,indirect(""C""&amp;row()))"&amp;"&lt;=COUNTIF($C$7:indirect(""C""&amp;row()),indirect(""C""&amp;row()))),""Best of 2"",
AND(C16=""3x3 MBLD"",MOD(COUNTIF($C$7:indirect(""C""&amp;row()),indirect(""C""&amp;row())),3)=2,
COUNTIF($C$7:$C$61,indirect(""C""&amp;row()))&gt;COUNTIF($C$7:indirect(""C""&amp;row()),indirect(""C"&amp;"""&amp;row()))),""Best of 3"",
AND(C16=""3x3 FMC"",MOD(COUNTIF($C$7:indirect(""C""&amp;row()),indirect(""C""&amp;row())),3)=1,
COUNTIF($C$7:$C$61,indirect(""C""&amp;row()))&lt;=COUNTIF($C$7:indirect(""C""&amp;row()),indirect(""C""&amp;row()))),""Best of 1"",
AND(C16=""3x3 FMC"",MOD"&amp;"(COUNTIF($C$7:indirect(""C""&amp;row()),indirect(""C""&amp;row())),3)=1,
COUNTIF($C$7:$C$61,indirect(""C""&amp;row()))=COUNTIF($C$7:indirect(""C""&amp;row()),indirect(""C""&amp;row()))+1),""Best of 2"",
AND(C16=""3x3 FMC"",MOD(COUNTIF($C$7:indirect(""C""&amp;row()),indirect(""C"&amp;"""&amp;row())),3)=1,
COUNTIF($C$7:$C$61,indirect(""C""&amp;row()))&gt;COUNTIF($C$7:indirect(""C""&amp;row()),indirect(""C""&amp;row()))),""Mean of 3"",
AND(C16=""3x3 MBLD"",MOD(COUNTIF($C$7:indirect(""C""&amp;row()),indirect(""C""&amp;row())),3)=1,
COUNTIF($C$7:$C$61,indirect(""C"""&amp;"&amp;row()))&lt;=COUNTIF($C$7:indirect(""C""&amp;row()),indirect(""C""&amp;row()))),""Best of 1"",
AND(C16=""3x3 MBLD"",MOD(COUNTIF($C$7:indirect(""C""&amp;row()),indirect(""C""&amp;row())),3)=1,
COUNTIF($C$7:$C$61,indirect(""C""&amp;row()))=COUNTIF($C$7:indirect(""C""&amp;row()),indir"&amp;"ect(""C""&amp;row()))+1),""Best of 2"",
AND(C16=""3x3 MBLD"",MOD(COUNTIF($C$7:indirect(""C""&amp;row()),indirect(""C""&amp;row())),3)=1,
COUNTIF($C$7:$C$61,indirect(""C""&amp;row()))&gt;COUNTIF($C$7:indirect(""C""&amp;row()),indirect(""C""&amp;row()))),""Best of 3"",
TRUE,(IFERROR("&amp;"FILTER(Info!$D$2:D81, Info!$A$2:A81 = C16), """")))"),"")</f>
        <v/>
      </c>
      <c r="G16" s="45" t="str">
        <f>IFERROR(__xludf.DUMMYFUNCTION("IFS(OR(COUNTIF(Info!$A$22:A81,C16)&gt;0,C16=""""),"""",
OR(""3x3 MBLD""=C16,""3x3 FMC""=C16),60,
AND(E16=1,FILTER(Info!$F$2:F81, Info!$A$2:A81 = C16) = ""No""),FILTER(Info!$P$2:P81, Info!$A$2:A81 = C16),
AND(E16=2,FILTER(Info!$F$2:F81, Info!$A$2:A81 = C16) ="&amp;" ""No""),FILTER(Info!$Q$2:Q81, Info!$A$2:A81 = C16),
AND(E16=3,FILTER(Info!$F$2:F81, Info!$A$2:A81 = C16) = ""No""),FILTER(Info!$R$2:R81, Info!$A$2:A81 = C16),
AND(E16=""Final"",FILTER(Info!$F$2:F81, Info!$A$2:A81 = C16) = ""No""),FILTER(Info!$S$2:S81, In"&amp;"fo!$A$2:A81 = C16),
FILTER(Info!$F$2:F81, Info!$A$2:A81 = C16) = ""Yes"","""")"),"")</f>
        <v/>
      </c>
      <c r="H16" s="45" t="str">
        <f>IFERROR(__xludf.DUMMYFUNCTION("IFS(OR(COUNTIF(Info!$A$22:A81,C16)&gt;0,C16=""""),"""",
OR(""3x3 MBLD""=C16,""3x3 FMC""=C16)=TRUE,"""",
FILTER(Info!$F$2:F81, Info!$A$2:A81 = C16) = ""Yes"",FILTER(Info!$O$2:O81, Info!$A$2:A81 = C16),
FILTER(Info!$F$2:F81, Info!$A$2:A81 = C16) = ""No"",IF(G1"&amp;"6="""",FILTER(Info!$O$2:O81, Info!$A$2:A81 = C16),""""))"),"")</f>
        <v/>
      </c>
      <c r="I16" s="45" t="str">
        <f>IFERROR(__xludf.DUMMYFUNCTION("IFS(OR(COUNTIF(Info!$A$22:A81,C16)&gt;0,C16="""",H16&lt;&gt;""""),"""",
AND(E16&lt;&gt;1,E16&lt;&gt;""R1 - A1"",E16&lt;&gt;""R1 - A2"",E16&lt;&gt;""R1 - A3""),"""",
FILTER(Info!$E$2:E81, Info!$A$2:A81 = C16) = ""Yes"",IF(H16="""",FILTER(Info!$L$2:L81, Info!$A$2:A81 = C16),""""),
FILTER(I"&amp;"nfo!$E$2:E81, Info!$A$2:A81 = C16) = ""No"","""")"),"")</f>
        <v/>
      </c>
      <c r="J16" s="45" t="str">
        <f>IFERROR(__xludf.DUMMYFUNCTION("IFS(OR(COUNTIF(Info!$A$22:A81,C16)&gt;0,C16="""",""3x3 MBLD""=C16,""3x3 FMC""=C16),"""",
AND(E16=1,FILTER(Info!$H$2:H81,Info!$A$2:A81 = C16)&lt;=FILTER(Info!$H$2:H81,Info!$A$2:A81=$K$2)),
ROUNDUP((FILTER(Info!$H$2:H81,Info!$A$2:A81 = C16)/FILTER(Info!$H$2:H81,I"&amp;"nfo!$A$2:A81=$K$2))*$I$2),
AND(E16=1,FILTER(Info!$H$2:H81,Info!$A$2:A81 = C16)&gt;FILTER(Info!$H$2:H81,Info!$A$2:A81=$K$2)),""K2 - Error"",
AND(E16=2,FILTER($J$7:indirect(""J""&amp;row()-1),$C$7:indirect(""C""&amp;row()-1)=C16)&lt;=7),""J - Error"",
E16=2,FLOOR(FILTER("&amp;"$J$7:indirect(""J""&amp;row()-1),$C$7:indirect(""C""&amp;row()-1)=C16)*Info!$T$32),
AND(E16=3,FILTER($J$7:indirect(""J""&amp;row()-1),$C$7:indirect(""C""&amp;row()-1)=C16)&lt;=15),""J - Error"",
E16=3,FLOOR(Info!$T$32*FLOOR(FILTER($J$7:indirect(""J""&amp;row()-1),$C$7:indirect("&amp;"""C""&amp;row()-1)=C16)*Info!$T$32)),
AND(E16=""Final"",COUNTIF($C$7:$C$61,C16)=2,FILTER($J$7:indirect(""J""&amp;row()-1),$C$7:indirect(""C""&amp;row()-1)=C16)&lt;=7),""J - Error"",
AND(E16=""Final"",COUNTIF($C$7:$C$61,C16)=2),
MIN(P16,FLOOR(FILTER($J$7:indirect(""J""&amp;r"&amp;"ow()-1),$C$7:indirect(""C""&amp;row()-1)=C16)*Info!$T$32)),
AND(E16=""Final"",COUNTIF($C$7:$C$61,C16)=3,FILTER($J$7:indirect(""J""&amp;row()-1),$C$7:indirect(""C""&amp;row()-1)=C16)&lt;=15),""J - Error"",
AND(E16=""Final"",COUNTIF($C$7:$C$61,C16)=3),
MIN(P16,FLOOR(Info!"&amp;"$T$32*FLOOR(FILTER($J$7:indirect(""J""&amp;row()-1),$C$7:indirect(""C""&amp;row()-1)=C16)*Info!$T$32))),
AND(E16=""Final"",COUNTIF($C$7:$C$61,C16)&gt;=4,FILTER($J$7:indirect(""J""&amp;row()-1),$C$7:indirect(""C""&amp;row()-1)=C16)&lt;=99),""J - Error"",
AND(E16=""Final"",COUNT"&amp;"IF($C$7:$C$61,C16)&gt;=4),
MIN(P16,FLOOR(Info!$T$32*FLOOR(Info!$T$32*FLOOR(FILTER($J$7:indirect(""J""&amp;row()-1),$C$7:indirect(""C""&amp;row()-1)=C16)*Info!$T$32)))))"),"")</f>
        <v/>
      </c>
      <c r="K16" s="46" t="str">
        <f>IFERROR(__xludf.DUMMYFUNCTION("IFS(AND(indirect(""D""&amp;row()+2)&lt;&gt;$E$2,indirect(""D""&amp;row()+1)=""""),CONCATENATE(""Tom rad! Kopiera hela rad ""&amp;row()&amp;"" dit""),
AND(indirect(""D""&amp;row()-1)&lt;&gt;""Rum"",indirect(""D""&amp;row()-1)=""""),CONCATENATE(""Tom rad! Kopiera hela rad ""&amp;row()&amp;"" dit""),
"&amp;"C16="""","""",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OR(AND(D16&lt;&gt;$E$2,D16&lt;&gt;$E$4,D16&lt;&gt;$K$4,D16&lt;&gt;$Q$4),D16="&amp;"""""),CONCATENATE(""Rum: ""&amp;D16&amp;"" finns ej, byt i D""&amp;row()),
AND(indirect(""D""&amp;row()-1)=""Rum"",C16=""""),CONCATENATE(""För att börja: skriv i cell C""&amp;row()),
AND(C16=""Paus"",M16&lt;=0),CONCATENATE(""Skriv pausens längd i M""&amp;row()),
OR(COUNTIF(Info!$A$"&amp;"22:A81,C16)&gt;0,C16=""""),"""",
AND(D16&lt;&gt;$E$2,$O$2=""Yes"",A16=""=time(hh;mm;ss)""),CONCATENATE(""Skriv starttid för ""&amp;C16&amp;"" i A""&amp;row()),
E16=""E - Error"",CONCATENATE(""För många ""&amp;C16&amp;"" rundor!""),
AND(C16&lt;&gt;""3x3 FMC"",C16&lt;&gt;""3x3 MBLD"",E16&lt;&gt;1,E16&lt;&gt;"&amp;"""Final"",IFERROR(FILTER($E$7:indirect(""E""&amp;row()-1),
$E$7:indirect(""E""&amp;row()-1)=E16-1,$C$7:indirect(""C""&amp;row()-1)=C16))=FALSE),CONCATENATE(""Kan ej vara R""&amp;E16&amp;"", saknar R""&amp;(E16-1)),
AND(indirect(""E""&amp;row()-1)&lt;&gt;""Omgång"",IFERROR(FILTER($E$7:indi"&amp;"rect(""E""&amp;row()-1),
$E$7:indirect(""E""&amp;row()-1)=E16,$C$7:indirect(""C""&amp;row()-1)=C16)=E16)=TRUE),CONCATENATE(""Runda ""&amp;E16&amp;"" i ""&amp;C16&amp;"" finns redan""),
AND(C16&lt;&gt;""3x3 BLD"",C16&lt;&gt;""4x4 BLD"",C16&lt;&gt;""5x5 BLD"",C16&lt;&gt;""4x4 / 5x5 BLD"",OR(E16=2,E16=3,E16="&amp;"""Final""),H16&lt;&gt;""""),CONCATENATE(E16&amp;""-rundor brukar ej ha c.t.l.""),
AND(OR(E16=2,E16=3,E16=""Final""),I16&lt;&gt;""""),CONCATENATE(E16&amp;""-rundor brukar ej ha cutoff""),
AND(OR(C16=""3x3 FMC"",C16=""3x3 MBLD""),OR(E16=1,E16=2,E16=3,E16=""Final"")),CONCATENAT"&amp;"E(C16&amp;""s omgång är Rx - Ax""),
AND(C16&lt;&gt;""3x3 MBLD"",C16&lt;&gt;""3x3 FMC"",FILTER(Info!$D$2:D81, Info!$A$2:A81 = C16)&lt;&gt;F16),CONCATENATE(C16&amp;"" måste ha formatet ""&amp;FILTER(Info!$D$2:D81, Info!$A$2:A81 = C16)),
AND(C16=""3x3 MBLD"",OR(F16=""Avg of 5"",F16=""Mea"&amp;"n of 3"")),CONCATENATE(""Ogiltigt format för ""&amp;C16),
AND(C16=""3x3 FMC"",OR(F16=""Avg of 5"",F16=""Best of 3"")),CONCATENATE(""Ogiltigt format för ""&amp;C16),
AND(OR(F16=""Best of 1"",F16=""Best of 2"",F16=""Best of 3""),I16&lt;&gt;""""),CONCATENATE(F16&amp;""-rundor"&amp;" får ej ha cutoff""),
AND(OR(C16=""3x3 FMC"",C16=""3x3 MBLD""),G16&lt;&gt;60),CONCATENATE(C16&amp;"" måste ha time limit: 60""),
AND(OR(C16=""3x3 FMC"",C16=""3x3 MBLD""),H16&lt;&gt;""""),CONCATENATE(C16&amp;"" kan inte ha c.t.l.""),
AND(G16&lt;&gt;"""",H16&lt;&gt;""""),""Välj time limit"&amp;" ELLER c.t.l"",
AND(C16=""6x6 / 7x7"",G16="""",H16=""""),""Sätt time limit (x / y) eller c.t.l (z)"",
AND(G16="""",H16=""""),""Sätt en time limit eller c.t.l"",
AND(OR(C16=""6x6 / 7x7"",C16=""4x4 / 5x5 BLD""),G16&lt;&gt;"""",REGEXMATCH(TO_TEXT(G16),"" / "")=FAL"&amp;"SE),CONCATENATE(""Time limit måste vara x / y""),
AND(H16&lt;&gt;"""",I16&lt;&gt;""""),CONCATENATE(C16&amp;"" brukar ej ha cutoff OCH c.t.l""),
AND(E16=1,H16="""",I16="""",OR(FILTER(Info!$E$2:E81, Info!$A$2:A81 = C16) = ""Yes"",FILTER(Info!$F$2:F81, Info!$A$2:A81 = C16) "&amp;"= ""Yes""),OR(F16=""Avg of 5"",F16=""Mean of 3"")),CONCATENATE(C16&amp;"" bör ha cutoff eller c.t.l""),
AND(C16=""6x6 / 7x7"",I16&lt;&gt;"""",REGEXMATCH(TO_TEXT(I16),"" / "")=FALSE),CONCATENATE(""Cutoff måste vara x / y""),
AND(H16&lt;&gt;"""",ISNUMBER(H16)=FALSE),""C.t."&amp;"l. måste vara positivt tal (x)"",
AND(C16&lt;&gt;""6x6 / 7x7"",I16&lt;&gt;"""",ISNUMBER(I16)=FALSE),""Cutoff måste vara positivt tal (x)"",
AND(H16&lt;&gt;"""",FILTER(Info!$E$2:E81, Info!$A$2:A81 = C16) = ""No"",FILTER(Info!$F$2:F81, Info!$A$2:A81 = C16) = ""No""),CONCATEN"&amp;"ATE(C16&amp;"" brukar inte ha c.t.l.""),
AND(I16&lt;&gt;"""",FILTER(Info!$E$2:E81, Info!$A$2:A81 = C16) = ""No"",FILTER(Info!$F$2:F81, Info!$A$2:A81 = C16) = ""No""),CONCATENATE(C16&amp;"" brukar inte ha cutoff""),
AND(H16="""",FILTER(Info!$F$2:F81, Info!$A$2:A81 = C16"&amp;") = ""Yes""),CONCATENATE(C16&amp;"" brukar ha c.t.l.""),
AND(C16&lt;&gt;""6x6 / 7x7"",C16&lt;&gt;""4x4 / 5x5 BLD"",G16&lt;&gt;"""",ISNUMBER(G16)=FALSE),""Time limit måste vara positivt tal (x)"",
J16=""J - Error"",CONCATENATE(""För få deltagare i R1 för ""&amp;COUNTIF($C$7:$C$61,i"&amp;"ndirect(""C""&amp;row()))&amp;"" rundor""),
J16=""K2 - Error"",CONCATENATE(C16&amp;"" är mer populär - byt i K2!""),
AND(C16&lt;&gt;""6x6 / 7x7"",C16&lt;&gt;""4x4 / 5x5 BLD"",G16&lt;&gt;"""",I16&lt;&gt;"""",G16&lt;=I16),""Time limit måste vara &gt; cutoff"",
AND(C16&lt;&gt;""6x6 / 7x7"",C16&lt;&gt;""4x4 / 5x"&amp;"5 BLD"",H16&lt;&gt;"""",I16&lt;&gt;"""",H16&lt;=I16),""C.t.l. måste vara &gt; cutoff"",
AND(C16&lt;&gt;""3x3 FMC"",C16&lt;&gt;""3x3 MBLD"",J16=""""),CONCATENATE(""Fyll i antal deltagare i J""&amp;row()),
AND(C16="""",OR(E16&lt;&gt;"""",F16&lt;&gt;"""",G16&lt;&gt;"""",H16&lt;&gt;"""",I16&lt;&gt;"""",J16&lt;&gt;"""")),""Skriv"&amp;" ALLTID gren / aktivitet först"",
AND(I16="""",H16="""",J16&lt;&gt;""""),J16,
OR(""3x3 FMC""=C16,""3x3 MBLD""=C16),J16,
AND(I16&lt;&gt;"""",""6x6 / 7x7""=C16),
IFS(ArrayFormula(SUM(IFERROR(SPLIT(I16,"" / ""))))&lt;(Info!$J$6+Info!$J$7)*2/3,CONCATENATE(""Höj helst cutoff"&amp;"s i ""&amp;C16),
ArrayFormula(SUM(IFERROR(SPLIT(I16,"" / ""))))&lt;=(Info!$J$6+Info!$J$7),ROUNDUP(J16*Info!$J$22),
ArrayFormula(SUM(IFERROR(SPLIT(I16,"" / ""))))&lt;=Info!$J$6+Info!$J$7,ROUNDUP(J16*Info!$K$22),
ArrayFormula(SUM(IFERROR(SPLIT(I16,"" / ""))))&lt;=Info!$"&amp;"K$6+Info!$K$7,ROUNDUP(J16*Info!L$22),
ArrayFormula(SUM(IFERROR(SPLIT(I16,"" / ""))))&lt;=Info!$L$6+Info!$L$7,ROUNDUP(J16*Info!$M$22),
ArrayFormula(SUM(IFERROR(SPLIT(I16,"" / ""))))&lt;=Info!$M$6+Info!$M$7,ROUNDUP(J16*Info!$N$22),
ArrayFormula(SUM(IFERROR(SPLIT("&amp;"I16,"" / ""))))&lt;=(Info!$N$6+Info!$N$7)*3/2,ROUNDUP(J16*Info!$J$26),
ArrayFormula(SUM(IFERROR(SPLIT(I16,"" / ""))))&gt;(Info!$N$6+Info!$N$7)*3/2,CONCATENATE(""Sänk helst cutoffs i ""&amp;C16)),
AND(I16&lt;&gt;"""",FILTER(Info!$E$2:E81, Info!$A$2:A81 = C16) = ""Yes""),
"&amp;"IFS(I16&lt;FILTER(Info!$J$2:J81, Info!$A$2:A81 = C16)*2/3,CONCATENATE(""Höj helst cutoff i ""&amp;C16),
I16&lt;=FILTER(Info!$J$2:J81, Info!$A$2:A81 = C16),ROUNDUP(J16*Info!$J$22),
I16&lt;=FILTER(Info!$K$2:K81, Info!$A$2:A81 = C16),ROUNDUP(J16*Info!$K$22),
I16&lt;=FILTER("&amp;"Info!$L$2:L81, Info!$A$2:A81 = C16),ROUNDUP(J16*Info!L$22),
I16&lt;=FILTER(Info!$M$2:M81, Info!$A$2:A81 = C16),ROUNDUP(J16*Info!$M$22),
I16&lt;=FILTER(Info!$N$2:N81, Info!$A$2:A81 = C16),ROUNDUP(J16*Info!$N$22),
I16&lt;=FILTER(Info!$N$2:N81, Info!$A$2:A81 = C16)*3"&amp;"/2,ROUNDUP(J16*Info!$J$26),
I16&gt;FILTER(Info!$N$2:N81, Info!$A$2:A81 = C16)*3/2,CONCATENATE(""Sänk helst cutoff i ""&amp;C16)),
AND(H16&lt;&gt;"""",""6x6 / 7x7""=C16),
IFS(H16/3&lt;=(Info!$J$6+Info!$J$7)*2/3,""Höj helst cumulative time limit"",
H16/3&lt;=Info!$J$6+Info!$J"&amp;"$7,ROUNDUP(J16*Info!$J$24),
H16/3&lt;=Info!$K$6+Info!$K$7,ROUNDUP(J16*Info!$K$24),
H16/3&lt;=Info!$L$6+Info!$L$7,ROUNDUP(J16*Info!L$24),
H16/3&lt;=Info!$M$6+Info!$M$7,ROUNDUP(J16*Info!$M$24),
H16/3&lt;=Info!$N$6+Info!$N$7,ROUNDUP(J16*Info!$N$24),
H16/3&lt;=(Info!$N$6+In"&amp;"fo!$N$7)*3/2,ROUNDUP(J16*Info!$L$26),
H16/3&gt;(Info!$J$6+Info!$J$7)*3/2,""Sänk helst cumulative time limit""),
AND(H16&lt;&gt;"""",FILTER(Info!$F$2:F81, Info!$A$2:A81 = C16) = ""Yes""),
IFS(H16&lt;=FILTER(Info!$J$2:J81, Info!$A$2:A81 = C16)*2/3,CONCATENATE(""Höj hel"&amp;"st c.t.l. i ""&amp;C16),
H16&lt;=FILTER(Info!$J$2:J81, Info!$A$2:A81 = C16),ROUNDUP(J16*Info!$J$24),
H16&lt;=FILTER(Info!$K$2:K81, Info!$A$2:A81 = C16),ROUNDUP(J16*Info!$K$24),
H16&lt;=FILTER(Info!$L$2:L81, Info!$A$2:A81 = C16),ROUNDUP(J16*Info!L$24),
H16&lt;=FILTER(Info"&amp;"!$M$2:M81, Info!$A$2:A81 = C16),ROUNDUP(J16*Info!$M$24),
H16&lt;=FILTER(Info!$N$2:N81, Info!$A$2:A81 = C16),ROUNDUP(J16*Info!$N$24),
H16&lt;=FILTER(Info!$N$2:N81, Info!$A$2:A81 = C16)*3/2,ROUNDUP(J16*Info!$L$26),
H16&gt;FILTER(Info!$N$2:N81, Info!$A$2:A81 = C16)*3"&amp;"/2,CONCATENATE(""Sänk helst c.t.l. i ""&amp;C16)),
AND(H16&lt;&gt;"""",FILTER(Info!$F$2:F81, Info!$A$2:A81 = C16) = ""No""),
IFS(H16/AA16&lt;=FILTER(Info!$J$2:J81, Info!$A$2:A81 = C16)*2/3,CONCATENATE(""Höj helst c.t.l. i ""&amp;C16),
H16/AA16&lt;=FILTER(Info!$J$2:J81, Info!"&amp;"$A$2:A81 = C16),ROUNDUP(J16*Info!$J$24),
H16/AA16&lt;=FILTER(Info!$K$2:K81, Info!$A$2:A81 = C16),ROUNDUP(J16*Info!$K$24),
H16/AA16&lt;=FILTER(Info!$L$2:L81, Info!$A$2:A81 = C16),ROUNDUP(J16*Info!L$24),
H16/AA16&lt;=FILTER(Info!$M$2:M81, Info!$A$2:A81 = C16),ROUNDU"&amp;"P(J16*Info!$M$24),
H16/AA16&lt;=FILTER(Info!$N$2:N81, Info!$A$2:A81 = C16),ROUNDUP(J16*Info!$N$24),
H16/AA16&lt;=FILTER(Info!$N$2:N81, Info!$A$2:A81 = C16)*3/2,ROUNDUP(J16*Info!$L$26),
H16/AA16&gt;FILTER(Info!$N$2:N81, Info!$A$2:A81 = C16)*3/2,CONCATENATE(""Sänk h"&amp;"elst c.t.l. i ""&amp;C16)),
AND(I16="""",H16&lt;&gt;"""",J16&lt;&gt;""""),ROUNDUP(J16*Info!$T$29),
AND(I16&lt;&gt;"""",H16="""",J16&lt;&gt;""""),ROUNDUP(J16*Info!$T$26))"),"")</f>
        <v/>
      </c>
      <c r="L16" s="47">
        <f>IFERROR(__xludf.DUMMYFUNCTION("IFS(C16="""",0,
C16=""3x3 FMC"",Info!$B$9*N16+M16, C16=""3x3 MBLD"",Info!$B$18*N16+M16,
COUNTIF(Info!$A$22:A81,C16)&gt;0,FILTER(Info!$B$22:B81,Info!$A$22:A81=C16)+M16,
AND(C16&lt;&gt;"""",E16=""""),CONCATENATE(""Fyll i E""&amp;row()),
AND(C16&lt;&gt;"""",E16&lt;&gt;"""",E16&lt;&gt;1,E1"&amp;"6&lt;&gt;2,E16&lt;&gt;3,E16&lt;&gt;""Final""),CONCATENATE(""Fel format på E""&amp;row()),
K16=CONCATENATE(""Runda ""&amp;E16&amp;"" i ""&amp;C16&amp;"" finns redan""),CONCATENATE(""Fel i E""&amp;row()),
AND(C16&lt;&gt;"""",F16=""""),CONCATENATE(""Fyll i F""&amp;row()),
K16=CONCATENATE(C16&amp;"" måste ha forma"&amp;"tet ""&amp;FILTER(Info!$D$2:D81, Info!$A$2:A81 = C16)),CONCATENATE(""Fel format på F""&amp;row()),
AND(C16&lt;&gt;"""",D16=1,H16="""",FILTER(Info!$F$2:F81, Info!$A$2:A81 = C16) = ""Yes""),CONCATENATE(""Fyll i H""&amp;row()),
AND(C16&lt;&gt;"""",D16=1,I16="""",FILTER(Info!$E$2:E8"&amp;"1, Info!$A$2:A81 = C16) = ""Yes""),CONCATENATE(""Fyll i I""&amp;row()),
AND(C16&lt;&gt;"""",J16=""""),CONCATENATE(""Fyll i J""&amp;row()),
AND(C16&lt;&gt;"""",K16="""",OR(H16&lt;&gt;"""",I16&lt;&gt;"""")),CONCATENATE(""Fyll i K""&amp;row()),
AND(C16&lt;&gt;"""",K16=""""),CONCATENATE(""Skriv samma"&amp;" i K""&amp;row()&amp;"" som i J""&amp;row()),
AND(OR(C16=""4x4 BLD"",C16=""5x5 BLD"",C16=""4x4 / 5x5 BLD"")=TRUE,V16&lt;=P16),
MROUND(H16*(Info!$T$20-((Info!$T$20-1)/2)*(1-V16/P16))*(1+((J16/K16)-1)*(1-Info!$J$24))*N16+(Info!$T$11/2)+(N16*Info!$T$11)+(N16*Info!$T$14*(O1"&amp;"6-1)),0.01)+M16,
AND(OR(C16=""4x4 BLD"",C16=""5x5 BLD"",C16=""4x4 / 5x5 BLD"")=TRUE,V16&gt;P16),
MROUND((((J16*Z16+K16*(AA16-Z16))*(H16*Info!$T$20/AA16))/X16)*(1+((J16/K16)-1)*(1-Info!$J$24))*(1+(X16-Info!$T$8)/100)+(Info!$T$11/2)+(N16*Info!$T$11)+(N16*Info!"&amp;"$T$14*(O16-1)),0.01)+M16,
AND(C16=""3x3 BLD"",V16&lt;=P16),
MROUND(H16*(Info!$T$23-((Info!$T$23-1)/2)*(1-V16/P16))*(1+((J16/K16)-1)*(1-Info!$J$24))*N16+(Info!$T$11/2)+(N16*Info!$T$11)+(N16*Info!$T$14*(O16-1)),0.01)+M16,
AND(C16=""3x3 BLD"",V16&gt;P16),
MROUND(("&amp;"((J16*Z16+K16*(AA16-Z16))*(H16*Info!$T$23/AA16))/X16)*(1+((J16/K16)-1)*(1-Info!$J$24))*(1+(X16-Info!$T$8)/100)+(Info!$T$11/2)+(N16*Info!$T$11)+(N16*Info!$T$14*(O16-1)),0.01)+M16,
E16=1,MROUND((((J16*Z16+K16*(AA16-Z16))*Y16)/X16)*(1+(X16-Info!$T$8)/100)+(N"&amp;"16*Info!$T$11)+(N16*Info!$T$14*(O16-1)),0.01)+M16,
AND(E16=""Final"",N16=1,FILTER(Info!$G$2:$G$20,Info!$A$2:$A$20=C16)=""Mycket svår""),
MROUND((((J16*Z16+K16*(AA16-Z16))*(Y16*Info!$T$38))/X16)*(1+(X16-Info!$T$8)/100)+(N16*Info!$T$11)+(N16*Info!$T$14*(O16"&amp;"-1)),0.01)+M16,
AND(E16=""Final"",N16=1,FILTER(Info!$G$2:$G$20,Info!$A$2:$A$20=C16)=""Svår""),
MROUND((((J16*Z16+K16*(AA16-Z16))*(Y16*Info!$T$35))/X16)*(1+(X16-Info!$T$8)/100)+(N16*Info!$T$11)+(N16*Info!$T$14*(O16-1)),0.01)+M16,
E16=""Final"",MROUND((((J1"&amp;"6*Z16+K16*(AA16-Z16))*(Y16*Info!$T$5))/X16)*(1+(X16-Info!$T$8)/100)+(N16*Info!$T$11)+(N16*Info!$T$14*(O16-1)),0.01)+M16,
OR(E16=2,E16=3),MROUND((((J16*Z16+K16*(AA16-Z16))*(Y16*Info!$T$2))/X16)*(1+(X16-Info!$T$8)/100)+(N16*Info!$T$11)+(N16*Info!$T$14*(O16-"&amp;"1)),0.01)+M16)"),0.0)</f>
        <v>0</v>
      </c>
      <c r="M16" s="48">
        <f t="shared" si="1"/>
        <v>0</v>
      </c>
      <c r="N16" s="48" t="str">
        <f>IFS(OR(COUNTIF(Info!$A$22:A81,C16)&gt;0,C16=""),"",
OR(C16="4x4 BLD",C16="5x5 BLD",C16="3x3 MBLD",C16="3x3 FMC",C16="4x4 / 5x5 BLD"),1,
AND(E16="Final",Q16="Yes",MAX(1,ROUNDUP(J16/P16))&gt;1),MAX(2,ROUNDUP(J16/P16)),
AND(E16="Final",Q16="No",MAX(1,ROUNDUP(J16/((P16*2)+2.625-Y16*1.5)))&gt;1),MAX(2,ROUNDUP(J16/((P16*2)+2.625-Y16*1.5))),
E16="Final",1,
Q16="Yes",MAX(2,ROUNDUP(J16/P16)),
TRUE,MAX(2,ROUNDUP(J16/((P16*2)+2.625-Y16*1.5))))</f>
        <v/>
      </c>
      <c r="O16" s="48" t="str">
        <f>IFS(OR(COUNTIF(Info!$A$22:A81,C16)&gt;0,C16=""),"",
OR("3x3 MBLD"=C16,"3x3 FMC"=C16)=TRUE,"",
D16=$E$4,$G$6,D16=$K$4,$M$6,D16=$Q$4,$S$6,D16=$W$4,$Y$6,
TRUE,$S$2)</f>
        <v/>
      </c>
      <c r="P16" s="48" t="str">
        <f>IFS(OR(COUNTIF(Info!$A$22:A81,C16)&gt;0,C16=""),"",
OR("3x3 MBLD"=C16,"3x3 FMC"=C16)=TRUE,"",
D16=$E$4,$E$6,D16=$K$4,$K$6,D16=$Q$4,$Q$6,D16=$W$4,$W$6,
TRUE,$Q$2)</f>
        <v/>
      </c>
      <c r="Q16" s="49" t="str">
        <f>IFS(OR(COUNTIF(Info!$A$22:A81,C16)&gt;0,C16=""),"",
OR("3x3 MBLD"=C16,"3x3 FMC"=C16)=TRUE,"",
D16=$E$4,$I$6,D16=$K$4,$O$6,D16=$Q$4,$U$6,D16=$W$4,$AA$6,
TRUE,$U$2)</f>
        <v/>
      </c>
      <c r="R16" s="50" t="str">
        <f>IFERROR(__xludf.DUMMYFUNCTION("IF(C16="""","""",IFERROR(FILTER(Info!$B$22:B81,Info!$A$22:A81=C16)+M16,""?""))"),"")</f>
        <v/>
      </c>
      <c r="S16" s="51" t="str">
        <f>IFS(OR(COUNTIF(Info!$A$22:A81,C16)&gt;0,C16=""),"",
AND(H16="",I16=""),J16,
TRUE,"?")</f>
        <v/>
      </c>
      <c r="T16" s="52" t="str">
        <f>IFS(OR(COUNTIF(Info!$A$22:A81,C16)&gt;0,C16=""),"",
AND(L16&lt;&gt;0,OR(R16="?",R16="")),"Fyll i R-kolumnen",
OR(C16="3x3 FMC",C16="3x3 MBLD"),R16,
AND(L16&lt;&gt;0,OR(S16="?",S16="")),"Fyll i S-kolumnen",
OR(COUNTIF(Info!$A$22:A81,C16)&gt;0,C16=""),"",
TRUE,Y16*R16/L16)</f>
        <v/>
      </c>
      <c r="U16" s="52"/>
      <c r="V16" s="53" t="str">
        <f>IFS(OR(COUNTIF(Info!$A$22:A81,C16)&gt;0,C16=""),"",
OR("3x3 MBLD"=C16,"3x3 FMC"=C16)=TRUE,"",
TRUE,MROUND((J16/N16),0.01))</f>
        <v/>
      </c>
      <c r="W16" s="54" t="str">
        <f>IFS(OR(COUNTIF(Info!$A$22:A81,C16)&gt;0,C16=""),"",
TRUE,L16/N16)</f>
        <v/>
      </c>
      <c r="X16" s="55" t="str">
        <f>IFS(OR(COUNTIF(Info!$A$22:A81,C16)&gt;0,C16=""),"",
OR("3x3 MBLD"=C16,"3x3 FMC"=C16)=TRUE,"",
OR(C16="4x4 BLD",C16="5x5 BLD",C16="4x4 / 5x5 BLD",AND(C16="3x3 BLD",H16&lt;&gt;""))=TRUE,MIN(V16,P16),
TRUE,MIN(P16,V16,MROUND(((V16*2/3)+((Y16-1.625)/2)),0.01)))</f>
        <v/>
      </c>
      <c r="Y16" s="56" t="str">
        <f>IFERROR(__xludf.DUMMYFUNCTION("IFS(OR(COUNTIF(Info!$A$22:A81,C16)&gt;0,C16=""""),"""",
FILTER(Info!$F$2:F81, Info!$A$2:A81 = C16) = ""Yes"",H16/AA16,
""3x3 FMC""=C16,Info!$B$9,""3x3 MBLD""=C16,Info!$B$18,
AND(E16=1,I16="""",H16="""",Q16=""No"",G16&gt;SUMIF(Info!$A$2:A81,C16,Info!$B$2:B81)*1."&amp;"5),
MIN(SUMIF(Info!$A$2:A81,C16,Info!$B$2:B81)*1.1,SUMIF(Info!$A$2:A81,C16,Info!$B$2:B81)*(1.15-(0.15*(SUMIF(Info!$A$2:A81,C16,Info!$B$2:B81)*1.5)/G16))),
AND(E16=1,I16="""",H16="""",Q16=""Yes"",G16&gt;SUMIF(Info!$A$2:A81,C16,Info!$C$2:C81)*1.5),
MIN(SUMIF(I"&amp;"nfo!$A$2:A81,C16,Info!$C$2:C81)*1.1,SUMIF(Info!$A$2:A81,C16,Info!$C$2:C81)*(1.15-(0.15*(SUMIF(Info!$A$2:A81,C16,Info!$C$2:C81)*1.5)/G16))),
Q16=""No"",SUMIF(Info!$A$2:A81,C16,Info!$B$2:B81),
Q16=""Yes"",SUMIF(Info!$A$2:A81,C16,Info!$C$2:C81))"),"")</f>
        <v/>
      </c>
      <c r="Z16" s="57" t="str">
        <f>IFS(OR(COUNTIF(Info!$A$22:A81,C16)&gt;0,C16=""),"",
AND(OR("3x3 FMC"=C16,"3x3 MBLD"=C16),I16&lt;&gt;""),1,
AND(OR(H16&lt;&gt;"",I16&lt;&gt;""),F16="Avg of 5"),2,
F16="Avg of 5",AA16,
AND(OR(H16&lt;&gt;"",I16&lt;&gt;""),F16="Mean of 3",C16="6x6 / 7x7"),2,
AND(OR(H16&lt;&gt;"",I16&lt;&gt;""),F16="Mean of 3"),1,
F16="Mean of 3",AA16,
AND(OR(H16&lt;&gt;"",I16&lt;&gt;""),F16="Best of 3",C16="4x4 / 5x5 BLD"),2,
AND(OR(H16&lt;&gt;"",I16&lt;&gt;""),F16="Best of 3"),1,
F16="Best of 2",AA16,
F16="Best of 1",AA16)</f>
        <v/>
      </c>
      <c r="AA16" s="57" t="str">
        <f>IFS(OR(COUNTIF(Info!$A$22:A81,C16)&gt;0,C16=""),"",
AND(OR("3x3 MBLD"=C16,"3x3 FMC"=C16),F16="Best of 1"=TRUE),1,
AND(OR("3x3 MBLD"=C16,"3x3 FMC"=C16),F16="Best of 2"=TRUE),2,
AND(OR("3x3 MBLD"=C16,"3x3 FMC"=C16),OR(F16="Best of 3",F16="Mean of 3")=TRUE),3,
AND(F16="Mean of 3",C16="6x6 / 7x7"),6,
AND(F16="Best of 3",C16="4x4 / 5x5 BLD"),6,
F16="Avg of 5",5,F16="Mean of 3",3,F16="Best of 3",3,F16="Best of 2",2,F16="Best of 1",1)</f>
        <v/>
      </c>
      <c r="AB16" s="58"/>
    </row>
    <row r="17">
      <c r="A17" s="40">
        <f>IFERROR(__xludf.DUMMYFUNCTION("IFS(indirect(""A""&amp;row()-1)=""Start"",TIME(indirect(""A""&amp;row()-2),indirect(""B""&amp;row()-2),0),
$O$2=""No"",TIME(0,($A$6*60+$B$6)+CEILING(SUM($L$7:indirect(""L""&amp;row()-1)),5),0),
D17=$E$2,TIME(0,($A$6*60+$B$6)+CEILING(SUM(IFERROR(FILTER($L$7:indirect(""L"""&amp;"&amp;row()-1),REGEXMATCH($D$7:indirect(""D""&amp;row()-1),$E$2)),0)),5),0),
TRUE,""=time(hh;mm;ss)"")"),0.4166666666666667)</f>
        <v>0.4166666667</v>
      </c>
      <c r="B17" s="41">
        <f>IFERROR(__xludf.DUMMYFUNCTION("IFS($O$2=""No"",TIME(0,($A$6*60+$B$6)+CEILING(SUM($L$7:indirect(""L""&amp;row())),5),0),
D17=$E$2,TIME(0,($A$6*60+$B$6)+CEILING(SUM(FILTER($L$7:indirect(""L""&amp;row()),REGEXMATCH($D$7:indirect(""D""&amp;row()),$E$2))),5),0),
A17=""=time(hh;mm;ss)"",CONCATENATE(""Sk"&amp;"riv tid i A""&amp;row()),
AND(A17&lt;&gt;"""",A17&lt;&gt;""=time(hh;mm;ss)""),A17+TIME(0,CEILING(indirect(""L""&amp;row()),5),0))"),0.4166666666666667)</f>
        <v>0.4166666667</v>
      </c>
      <c r="C17" s="42"/>
      <c r="D17" s="43" t="str">
        <f t="shared" si="2"/>
        <v>Stora salen</v>
      </c>
      <c r="E17" s="43" t="str">
        <f>IFERROR(__xludf.DUMMYFUNCTION("IFS(COUNTIF(Info!$A$22:A81,C17)&gt;0,"""",
AND(OR(""3x3 FMC""=C17,""3x3 MBLD""=C17),COUNTIF($C$7:indirect(""C""&amp;row()),indirect(""C""&amp;row()))&gt;=13),""E - Error"",
AND(OR(""3x3 FMC""=C17,""3x3 MBLD""=C17),COUNTIF($C$7:indirect(""C""&amp;row()),indirect(""C""&amp;row()"&amp;"))=12),""Final - A3"",
AND(OR(""3x3 FMC""=C17,""3x3 MBLD""=C17),COUNTIF($C$7:indirect(""C""&amp;row()),indirect(""C""&amp;row()))=11),""Final - A2"",
AND(OR(""3x3 FMC""=C17,""3x3 MBLD""=C17),COUNTIF($C$7:indirect(""C""&amp;row()),indirect(""C""&amp;row()))=10),""Final - "&amp;"A1"",
AND(OR(""3x3 FMC""=C17,""3x3 MBLD""=C17),COUNTIF($C$7:indirect(""C""&amp;row()),indirect(""C""&amp;row()))=9,
COUNTIF($C$7:$C$61,indirect(""C""&amp;row()))&gt;9),""R3 - A3"",
AND(OR(""3x3 FMC""=C17,""3x3 MBLD""=C17),COUNTIF($C$7:indirect(""C""&amp;row()),indirect(""C"&amp;"""&amp;row()))=9,
COUNTIF($C$7:$C$61,indirect(""C""&amp;row()))&lt;=9),""Final - A3"",
AND(OR(""3x3 FMC""=C17,""3x3 MBLD""=C17),COUNTIF($C$7:indirect(""C""&amp;row()),indirect(""C""&amp;row()))=8,
COUNTIF($C$7:$C$61,indirect(""C""&amp;row()))&gt;9),""R3 - A2"",
AND(OR(""3x3 FMC""="&amp;"C17,""3x3 MBLD""=C17),COUNTIF($C$7:indirect(""C""&amp;row()),indirect(""C""&amp;row()))=8,
COUNTIF($C$7:$C$61,indirect(""C""&amp;row()))&lt;=9),""Final - A2"",
AND(OR(""3x3 FMC""=C17,""3x3 MBLD""=C17),COUNTIF($C$7:indirect(""C""&amp;row()),indirect(""C""&amp;row()))=7,
COUNTIF("&amp;"$C$7:$C$61,indirect(""C""&amp;row()))&gt;9),""R3 - A1"",
AND(OR(""3x3 FMC""=C17,""3x3 MBLD""=C17),COUNTIF($C$7:indirect(""C""&amp;row()),indirect(""C""&amp;row()))=7,
COUNTIF($C$7:$C$61,indirect(""C""&amp;row()))&lt;=9),""Final - A1"",
AND(OR(""3x3 FMC""=C17,""3x3 MBLD""=C17),"&amp;"COUNTIF($C$7:indirect(""C""&amp;row()),indirect(""C""&amp;row()))=6,
COUNTIF($C$7:$C$61,indirect(""C""&amp;row()))&gt;6),""R2 - A3"",
AND(OR(""3x3 FMC""=C17,""3x3 MBLD""=C17),COUNTIF($C$7:indirect(""C""&amp;row()),indirect(""C""&amp;row()))=6,
COUNTIF($C$7:$C$61,indirect(""C""&amp;"&amp;"row()))&lt;=6),""Final - A3"",
AND(OR(""3x3 FMC""=C17,""3x3 MBLD""=C17),COUNTIF($C$7:indirect(""C""&amp;row()),indirect(""C""&amp;row()))=5,
COUNTIF($C$7:$C$61,indirect(""C""&amp;row()))&gt;6),""R2 - A2"",
AND(OR(""3x3 FMC""=C17,""3x3 MBLD""=C17),COUNTIF($C$7:indirect(""C"&amp;"""&amp;row()),indirect(""C""&amp;row()))=5,
COUNTIF($C$7:$C$61,indirect(""C""&amp;row()))&lt;=6),""Final - A2"",
AND(OR(""3x3 FMC""=C17,""3x3 MBLD""=C17),COUNTIF($C$7:indirect(""C""&amp;row()),indirect(""C""&amp;row()))=4,
COUNTIF($C$7:$C$61,indirect(""C""&amp;row()))&gt;6),""R2 - A1"&amp;""",
AND(OR(""3x3 FMC""=C17,""3x3 MBLD""=C17),COUNTIF($C$7:indirect(""C""&amp;row()),indirect(""C""&amp;row()))=4,
COUNTIF($C$7:$C$61,indirect(""C""&amp;row()))&lt;=6),""Final - A1"",
AND(OR(""3x3 FMC""=C17,""3x3 MBLD""=C17),COUNTIF($C$7:indirect(""C""&amp;row()),indirect("""&amp;"C""&amp;row()))=3),""R1 - A3"",
AND(OR(""3x3 FMC""=C17,""3x3 MBLD""=C17),COUNTIF($C$7:indirect(""C""&amp;row()),indirect(""C""&amp;row()))=2),""R1 - A2"",
AND(OR(""3x3 FMC""=C17,""3x3 MBLD""=C17),COUNTIF($C$7:indirect(""C""&amp;row()),indirect(""C""&amp;row()))=1),""R1 -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C17),ROUNDUP((FILTER(Info!$H$2:H81,Info!$A$2:A81=C17)/FILTER(Info!$H$2:H81,Info!$A$2:A81=$K$2))*$I$2)&gt;99),3,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C17),ROUNDUP((FILTER(Info!$H$2:H81,Info!$A$2:A81=C17)/FILTER(Info!$H$2:H81,Info!$A$2:A81=$K$2))*$I$2)&gt;15),2,
AND(COUNTIF($C$7:indirect(""C""&amp;row()),indirect(""C""&amp;row()))=2,COUNTIF($C$7:$C$61,indirect(""C""&amp;row()))=COUNTIF($C$7:indirect("""&amp;"C""&amp;row()),indirect(""C""&amp;row()))),""Final"",
COUNTIF($C$7:indirect(""C""&amp;row()),indirect(""C""&amp;row()))=1,1,
COUNTIF($C$7:indirect(""C""&amp;row()),indirect(""C""&amp;row()))=0,"""")"),"")</f>
        <v/>
      </c>
      <c r="F17" s="44" t="str">
        <f>IFERROR(__xludf.DUMMYFUNCTION("IFS(C17="""","""",
AND(C17=""3x3 FMC"",MOD(COUNTIF($C$7:indirect(""C""&amp;row()),indirect(""C""&amp;row())),3)=0),""Mean of 3"",
AND(C17=""3x3 MBLD"",MOD(COUNTIF($C$7:indirect(""C""&amp;row()),indirect(""C""&amp;row())),3)=0),""Best of 3"",
AND(C17=""3x3 FMC"",MOD(COUNT"&amp;"IF($C$7:indirect(""C""&amp;row()),indirect(""C""&amp;row())),3)=2,
COUNTIF($C$7:$C$61,indirect(""C""&amp;row()))&lt;=COUNTIF($C$7:indirect(""C""&amp;row()),indirect(""C""&amp;row()))),""Best of 2"",
AND(C17=""3x3 FMC"",MOD(COUNTIF($C$7:indirect(""C""&amp;row()),indirect(""C""&amp;row()"&amp;")),3)=2,
COUNTIF($C$7:$C$61,indirect(""C""&amp;row()))&gt;COUNTIF($C$7:indirect(""C""&amp;row()),indirect(""C""&amp;row()))),""Mean of 3"",
AND(C17=""3x3 MBLD"",MOD(COUNTIF($C$7:indirect(""C""&amp;row()),indirect(""C""&amp;row())),3)=2,
COUNTIF($C$7:$C$61,indirect(""C""&amp;row()))"&amp;"&lt;=COUNTIF($C$7:indirect(""C""&amp;row()),indirect(""C""&amp;row()))),""Best of 2"",
AND(C17=""3x3 MBLD"",MOD(COUNTIF($C$7:indirect(""C""&amp;row()),indirect(""C""&amp;row())),3)=2,
COUNTIF($C$7:$C$61,indirect(""C""&amp;row()))&gt;COUNTIF($C$7:indirect(""C""&amp;row()),indirect(""C"&amp;"""&amp;row()))),""Best of 3"",
AND(C17=""3x3 FMC"",MOD(COUNTIF($C$7:indirect(""C""&amp;row()),indirect(""C""&amp;row())),3)=1,
COUNTIF($C$7:$C$61,indirect(""C""&amp;row()))&lt;=COUNTIF($C$7:indirect(""C""&amp;row()),indirect(""C""&amp;row()))),""Best of 1"",
AND(C17=""3x3 FMC"",MOD"&amp;"(COUNTIF($C$7:indirect(""C""&amp;row()),indirect(""C""&amp;row())),3)=1,
COUNTIF($C$7:$C$61,indirect(""C""&amp;row()))=COUNTIF($C$7:indirect(""C""&amp;row()),indirect(""C""&amp;row()))+1),""Best of 2"",
AND(C17=""3x3 FMC"",MOD(COUNTIF($C$7:indirect(""C""&amp;row()),indirect(""C"&amp;"""&amp;row())),3)=1,
COUNTIF($C$7:$C$61,indirect(""C""&amp;row()))&gt;COUNTIF($C$7:indirect(""C""&amp;row()),indirect(""C""&amp;row()))),""Mean of 3"",
AND(C17=""3x3 MBLD"",MOD(COUNTIF($C$7:indirect(""C""&amp;row()),indirect(""C""&amp;row())),3)=1,
COUNTIF($C$7:$C$61,indirect(""C"""&amp;"&amp;row()))&lt;=COUNTIF($C$7:indirect(""C""&amp;row()),indirect(""C""&amp;row()))),""Best of 1"",
AND(C17=""3x3 MBLD"",MOD(COUNTIF($C$7:indirect(""C""&amp;row()),indirect(""C""&amp;row())),3)=1,
COUNTIF($C$7:$C$61,indirect(""C""&amp;row()))=COUNTIF($C$7:indirect(""C""&amp;row()),indir"&amp;"ect(""C""&amp;row()))+1),""Best of 2"",
AND(C17=""3x3 MBLD"",MOD(COUNTIF($C$7:indirect(""C""&amp;row()),indirect(""C""&amp;row())),3)=1,
COUNTIF($C$7:$C$61,indirect(""C""&amp;row()))&gt;COUNTIF($C$7:indirect(""C""&amp;row()),indirect(""C""&amp;row()))),""Best of 3"",
TRUE,(IFERROR("&amp;"FILTER(Info!$D$2:D81, Info!$A$2:A81 = C17), """")))"),"")</f>
        <v/>
      </c>
      <c r="G17" s="45" t="str">
        <f>IFERROR(__xludf.DUMMYFUNCTION("IFS(OR(COUNTIF(Info!$A$22:A81,C17)&gt;0,C17=""""),"""",
OR(""3x3 MBLD""=C17,""3x3 FMC""=C17),60,
AND(E17=1,FILTER(Info!$F$2:F81, Info!$A$2:A81 = C17) = ""No""),FILTER(Info!$P$2:P81, Info!$A$2:A81 = C17),
AND(E17=2,FILTER(Info!$F$2:F81, Info!$A$2:A81 = C17) ="&amp;" ""No""),FILTER(Info!$Q$2:Q81, Info!$A$2:A81 = C17),
AND(E17=3,FILTER(Info!$F$2:F81, Info!$A$2:A81 = C17) = ""No""),FILTER(Info!$R$2:R81, Info!$A$2:A81 = C17),
AND(E17=""Final"",FILTER(Info!$F$2:F81, Info!$A$2:A81 = C17) = ""No""),FILTER(Info!$S$2:S81, In"&amp;"fo!$A$2:A81 = C17),
FILTER(Info!$F$2:F81, Info!$A$2:A81 = C17) = ""Yes"","""")"),"")</f>
        <v/>
      </c>
      <c r="H17" s="45" t="str">
        <f>IFERROR(__xludf.DUMMYFUNCTION("IFS(OR(COUNTIF(Info!$A$22:A81,C17)&gt;0,C17=""""),"""",
OR(""3x3 MBLD""=C17,""3x3 FMC""=C17)=TRUE,"""",
FILTER(Info!$F$2:F81, Info!$A$2:A81 = C17) = ""Yes"",FILTER(Info!$O$2:O81, Info!$A$2:A81 = C17),
FILTER(Info!$F$2:F81, Info!$A$2:A81 = C17) = ""No"",IF(G1"&amp;"7="""",FILTER(Info!$O$2:O81, Info!$A$2:A81 = C17),""""))"),"")</f>
        <v/>
      </c>
      <c r="I17" s="45" t="str">
        <f>IFERROR(__xludf.DUMMYFUNCTION("IFS(OR(COUNTIF(Info!$A$22:A81,C17)&gt;0,C17="""",H17&lt;&gt;""""),"""",
AND(E17&lt;&gt;1,E17&lt;&gt;""R1 - A1"",E17&lt;&gt;""R1 - A2"",E17&lt;&gt;""R1 - A3""),"""",
FILTER(Info!$E$2:E81, Info!$A$2:A81 = C17) = ""Yes"",IF(H17="""",FILTER(Info!$L$2:L81, Info!$A$2:A81 = C17),""""),
FILTER(I"&amp;"nfo!$E$2:E81, Info!$A$2:A81 = C17) = ""No"","""")"),"")</f>
        <v/>
      </c>
      <c r="J17" s="45" t="str">
        <f>IFERROR(__xludf.DUMMYFUNCTION("IFS(OR(COUNTIF(Info!$A$22:A81,C17)&gt;0,C17="""",""3x3 MBLD""=C17,""3x3 FMC""=C17),"""",
AND(E17=1,FILTER(Info!$H$2:H81,Info!$A$2:A81 = C17)&lt;=FILTER(Info!$H$2:H81,Info!$A$2:A81=$K$2)),
ROUNDUP((FILTER(Info!$H$2:H81,Info!$A$2:A81 = C17)/FILTER(Info!$H$2:H81,I"&amp;"nfo!$A$2:A81=$K$2))*$I$2),
AND(E17=1,FILTER(Info!$H$2:H81,Info!$A$2:A81 = C17)&gt;FILTER(Info!$H$2:H81,Info!$A$2:A81=$K$2)),""K2 - Error"",
AND(E17=2,FILTER($J$7:indirect(""J""&amp;row()-1),$C$7:indirect(""C""&amp;row()-1)=C17)&lt;=7),""J - Error"",
E17=2,FLOOR(FILTER("&amp;"$J$7:indirect(""J""&amp;row()-1),$C$7:indirect(""C""&amp;row()-1)=C17)*Info!$T$32),
AND(E17=3,FILTER($J$7:indirect(""J""&amp;row()-1),$C$7:indirect(""C""&amp;row()-1)=C17)&lt;=15),""J - Error"",
E17=3,FLOOR(Info!$T$32*FLOOR(FILTER($J$7:indirect(""J""&amp;row()-1),$C$7:indirect("&amp;"""C""&amp;row()-1)=C17)*Info!$T$32)),
AND(E17=""Final"",COUNTIF($C$7:$C$61,C17)=2,FILTER($J$7:indirect(""J""&amp;row()-1),$C$7:indirect(""C""&amp;row()-1)=C17)&lt;=7),""J - Error"",
AND(E17=""Final"",COUNTIF($C$7:$C$61,C17)=2),
MIN(P17,FLOOR(FILTER($J$7:indirect(""J""&amp;r"&amp;"ow()-1),$C$7:indirect(""C""&amp;row()-1)=C17)*Info!$T$32)),
AND(E17=""Final"",COUNTIF($C$7:$C$61,C17)=3,FILTER($J$7:indirect(""J""&amp;row()-1),$C$7:indirect(""C""&amp;row()-1)=C17)&lt;=15),""J - Error"",
AND(E17=""Final"",COUNTIF($C$7:$C$61,C17)=3),
MIN(P17,FLOOR(Info!"&amp;"$T$32*FLOOR(FILTER($J$7:indirect(""J""&amp;row()-1),$C$7:indirect(""C""&amp;row()-1)=C17)*Info!$T$32))),
AND(E17=""Final"",COUNTIF($C$7:$C$61,C17)&gt;=4,FILTER($J$7:indirect(""J""&amp;row()-1),$C$7:indirect(""C""&amp;row()-1)=C17)&lt;=99),""J - Error"",
AND(E17=""Final"",COUNT"&amp;"IF($C$7:$C$61,C17)&gt;=4),
MIN(P17,FLOOR(Info!$T$32*FLOOR(Info!$T$32*FLOOR(FILTER($J$7:indirect(""J""&amp;row()-1),$C$7:indirect(""C""&amp;row()-1)=C17)*Info!$T$32)))))"),"")</f>
        <v/>
      </c>
      <c r="K17" s="46" t="str">
        <f>IFERROR(__xludf.DUMMYFUNCTION("IFS(AND(indirect(""D""&amp;row()+2)&lt;&gt;$E$2,indirect(""D""&amp;row()+1)=""""),CONCATENATE(""Tom rad! Kopiera hela rad ""&amp;row()&amp;"" dit""),
AND(indirect(""D""&amp;row()-1)&lt;&gt;""Rum"",indirect(""D""&amp;row()-1)=""""),CONCATENATE(""Tom rad! Kopiera hela rad ""&amp;row()&amp;"" dit""),
"&amp;"C17="""","""",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OR(AND(D17&lt;&gt;$E$2,D17&lt;&gt;$E$4,D17&lt;&gt;$K$4,D17&lt;&gt;$Q$4),D17="&amp;"""""),CONCATENATE(""Rum: ""&amp;D17&amp;"" finns ej, byt i D""&amp;row()),
AND(indirect(""D""&amp;row()-1)=""Rum"",C17=""""),CONCATENATE(""För att börja: skriv i cell C""&amp;row()),
AND(C17=""Paus"",M17&lt;=0),CONCATENATE(""Skriv pausens längd i M""&amp;row()),
OR(COUNTIF(Info!$A$"&amp;"22:A81,C17)&gt;0,C17=""""),"""",
AND(D17&lt;&gt;$E$2,$O$2=""Yes"",A17=""=time(hh;mm;ss)""),CONCATENATE(""Skriv starttid för ""&amp;C17&amp;"" i A""&amp;row()),
E17=""E - Error"",CONCATENATE(""För många ""&amp;C17&amp;"" rundor!""),
AND(C17&lt;&gt;""3x3 FMC"",C17&lt;&gt;""3x3 MBLD"",E17&lt;&gt;1,E17&lt;&gt;"&amp;"""Final"",IFERROR(FILTER($E$7:indirect(""E""&amp;row()-1),
$E$7:indirect(""E""&amp;row()-1)=E17-1,$C$7:indirect(""C""&amp;row()-1)=C17))=FALSE),CONCATENATE(""Kan ej vara R""&amp;E17&amp;"", saknar R""&amp;(E17-1)),
AND(indirect(""E""&amp;row()-1)&lt;&gt;""Omgång"",IFERROR(FILTER($E$7:indi"&amp;"rect(""E""&amp;row()-1),
$E$7:indirect(""E""&amp;row()-1)=E17,$C$7:indirect(""C""&amp;row()-1)=C17)=E17)=TRUE),CONCATENATE(""Runda ""&amp;E17&amp;"" i ""&amp;C17&amp;"" finns redan""),
AND(C17&lt;&gt;""3x3 BLD"",C17&lt;&gt;""4x4 BLD"",C17&lt;&gt;""5x5 BLD"",C17&lt;&gt;""4x4 / 5x5 BLD"",OR(E17=2,E17=3,E17="&amp;"""Final""),H17&lt;&gt;""""),CONCATENATE(E17&amp;""-rundor brukar ej ha c.t.l.""),
AND(OR(E17=2,E17=3,E17=""Final""),I17&lt;&gt;""""),CONCATENATE(E17&amp;""-rundor brukar ej ha cutoff""),
AND(OR(C17=""3x3 FMC"",C17=""3x3 MBLD""),OR(E17=1,E17=2,E17=3,E17=""Final"")),CONCATENAT"&amp;"E(C17&amp;""s omgång är Rx - Ax""),
AND(C17&lt;&gt;""3x3 MBLD"",C17&lt;&gt;""3x3 FMC"",FILTER(Info!$D$2:D81, Info!$A$2:A81 = C17)&lt;&gt;F17),CONCATENATE(C17&amp;"" måste ha formatet ""&amp;FILTER(Info!$D$2:D81, Info!$A$2:A81 = C17)),
AND(C17=""3x3 MBLD"",OR(F17=""Avg of 5"",F17=""Mea"&amp;"n of 3"")),CONCATENATE(""Ogiltigt format för ""&amp;C17),
AND(C17=""3x3 FMC"",OR(F17=""Avg of 5"",F17=""Best of 3"")),CONCATENATE(""Ogiltigt format för ""&amp;C17),
AND(OR(F17=""Best of 1"",F17=""Best of 2"",F17=""Best of 3""),I17&lt;&gt;""""),CONCATENATE(F17&amp;""-rundor"&amp;" får ej ha cutoff""),
AND(OR(C17=""3x3 FMC"",C17=""3x3 MBLD""),G17&lt;&gt;60),CONCATENATE(C17&amp;"" måste ha time limit: 60""),
AND(OR(C17=""3x3 FMC"",C17=""3x3 MBLD""),H17&lt;&gt;""""),CONCATENATE(C17&amp;"" kan inte ha c.t.l.""),
AND(G17&lt;&gt;"""",H17&lt;&gt;""""),""Välj time limit"&amp;" ELLER c.t.l"",
AND(C17=""6x6 / 7x7"",G17="""",H17=""""),""Sätt time limit (x / y) eller c.t.l (z)"",
AND(G17="""",H17=""""),""Sätt en time limit eller c.t.l"",
AND(OR(C17=""6x6 / 7x7"",C17=""4x4 / 5x5 BLD""),G17&lt;&gt;"""",REGEXMATCH(TO_TEXT(G17),"" / "")=FAL"&amp;"SE),CONCATENATE(""Time limit måste vara x / y""),
AND(H17&lt;&gt;"""",I17&lt;&gt;""""),CONCATENATE(C17&amp;"" brukar ej ha cutoff OCH c.t.l""),
AND(E17=1,H17="""",I17="""",OR(FILTER(Info!$E$2:E81, Info!$A$2:A81 = C17) = ""Yes"",FILTER(Info!$F$2:F81, Info!$A$2:A81 = C17) "&amp;"= ""Yes""),OR(F17=""Avg of 5"",F17=""Mean of 3"")),CONCATENATE(C17&amp;"" bör ha cutoff eller c.t.l""),
AND(C17=""6x6 / 7x7"",I17&lt;&gt;"""",REGEXMATCH(TO_TEXT(I17),"" / "")=FALSE),CONCATENATE(""Cutoff måste vara x / y""),
AND(H17&lt;&gt;"""",ISNUMBER(H17)=FALSE),""C.t."&amp;"l. måste vara positivt tal (x)"",
AND(C17&lt;&gt;""6x6 / 7x7"",I17&lt;&gt;"""",ISNUMBER(I17)=FALSE),""Cutoff måste vara positivt tal (x)"",
AND(H17&lt;&gt;"""",FILTER(Info!$E$2:E81, Info!$A$2:A81 = C17) = ""No"",FILTER(Info!$F$2:F81, Info!$A$2:A81 = C17) = ""No""),CONCATEN"&amp;"ATE(C17&amp;"" brukar inte ha c.t.l.""),
AND(I17&lt;&gt;"""",FILTER(Info!$E$2:E81, Info!$A$2:A81 = C17) = ""No"",FILTER(Info!$F$2:F81, Info!$A$2:A81 = C17) = ""No""),CONCATENATE(C17&amp;"" brukar inte ha cutoff""),
AND(H17="""",FILTER(Info!$F$2:F81, Info!$A$2:A81 = C17"&amp;") = ""Yes""),CONCATENATE(C17&amp;"" brukar ha c.t.l.""),
AND(C17&lt;&gt;""6x6 / 7x7"",C17&lt;&gt;""4x4 / 5x5 BLD"",G17&lt;&gt;"""",ISNUMBER(G17)=FALSE),""Time limit måste vara positivt tal (x)"",
J17=""J - Error"",CONCATENATE(""För få deltagare i R1 för ""&amp;COUNTIF($C$7:$C$61,i"&amp;"ndirect(""C""&amp;row()))&amp;"" rundor""),
J17=""K2 - Error"",CONCATENATE(C17&amp;"" är mer populär - byt i K2!""),
AND(C17&lt;&gt;""6x6 / 7x7"",C17&lt;&gt;""4x4 / 5x5 BLD"",G17&lt;&gt;"""",I17&lt;&gt;"""",G17&lt;=I17),""Time limit måste vara &gt; cutoff"",
AND(C17&lt;&gt;""6x6 / 7x7"",C17&lt;&gt;""4x4 / 5x"&amp;"5 BLD"",H17&lt;&gt;"""",I17&lt;&gt;"""",H17&lt;=I17),""C.t.l. måste vara &gt; cutoff"",
AND(C17&lt;&gt;""3x3 FMC"",C17&lt;&gt;""3x3 MBLD"",J17=""""),CONCATENATE(""Fyll i antal deltagare i J""&amp;row()),
AND(C17="""",OR(E17&lt;&gt;"""",F17&lt;&gt;"""",G17&lt;&gt;"""",H17&lt;&gt;"""",I17&lt;&gt;"""",J17&lt;&gt;"""")),""Skriv"&amp;" ALLTID gren / aktivitet först"",
AND(I17="""",H17="""",J17&lt;&gt;""""),J17,
OR(""3x3 FMC""=C17,""3x3 MBLD""=C17),J17,
AND(I17&lt;&gt;"""",""6x6 / 7x7""=C17),
IFS(ArrayFormula(SUM(IFERROR(SPLIT(I17,"" / ""))))&lt;(Info!$J$6+Info!$J$7)*2/3,CONCATENATE(""Höj helst cutoff"&amp;"s i ""&amp;C17),
ArrayFormula(SUM(IFERROR(SPLIT(I17,"" / ""))))&lt;=(Info!$J$6+Info!$J$7),ROUNDUP(J17*Info!$J$22),
ArrayFormula(SUM(IFERROR(SPLIT(I17,"" / ""))))&lt;=Info!$J$6+Info!$J$7,ROUNDUP(J17*Info!$K$22),
ArrayFormula(SUM(IFERROR(SPLIT(I17,"" / ""))))&lt;=Info!$"&amp;"K$6+Info!$K$7,ROUNDUP(J17*Info!L$22),
ArrayFormula(SUM(IFERROR(SPLIT(I17,"" / ""))))&lt;=Info!$L$6+Info!$L$7,ROUNDUP(J17*Info!$M$22),
ArrayFormula(SUM(IFERROR(SPLIT(I17,"" / ""))))&lt;=Info!$M$6+Info!$M$7,ROUNDUP(J17*Info!$N$22),
ArrayFormula(SUM(IFERROR(SPLIT("&amp;"I17,"" / ""))))&lt;=(Info!$N$6+Info!$N$7)*3/2,ROUNDUP(J17*Info!$J$26),
ArrayFormula(SUM(IFERROR(SPLIT(I17,"" / ""))))&gt;(Info!$N$6+Info!$N$7)*3/2,CONCATENATE(""Sänk helst cutoffs i ""&amp;C17)),
AND(I17&lt;&gt;"""",FILTER(Info!$E$2:E81, Info!$A$2:A81 = C17) = ""Yes""),
"&amp;"IFS(I17&lt;FILTER(Info!$J$2:J81, Info!$A$2:A81 = C17)*2/3,CONCATENATE(""Höj helst cutoff i ""&amp;C17),
I17&lt;=FILTER(Info!$J$2:J81, Info!$A$2:A81 = C17),ROUNDUP(J17*Info!$J$22),
I17&lt;=FILTER(Info!$K$2:K81, Info!$A$2:A81 = C17),ROUNDUP(J17*Info!$K$22),
I17&lt;=FILTER("&amp;"Info!$L$2:L81, Info!$A$2:A81 = C17),ROUNDUP(J17*Info!L$22),
I17&lt;=FILTER(Info!$M$2:M81, Info!$A$2:A81 = C17),ROUNDUP(J17*Info!$M$22),
I17&lt;=FILTER(Info!$N$2:N81, Info!$A$2:A81 = C17),ROUNDUP(J17*Info!$N$22),
I17&lt;=FILTER(Info!$N$2:N81, Info!$A$2:A81 = C17)*3"&amp;"/2,ROUNDUP(J17*Info!$J$26),
I17&gt;FILTER(Info!$N$2:N81, Info!$A$2:A81 = C17)*3/2,CONCATENATE(""Sänk helst cutoff i ""&amp;C17)),
AND(H17&lt;&gt;"""",""6x6 / 7x7""=C17),
IFS(H17/3&lt;=(Info!$J$6+Info!$J$7)*2/3,""Höj helst cumulative time limit"",
H17/3&lt;=Info!$J$6+Info!$J"&amp;"$7,ROUNDUP(J17*Info!$J$24),
H17/3&lt;=Info!$K$6+Info!$K$7,ROUNDUP(J17*Info!$K$24),
H17/3&lt;=Info!$L$6+Info!$L$7,ROUNDUP(J17*Info!L$24),
H17/3&lt;=Info!$M$6+Info!$M$7,ROUNDUP(J17*Info!$M$24),
H17/3&lt;=Info!$N$6+Info!$N$7,ROUNDUP(J17*Info!$N$24),
H17/3&lt;=(Info!$N$6+In"&amp;"fo!$N$7)*3/2,ROUNDUP(J17*Info!$L$26),
H17/3&gt;(Info!$J$6+Info!$J$7)*3/2,""Sänk helst cumulative time limit""),
AND(H17&lt;&gt;"""",FILTER(Info!$F$2:F81, Info!$A$2:A81 = C17) = ""Yes""),
IFS(H17&lt;=FILTER(Info!$J$2:J81, Info!$A$2:A81 = C17)*2/3,CONCATENATE(""Höj hel"&amp;"st c.t.l. i ""&amp;C17),
H17&lt;=FILTER(Info!$J$2:J81, Info!$A$2:A81 = C17),ROUNDUP(J17*Info!$J$24),
H17&lt;=FILTER(Info!$K$2:K81, Info!$A$2:A81 = C17),ROUNDUP(J17*Info!$K$24),
H17&lt;=FILTER(Info!$L$2:L81, Info!$A$2:A81 = C17),ROUNDUP(J17*Info!L$24),
H17&lt;=FILTER(Info"&amp;"!$M$2:M81, Info!$A$2:A81 = C17),ROUNDUP(J17*Info!$M$24),
H17&lt;=FILTER(Info!$N$2:N81, Info!$A$2:A81 = C17),ROUNDUP(J17*Info!$N$24),
H17&lt;=FILTER(Info!$N$2:N81, Info!$A$2:A81 = C17)*3/2,ROUNDUP(J17*Info!$L$26),
H17&gt;FILTER(Info!$N$2:N81, Info!$A$2:A81 = C17)*3"&amp;"/2,CONCATENATE(""Sänk helst c.t.l. i ""&amp;C17)),
AND(H17&lt;&gt;"""",FILTER(Info!$F$2:F81, Info!$A$2:A81 = C17) = ""No""),
IFS(H17/AA17&lt;=FILTER(Info!$J$2:J81, Info!$A$2:A81 = C17)*2/3,CONCATENATE(""Höj helst c.t.l. i ""&amp;C17),
H17/AA17&lt;=FILTER(Info!$J$2:J81, Info!"&amp;"$A$2:A81 = C17),ROUNDUP(J17*Info!$J$24),
H17/AA17&lt;=FILTER(Info!$K$2:K81, Info!$A$2:A81 = C17),ROUNDUP(J17*Info!$K$24),
H17/AA17&lt;=FILTER(Info!$L$2:L81, Info!$A$2:A81 = C17),ROUNDUP(J17*Info!L$24),
H17/AA17&lt;=FILTER(Info!$M$2:M81, Info!$A$2:A81 = C17),ROUNDU"&amp;"P(J17*Info!$M$24),
H17/AA17&lt;=FILTER(Info!$N$2:N81, Info!$A$2:A81 = C17),ROUNDUP(J17*Info!$N$24),
H17/AA17&lt;=FILTER(Info!$N$2:N81, Info!$A$2:A81 = C17)*3/2,ROUNDUP(J17*Info!$L$26),
H17/AA17&gt;FILTER(Info!$N$2:N81, Info!$A$2:A81 = C17)*3/2,CONCATENATE(""Sänk h"&amp;"elst c.t.l. i ""&amp;C17)),
AND(I17="""",H17&lt;&gt;"""",J17&lt;&gt;""""),ROUNDUP(J17*Info!$T$29),
AND(I17&lt;&gt;"""",H17="""",J17&lt;&gt;""""),ROUNDUP(J17*Info!$T$26))"),"")</f>
        <v/>
      </c>
      <c r="L17" s="47">
        <f>IFERROR(__xludf.DUMMYFUNCTION("IFS(C17="""",0,
C17=""3x3 FMC"",Info!$B$9*N17+M17, C17=""3x3 MBLD"",Info!$B$18*N17+M17,
COUNTIF(Info!$A$22:A81,C17)&gt;0,FILTER(Info!$B$22:B81,Info!$A$22:A81=C17)+M17,
AND(C17&lt;&gt;"""",E17=""""),CONCATENATE(""Fyll i E""&amp;row()),
AND(C17&lt;&gt;"""",E17&lt;&gt;"""",E17&lt;&gt;1,E1"&amp;"7&lt;&gt;2,E17&lt;&gt;3,E17&lt;&gt;""Final""),CONCATENATE(""Fel format på E""&amp;row()),
K17=CONCATENATE(""Runda ""&amp;E17&amp;"" i ""&amp;C17&amp;"" finns redan""),CONCATENATE(""Fel i E""&amp;row()),
AND(C17&lt;&gt;"""",F17=""""),CONCATENATE(""Fyll i F""&amp;row()),
K17=CONCATENATE(C17&amp;"" måste ha forma"&amp;"tet ""&amp;FILTER(Info!$D$2:D81, Info!$A$2:A81 = C17)),CONCATENATE(""Fel format på F""&amp;row()),
AND(C17&lt;&gt;"""",D17=1,H17="""",FILTER(Info!$F$2:F81, Info!$A$2:A81 = C17) = ""Yes""),CONCATENATE(""Fyll i H""&amp;row()),
AND(C17&lt;&gt;"""",D17=1,I17="""",FILTER(Info!$E$2:E8"&amp;"1, Info!$A$2:A81 = C17) = ""Yes""),CONCATENATE(""Fyll i I""&amp;row()),
AND(C17&lt;&gt;"""",J17=""""),CONCATENATE(""Fyll i J""&amp;row()),
AND(C17&lt;&gt;"""",K17="""",OR(H17&lt;&gt;"""",I17&lt;&gt;"""")),CONCATENATE(""Fyll i K""&amp;row()),
AND(C17&lt;&gt;"""",K17=""""),CONCATENATE(""Skriv samma"&amp;" i K""&amp;row()&amp;"" som i J""&amp;row()),
AND(OR(C17=""4x4 BLD"",C17=""5x5 BLD"",C17=""4x4 / 5x5 BLD"")=TRUE,V17&lt;=P17),
MROUND(H17*(Info!$T$20-((Info!$T$20-1)/2)*(1-V17/P17))*(1+((J17/K17)-1)*(1-Info!$J$24))*N17+(Info!$T$11/2)+(N17*Info!$T$11)+(N17*Info!$T$14*(O1"&amp;"7-1)),0.01)+M17,
AND(OR(C17=""4x4 BLD"",C17=""5x5 BLD"",C17=""4x4 / 5x5 BLD"")=TRUE,V17&gt;P17),
MROUND((((J17*Z17+K17*(AA17-Z17))*(H17*Info!$T$20/AA17))/X17)*(1+((J17/K17)-1)*(1-Info!$J$24))*(1+(X17-Info!$T$8)/100)+(Info!$T$11/2)+(N17*Info!$T$11)+(N17*Info!"&amp;"$T$14*(O17-1)),0.01)+M17,
AND(C17=""3x3 BLD"",V17&lt;=P17),
MROUND(H17*(Info!$T$23-((Info!$T$23-1)/2)*(1-V17/P17))*(1+((J17/K17)-1)*(1-Info!$J$24))*N17+(Info!$T$11/2)+(N17*Info!$T$11)+(N17*Info!$T$14*(O17-1)),0.01)+M17,
AND(C17=""3x3 BLD"",V17&gt;P17),
MROUND(("&amp;"((J17*Z17+K17*(AA17-Z17))*(H17*Info!$T$23/AA17))/X17)*(1+((J17/K17)-1)*(1-Info!$J$24))*(1+(X17-Info!$T$8)/100)+(Info!$T$11/2)+(N17*Info!$T$11)+(N17*Info!$T$14*(O17-1)),0.01)+M17,
E17=1,MROUND((((J17*Z17+K17*(AA17-Z17))*Y17)/X17)*(1+(X17-Info!$T$8)/100)+(N"&amp;"17*Info!$T$11)+(N17*Info!$T$14*(O17-1)),0.01)+M17,
AND(E17=""Final"",N17=1,FILTER(Info!$G$2:$G$20,Info!$A$2:$A$20=C17)=""Mycket svår""),
MROUND((((J17*Z17+K17*(AA17-Z17))*(Y17*Info!$T$38))/X17)*(1+(X17-Info!$T$8)/100)+(N17*Info!$T$11)+(N17*Info!$T$14*(O17"&amp;"-1)),0.01)+M17,
AND(E17=""Final"",N17=1,FILTER(Info!$G$2:$G$20,Info!$A$2:$A$20=C17)=""Svår""),
MROUND((((J17*Z17+K17*(AA17-Z17))*(Y17*Info!$T$35))/X17)*(1+(X17-Info!$T$8)/100)+(N17*Info!$T$11)+(N17*Info!$T$14*(O17-1)),0.01)+M17,
E17=""Final"",MROUND((((J1"&amp;"7*Z17+K17*(AA17-Z17))*(Y17*Info!$T$5))/X17)*(1+(X17-Info!$T$8)/100)+(N17*Info!$T$11)+(N17*Info!$T$14*(O17-1)),0.01)+M17,
OR(E17=2,E17=3),MROUND((((J17*Z17+K17*(AA17-Z17))*(Y17*Info!$T$2))/X17)*(1+(X17-Info!$T$8)/100)+(N17*Info!$T$11)+(N17*Info!$T$14*(O17-"&amp;"1)),0.01)+M17)"),0.0)</f>
        <v>0</v>
      </c>
      <c r="M17" s="48">
        <f t="shared" si="1"/>
        <v>0</v>
      </c>
      <c r="N17" s="48" t="str">
        <f>IFS(OR(COUNTIF(Info!$A$22:A81,C17)&gt;0,C17=""),"",
OR(C17="4x4 BLD",C17="5x5 BLD",C17="3x3 MBLD",C17="3x3 FMC",C17="4x4 / 5x5 BLD"),1,
AND(E17="Final",Q17="Yes",MAX(1,ROUNDUP(J17/P17))&gt;1),MAX(2,ROUNDUP(J17/P17)),
AND(E17="Final",Q17="No",MAX(1,ROUNDUP(J17/((P17*2)+2.625-Y17*1.5)))&gt;1),MAX(2,ROUNDUP(J17/((P17*2)+2.625-Y17*1.5))),
E17="Final",1,
Q17="Yes",MAX(2,ROUNDUP(J17/P17)),
TRUE,MAX(2,ROUNDUP(J17/((P17*2)+2.625-Y17*1.5))))</f>
        <v/>
      </c>
      <c r="O17" s="48" t="str">
        <f>IFS(OR(COUNTIF(Info!$A$22:A81,C17)&gt;0,C17=""),"",
OR("3x3 MBLD"=C17,"3x3 FMC"=C17)=TRUE,"",
D17=$E$4,$G$6,D17=$K$4,$M$6,D17=$Q$4,$S$6,D17=$W$4,$Y$6,
TRUE,$S$2)</f>
        <v/>
      </c>
      <c r="P17" s="48" t="str">
        <f>IFS(OR(COUNTIF(Info!$A$22:A81,C17)&gt;0,C17=""),"",
OR("3x3 MBLD"=C17,"3x3 FMC"=C17)=TRUE,"",
D17=$E$4,$E$6,D17=$K$4,$K$6,D17=$Q$4,$Q$6,D17=$W$4,$W$6,
TRUE,$Q$2)</f>
        <v/>
      </c>
      <c r="Q17" s="49" t="str">
        <f>IFS(OR(COUNTIF(Info!$A$22:A81,C17)&gt;0,C17=""),"",
OR("3x3 MBLD"=C17,"3x3 FMC"=C17)=TRUE,"",
D17=$E$4,$I$6,D17=$K$4,$O$6,D17=$Q$4,$U$6,D17=$W$4,$AA$6,
TRUE,$U$2)</f>
        <v/>
      </c>
      <c r="R17" s="50" t="str">
        <f>IFERROR(__xludf.DUMMYFUNCTION("IF(C17="""","""",IFERROR(FILTER(Info!$B$22:B81,Info!$A$22:A81=C17)+M17,""?""))"),"")</f>
        <v/>
      </c>
      <c r="S17" s="51" t="str">
        <f>IFS(OR(COUNTIF(Info!$A$22:A81,C17)&gt;0,C17=""),"",
AND(H17="",I17=""),J17,
TRUE,"?")</f>
        <v/>
      </c>
      <c r="T17" s="52" t="str">
        <f>IFS(OR(COUNTIF(Info!$A$22:A81,C17)&gt;0,C17=""),"",
AND(L17&lt;&gt;0,OR(R17="?",R17="")),"Fyll i R-kolumnen",
OR(C17="3x3 FMC",C17="3x3 MBLD"),R17,
AND(L17&lt;&gt;0,OR(S17="?",S17="")),"Fyll i S-kolumnen",
OR(COUNTIF(Info!$A$22:A81,C17)&gt;0,C17=""),"",
TRUE,Y17*R17/L17)</f>
        <v/>
      </c>
      <c r="U17" s="52"/>
      <c r="V17" s="53" t="str">
        <f>IFS(OR(COUNTIF(Info!$A$22:A81,C17)&gt;0,C17=""),"",
OR("3x3 MBLD"=C17,"3x3 FMC"=C17)=TRUE,"",
TRUE,MROUND((J17/N17),0.01))</f>
        <v/>
      </c>
      <c r="W17" s="54" t="str">
        <f>IFS(OR(COUNTIF(Info!$A$22:A81,C17)&gt;0,C17=""),"",
TRUE,L17/N17)</f>
        <v/>
      </c>
      <c r="X17" s="55" t="str">
        <f>IFS(OR(COUNTIF(Info!$A$22:A81,C17)&gt;0,C17=""),"",
OR("3x3 MBLD"=C17,"3x3 FMC"=C17)=TRUE,"",
OR(C17="4x4 BLD",C17="5x5 BLD",C17="4x4 / 5x5 BLD",AND(C17="3x3 BLD",H17&lt;&gt;""))=TRUE,MIN(V17,P17),
TRUE,MIN(P17,V17,MROUND(((V17*2/3)+((Y17-1.625)/2)),0.01)))</f>
        <v/>
      </c>
      <c r="Y17" s="56" t="str">
        <f>IFERROR(__xludf.DUMMYFUNCTION("IFS(OR(COUNTIF(Info!$A$22:A81,C17)&gt;0,C17=""""),"""",
FILTER(Info!$F$2:F81, Info!$A$2:A81 = C17) = ""Yes"",H17/AA17,
""3x3 FMC""=C17,Info!$B$9,""3x3 MBLD""=C17,Info!$B$18,
AND(E17=1,I17="""",H17="""",Q17=""No"",G17&gt;SUMIF(Info!$A$2:A81,C17,Info!$B$2:B81)*1."&amp;"5),
MIN(SUMIF(Info!$A$2:A81,C17,Info!$B$2:B81)*1.1,SUMIF(Info!$A$2:A81,C17,Info!$B$2:B81)*(1.15-(0.15*(SUMIF(Info!$A$2:A81,C17,Info!$B$2:B81)*1.5)/G17))),
AND(E17=1,I17="""",H17="""",Q17=""Yes"",G17&gt;SUMIF(Info!$A$2:A81,C17,Info!$C$2:C81)*1.5),
MIN(SUMIF(I"&amp;"nfo!$A$2:A81,C17,Info!$C$2:C81)*1.1,SUMIF(Info!$A$2:A81,C17,Info!$C$2:C81)*(1.15-(0.15*(SUMIF(Info!$A$2:A81,C17,Info!$C$2:C81)*1.5)/G17))),
Q17=""No"",SUMIF(Info!$A$2:A81,C17,Info!$B$2:B81),
Q17=""Yes"",SUMIF(Info!$A$2:A81,C17,Info!$C$2:C81))"),"")</f>
        <v/>
      </c>
      <c r="Z17" s="57" t="str">
        <f>IFS(OR(COUNTIF(Info!$A$22:A81,C17)&gt;0,C17=""),"",
AND(OR("3x3 FMC"=C17,"3x3 MBLD"=C17),I17&lt;&gt;""),1,
AND(OR(H17&lt;&gt;"",I17&lt;&gt;""),F17="Avg of 5"),2,
F17="Avg of 5",AA17,
AND(OR(H17&lt;&gt;"",I17&lt;&gt;""),F17="Mean of 3",C17="6x6 / 7x7"),2,
AND(OR(H17&lt;&gt;"",I17&lt;&gt;""),F17="Mean of 3"),1,
F17="Mean of 3",AA17,
AND(OR(H17&lt;&gt;"",I17&lt;&gt;""),F17="Best of 3",C17="4x4 / 5x5 BLD"),2,
AND(OR(H17&lt;&gt;"",I17&lt;&gt;""),F17="Best of 3"),1,
F17="Best of 2",AA17,
F17="Best of 1",AA17)</f>
        <v/>
      </c>
      <c r="AA17" s="57" t="str">
        <f>IFS(OR(COUNTIF(Info!$A$22:A81,C17)&gt;0,C17=""),"",
AND(OR("3x3 MBLD"=C17,"3x3 FMC"=C17),F17="Best of 1"=TRUE),1,
AND(OR("3x3 MBLD"=C17,"3x3 FMC"=C17),F17="Best of 2"=TRUE),2,
AND(OR("3x3 MBLD"=C17,"3x3 FMC"=C17),OR(F17="Best of 3",F17="Mean of 3")=TRUE),3,
AND(F17="Mean of 3",C17="6x6 / 7x7"),6,
AND(F17="Best of 3",C17="4x4 / 5x5 BLD"),6,
F17="Avg of 5",5,F17="Mean of 3",3,F17="Best of 3",3,F17="Best of 2",2,F17="Best of 1",1)</f>
        <v/>
      </c>
      <c r="AB17" s="58"/>
    </row>
    <row r="18">
      <c r="A18" s="40">
        <f>IFERROR(__xludf.DUMMYFUNCTION("IFS(indirect(""A""&amp;row()-1)=""Start"",TIME(indirect(""A""&amp;row()-2),indirect(""B""&amp;row()-2),0),
$O$2=""No"",TIME(0,($A$6*60+$B$6)+CEILING(SUM($L$7:indirect(""L""&amp;row()-1)),5),0),
D18=$E$2,TIME(0,($A$6*60+$B$6)+CEILING(SUM(IFERROR(FILTER($L$7:indirect(""L"""&amp;"&amp;row()-1),REGEXMATCH($D$7:indirect(""D""&amp;row()-1),$E$2)),0)),5),0),
TRUE,""=time(hh;mm;ss)"")"),0.4166666666666667)</f>
        <v>0.4166666667</v>
      </c>
      <c r="B18" s="41">
        <f>IFERROR(__xludf.DUMMYFUNCTION("IFS($O$2=""No"",TIME(0,($A$6*60+$B$6)+CEILING(SUM($L$7:indirect(""L""&amp;row())),5),0),
D18=$E$2,TIME(0,($A$6*60+$B$6)+CEILING(SUM(FILTER($L$7:indirect(""L""&amp;row()),REGEXMATCH($D$7:indirect(""D""&amp;row()),$E$2))),5),0),
A18=""=time(hh;mm;ss)"",CONCATENATE(""Sk"&amp;"riv tid i A""&amp;row()),
AND(A18&lt;&gt;"""",A18&lt;&gt;""=time(hh;mm;ss)""),A18+TIME(0,CEILING(indirect(""L""&amp;row()),5),0))"),0.4166666666666667)</f>
        <v>0.4166666667</v>
      </c>
      <c r="C18" s="42"/>
      <c r="D18" s="43" t="str">
        <f t="shared" si="2"/>
        <v>Stora salen</v>
      </c>
      <c r="E18" s="43" t="str">
        <f>IFERROR(__xludf.DUMMYFUNCTION("IFS(COUNTIF(Info!$A$22:A81,C18)&gt;0,"""",
AND(OR(""3x3 FMC""=C18,""3x3 MBLD""=C18),COUNTIF($C$7:indirect(""C""&amp;row()),indirect(""C""&amp;row()))&gt;=13),""E - Error"",
AND(OR(""3x3 FMC""=C18,""3x3 MBLD""=C18),COUNTIF($C$7:indirect(""C""&amp;row()),indirect(""C""&amp;row()"&amp;"))=12),""Final - A3"",
AND(OR(""3x3 FMC""=C18,""3x3 MBLD""=C18),COUNTIF($C$7:indirect(""C""&amp;row()),indirect(""C""&amp;row()))=11),""Final - A2"",
AND(OR(""3x3 FMC""=C18,""3x3 MBLD""=C18),COUNTIF($C$7:indirect(""C""&amp;row()),indirect(""C""&amp;row()))=10),""Final - "&amp;"A1"",
AND(OR(""3x3 FMC""=C18,""3x3 MBLD""=C18),COUNTIF($C$7:indirect(""C""&amp;row()),indirect(""C""&amp;row()))=9,
COUNTIF($C$7:$C$61,indirect(""C""&amp;row()))&gt;9),""R3 - A3"",
AND(OR(""3x3 FMC""=C18,""3x3 MBLD""=C18),COUNTIF($C$7:indirect(""C""&amp;row()),indirect(""C"&amp;"""&amp;row()))=9,
COUNTIF($C$7:$C$61,indirect(""C""&amp;row()))&lt;=9),""Final - A3"",
AND(OR(""3x3 FMC""=C18,""3x3 MBLD""=C18),COUNTIF($C$7:indirect(""C""&amp;row()),indirect(""C""&amp;row()))=8,
COUNTIF($C$7:$C$61,indirect(""C""&amp;row()))&gt;9),""R3 - A2"",
AND(OR(""3x3 FMC""="&amp;"C18,""3x3 MBLD""=C18),COUNTIF($C$7:indirect(""C""&amp;row()),indirect(""C""&amp;row()))=8,
COUNTIF($C$7:$C$61,indirect(""C""&amp;row()))&lt;=9),""Final - A2"",
AND(OR(""3x3 FMC""=C18,""3x3 MBLD""=C18),COUNTIF($C$7:indirect(""C""&amp;row()),indirect(""C""&amp;row()))=7,
COUNTIF("&amp;"$C$7:$C$61,indirect(""C""&amp;row()))&gt;9),""R3 - A1"",
AND(OR(""3x3 FMC""=C18,""3x3 MBLD""=C18),COUNTIF($C$7:indirect(""C""&amp;row()),indirect(""C""&amp;row()))=7,
COUNTIF($C$7:$C$61,indirect(""C""&amp;row()))&lt;=9),""Final - A1"",
AND(OR(""3x3 FMC""=C18,""3x3 MBLD""=C18),"&amp;"COUNTIF($C$7:indirect(""C""&amp;row()),indirect(""C""&amp;row()))=6,
COUNTIF($C$7:$C$61,indirect(""C""&amp;row()))&gt;6),""R2 - A3"",
AND(OR(""3x3 FMC""=C18,""3x3 MBLD""=C18),COUNTIF($C$7:indirect(""C""&amp;row()),indirect(""C""&amp;row()))=6,
COUNTIF($C$7:$C$61,indirect(""C""&amp;"&amp;"row()))&lt;=6),""Final - A3"",
AND(OR(""3x3 FMC""=C18,""3x3 MBLD""=C18),COUNTIF($C$7:indirect(""C""&amp;row()),indirect(""C""&amp;row()))=5,
COUNTIF($C$7:$C$61,indirect(""C""&amp;row()))&gt;6),""R2 - A2"",
AND(OR(""3x3 FMC""=C18,""3x3 MBLD""=C18),COUNTIF($C$7:indirect(""C"&amp;"""&amp;row()),indirect(""C""&amp;row()))=5,
COUNTIF($C$7:$C$61,indirect(""C""&amp;row()))&lt;=6),""Final - A2"",
AND(OR(""3x3 FMC""=C18,""3x3 MBLD""=C18),COUNTIF($C$7:indirect(""C""&amp;row()),indirect(""C""&amp;row()))=4,
COUNTIF($C$7:$C$61,indirect(""C""&amp;row()))&gt;6),""R2 - A1"&amp;""",
AND(OR(""3x3 FMC""=C18,""3x3 MBLD""=C18),COUNTIF($C$7:indirect(""C""&amp;row()),indirect(""C""&amp;row()))=4,
COUNTIF($C$7:$C$61,indirect(""C""&amp;row()))&lt;=6),""Final - A1"",
AND(OR(""3x3 FMC""=C18,""3x3 MBLD""=C18),COUNTIF($C$7:indirect(""C""&amp;row()),indirect("""&amp;"C""&amp;row()))=3),""R1 - A3"",
AND(OR(""3x3 FMC""=C18,""3x3 MBLD""=C18),COUNTIF($C$7:indirect(""C""&amp;row()),indirect(""C""&amp;row()))=2),""R1 - A2"",
AND(OR(""3x3 FMC""=C18,""3x3 MBLD""=C18),COUNTIF($C$7:indirect(""C""&amp;row()),indirect(""C""&amp;row()))=1),""R1 -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C18),ROUNDUP((FILTER(Info!$H$2:H81,Info!$A$2:A81=C18)/FILTER(Info!$H$2:H81,Info!$A$2:A81=$K$2))*$I$2)&gt;99),3,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C18),ROUNDUP((FILTER(Info!$H$2:H81,Info!$A$2:A81=C18)/FILTER(Info!$H$2:H81,Info!$A$2:A81=$K$2))*$I$2)&gt;15),2,
AND(COUNTIF($C$7:indirect(""C""&amp;row()),indirect(""C""&amp;row()))=2,COUNTIF($C$7:$C$61,indirect(""C""&amp;row()))=COUNTIF($C$7:indirect("""&amp;"C""&amp;row()),indirect(""C""&amp;row()))),""Final"",
COUNTIF($C$7:indirect(""C""&amp;row()),indirect(""C""&amp;row()))=1,1,
COUNTIF($C$7:indirect(""C""&amp;row()),indirect(""C""&amp;row()))=0,"""")"),"")</f>
        <v/>
      </c>
      <c r="F18" s="44" t="str">
        <f>IFERROR(__xludf.DUMMYFUNCTION("IFS(C18="""","""",
AND(C18=""3x3 FMC"",MOD(COUNTIF($C$7:indirect(""C""&amp;row()),indirect(""C""&amp;row())),3)=0),""Mean of 3"",
AND(C18=""3x3 MBLD"",MOD(COUNTIF($C$7:indirect(""C""&amp;row()),indirect(""C""&amp;row())),3)=0),""Best of 3"",
AND(C18=""3x3 FMC"",MOD(COUNT"&amp;"IF($C$7:indirect(""C""&amp;row()),indirect(""C""&amp;row())),3)=2,
COUNTIF($C$7:$C$61,indirect(""C""&amp;row()))&lt;=COUNTIF($C$7:indirect(""C""&amp;row()),indirect(""C""&amp;row()))),""Best of 2"",
AND(C18=""3x3 FMC"",MOD(COUNTIF($C$7:indirect(""C""&amp;row()),indirect(""C""&amp;row()"&amp;")),3)=2,
COUNTIF($C$7:$C$61,indirect(""C""&amp;row()))&gt;COUNTIF($C$7:indirect(""C""&amp;row()),indirect(""C""&amp;row()))),""Mean of 3"",
AND(C18=""3x3 MBLD"",MOD(COUNTIF($C$7:indirect(""C""&amp;row()),indirect(""C""&amp;row())),3)=2,
COUNTIF($C$7:$C$61,indirect(""C""&amp;row()))"&amp;"&lt;=COUNTIF($C$7:indirect(""C""&amp;row()),indirect(""C""&amp;row()))),""Best of 2"",
AND(C18=""3x3 MBLD"",MOD(COUNTIF($C$7:indirect(""C""&amp;row()),indirect(""C""&amp;row())),3)=2,
COUNTIF($C$7:$C$61,indirect(""C""&amp;row()))&gt;COUNTIF($C$7:indirect(""C""&amp;row()),indirect(""C"&amp;"""&amp;row()))),""Best of 3"",
AND(C18=""3x3 FMC"",MOD(COUNTIF($C$7:indirect(""C""&amp;row()),indirect(""C""&amp;row())),3)=1,
COUNTIF($C$7:$C$61,indirect(""C""&amp;row()))&lt;=COUNTIF($C$7:indirect(""C""&amp;row()),indirect(""C""&amp;row()))),""Best of 1"",
AND(C18=""3x3 FMC"",MOD"&amp;"(COUNTIF($C$7:indirect(""C""&amp;row()),indirect(""C""&amp;row())),3)=1,
COUNTIF($C$7:$C$61,indirect(""C""&amp;row()))=COUNTIF($C$7:indirect(""C""&amp;row()),indirect(""C""&amp;row()))+1),""Best of 2"",
AND(C18=""3x3 FMC"",MOD(COUNTIF($C$7:indirect(""C""&amp;row()),indirect(""C"&amp;"""&amp;row())),3)=1,
COUNTIF($C$7:$C$61,indirect(""C""&amp;row()))&gt;COUNTIF($C$7:indirect(""C""&amp;row()),indirect(""C""&amp;row()))),""Mean of 3"",
AND(C18=""3x3 MBLD"",MOD(COUNTIF($C$7:indirect(""C""&amp;row()),indirect(""C""&amp;row())),3)=1,
COUNTIF($C$7:$C$61,indirect(""C"""&amp;"&amp;row()))&lt;=COUNTIF($C$7:indirect(""C""&amp;row()),indirect(""C""&amp;row()))),""Best of 1"",
AND(C18=""3x3 MBLD"",MOD(COUNTIF($C$7:indirect(""C""&amp;row()),indirect(""C""&amp;row())),3)=1,
COUNTIF($C$7:$C$61,indirect(""C""&amp;row()))=COUNTIF($C$7:indirect(""C""&amp;row()),indir"&amp;"ect(""C""&amp;row()))+1),""Best of 2"",
AND(C18=""3x3 MBLD"",MOD(COUNTIF($C$7:indirect(""C""&amp;row()),indirect(""C""&amp;row())),3)=1,
COUNTIF($C$7:$C$61,indirect(""C""&amp;row()))&gt;COUNTIF($C$7:indirect(""C""&amp;row()),indirect(""C""&amp;row()))),""Best of 3"",
TRUE,(IFERROR("&amp;"FILTER(Info!$D$2:D81, Info!$A$2:A81 = C18), """")))"),"")</f>
        <v/>
      </c>
      <c r="G18" s="45" t="str">
        <f>IFERROR(__xludf.DUMMYFUNCTION("IFS(OR(COUNTIF(Info!$A$22:A81,C18)&gt;0,C18=""""),"""",
OR(""3x3 MBLD""=C18,""3x3 FMC""=C18),60,
AND(E18=1,FILTER(Info!$F$2:F81, Info!$A$2:A81 = C18) = ""No""),FILTER(Info!$P$2:P81, Info!$A$2:A81 = C18),
AND(E18=2,FILTER(Info!$F$2:F81, Info!$A$2:A81 = C18) ="&amp;" ""No""),FILTER(Info!$Q$2:Q81, Info!$A$2:A81 = C18),
AND(E18=3,FILTER(Info!$F$2:F81, Info!$A$2:A81 = C18) = ""No""),FILTER(Info!$R$2:R81, Info!$A$2:A81 = C18),
AND(E18=""Final"",FILTER(Info!$F$2:F81, Info!$A$2:A81 = C18) = ""No""),FILTER(Info!$S$2:S81, In"&amp;"fo!$A$2:A81 = C18),
FILTER(Info!$F$2:F81, Info!$A$2:A81 = C18) = ""Yes"","""")"),"")</f>
        <v/>
      </c>
      <c r="H18" s="45" t="str">
        <f>IFERROR(__xludf.DUMMYFUNCTION("IFS(OR(COUNTIF(Info!$A$22:A81,C18)&gt;0,C18=""""),"""",
OR(""3x3 MBLD""=C18,""3x3 FMC""=C18)=TRUE,"""",
FILTER(Info!$F$2:F81, Info!$A$2:A81 = C18) = ""Yes"",FILTER(Info!$O$2:O81, Info!$A$2:A81 = C18),
FILTER(Info!$F$2:F81, Info!$A$2:A81 = C18) = ""No"",IF(G1"&amp;"8="""",FILTER(Info!$O$2:O81, Info!$A$2:A81 = C18),""""))"),"")</f>
        <v/>
      </c>
      <c r="I18" s="45" t="str">
        <f>IFERROR(__xludf.DUMMYFUNCTION("IFS(OR(COUNTIF(Info!$A$22:A81,C18)&gt;0,C18="""",H18&lt;&gt;""""),"""",
AND(E18&lt;&gt;1,E18&lt;&gt;""R1 - A1"",E18&lt;&gt;""R1 - A2"",E18&lt;&gt;""R1 - A3""),"""",
FILTER(Info!$E$2:E81, Info!$A$2:A81 = C18) = ""Yes"",IF(H18="""",FILTER(Info!$L$2:L81, Info!$A$2:A81 = C18),""""),
FILTER(I"&amp;"nfo!$E$2:E81, Info!$A$2:A81 = C18) = ""No"","""")"),"")</f>
        <v/>
      </c>
      <c r="J18" s="45" t="str">
        <f>IFERROR(__xludf.DUMMYFUNCTION("IFS(OR(COUNTIF(Info!$A$22:A81,C18)&gt;0,C18="""",""3x3 MBLD""=C18,""3x3 FMC""=C18),"""",
AND(E18=1,FILTER(Info!$H$2:H81,Info!$A$2:A81 = C18)&lt;=FILTER(Info!$H$2:H81,Info!$A$2:A81=$K$2)),
ROUNDUP((FILTER(Info!$H$2:H81,Info!$A$2:A81 = C18)/FILTER(Info!$H$2:H81,I"&amp;"nfo!$A$2:A81=$K$2))*$I$2),
AND(E18=1,FILTER(Info!$H$2:H81,Info!$A$2:A81 = C18)&gt;FILTER(Info!$H$2:H81,Info!$A$2:A81=$K$2)),""K2 - Error"",
AND(E18=2,FILTER($J$7:indirect(""J""&amp;row()-1),$C$7:indirect(""C""&amp;row()-1)=C18)&lt;=7),""J - Error"",
E18=2,FLOOR(FILTER("&amp;"$J$7:indirect(""J""&amp;row()-1),$C$7:indirect(""C""&amp;row()-1)=C18)*Info!$T$32),
AND(E18=3,FILTER($J$7:indirect(""J""&amp;row()-1),$C$7:indirect(""C""&amp;row()-1)=C18)&lt;=15),""J - Error"",
E18=3,FLOOR(Info!$T$32*FLOOR(FILTER($J$7:indirect(""J""&amp;row()-1),$C$7:indirect("&amp;"""C""&amp;row()-1)=C18)*Info!$T$32)),
AND(E18=""Final"",COUNTIF($C$7:$C$61,C18)=2,FILTER($J$7:indirect(""J""&amp;row()-1),$C$7:indirect(""C""&amp;row()-1)=C18)&lt;=7),""J - Error"",
AND(E18=""Final"",COUNTIF($C$7:$C$61,C18)=2),
MIN(P18,FLOOR(FILTER($J$7:indirect(""J""&amp;r"&amp;"ow()-1),$C$7:indirect(""C""&amp;row()-1)=C18)*Info!$T$32)),
AND(E18=""Final"",COUNTIF($C$7:$C$61,C18)=3,FILTER($J$7:indirect(""J""&amp;row()-1),$C$7:indirect(""C""&amp;row()-1)=C18)&lt;=15),""J - Error"",
AND(E18=""Final"",COUNTIF($C$7:$C$61,C18)=3),
MIN(P18,FLOOR(Info!"&amp;"$T$32*FLOOR(FILTER($J$7:indirect(""J""&amp;row()-1),$C$7:indirect(""C""&amp;row()-1)=C18)*Info!$T$32))),
AND(E18=""Final"",COUNTIF($C$7:$C$61,C18)&gt;=4,FILTER($J$7:indirect(""J""&amp;row()-1),$C$7:indirect(""C""&amp;row()-1)=C18)&lt;=99),""J - Error"",
AND(E18=""Final"",COUNT"&amp;"IF($C$7:$C$61,C18)&gt;=4),
MIN(P18,FLOOR(Info!$T$32*FLOOR(Info!$T$32*FLOOR(FILTER($J$7:indirect(""J""&amp;row()-1),$C$7:indirect(""C""&amp;row()-1)=C18)*Info!$T$32)))))"),"")</f>
        <v/>
      </c>
      <c r="K18" s="46" t="str">
        <f>IFERROR(__xludf.DUMMYFUNCTION("IFS(AND(indirect(""D""&amp;row()+2)&lt;&gt;$E$2,indirect(""D""&amp;row()+1)=""""),CONCATENATE(""Tom rad! Kopiera hela rad ""&amp;row()&amp;"" dit""),
AND(indirect(""D""&amp;row()-1)&lt;&gt;""Rum"",indirect(""D""&amp;row()-1)=""""),CONCATENATE(""Tom rad! Kopiera hela rad ""&amp;row()&amp;"" dit""),
"&amp;"C18="""","""",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OR(AND(D18&lt;&gt;$E$2,D18&lt;&gt;$E$4,D18&lt;&gt;$K$4,D18&lt;&gt;$Q$4),D18="&amp;"""""),CONCATENATE(""Rum: ""&amp;D18&amp;"" finns ej, byt i D""&amp;row()),
AND(indirect(""D""&amp;row()-1)=""Rum"",C18=""""),CONCATENATE(""För att börja: skriv i cell C""&amp;row()),
AND(C18=""Paus"",M18&lt;=0),CONCATENATE(""Skriv pausens längd i M""&amp;row()),
OR(COUNTIF(Info!$A$"&amp;"22:A81,C18)&gt;0,C18=""""),"""",
AND(D18&lt;&gt;$E$2,$O$2=""Yes"",A18=""=time(hh;mm;ss)""),CONCATENATE(""Skriv starttid för ""&amp;C18&amp;"" i A""&amp;row()),
E18=""E - Error"",CONCATENATE(""För många ""&amp;C18&amp;"" rundor!""),
AND(C18&lt;&gt;""3x3 FMC"",C18&lt;&gt;""3x3 MBLD"",E18&lt;&gt;1,E18&lt;&gt;"&amp;"""Final"",IFERROR(FILTER($E$7:indirect(""E""&amp;row()-1),
$E$7:indirect(""E""&amp;row()-1)=E18-1,$C$7:indirect(""C""&amp;row()-1)=C18))=FALSE),CONCATENATE(""Kan ej vara R""&amp;E18&amp;"", saknar R""&amp;(E18-1)),
AND(indirect(""E""&amp;row()-1)&lt;&gt;""Omgång"",IFERROR(FILTER($E$7:indi"&amp;"rect(""E""&amp;row()-1),
$E$7:indirect(""E""&amp;row()-1)=E18,$C$7:indirect(""C""&amp;row()-1)=C18)=E18)=TRUE),CONCATENATE(""Runda ""&amp;E18&amp;"" i ""&amp;C18&amp;"" finns redan""),
AND(C18&lt;&gt;""3x3 BLD"",C18&lt;&gt;""4x4 BLD"",C18&lt;&gt;""5x5 BLD"",C18&lt;&gt;""4x4 / 5x5 BLD"",OR(E18=2,E18=3,E18="&amp;"""Final""),H18&lt;&gt;""""),CONCATENATE(E18&amp;""-rundor brukar ej ha c.t.l.""),
AND(OR(E18=2,E18=3,E18=""Final""),I18&lt;&gt;""""),CONCATENATE(E18&amp;""-rundor brukar ej ha cutoff""),
AND(OR(C18=""3x3 FMC"",C18=""3x3 MBLD""),OR(E18=1,E18=2,E18=3,E18=""Final"")),CONCATENAT"&amp;"E(C18&amp;""s omgång är Rx - Ax""),
AND(C18&lt;&gt;""3x3 MBLD"",C18&lt;&gt;""3x3 FMC"",FILTER(Info!$D$2:D81, Info!$A$2:A81 = C18)&lt;&gt;F18),CONCATENATE(C18&amp;"" måste ha formatet ""&amp;FILTER(Info!$D$2:D81, Info!$A$2:A81 = C18)),
AND(C18=""3x3 MBLD"",OR(F18=""Avg of 5"",F18=""Mea"&amp;"n of 3"")),CONCATENATE(""Ogiltigt format för ""&amp;C18),
AND(C18=""3x3 FMC"",OR(F18=""Avg of 5"",F18=""Best of 3"")),CONCATENATE(""Ogiltigt format för ""&amp;C18),
AND(OR(F18=""Best of 1"",F18=""Best of 2"",F18=""Best of 3""),I18&lt;&gt;""""),CONCATENATE(F18&amp;""-rundor"&amp;" får ej ha cutoff""),
AND(OR(C18=""3x3 FMC"",C18=""3x3 MBLD""),G18&lt;&gt;60),CONCATENATE(C18&amp;"" måste ha time limit: 60""),
AND(OR(C18=""3x3 FMC"",C18=""3x3 MBLD""),H18&lt;&gt;""""),CONCATENATE(C18&amp;"" kan inte ha c.t.l.""),
AND(G18&lt;&gt;"""",H18&lt;&gt;""""),""Välj time limit"&amp;" ELLER c.t.l"",
AND(C18=""6x6 / 7x7"",G18="""",H18=""""),""Sätt time limit (x / y) eller c.t.l (z)"",
AND(G18="""",H18=""""),""Sätt en time limit eller c.t.l"",
AND(OR(C18=""6x6 / 7x7"",C18=""4x4 / 5x5 BLD""),G18&lt;&gt;"""",REGEXMATCH(TO_TEXT(G18),"" / "")=FAL"&amp;"SE),CONCATENATE(""Time limit måste vara x / y""),
AND(H18&lt;&gt;"""",I18&lt;&gt;""""),CONCATENATE(C18&amp;"" brukar ej ha cutoff OCH c.t.l""),
AND(E18=1,H18="""",I18="""",OR(FILTER(Info!$E$2:E81, Info!$A$2:A81 = C18) = ""Yes"",FILTER(Info!$F$2:F81, Info!$A$2:A81 = C18) "&amp;"= ""Yes""),OR(F18=""Avg of 5"",F18=""Mean of 3"")),CONCATENATE(C18&amp;"" bör ha cutoff eller c.t.l""),
AND(C18=""6x6 / 7x7"",I18&lt;&gt;"""",REGEXMATCH(TO_TEXT(I18),"" / "")=FALSE),CONCATENATE(""Cutoff måste vara x / y""),
AND(H18&lt;&gt;"""",ISNUMBER(H18)=FALSE),""C.t."&amp;"l. måste vara positivt tal (x)"",
AND(C18&lt;&gt;""6x6 / 7x7"",I18&lt;&gt;"""",ISNUMBER(I18)=FALSE),""Cutoff måste vara positivt tal (x)"",
AND(H18&lt;&gt;"""",FILTER(Info!$E$2:E81, Info!$A$2:A81 = C18) = ""No"",FILTER(Info!$F$2:F81, Info!$A$2:A81 = C18) = ""No""),CONCATEN"&amp;"ATE(C18&amp;"" brukar inte ha c.t.l.""),
AND(I18&lt;&gt;"""",FILTER(Info!$E$2:E81, Info!$A$2:A81 = C18) = ""No"",FILTER(Info!$F$2:F81, Info!$A$2:A81 = C18) = ""No""),CONCATENATE(C18&amp;"" brukar inte ha cutoff""),
AND(H18="""",FILTER(Info!$F$2:F81, Info!$A$2:A81 = C18"&amp;") = ""Yes""),CONCATENATE(C18&amp;"" brukar ha c.t.l.""),
AND(C18&lt;&gt;""6x6 / 7x7"",C18&lt;&gt;""4x4 / 5x5 BLD"",G18&lt;&gt;"""",ISNUMBER(G18)=FALSE),""Time limit måste vara positivt tal (x)"",
J18=""J - Error"",CONCATENATE(""För få deltagare i R1 för ""&amp;COUNTIF($C$7:$C$61,i"&amp;"ndirect(""C""&amp;row()))&amp;"" rundor""),
J18=""K2 - Error"",CONCATENATE(C18&amp;"" är mer populär - byt i K2!""),
AND(C18&lt;&gt;""6x6 / 7x7"",C18&lt;&gt;""4x4 / 5x5 BLD"",G18&lt;&gt;"""",I18&lt;&gt;"""",G18&lt;=I18),""Time limit måste vara &gt; cutoff"",
AND(C18&lt;&gt;""6x6 / 7x7"",C18&lt;&gt;""4x4 / 5x"&amp;"5 BLD"",H18&lt;&gt;"""",I18&lt;&gt;"""",H18&lt;=I18),""C.t.l. måste vara &gt; cutoff"",
AND(C18&lt;&gt;""3x3 FMC"",C18&lt;&gt;""3x3 MBLD"",J18=""""),CONCATENATE(""Fyll i antal deltagare i J""&amp;row()),
AND(C18="""",OR(E18&lt;&gt;"""",F18&lt;&gt;"""",G18&lt;&gt;"""",H18&lt;&gt;"""",I18&lt;&gt;"""",J18&lt;&gt;"""")),""Skriv"&amp;" ALLTID gren / aktivitet först"",
AND(I18="""",H18="""",J18&lt;&gt;""""),J18,
OR(""3x3 FMC""=C18,""3x3 MBLD""=C18),J18,
AND(I18&lt;&gt;"""",""6x6 / 7x7""=C18),
IFS(ArrayFormula(SUM(IFERROR(SPLIT(I18,"" / ""))))&lt;(Info!$J$6+Info!$J$7)*2/3,CONCATENATE(""Höj helst cutoff"&amp;"s i ""&amp;C18),
ArrayFormula(SUM(IFERROR(SPLIT(I18,"" / ""))))&lt;=(Info!$J$6+Info!$J$7),ROUNDUP(J18*Info!$J$22),
ArrayFormula(SUM(IFERROR(SPLIT(I18,"" / ""))))&lt;=Info!$J$6+Info!$J$7,ROUNDUP(J18*Info!$K$22),
ArrayFormula(SUM(IFERROR(SPLIT(I18,"" / ""))))&lt;=Info!$"&amp;"K$6+Info!$K$7,ROUNDUP(J18*Info!L$22),
ArrayFormula(SUM(IFERROR(SPLIT(I18,"" / ""))))&lt;=Info!$L$6+Info!$L$7,ROUNDUP(J18*Info!$M$22),
ArrayFormula(SUM(IFERROR(SPLIT(I18,"" / ""))))&lt;=Info!$M$6+Info!$M$7,ROUNDUP(J18*Info!$N$22),
ArrayFormula(SUM(IFERROR(SPLIT("&amp;"I18,"" / ""))))&lt;=(Info!$N$6+Info!$N$7)*3/2,ROUNDUP(J18*Info!$J$26),
ArrayFormula(SUM(IFERROR(SPLIT(I18,"" / ""))))&gt;(Info!$N$6+Info!$N$7)*3/2,CONCATENATE(""Sänk helst cutoffs i ""&amp;C18)),
AND(I18&lt;&gt;"""",FILTER(Info!$E$2:E81, Info!$A$2:A81 = C18) = ""Yes""),
"&amp;"IFS(I18&lt;FILTER(Info!$J$2:J81, Info!$A$2:A81 = C18)*2/3,CONCATENATE(""Höj helst cutoff i ""&amp;C18),
I18&lt;=FILTER(Info!$J$2:J81, Info!$A$2:A81 = C18),ROUNDUP(J18*Info!$J$22),
I18&lt;=FILTER(Info!$K$2:K81, Info!$A$2:A81 = C18),ROUNDUP(J18*Info!$K$22),
I18&lt;=FILTER("&amp;"Info!$L$2:L81, Info!$A$2:A81 = C18),ROUNDUP(J18*Info!L$22),
I18&lt;=FILTER(Info!$M$2:M81, Info!$A$2:A81 = C18),ROUNDUP(J18*Info!$M$22),
I18&lt;=FILTER(Info!$N$2:N81, Info!$A$2:A81 = C18),ROUNDUP(J18*Info!$N$22),
I18&lt;=FILTER(Info!$N$2:N81, Info!$A$2:A81 = C18)*3"&amp;"/2,ROUNDUP(J18*Info!$J$26),
I18&gt;FILTER(Info!$N$2:N81, Info!$A$2:A81 = C18)*3/2,CONCATENATE(""Sänk helst cutoff i ""&amp;C18)),
AND(H18&lt;&gt;"""",""6x6 / 7x7""=C18),
IFS(H18/3&lt;=(Info!$J$6+Info!$J$7)*2/3,""Höj helst cumulative time limit"",
H18/3&lt;=Info!$J$6+Info!$J"&amp;"$7,ROUNDUP(J18*Info!$J$24),
H18/3&lt;=Info!$K$6+Info!$K$7,ROUNDUP(J18*Info!$K$24),
H18/3&lt;=Info!$L$6+Info!$L$7,ROUNDUP(J18*Info!L$24),
H18/3&lt;=Info!$M$6+Info!$M$7,ROUNDUP(J18*Info!$M$24),
H18/3&lt;=Info!$N$6+Info!$N$7,ROUNDUP(J18*Info!$N$24),
H18/3&lt;=(Info!$N$6+In"&amp;"fo!$N$7)*3/2,ROUNDUP(J18*Info!$L$26),
H18/3&gt;(Info!$J$6+Info!$J$7)*3/2,""Sänk helst cumulative time limit""),
AND(H18&lt;&gt;"""",FILTER(Info!$F$2:F81, Info!$A$2:A81 = C18) = ""Yes""),
IFS(H18&lt;=FILTER(Info!$J$2:J81, Info!$A$2:A81 = C18)*2/3,CONCATENATE(""Höj hel"&amp;"st c.t.l. i ""&amp;C18),
H18&lt;=FILTER(Info!$J$2:J81, Info!$A$2:A81 = C18),ROUNDUP(J18*Info!$J$24),
H18&lt;=FILTER(Info!$K$2:K81, Info!$A$2:A81 = C18),ROUNDUP(J18*Info!$K$24),
H18&lt;=FILTER(Info!$L$2:L81, Info!$A$2:A81 = C18),ROUNDUP(J18*Info!L$24),
H18&lt;=FILTER(Info"&amp;"!$M$2:M81, Info!$A$2:A81 = C18),ROUNDUP(J18*Info!$M$24),
H18&lt;=FILTER(Info!$N$2:N81, Info!$A$2:A81 = C18),ROUNDUP(J18*Info!$N$24),
H18&lt;=FILTER(Info!$N$2:N81, Info!$A$2:A81 = C18)*3/2,ROUNDUP(J18*Info!$L$26),
H18&gt;FILTER(Info!$N$2:N81, Info!$A$2:A81 = C18)*3"&amp;"/2,CONCATENATE(""Sänk helst c.t.l. i ""&amp;C18)),
AND(H18&lt;&gt;"""",FILTER(Info!$F$2:F81, Info!$A$2:A81 = C18) = ""No""),
IFS(H18/AA18&lt;=FILTER(Info!$J$2:J81, Info!$A$2:A81 = C18)*2/3,CONCATENATE(""Höj helst c.t.l. i ""&amp;C18),
H18/AA18&lt;=FILTER(Info!$J$2:J81, Info!"&amp;"$A$2:A81 = C18),ROUNDUP(J18*Info!$J$24),
H18/AA18&lt;=FILTER(Info!$K$2:K81, Info!$A$2:A81 = C18),ROUNDUP(J18*Info!$K$24),
H18/AA18&lt;=FILTER(Info!$L$2:L81, Info!$A$2:A81 = C18),ROUNDUP(J18*Info!L$24),
H18/AA18&lt;=FILTER(Info!$M$2:M81, Info!$A$2:A81 = C18),ROUNDU"&amp;"P(J18*Info!$M$24),
H18/AA18&lt;=FILTER(Info!$N$2:N81, Info!$A$2:A81 = C18),ROUNDUP(J18*Info!$N$24),
H18/AA18&lt;=FILTER(Info!$N$2:N81, Info!$A$2:A81 = C18)*3/2,ROUNDUP(J18*Info!$L$26),
H18/AA18&gt;FILTER(Info!$N$2:N81, Info!$A$2:A81 = C18)*3/2,CONCATENATE(""Sänk h"&amp;"elst c.t.l. i ""&amp;C18)),
AND(I18="""",H18&lt;&gt;"""",J18&lt;&gt;""""),ROUNDUP(J18*Info!$T$29),
AND(I18&lt;&gt;"""",H18="""",J18&lt;&gt;""""),ROUNDUP(J18*Info!$T$26))"),"")</f>
        <v/>
      </c>
      <c r="L18" s="47">
        <f>IFERROR(__xludf.DUMMYFUNCTION("IFS(C18="""",0,
C18=""3x3 FMC"",Info!$B$9*N18+M18, C18=""3x3 MBLD"",Info!$B$18*N18+M18,
COUNTIF(Info!$A$22:A81,C18)&gt;0,FILTER(Info!$B$22:B81,Info!$A$22:A81=C18)+M18,
AND(C18&lt;&gt;"""",E18=""""),CONCATENATE(""Fyll i E""&amp;row()),
AND(C18&lt;&gt;"""",E18&lt;&gt;"""",E18&lt;&gt;1,E1"&amp;"8&lt;&gt;2,E18&lt;&gt;3,E18&lt;&gt;""Final""),CONCATENATE(""Fel format på E""&amp;row()),
K18=CONCATENATE(""Runda ""&amp;E18&amp;"" i ""&amp;C18&amp;"" finns redan""),CONCATENATE(""Fel i E""&amp;row()),
AND(C18&lt;&gt;"""",F18=""""),CONCATENATE(""Fyll i F""&amp;row()),
K18=CONCATENATE(C18&amp;"" måste ha forma"&amp;"tet ""&amp;FILTER(Info!$D$2:D81, Info!$A$2:A81 = C18)),CONCATENATE(""Fel format på F""&amp;row()),
AND(C18&lt;&gt;"""",D18=1,H18="""",FILTER(Info!$F$2:F81, Info!$A$2:A81 = C18) = ""Yes""),CONCATENATE(""Fyll i H""&amp;row()),
AND(C18&lt;&gt;"""",D18=1,I18="""",FILTER(Info!$E$2:E8"&amp;"1, Info!$A$2:A81 = C18) = ""Yes""),CONCATENATE(""Fyll i I""&amp;row()),
AND(C18&lt;&gt;"""",J18=""""),CONCATENATE(""Fyll i J""&amp;row()),
AND(C18&lt;&gt;"""",K18="""",OR(H18&lt;&gt;"""",I18&lt;&gt;"""")),CONCATENATE(""Fyll i K""&amp;row()),
AND(C18&lt;&gt;"""",K18=""""),CONCATENATE(""Skriv samma"&amp;" i K""&amp;row()&amp;"" som i J""&amp;row()),
AND(OR(C18=""4x4 BLD"",C18=""5x5 BLD"",C18=""4x4 / 5x5 BLD"")=TRUE,V18&lt;=P18),
MROUND(H18*(Info!$T$20-((Info!$T$20-1)/2)*(1-V18/P18))*(1+((J18/K18)-1)*(1-Info!$J$24))*N18+(Info!$T$11/2)+(N18*Info!$T$11)+(N18*Info!$T$14*(O1"&amp;"8-1)),0.01)+M18,
AND(OR(C18=""4x4 BLD"",C18=""5x5 BLD"",C18=""4x4 / 5x5 BLD"")=TRUE,V18&gt;P18),
MROUND((((J18*Z18+K18*(AA18-Z18))*(H18*Info!$T$20/AA18))/X18)*(1+((J18/K18)-1)*(1-Info!$J$24))*(1+(X18-Info!$T$8)/100)+(Info!$T$11/2)+(N18*Info!$T$11)+(N18*Info!"&amp;"$T$14*(O18-1)),0.01)+M18,
AND(C18=""3x3 BLD"",V18&lt;=P18),
MROUND(H18*(Info!$T$23-((Info!$T$23-1)/2)*(1-V18/P18))*(1+((J18/K18)-1)*(1-Info!$J$24))*N18+(Info!$T$11/2)+(N18*Info!$T$11)+(N18*Info!$T$14*(O18-1)),0.01)+M18,
AND(C18=""3x3 BLD"",V18&gt;P18),
MROUND(("&amp;"((J18*Z18+K18*(AA18-Z18))*(H18*Info!$T$23/AA18))/X18)*(1+((J18/K18)-1)*(1-Info!$J$24))*(1+(X18-Info!$T$8)/100)+(Info!$T$11/2)+(N18*Info!$T$11)+(N18*Info!$T$14*(O18-1)),0.01)+M18,
E18=1,MROUND((((J18*Z18+K18*(AA18-Z18))*Y18)/X18)*(1+(X18-Info!$T$8)/100)+(N"&amp;"18*Info!$T$11)+(N18*Info!$T$14*(O18-1)),0.01)+M18,
AND(E18=""Final"",N18=1,FILTER(Info!$G$2:$G$20,Info!$A$2:$A$20=C18)=""Mycket svår""),
MROUND((((J18*Z18+K18*(AA18-Z18))*(Y18*Info!$T$38))/X18)*(1+(X18-Info!$T$8)/100)+(N18*Info!$T$11)+(N18*Info!$T$14*(O18"&amp;"-1)),0.01)+M18,
AND(E18=""Final"",N18=1,FILTER(Info!$G$2:$G$20,Info!$A$2:$A$20=C18)=""Svår""),
MROUND((((J18*Z18+K18*(AA18-Z18))*(Y18*Info!$T$35))/X18)*(1+(X18-Info!$T$8)/100)+(N18*Info!$T$11)+(N18*Info!$T$14*(O18-1)),0.01)+M18,
E18=""Final"",MROUND((((J1"&amp;"8*Z18+K18*(AA18-Z18))*(Y18*Info!$T$5))/X18)*(1+(X18-Info!$T$8)/100)+(N18*Info!$T$11)+(N18*Info!$T$14*(O18-1)),0.01)+M18,
OR(E18=2,E18=3),MROUND((((J18*Z18+K18*(AA18-Z18))*(Y18*Info!$T$2))/X18)*(1+(X18-Info!$T$8)/100)+(N18*Info!$T$11)+(N18*Info!$T$14*(O18-"&amp;"1)),0.01)+M18)"),0.0)</f>
        <v>0</v>
      </c>
      <c r="M18" s="48">
        <f t="shared" si="1"/>
        <v>0</v>
      </c>
      <c r="N18" s="48" t="str">
        <f>IFS(OR(COUNTIF(Info!$A$22:A81,C18)&gt;0,C18=""),"",
OR(C18="4x4 BLD",C18="5x5 BLD",C18="3x3 MBLD",C18="3x3 FMC",C18="4x4 / 5x5 BLD"),1,
AND(E18="Final",Q18="Yes",MAX(1,ROUNDUP(J18/P18))&gt;1),MAX(2,ROUNDUP(J18/P18)),
AND(E18="Final",Q18="No",MAX(1,ROUNDUP(J18/((P18*2)+2.625-Y18*1.5)))&gt;1),MAX(2,ROUNDUP(J18/((P18*2)+2.625-Y18*1.5))),
E18="Final",1,
Q18="Yes",MAX(2,ROUNDUP(J18/P18)),
TRUE,MAX(2,ROUNDUP(J18/((P18*2)+2.625-Y18*1.5))))</f>
        <v/>
      </c>
      <c r="O18" s="48" t="str">
        <f>IFS(OR(COUNTIF(Info!$A$22:A81,C18)&gt;0,C18=""),"",
OR("3x3 MBLD"=C18,"3x3 FMC"=C18)=TRUE,"",
D18=$E$4,$G$6,D18=$K$4,$M$6,D18=$Q$4,$S$6,D18=$W$4,$Y$6,
TRUE,$S$2)</f>
        <v/>
      </c>
      <c r="P18" s="48" t="str">
        <f>IFS(OR(COUNTIF(Info!$A$22:A81,C18)&gt;0,C18=""),"",
OR("3x3 MBLD"=C18,"3x3 FMC"=C18)=TRUE,"",
D18=$E$4,$E$6,D18=$K$4,$K$6,D18=$Q$4,$Q$6,D18=$W$4,$W$6,
TRUE,$Q$2)</f>
        <v/>
      </c>
      <c r="Q18" s="49" t="str">
        <f>IFS(OR(COUNTIF(Info!$A$22:A81,C18)&gt;0,C18=""),"",
OR("3x3 MBLD"=C18,"3x3 FMC"=C18)=TRUE,"",
D18=$E$4,$I$6,D18=$K$4,$O$6,D18=$Q$4,$U$6,D18=$W$4,$AA$6,
TRUE,$U$2)</f>
        <v/>
      </c>
      <c r="R18" s="50" t="str">
        <f>IFERROR(__xludf.DUMMYFUNCTION("IF(C18="""","""",IFERROR(FILTER(Info!$B$22:B81,Info!$A$22:A81=C18)+M18,""?""))"),"")</f>
        <v/>
      </c>
      <c r="S18" s="51" t="str">
        <f>IFS(OR(COUNTIF(Info!$A$22:A81,C18)&gt;0,C18=""),"",
AND(H18="",I18=""),J18,
TRUE,"?")</f>
        <v/>
      </c>
      <c r="T18" s="52" t="str">
        <f>IFS(OR(COUNTIF(Info!$A$22:A81,C18)&gt;0,C18=""),"",
AND(L18&lt;&gt;0,OR(R18="?",R18="")),"Fyll i R-kolumnen",
OR(C18="3x3 FMC",C18="3x3 MBLD"),R18,
AND(L18&lt;&gt;0,OR(S18="?",S18="")),"Fyll i S-kolumnen",
OR(COUNTIF(Info!$A$22:A81,C18)&gt;0,C18=""),"",
TRUE,Y18*R18/L18)</f>
        <v/>
      </c>
      <c r="U18" s="52"/>
      <c r="V18" s="53" t="str">
        <f>IFS(OR(COUNTIF(Info!$A$22:A81,C18)&gt;0,C18=""),"",
OR("3x3 MBLD"=C18,"3x3 FMC"=C18)=TRUE,"",
TRUE,MROUND((J18/N18),0.01))</f>
        <v/>
      </c>
      <c r="W18" s="54" t="str">
        <f>IFS(OR(COUNTIF(Info!$A$22:A81,C18)&gt;0,C18=""),"",
TRUE,L18/N18)</f>
        <v/>
      </c>
      <c r="X18" s="55" t="str">
        <f>IFS(OR(COUNTIF(Info!$A$22:A81,C18)&gt;0,C18=""),"",
OR("3x3 MBLD"=C18,"3x3 FMC"=C18)=TRUE,"",
OR(C18="4x4 BLD",C18="5x5 BLD",C18="4x4 / 5x5 BLD",AND(C18="3x3 BLD",H18&lt;&gt;""))=TRUE,MIN(V18,P18),
TRUE,MIN(P18,V18,MROUND(((V18*2/3)+((Y18-1.625)/2)),0.01)))</f>
        <v/>
      </c>
      <c r="Y18" s="56" t="str">
        <f>IFERROR(__xludf.DUMMYFUNCTION("IFS(OR(COUNTIF(Info!$A$22:A81,C18)&gt;0,C18=""""),"""",
FILTER(Info!$F$2:F81, Info!$A$2:A81 = C18) = ""Yes"",H18/AA18,
""3x3 FMC""=C18,Info!$B$9,""3x3 MBLD""=C18,Info!$B$18,
AND(E18=1,I18="""",H18="""",Q18=""No"",G18&gt;SUMIF(Info!$A$2:A81,C18,Info!$B$2:B81)*1."&amp;"5),
MIN(SUMIF(Info!$A$2:A81,C18,Info!$B$2:B81)*1.1,SUMIF(Info!$A$2:A81,C18,Info!$B$2:B81)*(1.15-(0.15*(SUMIF(Info!$A$2:A81,C18,Info!$B$2:B81)*1.5)/G18))),
AND(E18=1,I18="""",H18="""",Q18=""Yes"",G18&gt;SUMIF(Info!$A$2:A81,C18,Info!$C$2:C81)*1.5),
MIN(SUMIF(I"&amp;"nfo!$A$2:A81,C18,Info!$C$2:C81)*1.1,SUMIF(Info!$A$2:A81,C18,Info!$C$2:C81)*(1.15-(0.15*(SUMIF(Info!$A$2:A81,C18,Info!$C$2:C81)*1.5)/G18))),
Q18=""No"",SUMIF(Info!$A$2:A81,C18,Info!$B$2:B81),
Q18=""Yes"",SUMIF(Info!$A$2:A81,C18,Info!$C$2:C81))"),"")</f>
        <v/>
      </c>
      <c r="Z18" s="57" t="str">
        <f>IFS(OR(COUNTIF(Info!$A$22:A81,C18)&gt;0,C18=""),"",
AND(OR("3x3 FMC"=C18,"3x3 MBLD"=C18),I18&lt;&gt;""),1,
AND(OR(H18&lt;&gt;"",I18&lt;&gt;""),F18="Avg of 5"),2,
F18="Avg of 5",AA18,
AND(OR(H18&lt;&gt;"",I18&lt;&gt;""),F18="Mean of 3",C18="6x6 / 7x7"),2,
AND(OR(H18&lt;&gt;"",I18&lt;&gt;""),F18="Mean of 3"),1,
F18="Mean of 3",AA18,
AND(OR(H18&lt;&gt;"",I18&lt;&gt;""),F18="Best of 3",C18="4x4 / 5x5 BLD"),2,
AND(OR(H18&lt;&gt;"",I18&lt;&gt;""),F18="Best of 3"),1,
F18="Best of 2",AA18,
F18="Best of 1",AA18)</f>
        <v/>
      </c>
      <c r="AA18" s="57" t="str">
        <f>IFS(OR(COUNTIF(Info!$A$22:A81,C18)&gt;0,C18=""),"",
AND(OR("3x3 MBLD"=C18,"3x3 FMC"=C18),F18="Best of 1"=TRUE),1,
AND(OR("3x3 MBLD"=C18,"3x3 FMC"=C18),F18="Best of 2"=TRUE),2,
AND(OR("3x3 MBLD"=C18,"3x3 FMC"=C18),OR(F18="Best of 3",F18="Mean of 3")=TRUE),3,
AND(F18="Mean of 3",C18="6x6 / 7x7"),6,
AND(F18="Best of 3",C18="4x4 / 5x5 BLD"),6,
F18="Avg of 5",5,F18="Mean of 3",3,F18="Best of 3",3,F18="Best of 2",2,F18="Best of 1",1)</f>
        <v/>
      </c>
      <c r="AB18" s="58"/>
    </row>
    <row r="19">
      <c r="A19" s="40">
        <f>IFERROR(__xludf.DUMMYFUNCTION("IFS(indirect(""A""&amp;row()-1)=""Start"",TIME(indirect(""A""&amp;row()-2),indirect(""B""&amp;row()-2),0),
$O$2=""No"",TIME(0,($A$6*60+$B$6)+CEILING(SUM($L$7:indirect(""L""&amp;row()-1)),5),0),
D19=$E$2,TIME(0,($A$6*60+$B$6)+CEILING(SUM(IFERROR(FILTER($L$7:indirect(""L"""&amp;"&amp;row()-1),REGEXMATCH($D$7:indirect(""D""&amp;row()-1),$E$2)),0)),5),0),
TRUE,""=time(hh;mm;ss)"")"),0.4166666666666667)</f>
        <v>0.4166666667</v>
      </c>
      <c r="B19" s="41">
        <f>IFERROR(__xludf.DUMMYFUNCTION("IFS($O$2=""No"",TIME(0,($A$6*60+$B$6)+CEILING(SUM($L$7:indirect(""L""&amp;row())),5),0),
D19=$E$2,TIME(0,($A$6*60+$B$6)+CEILING(SUM(FILTER($L$7:indirect(""L""&amp;row()),REGEXMATCH($D$7:indirect(""D""&amp;row()),$E$2))),5),0),
A19=""=time(hh;mm;ss)"",CONCATENATE(""Sk"&amp;"riv tid i A""&amp;row()),
AND(A19&lt;&gt;"""",A19&lt;&gt;""=time(hh;mm;ss)""),A19+TIME(0,CEILING(indirect(""L""&amp;row()),5),0))"),0.4166666666666667)</f>
        <v>0.4166666667</v>
      </c>
      <c r="C19" s="42"/>
      <c r="D19" s="43" t="str">
        <f t="shared" si="2"/>
        <v>Stora salen</v>
      </c>
      <c r="E19" s="43" t="str">
        <f>IFERROR(__xludf.DUMMYFUNCTION("IFS(COUNTIF(Info!$A$22:A81,C19)&gt;0,"""",
AND(OR(""3x3 FMC""=C19,""3x3 MBLD""=C19),COUNTIF($C$7:indirect(""C""&amp;row()),indirect(""C""&amp;row()))&gt;=13),""E - Error"",
AND(OR(""3x3 FMC""=C19,""3x3 MBLD""=C19),COUNTIF($C$7:indirect(""C""&amp;row()),indirect(""C""&amp;row()"&amp;"))=12),""Final - A3"",
AND(OR(""3x3 FMC""=C19,""3x3 MBLD""=C19),COUNTIF($C$7:indirect(""C""&amp;row()),indirect(""C""&amp;row()))=11),""Final - A2"",
AND(OR(""3x3 FMC""=C19,""3x3 MBLD""=C19),COUNTIF($C$7:indirect(""C""&amp;row()),indirect(""C""&amp;row()))=10),""Final - "&amp;"A1"",
AND(OR(""3x3 FMC""=C19,""3x3 MBLD""=C19),COUNTIF($C$7:indirect(""C""&amp;row()),indirect(""C""&amp;row()))=9,
COUNTIF($C$7:$C$61,indirect(""C""&amp;row()))&gt;9),""R3 - A3"",
AND(OR(""3x3 FMC""=C19,""3x3 MBLD""=C19),COUNTIF($C$7:indirect(""C""&amp;row()),indirect(""C"&amp;"""&amp;row()))=9,
COUNTIF($C$7:$C$61,indirect(""C""&amp;row()))&lt;=9),""Final - A3"",
AND(OR(""3x3 FMC""=C19,""3x3 MBLD""=C19),COUNTIF($C$7:indirect(""C""&amp;row()),indirect(""C""&amp;row()))=8,
COUNTIF($C$7:$C$61,indirect(""C""&amp;row()))&gt;9),""R3 - A2"",
AND(OR(""3x3 FMC""="&amp;"C19,""3x3 MBLD""=C19),COUNTIF($C$7:indirect(""C""&amp;row()),indirect(""C""&amp;row()))=8,
COUNTIF($C$7:$C$61,indirect(""C""&amp;row()))&lt;=9),""Final - A2"",
AND(OR(""3x3 FMC""=C19,""3x3 MBLD""=C19),COUNTIF($C$7:indirect(""C""&amp;row()),indirect(""C""&amp;row()))=7,
COUNTIF("&amp;"$C$7:$C$61,indirect(""C""&amp;row()))&gt;9),""R3 - A1"",
AND(OR(""3x3 FMC""=C19,""3x3 MBLD""=C19),COUNTIF($C$7:indirect(""C""&amp;row()),indirect(""C""&amp;row()))=7,
COUNTIF($C$7:$C$61,indirect(""C""&amp;row()))&lt;=9),""Final - A1"",
AND(OR(""3x3 FMC""=C19,""3x3 MBLD""=C19),"&amp;"COUNTIF($C$7:indirect(""C""&amp;row()),indirect(""C""&amp;row()))=6,
COUNTIF($C$7:$C$61,indirect(""C""&amp;row()))&gt;6),""R2 - A3"",
AND(OR(""3x3 FMC""=C19,""3x3 MBLD""=C19),COUNTIF($C$7:indirect(""C""&amp;row()),indirect(""C""&amp;row()))=6,
COUNTIF($C$7:$C$61,indirect(""C""&amp;"&amp;"row()))&lt;=6),""Final - A3"",
AND(OR(""3x3 FMC""=C19,""3x3 MBLD""=C19),COUNTIF($C$7:indirect(""C""&amp;row()),indirect(""C""&amp;row()))=5,
COUNTIF($C$7:$C$61,indirect(""C""&amp;row()))&gt;6),""R2 - A2"",
AND(OR(""3x3 FMC""=C19,""3x3 MBLD""=C19),COUNTIF($C$7:indirect(""C"&amp;"""&amp;row()),indirect(""C""&amp;row()))=5,
COUNTIF($C$7:$C$61,indirect(""C""&amp;row()))&lt;=6),""Final - A2"",
AND(OR(""3x3 FMC""=C19,""3x3 MBLD""=C19),COUNTIF($C$7:indirect(""C""&amp;row()),indirect(""C""&amp;row()))=4,
COUNTIF($C$7:$C$61,indirect(""C""&amp;row()))&gt;6),""R2 - A1"&amp;""",
AND(OR(""3x3 FMC""=C19,""3x3 MBLD""=C19),COUNTIF($C$7:indirect(""C""&amp;row()),indirect(""C""&amp;row()))=4,
COUNTIF($C$7:$C$61,indirect(""C""&amp;row()))&lt;=6),""Final - A1"",
AND(OR(""3x3 FMC""=C19,""3x3 MBLD""=C19),COUNTIF($C$7:indirect(""C""&amp;row()),indirect("""&amp;"C""&amp;row()))=3),""R1 - A3"",
AND(OR(""3x3 FMC""=C19,""3x3 MBLD""=C19),COUNTIF($C$7:indirect(""C""&amp;row()),indirect(""C""&amp;row()))=2),""R1 - A2"",
AND(OR(""3x3 FMC""=C19,""3x3 MBLD""=C19),COUNTIF($C$7:indirect(""C""&amp;row()),indirect(""C""&amp;row()))=1),""R1 -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C19),ROUNDUP((FILTER(Info!$H$2:H81,Info!$A$2:A81=C19)/FILTER(Info!$H$2:H81,Info!$A$2:A81=$K$2))*$I$2)&gt;99),3,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C19),ROUNDUP((FILTER(Info!$H$2:H81,Info!$A$2:A81=C19)/FILTER(Info!$H$2:H81,Info!$A$2:A81=$K$2))*$I$2)&gt;15),2,
AND(COUNTIF($C$7:indirect(""C""&amp;row()),indirect(""C""&amp;row()))=2,COUNTIF($C$7:$C$61,indirect(""C""&amp;row()))=COUNTIF($C$7:indirect("""&amp;"C""&amp;row()),indirect(""C""&amp;row()))),""Final"",
COUNTIF($C$7:indirect(""C""&amp;row()),indirect(""C""&amp;row()))=1,1,
COUNTIF($C$7:indirect(""C""&amp;row()),indirect(""C""&amp;row()))=0,"""")"),"")</f>
        <v/>
      </c>
      <c r="F19" s="44" t="str">
        <f>IFERROR(__xludf.DUMMYFUNCTION("IFS(C19="""","""",
AND(C19=""3x3 FMC"",MOD(COUNTIF($C$7:indirect(""C""&amp;row()),indirect(""C""&amp;row())),3)=0),""Mean of 3"",
AND(C19=""3x3 MBLD"",MOD(COUNTIF($C$7:indirect(""C""&amp;row()),indirect(""C""&amp;row())),3)=0),""Best of 3"",
AND(C19=""3x3 FMC"",MOD(COUNT"&amp;"IF($C$7:indirect(""C""&amp;row()),indirect(""C""&amp;row())),3)=2,
COUNTIF($C$7:$C$61,indirect(""C""&amp;row()))&lt;=COUNTIF($C$7:indirect(""C""&amp;row()),indirect(""C""&amp;row()))),""Best of 2"",
AND(C19=""3x3 FMC"",MOD(COUNTIF($C$7:indirect(""C""&amp;row()),indirect(""C""&amp;row()"&amp;")),3)=2,
COUNTIF($C$7:$C$61,indirect(""C""&amp;row()))&gt;COUNTIF($C$7:indirect(""C""&amp;row()),indirect(""C""&amp;row()))),""Mean of 3"",
AND(C19=""3x3 MBLD"",MOD(COUNTIF($C$7:indirect(""C""&amp;row()),indirect(""C""&amp;row())),3)=2,
COUNTIF($C$7:$C$61,indirect(""C""&amp;row()))"&amp;"&lt;=COUNTIF($C$7:indirect(""C""&amp;row()),indirect(""C""&amp;row()))),""Best of 2"",
AND(C19=""3x3 MBLD"",MOD(COUNTIF($C$7:indirect(""C""&amp;row()),indirect(""C""&amp;row())),3)=2,
COUNTIF($C$7:$C$61,indirect(""C""&amp;row()))&gt;COUNTIF($C$7:indirect(""C""&amp;row()),indirect(""C"&amp;"""&amp;row()))),""Best of 3"",
AND(C19=""3x3 FMC"",MOD(COUNTIF($C$7:indirect(""C""&amp;row()),indirect(""C""&amp;row())),3)=1,
COUNTIF($C$7:$C$61,indirect(""C""&amp;row()))&lt;=COUNTIF($C$7:indirect(""C""&amp;row()),indirect(""C""&amp;row()))),""Best of 1"",
AND(C19=""3x3 FMC"",MOD"&amp;"(COUNTIF($C$7:indirect(""C""&amp;row()),indirect(""C""&amp;row())),3)=1,
COUNTIF($C$7:$C$61,indirect(""C""&amp;row()))=COUNTIF($C$7:indirect(""C""&amp;row()),indirect(""C""&amp;row()))+1),""Best of 2"",
AND(C19=""3x3 FMC"",MOD(COUNTIF($C$7:indirect(""C""&amp;row()),indirect(""C"&amp;"""&amp;row())),3)=1,
COUNTIF($C$7:$C$61,indirect(""C""&amp;row()))&gt;COUNTIF($C$7:indirect(""C""&amp;row()),indirect(""C""&amp;row()))),""Mean of 3"",
AND(C19=""3x3 MBLD"",MOD(COUNTIF($C$7:indirect(""C""&amp;row()),indirect(""C""&amp;row())),3)=1,
COUNTIF($C$7:$C$61,indirect(""C"""&amp;"&amp;row()))&lt;=COUNTIF($C$7:indirect(""C""&amp;row()),indirect(""C""&amp;row()))),""Best of 1"",
AND(C19=""3x3 MBLD"",MOD(COUNTIF($C$7:indirect(""C""&amp;row()),indirect(""C""&amp;row())),3)=1,
COUNTIF($C$7:$C$61,indirect(""C""&amp;row()))=COUNTIF($C$7:indirect(""C""&amp;row()),indir"&amp;"ect(""C""&amp;row()))+1),""Best of 2"",
AND(C19=""3x3 MBLD"",MOD(COUNTIF($C$7:indirect(""C""&amp;row()),indirect(""C""&amp;row())),3)=1,
COUNTIF($C$7:$C$61,indirect(""C""&amp;row()))&gt;COUNTIF($C$7:indirect(""C""&amp;row()),indirect(""C""&amp;row()))),""Best of 3"",
TRUE,(IFERROR("&amp;"FILTER(Info!$D$2:D81, Info!$A$2:A81 = C19), """")))"),"")</f>
        <v/>
      </c>
      <c r="G19" s="45" t="str">
        <f>IFERROR(__xludf.DUMMYFUNCTION("IFS(OR(COUNTIF(Info!$A$22:A81,C19)&gt;0,C19=""""),"""",
OR(""3x3 MBLD""=C19,""3x3 FMC""=C19),60,
AND(E19=1,FILTER(Info!$F$2:F81, Info!$A$2:A81 = C19) = ""No""),FILTER(Info!$P$2:P81, Info!$A$2:A81 = C19),
AND(E19=2,FILTER(Info!$F$2:F81, Info!$A$2:A81 = C19) ="&amp;" ""No""),FILTER(Info!$Q$2:Q81, Info!$A$2:A81 = C19),
AND(E19=3,FILTER(Info!$F$2:F81, Info!$A$2:A81 = C19) = ""No""),FILTER(Info!$R$2:R81, Info!$A$2:A81 = C19),
AND(E19=""Final"",FILTER(Info!$F$2:F81, Info!$A$2:A81 = C19) = ""No""),FILTER(Info!$S$2:S81, In"&amp;"fo!$A$2:A81 = C19),
FILTER(Info!$F$2:F81, Info!$A$2:A81 = C19) = ""Yes"","""")"),"")</f>
        <v/>
      </c>
      <c r="H19" s="45" t="str">
        <f>IFERROR(__xludf.DUMMYFUNCTION("IFS(OR(COUNTIF(Info!$A$22:A81,C19)&gt;0,C19=""""),"""",
OR(""3x3 MBLD""=C19,""3x3 FMC""=C19)=TRUE,"""",
FILTER(Info!$F$2:F81, Info!$A$2:A81 = C19) = ""Yes"",FILTER(Info!$O$2:O81, Info!$A$2:A81 = C19),
FILTER(Info!$F$2:F81, Info!$A$2:A81 = C19) = ""No"",IF(G1"&amp;"9="""",FILTER(Info!$O$2:O81, Info!$A$2:A81 = C19),""""))"),"")</f>
        <v/>
      </c>
      <c r="I19" s="45" t="str">
        <f>IFERROR(__xludf.DUMMYFUNCTION("IFS(OR(COUNTIF(Info!$A$22:A81,C19)&gt;0,C19="""",H19&lt;&gt;""""),"""",
AND(E19&lt;&gt;1,E19&lt;&gt;""R1 - A1"",E19&lt;&gt;""R1 - A2"",E19&lt;&gt;""R1 - A3""),"""",
FILTER(Info!$E$2:E81, Info!$A$2:A81 = C19) = ""Yes"",IF(H19="""",FILTER(Info!$L$2:L81, Info!$A$2:A81 = C19),""""),
FILTER(I"&amp;"nfo!$E$2:E81, Info!$A$2:A81 = C19) = ""No"","""")"),"")</f>
        <v/>
      </c>
      <c r="J19" s="45" t="str">
        <f>IFERROR(__xludf.DUMMYFUNCTION("IFS(OR(COUNTIF(Info!$A$22:A81,C19)&gt;0,C19="""",""3x3 MBLD""=C19,""3x3 FMC""=C19),"""",
AND(E19=1,FILTER(Info!$H$2:H81,Info!$A$2:A81 = C19)&lt;=FILTER(Info!$H$2:H81,Info!$A$2:A81=$K$2)),
ROUNDUP((FILTER(Info!$H$2:H81,Info!$A$2:A81 = C19)/FILTER(Info!$H$2:H81,I"&amp;"nfo!$A$2:A81=$K$2))*$I$2),
AND(E19=1,FILTER(Info!$H$2:H81,Info!$A$2:A81 = C19)&gt;FILTER(Info!$H$2:H81,Info!$A$2:A81=$K$2)),""K2 - Error"",
AND(E19=2,FILTER($J$7:indirect(""J""&amp;row()-1),$C$7:indirect(""C""&amp;row()-1)=C19)&lt;=7),""J - Error"",
E19=2,FLOOR(FILTER("&amp;"$J$7:indirect(""J""&amp;row()-1),$C$7:indirect(""C""&amp;row()-1)=C19)*Info!$T$32),
AND(E19=3,FILTER($J$7:indirect(""J""&amp;row()-1),$C$7:indirect(""C""&amp;row()-1)=C19)&lt;=15),""J - Error"",
E19=3,FLOOR(Info!$T$32*FLOOR(FILTER($J$7:indirect(""J""&amp;row()-1),$C$7:indirect("&amp;"""C""&amp;row()-1)=C19)*Info!$T$32)),
AND(E19=""Final"",COUNTIF($C$7:$C$61,C19)=2,FILTER($J$7:indirect(""J""&amp;row()-1),$C$7:indirect(""C""&amp;row()-1)=C19)&lt;=7),""J - Error"",
AND(E19=""Final"",COUNTIF($C$7:$C$61,C19)=2),
MIN(P19,FLOOR(FILTER($J$7:indirect(""J""&amp;r"&amp;"ow()-1),$C$7:indirect(""C""&amp;row()-1)=C19)*Info!$T$32)),
AND(E19=""Final"",COUNTIF($C$7:$C$61,C19)=3,FILTER($J$7:indirect(""J""&amp;row()-1),$C$7:indirect(""C""&amp;row()-1)=C19)&lt;=15),""J - Error"",
AND(E19=""Final"",COUNTIF($C$7:$C$61,C19)=3),
MIN(P19,FLOOR(Info!"&amp;"$T$32*FLOOR(FILTER($J$7:indirect(""J""&amp;row()-1),$C$7:indirect(""C""&amp;row()-1)=C19)*Info!$T$32))),
AND(E19=""Final"",COUNTIF($C$7:$C$61,C19)&gt;=4,FILTER($J$7:indirect(""J""&amp;row()-1),$C$7:indirect(""C""&amp;row()-1)=C19)&lt;=99),""J - Error"",
AND(E19=""Final"",COUNT"&amp;"IF($C$7:$C$61,C19)&gt;=4),
MIN(P19,FLOOR(Info!$T$32*FLOOR(Info!$T$32*FLOOR(FILTER($J$7:indirect(""J""&amp;row()-1),$C$7:indirect(""C""&amp;row()-1)=C19)*Info!$T$32)))))"),"")</f>
        <v/>
      </c>
      <c r="K19" s="46" t="str">
        <f>IFERROR(__xludf.DUMMYFUNCTION("IFS(AND(indirect(""D""&amp;row()+2)&lt;&gt;$E$2,indirect(""D""&amp;row()+1)=""""),CONCATENATE(""Tom rad! Kopiera hela rad ""&amp;row()&amp;"" dit""),
AND(indirect(""D""&amp;row()-1)&lt;&gt;""Rum"",indirect(""D""&amp;row()-1)=""""),CONCATENATE(""Tom rad! Kopiera hela rad ""&amp;row()&amp;"" dit""),
"&amp;"C19="""","""",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OR(AND(D19&lt;&gt;$E$2,D19&lt;&gt;$E$4,D19&lt;&gt;$K$4,D19&lt;&gt;$Q$4),D19="&amp;"""""),CONCATENATE(""Rum: ""&amp;D19&amp;"" finns ej, byt i D""&amp;row()),
AND(indirect(""D""&amp;row()-1)=""Rum"",C19=""""),CONCATENATE(""För att börja: skriv i cell C""&amp;row()),
AND(C19=""Paus"",M19&lt;=0),CONCATENATE(""Skriv pausens längd i M""&amp;row()),
OR(COUNTIF(Info!$A$"&amp;"22:A81,C19)&gt;0,C19=""""),"""",
AND(D19&lt;&gt;$E$2,$O$2=""Yes"",A19=""=time(hh;mm;ss)""),CONCATENATE(""Skriv starttid för ""&amp;C19&amp;"" i A""&amp;row()),
E19=""E - Error"",CONCATENATE(""För många ""&amp;C19&amp;"" rundor!""),
AND(C19&lt;&gt;""3x3 FMC"",C19&lt;&gt;""3x3 MBLD"",E19&lt;&gt;1,E19&lt;&gt;"&amp;"""Final"",IFERROR(FILTER($E$7:indirect(""E""&amp;row()-1),
$E$7:indirect(""E""&amp;row()-1)=E19-1,$C$7:indirect(""C""&amp;row()-1)=C19))=FALSE),CONCATENATE(""Kan ej vara R""&amp;E19&amp;"", saknar R""&amp;(E19-1)),
AND(indirect(""E""&amp;row()-1)&lt;&gt;""Omgång"",IFERROR(FILTER($E$7:indi"&amp;"rect(""E""&amp;row()-1),
$E$7:indirect(""E""&amp;row()-1)=E19,$C$7:indirect(""C""&amp;row()-1)=C19)=E19)=TRUE),CONCATENATE(""Runda ""&amp;E19&amp;"" i ""&amp;C19&amp;"" finns redan""),
AND(C19&lt;&gt;""3x3 BLD"",C19&lt;&gt;""4x4 BLD"",C19&lt;&gt;""5x5 BLD"",C19&lt;&gt;""4x4 / 5x5 BLD"",OR(E19=2,E19=3,E19="&amp;"""Final""),H19&lt;&gt;""""),CONCATENATE(E19&amp;""-rundor brukar ej ha c.t.l.""),
AND(OR(E19=2,E19=3,E19=""Final""),I19&lt;&gt;""""),CONCATENATE(E19&amp;""-rundor brukar ej ha cutoff""),
AND(OR(C19=""3x3 FMC"",C19=""3x3 MBLD""),OR(E19=1,E19=2,E19=3,E19=""Final"")),CONCATENAT"&amp;"E(C19&amp;""s omgång är Rx - Ax""),
AND(C19&lt;&gt;""3x3 MBLD"",C19&lt;&gt;""3x3 FMC"",FILTER(Info!$D$2:D81, Info!$A$2:A81 = C19)&lt;&gt;F19),CONCATENATE(C19&amp;"" måste ha formatet ""&amp;FILTER(Info!$D$2:D81, Info!$A$2:A81 = C19)),
AND(C19=""3x3 MBLD"",OR(F19=""Avg of 5"",F19=""Mea"&amp;"n of 3"")),CONCATENATE(""Ogiltigt format för ""&amp;C19),
AND(C19=""3x3 FMC"",OR(F19=""Avg of 5"",F19=""Best of 3"")),CONCATENATE(""Ogiltigt format för ""&amp;C19),
AND(OR(F19=""Best of 1"",F19=""Best of 2"",F19=""Best of 3""),I19&lt;&gt;""""),CONCATENATE(F19&amp;""-rundor"&amp;" får ej ha cutoff""),
AND(OR(C19=""3x3 FMC"",C19=""3x3 MBLD""),G19&lt;&gt;60),CONCATENATE(C19&amp;"" måste ha time limit: 60""),
AND(OR(C19=""3x3 FMC"",C19=""3x3 MBLD""),H19&lt;&gt;""""),CONCATENATE(C19&amp;"" kan inte ha c.t.l.""),
AND(G19&lt;&gt;"""",H19&lt;&gt;""""),""Välj time limit"&amp;" ELLER c.t.l"",
AND(C19=""6x6 / 7x7"",G19="""",H19=""""),""Sätt time limit (x / y) eller c.t.l (z)"",
AND(G19="""",H19=""""),""Sätt en time limit eller c.t.l"",
AND(OR(C19=""6x6 / 7x7"",C19=""4x4 / 5x5 BLD""),G19&lt;&gt;"""",REGEXMATCH(TO_TEXT(G19),"" / "")=FAL"&amp;"SE),CONCATENATE(""Time limit måste vara x / y""),
AND(H19&lt;&gt;"""",I19&lt;&gt;""""),CONCATENATE(C19&amp;"" brukar ej ha cutoff OCH c.t.l""),
AND(E19=1,H19="""",I19="""",OR(FILTER(Info!$E$2:E81, Info!$A$2:A81 = C19) = ""Yes"",FILTER(Info!$F$2:F81, Info!$A$2:A81 = C19) "&amp;"= ""Yes""),OR(F19=""Avg of 5"",F19=""Mean of 3"")),CONCATENATE(C19&amp;"" bör ha cutoff eller c.t.l""),
AND(C19=""6x6 / 7x7"",I19&lt;&gt;"""",REGEXMATCH(TO_TEXT(I19),"" / "")=FALSE),CONCATENATE(""Cutoff måste vara x / y""),
AND(H19&lt;&gt;"""",ISNUMBER(H19)=FALSE),""C.t."&amp;"l. måste vara positivt tal (x)"",
AND(C19&lt;&gt;""6x6 / 7x7"",I19&lt;&gt;"""",ISNUMBER(I19)=FALSE),""Cutoff måste vara positivt tal (x)"",
AND(H19&lt;&gt;"""",FILTER(Info!$E$2:E81, Info!$A$2:A81 = C19) = ""No"",FILTER(Info!$F$2:F81, Info!$A$2:A81 = C19) = ""No""),CONCATEN"&amp;"ATE(C19&amp;"" brukar inte ha c.t.l.""),
AND(I19&lt;&gt;"""",FILTER(Info!$E$2:E81, Info!$A$2:A81 = C19) = ""No"",FILTER(Info!$F$2:F81, Info!$A$2:A81 = C19) = ""No""),CONCATENATE(C19&amp;"" brukar inte ha cutoff""),
AND(H19="""",FILTER(Info!$F$2:F81, Info!$A$2:A81 = C19"&amp;") = ""Yes""),CONCATENATE(C19&amp;"" brukar ha c.t.l.""),
AND(C19&lt;&gt;""6x6 / 7x7"",C19&lt;&gt;""4x4 / 5x5 BLD"",G19&lt;&gt;"""",ISNUMBER(G19)=FALSE),""Time limit måste vara positivt tal (x)"",
J19=""J - Error"",CONCATENATE(""För få deltagare i R1 för ""&amp;COUNTIF($C$7:$C$61,i"&amp;"ndirect(""C""&amp;row()))&amp;"" rundor""),
J19=""K2 - Error"",CONCATENATE(C19&amp;"" är mer populär - byt i K2!""),
AND(C19&lt;&gt;""6x6 / 7x7"",C19&lt;&gt;""4x4 / 5x5 BLD"",G19&lt;&gt;"""",I19&lt;&gt;"""",G19&lt;=I19),""Time limit måste vara &gt; cutoff"",
AND(C19&lt;&gt;""6x6 / 7x7"",C19&lt;&gt;""4x4 / 5x"&amp;"5 BLD"",H19&lt;&gt;"""",I19&lt;&gt;"""",H19&lt;=I19),""C.t.l. måste vara &gt; cutoff"",
AND(C19&lt;&gt;""3x3 FMC"",C19&lt;&gt;""3x3 MBLD"",J19=""""),CONCATENATE(""Fyll i antal deltagare i J""&amp;row()),
AND(C19="""",OR(E19&lt;&gt;"""",F19&lt;&gt;"""",G19&lt;&gt;"""",H19&lt;&gt;"""",I19&lt;&gt;"""",J19&lt;&gt;"""")),""Skriv"&amp;" ALLTID gren / aktivitet först"",
AND(I19="""",H19="""",J19&lt;&gt;""""),J19,
OR(""3x3 FMC""=C19,""3x3 MBLD""=C19),J19,
AND(I19&lt;&gt;"""",""6x6 / 7x7""=C19),
IFS(ArrayFormula(SUM(IFERROR(SPLIT(I19,"" / ""))))&lt;(Info!$J$6+Info!$J$7)*2/3,CONCATENATE(""Höj helst cutoff"&amp;"s i ""&amp;C19),
ArrayFormula(SUM(IFERROR(SPLIT(I19,"" / ""))))&lt;=(Info!$J$6+Info!$J$7),ROUNDUP(J19*Info!$J$22),
ArrayFormula(SUM(IFERROR(SPLIT(I19,"" / ""))))&lt;=Info!$J$6+Info!$J$7,ROUNDUP(J19*Info!$K$22),
ArrayFormula(SUM(IFERROR(SPLIT(I19,"" / ""))))&lt;=Info!$"&amp;"K$6+Info!$K$7,ROUNDUP(J19*Info!L$22),
ArrayFormula(SUM(IFERROR(SPLIT(I19,"" / ""))))&lt;=Info!$L$6+Info!$L$7,ROUNDUP(J19*Info!$M$22),
ArrayFormula(SUM(IFERROR(SPLIT(I19,"" / ""))))&lt;=Info!$M$6+Info!$M$7,ROUNDUP(J19*Info!$N$22),
ArrayFormula(SUM(IFERROR(SPLIT("&amp;"I19,"" / ""))))&lt;=(Info!$N$6+Info!$N$7)*3/2,ROUNDUP(J19*Info!$J$26),
ArrayFormula(SUM(IFERROR(SPLIT(I19,"" / ""))))&gt;(Info!$N$6+Info!$N$7)*3/2,CONCATENATE(""Sänk helst cutoffs i ""&amp;C19)),
AND(I19&lt;&gt;"""",FILTER(Info!$E$2:E81, Info!$A$2:A81 = C19) = ""Yes""),
"&amp;"IFS(I19&lt;FILTER(Info!$J$2:J81, Info!$A$2:A81 = C19)*2/3,CONCATENATE(""Höj helst cutoff i ""&amp;C19),
I19&lt;=FILTER(Info!$J$2:J81, Info!$A$2:A81 = C19),ROUNDUP(J19*Info!$J$22),
I19&lt;=FILTER(Info!$K$2:K81, Info!$A$2:A81 = C19),ROUNDUP(J19*Info!$K$22),
I19&lt;=FILTER("&amp;"Info!$L$2:L81, Info!$A$2:A81 = C19),ROUNDUP(J19*Info!L$22),
I19&lt;=FILTER(Info!$M$2:M81, Info!$A$2:A81 = C19),ROUNDUP(J19*Info!$M$22),
I19&lt;=FILTER(Info!$N$2:N81, Info!$A$2:A81 = C19),ROUNDUP(J19*Info!$N$22),
I19&lt;=FILTER(Info!$N$2:N81, Info!$A$2:A81 = C19)*3"&amp;"/2,ROUNDUP(J19*Info!$J$26),
I19&gt;FILTER(Info!$N$2:N81, Info!$A$2:A81 = C19)*3/2,CONCATENATE(""Sänk helst cutoff i ""&amp;C19)),
AND(H19&lt;&gt;"""",""6x6 / 7x7""=C19),
IFS(H19/3&lt;=(Info!$J$6+Info!$J$7)*2/3,""Höj helst cumulative time limit"",
H19/3&lt;=Info!$J$6+Info!$J"&amp;"$7,ROUNDUP(J19*Info!$J$24),
H19/3&lt;=Info!$K$6+Info!$K$7,ROUNDUP(J19*Info!$K$24),
H19/3&lt;=Info!$L$6+Info!$L$7,ROUNDUP(J19*Info!L$24),
H19/3&lt;=Info!$M$6+Info!$M$7,ROUNDUP(J19*Info!$M$24),
H19/3&lt;=Info!$N$6+Info!$N$7,ROUNDUP(J19*Info!$N$24),
H19/3&lt;=(Info!$N$6+In"&amp;"fo!$N$7)*3/2,ROUNDUP(J19*Info!$L$26),
H19/3&gt;(Info!$J$6+Info!$J$7)*3/2,""Sänk helst cumulative time limit""),
AND(H19&lt;&gt;"""",FILTER(Info!$F$2:F81, Info!$A$2:A81 = C19) = ""Yes""),
IFS(H19&lt;=FILTER(Info!$J$2:J81, Info!$A$2:A81 = C19)*2/3,CONCATENATE(""Höj hel"&amp;"st c.t.l. i ""&amp;C19),
H19&lt;=FILTER(Info!$J$2:J81, Info!$A$2:A81 = C19),ROUNDUP(J19*Info!$J$24),
H19&lt;=FILTER(Info!$K$2:K81, Info!$A$2:A81 = C19),ROUNDUP(J19*Info!$K$24),
H19&lt;=FILTER(Info!$L$2:L81, Info!$A$2:A81 = C19),ROUNDUP(J19*Info!L$24),
H19&lt;=FILTER(Info"&amp;"!$M$2:M81, Info!$A$2:A81 = C19),ROUNDUP(J19*Info!$M$24),
H19&lt;=FILTER(Info!$N$2:N81, Info!$A$2:A81 = C19),ROUNDUP(J19*Info!$N$24),
H19&lt;=FILTER(Info!$N$2:N81, Info!$A$2:A81 = C19)*3/2,ROUNDUP(J19*Info!$L$26),
H19&gt;FILTER(Info!$N$2:N81, Info!$A$2:A81 = C19)*3"&amp;"/2,CONCATENATE(""Sänk helst c.t.l. i ""&amp;C19)),
AND(H19&lt;&gt;"""",FILTER(Info!$F$2:F81, Info!$A$2:A81 = C19) = ""No""),
IFS(H19/AA19&lt;=FILTER(Info!$J$2:J81, Info!$A$2:A81 = C19)*2/3,CONCATENATE(""Höj helst c.t.l. i ""&amp;C19),
H19/AA19&lt;=FILTER(Info!$J$2:J81, Info!"&amp;"$A$2:A81 = C19),ROUNDUP(J19*Info!$J$24),
H19/AA19&lt;=FILTER(Info!$K$2:K81, Info!$A$2:A81 = C19),ROUNDUP(J19*Info!$K$24),
H19/AA19&lt;=FILTER(Info!$L$2:L81, Info!$A$2:A81 = C19),ROUNDUP(J19*Info!L$24),
H19/AA19&lt;=FILTER(Info!$M$2:M81, Info!$A$2:A81 = C19),ROUNDU"&amp;"P(J19*Info!$M$24),
H19/AA19&lt;=FILTER(Info!$N$2:N81, Info!$A$2:A81 = C19),ROUNDUP(J19*Info!$N$24),
H19/AA19&lt;=FILTER(Info!$N$2:N81, Info!$A$2:A81 = C19)*3/2,ROUNDUP(J19*Info!$L$26),
H19/AA19&gt;FILTER(Info!$N$2:N81, Info!$A$2:A81 = C19)*3/2,CONCATENATE(""Sänk h"&amp;"elst c.t.l. i ""&amp;C19)),
AND(I19="""",H19&lt;&gt;"""",J19&lt;&gt;""""),ROUNDUP(J19*Info!$T$29),
AND(I19&lt;&gt;"""",H19="""",J19&lt;&gt;""""),ROUNDUP(J19*Info!$T$26))"),"")</f>
        <v/>
      </c>
      <c r="L19" s="47">
        <f>IFERROR(__xludf.DUMMYFUNCTION("IFS(C19="""",0,
C19=""3x3 FMC"",Info!$B$9*N19+M19, C19=""3x3 MBLD"",Info!$B$18*N19+M19,
COUNTIF(Info!$A$22:A81,C19)&gt;0,FILTER(Info!$B$22:B81,Info!$A$22:A81=C19)+M19,
AND(C19&lt;&gt;"""",E19=""""),CONCATENATE(""Fyll i E""&amp;row()),
AND(C19&lt;&gt;"""",E19&lt;&gt;"""",E19&lt;&gt;1,E1"&amp;"9&lt;&gt;2,E19&lt;&gt;3,E19&lt;&gt;""Final""),CONCATENATE(""Fel format på E""&amp;row()),
K19=CONCATENATE(""Runda ""&amp;E19&amp;"" i ""&amp;C19&amp;"" finns redan""),CONCATENATE(""Fel i E""&amp;row()),
AND(C19&lt;&gt;"""",F19=""""),CONCATENATE(""Fyll i F""&amp;row()),
K19=CONCATENATE(C19&amp;"" måste ha forma"&amp;"tet ""&amp;FILTER(Info!$D$2:D81, Info!$A$2:A81 = C19)),CONCATENATE(""Fel format på F""&amp;row()),
AND(C19&lt;&gt;"""",D19=1,H19="""",FILTER(Info!$F$2:F81, Info!$A$2:A81 = C19) = ""Yes""),CONCATENATE(""Fyll i H""&amp;row()),
AND(C19&lt;&gt;"""",D19=1,I19="""",FILTER(Info!$E$2:E8"&amp;"1, Info!$A$2:A81 = C19) = ""Yes""),CONCATENATE(""Fyll i I""&amp;row()),
AND(C19&lt;&gt;"""",J19=""""),CONCATENATE(""Fyll i J""&amp;row()),
AND(C19&lt;&gt;"""",K19="""",OR(H19&lt;&gt;"""",I19&lt;&gt;"""")),CONCATENATE(""Fyll i K""&amp;row()),
AND(C19&lt;&gt;"""",K19=""""),CONCATENATE(""Skriv samma"&amp;" i K""&amp;row()&amp;"" som i J""&amp;row()),
AND(OR(C19=""4x4 BLD"",C19=""5x5 BLD"",C19=""4x4 / 5x5 BLD"")=TRUE,V19&lt;=P19),
MROUND(H19*(Info!$T$20-((Info!$T$20-1)/2)*(1-V19/P19))*(1+((J19/K19)-1)*(1-Info!$J$24))*N19+(Info!$T$11/2)+(N19*Info!$T$11)+(N19*Info!$T$14*(O1"&amp;"9-1)),0.01)+M19,
AND(OR(C19=""4x4 BLD"",C19=""5x5 BLD"",C19=""4x4 / 5x5 BLD"")=TRUE,V19&gt;P19),
MROUND((((J19*Z19+K19*(AA19-Z19))*(H19*Info!$T$20/AA19))/X19)*(1+((J19/K19)-1)*(1-Info!$J$24))*(1+(X19-Info!$T$8)/100)+(Info!$T$11/2)+(N19*Info!$T$11)+(N19*Info!"&amp;"$T$14*(O19-1)),0.01)+M19,
AND(C19=""3x3 BLD"",V19&lt;=P19),
MROUND(H19*(Info!$T$23-((Info!$T$23-1)/2)*(1-V19/P19))*(1+((J19/K19)-1)*(1-Info!$J$24))*N19+(Info!$T$11/2)+(N19*Info!$T$11)+(N19*Info!$T$14*(O19-1)),0.01)+M19,
AND(C19=""3x3 BLD"",V19&gt;P19),
MROUND(("&amp;"((J19*Z19+K19*(AA19-Z19))*(H19*Info!$T$23/AA19))/X19)*(1+((J19/K19)-1)*(1-Info!$J$24))*(1+(X19-Info!$T$8)/100)+(Info!$T$11/2)+(N19*Info!$T$11)+(N19*Info!$T$14*(O19-1)),0.01)+M19,
E19=1,MROUND((((J19*Z19+K19*(AA19-Z19))*Y19)/X19)*(1+(X19-Info!$T$8)/100)+(N"&amp;"19*Info!$T$11)+(N19*Info!$T$14*(O19-1)),0.01)+M19,
AND(E19=""Final"",N19=1,FILTER(Info!$G$2:$G$20,Info!$A$2:$A$20=C19)=""Mycket svår""),
MROUND((((J19*Z19+K19*(AA19-Z19))*(Y19*Info!$T$38))/X19)*(1+(X19-Info!$T$8)/100)+(N19*Info!$T$11)+(N19*Info!$T$14*(O19"&amp;"-1)),0.01)+M19,
AND(E19=""Final"",N19=1,FILTER(Info!$G$2:$G$20,Info!$A$2:$A$20=C19)=""Svår""),
MROUND((((J19*Z19+K19*(AA19-Z19))*(Y19*Info!$T$35))/X19)*(1+(X19-Info!$T$8)/100)+(N19*Info!$T$11)+(N19*Info!$T$14*(O19-1)),0.01)+M19,
E19=""Final"",MROUND((((J1"&amp;"9*Z19+K19*(AA19-Z19))*(Y19*Info!$T$5))/X19)*(1+(X19-Info!$T$8)/100)+(N19*Info!$T$11)+(N19*Info!$T$14*(O19-1)),0.01)+M19,
OR(E19=2,E19=3),MROUND((((J19*Z19+K19*(AA19-Z19))*(Y19*Info!$T$2))/X19)*(1+(X19-Info!$T$8)/100)+(N19*Info!$T$11)+(N19*Info!$T$14*(O19-"&amp;"1)),0.01)+M19)"),0.0)</f>
        <v>0</v>
      </c>
      <c r="M19" s="48">
        <f t="shared" si="1"/>
        <v>0</v>
      </c>
      <c r="N19" s="48" t="str">
        <f>IFS(OR(COUNTIF(Info!$A$22:A81,C19)&gt;0,C19=""),"",
OR(C19="4x4 BLD",C19="5x5 BLD",C19="3x3 MBLD",C19="3x3 FMC",C19="4x4 / 5x5 BLD"),1,
AND(E19="Final",Q19="Yes",MAX(1,ROUNDUP(J19/P19))&gt;1),MAX(2,ROUNDUP(J19/P19)),
AND(E19="Final",Q19="No",MAX(1,ROUNDUP(J19/((P19*2)+2.625-Y19*1.5)))&gt;1),MAX(2,ROUNDUP(J19/((P19*2)+2.625-Y19*1.5))),
E19="Final",1,
Q19="Yes",MAX(2,ROUNDUP(J19/P19)),
TRUE,MAX(2,ROUNDUP(J19/((P19*2)+2.625-Y19*1.5))))</f>
        <v/>
      </c>
      <c r="O19" s="48" t="str">
        <f>IFS(OR(COUNTIF(Info!$A$22:A81,C19)&gt;0,C19=""),"",
OR("3x3 MBLD"=C19,"3x3 FMC"=C19)=TRUE,"",
D19=$E$4,$G$6,D19=$K$4,$M$6,D19=$Q$4,$S$6,D19=$W$4,$Y$6,
TRUE,$S$2)</f>
        <v/>
      </c>
      <c r="P19" s="48" t="str">
        <f>IFS(OR(COUNTIF(Info!$A$22:A81,C19)&gt;0,C19=""),"",
OR("3x3 MBLD"=C19,"3x3 FMC"=C19)=TRUE,"",
D19=$E$4,$E$6,D19=$K$4,$K$6,D19=$Q$4,$Q$6,D19=$W$4,$W$6,
TRUE,$Q$2)</f>
        <v/>
      </c>
      <c r="Q19" s="49" t="str">
        <f>IFS(OR(COUNTIF(Info!$A$22:A81,C19)&gt;0,C19=""),"",
OR("3x3 MBLD"=C19,"3x3 FMC"=C19)=TRUE,"",
D19=$E$4,$I$6,D19=$K$4,$O$6,D19=$Q$4,$U$6,D19=$W$4,$AA$6,
TRUE,$U$2)</f>
        <v/>
      </c>
      <c r="R19" s="50" t="str">
        <f>IFERROR(__xludf.DUMMYFUNCTION("IF(C19="""","""",IFERROR(FILTER(Info!$B$22:B81,Info!$A$22:A81=C19)+M19,""?""))"),"")</f>
        <v/>
      </c>
      <c r="S19" s="51" t="str">
        <f>IFS(OR(COUNTIF(Info!$A$22:A81,C19)&gt;0,C19=""),"",
AND(H19="",I19=""),J19,
TRUE,"?")</f>
        <v/>
      </c>
      <c r="T19" s="52" t="str">
        <f>IFS(OR(COUNTIF(Info!$A$22:A81,C19)&gt;0,C19=""),"",
AND(L19&lt;&gt;0,OR(R19="?",R19="")),"Fyll i R-kolumnen",
OR(C19="3x3 FMC",C19="3x3 MBLD"),R19,
AND(L19&lt;&gt;0,OR(S19="?",S19="")),"Fyll i S-kolumnen",
OR(COUNTIF(Info!$A$22:A81,C19)&gt;0,C19=""),"",
TRUE,Y19*R19/L19)</f>
        <v/>
      </c>
      <c r="U19" s="52"/>
      <c r="V19" s="53" t="str">
        <f>IFS(OR(COUNTIF(Info!$A$22:A81,C19)&gt;0,C19=""),"",
OR("3x3 MBLD"=C19,"3x3 FMC"=C19)=TRUE,"",
TRUE,MROUND((J19/N19),0.01))</f>
        <v/>
      </c>
      <c r="W19" s="54" t="str">
        <f>IFS(OR(COUNTIF(Info!$A$22:A81,C19)&gt;0,C19=""),"",
TRUE,L19/N19)</f>
        <v/>
      </c>
      <c r="X19" s="55" t="str">
        <f>IFS(OR(COUNTIF(Info!$A$22:A81,C19)&gt;0,C19=""),"",
OR("3x3 MBLD"=C19,"3x3 FMC"=C19)=TRUE,"",
OR(C19="4x4 BLD",C19="5x5 BLD",C19="4x4 / 5x5 BLD",AND(C19="3x3 BLD",H19&lt;&gt;""))=TRUE,MIN(V19,P19),
TRUE,MIN(P19,V19,MROUND(((V19*2/3)+((Y19-1.625)/2)),0.01)))</f>
        <v/>
      </c>
      <c r="Y19" s="56" t="str">
        <f>IFERROR(__xludf.DUMMYFUNCTION("IFS(OR(COUNTIF(Info!$A$22:A81,C19)&gt;0,C19=""""),"""",
FILTER(Info!$F$2:F81, Info!$A$2:A81 = C19) = ""Yes"",H19/AA19,
""3x3 FMC""=C19,Info!$B$9,""3x3 MBLD""=C19,Info!$B$18,
AND(E19=1,I19="""",H19="""",Q19=""No"",G19&gt;SUMIF(Info!$A$2:A81,C19,Info!$B$2:B81)*1."&amp;"5),
MIN(SUMIF(Info!$A$2:A81,C19,Info!$B$2:B81)*1.1,SUMIF(Info!$A$2:A81,C19,Info!$B$2:B81)*(1.15-(0.15*(SUMIF(Info!$A$2:A81,C19,Info!$B$2:B81)*1.5)/G19))),
AND(E19=1,I19="""",H19="""",Q19=""Yes"",G19&gt;SUMIF(Info!$A$2:A81,C19,Info!$C$2:C81)*1.5),
MIN(SUMIF(I"&amp;"nfo!$A$2:A81,C19,Info!$C$2:C81)*1.1,SUMIF(Info!$A$2:A81,C19,Info!$C$2:C81)*(1.15-(0.15*(SUMIF(Info!$A$2:A81,C19,Info!$C$2:C81)*1.5)/G19))),
Q19=""No"",SUMIF(Info!$A$2:A81,C19,Info!$B$2:B81),
Q19=""Yes"",SUMIF(Info!$A$2:A81,C19,Info!$C$2:C81))"),"")</f>
        <v/>
      </c>
      <c r="Z19" s="57" t="str">
        <f>IFS(OR(COUNTIF(Info!$A$22:A81,C19)&gt;0,C19=""),"",
AND(OR("3x3 FMC"=C19,"3x3 MBLD"=C19),I19&lt;&gt;""),1,
AND(OR(H19&lt;&gt;"",I19&lt;&gt;""),F19="Avg of 5"),2,
F19="Avg of 5",AA19,
AND(OR(H19&lt;&gt;"",I19&lt;&gt;""),F19="Mean of 3",C19="6x6 / 7x7"),2,
AND(OR(H19&lt;&gt;"",I19&lt;&gt;""),F19="Mean of 3"),1,
F19="Mean of 3",AA19,
AND(OR(H19&lt;&gt;"",I19&lt;&gt;""),F19="Best of 3",C19="4x4 / 5x5 BLD"),2,
AND(OR(H19&lt;&gt;"",I19&lt;&gt;""),F19="Best of 3"),1,
F19="Best of 2",AA19,
F19="Best of 1",AA19)</f>
        <v/>
      </c>
      <c r="AA19" s="57" t="str">
        <f>IFS(OR(COUNTIF(Info!$A$22:A81,C19)&gt;0,C19=""),"",
AND(OR("3x3 MBLD"=C19,"3x3 FMC"=C19),F19="Best of 1"=TRUE),1,
AND(OR("3x3 MBLD"=C19,"3x3 FMC"=C19),F19="Best of 2"=TRUE),2,
AND(OR("3x3 MBLD"=C19,"3x3 FMC"=C19),OR(F19="Best of 3",F19="Mean of 3")=TRUE),3,
AND(F19="Mean of 3",C19="6x6 / 7x7"),6,
AND(F19="Best of 3",C19="4x4 / 5x5 BLD"),6,
F19="Avg of 5",5,F19="Mean of 3",3,F19="Best of 3",3,F19="Best of 2",2,F19="Best of 1",1)</f>
        <v/>
      </c>
      <c r="AB19" s="58"/>
    </row>
    <row r="20">
      <c r="A20" s="40">
        <f>IFERROR(__xludf.DUMMYFUNCTION("IFS(indirect(""A""&amp;row()-1)=""Start"",TIME(indirect(""A""&amp;row()-2),indirect(""B""&amp;row()-2),0),
$O$2=""No"",TIME(0,($A$6*60+$B$6)+CEILING(SUM($L$7:indirect(""L""&amp;row()-1)),5),0),
D20=$E$2,TIME(0,($A$6*60+$B$6)+CEILING(SUM(IFERROR(FILTER($L$7:indirect(""L"""&amp;"&amp;row()-1),REGEXMATCH($D$7:indirect(""D""&amp;row()-1),$E$2)),0)),5),0),
TRUE,""=time(hh;mm;ss)"")"),0.4166666666666667)</f>
        <v>0.4166666667</v>
      </c>
      <c r="B20" s="41">
        <f>IFERROR(__xludf.DUMMYFUNCTION("IFS($O$2=""No"",TIME(0,($A$6*60+$B$6)+CEILING(SUM($L$7:indirect(""L""&amp;row())),5),0),
D20=$E$2,TIME(0,($A$6*60+$B$6)+CEILING(SUM(FILTER($L$7:indirect(""L""&amp;row()),REGEXMATCH($D$7:indirect(""D""&amp;row()),$E$2))),5),0),
A20=""=time(hh;mm;ss)"",CONCATENATE(""Sk"&amp;"riv tid i A""&amp;row()),
AND(A20&lt;&gt;"""",A20&lt;&gt;""=time(hh;mm;ss)""),A20+TIME(0,CEILING(indirect(""L""&amp;row()),5),0))"),0.4166666666666667)</f>
        <v>0.4166666667</v>
      </c>
      <c r="C20" s="42"/>
      <c r="D20" s="43" t="str">
        <f t="shared" si="2"/>
        <v>Stora salen</v>
      </c>
      <c r="E20" s="43" t="str">
        <f>IFERROR(__xludf.DUMMYFUNCTION("IFS(COUNTIF(Info!$A$22:A81,C20)&gt;0,"""",
AND(OR(""3x3 FMC""=C20,""3x3 MBLD""=C20),COUNTIF($C$7:indirect(""C""&amp;row()),indirect(""C""&amp;row()))&gt;=13),""E - Error"",
AND(OR(""3x3 FMC""=C20,""3x3 MBLD""=C20),COUNTIF($C$7:indirect(""C""&amp;row()),indirect(""C""&amp;row()"&amp;"))=12),""Final - A3"",
AND(OR(""3x3 FMC""=C20,""3x3 MBLD""=C20),COUNTIF($C$7:indirect(""C""&amp;row()),indirect(""C""&amp;row()))=11),""Final - A2"",
AND(OR(""3x3 FMC""=C20,""3x3 MBLD""=C20),COUNTIF($C$7:indirect(""C""&amp;row()),indirect(""C""&amp;row()))=10),""Final - "&amp;"A1"",
AND(OR(""3x3 FMC""=C20,""3x3 MBLD""=C20),COUNTIF($C$7:indirect(""C""&amp;row()),indirect(""C""&amp;row()))=9,
COUNTIF($C$7:$C$61,indirect(""C""&amp;row()))&gt;9),""R3 - A3"",
AND(OR(""3x3 FMC""=C20,""3x3 MBLD""=C20),COUNTIF($C$7:indirect(""C""&amp;row()),indirect(""C"&amp;"""&amp;row()))=9,
COUNTIF($C$7:$C$61,indirect(""C""&amp;row()))&lt;=9),""Final - A3"",
AND(OR(""3x3 FMC""=C20,""3x3 MBLD""=C20),COUNTIF($C$7:indirect(""C""&amp;row()),indirect(""C""&amp;row()))=8,
COUNTIF($C$7:$C$61,indirect(""C""&amp;row()))&gt;9),""R3 - A2"",
AND(OR(""3x3 FMC""="&amp;"C20,""3x3 MBLD""=C20),COUNTIF($C$7:indirect(""C""&amp;row()),indirect(""C""&amp;row()))=8,
COUNTIF($C$7:$C$61,indirect(""C""&amp;row()))&lt;=9),""Final - A2"",
AND(OR(""3x3 FMC""=C20,""3x3 MBLD""=C20),COUNTIF($C$7:indirect(""C""&amp;row()),indirect(""C""&amp;row()))=7,
COUNTIF("&amp;"$C$7:$C$61,indirect(""C""&amp;row()))&gt;9),""R3 - A1"",
AND(OR(""3x3 FMC""=C20,""3x3 MBLD""=C20),COUNTIF($C$7:indirect(""C""&amp;row()),indirect(""C""&amp;row()))=7,
COUNTIF($C$7:$C$61,indirect(""C""&amp;row()))&lt;=9),""Final - A1"",
AND(OR(""3x3 FMC""=C20,""3x3 MBLD""=C20),"&amp;"COUNTIF($C$7:indirect(""C""&amp;row()),indirect(""C""&amp;row()))=6,
COUNTIF($C$7:$C$61,indirect(""C""&amp;row()))&gt;6),""R2 - A3"",
AND(OR(""3x3 FMC""=C20,""3x3 MBLD""=C20),COUNTIF($C$7:indirect(""C""&amp;row()),indirect(""C""&amp;row()))=6,
COUNTIF($C$7:$C$61,indirect(""C""&amp;"&amp;"row()))&lt;=6),""Final - A3"",
AND(OR(""3x3 FMC""=C20,""3x3 MBLD""=C20),COUNTIF($C$7:indirect(""C""&amp;row()),indirect(""C""&amp;row()))=5,
COUNTIF($C$7:$C$61,indirect(""C""&amp;row()))&gt;6),""R2 - A2"",
AND(OR(""3x3 FMC""=C20,""3x3 MBLD""=C20),COUNTIF($C$7:indirect(""C"&amp;"""&amp;row()),indirect(""C""&amp;row()))=5,
COUNTIF($C$7:$C$61,indirect(""C""&amp;row()))&lt;=6),""Final - A2"",
AND(OR(""3x3 FMC""=C20,""3x3 MBLD""=C20),COUNTIF($C$7:indirect(""C""&amp;row()),indirect(""C""&amp;row()))=4,
COUNTIF($C$7:$C$61,indirect(""C""&amp;row()))&gt;6),""R2 - A1"&amp;""",
AND(OR(""3x3 FMC""=C20,""3x3 MBLD""=C20),COUNTIF($C$7:indirect(""C""&amp;row()),indirect(""C""&amp;row()))=4,
COUNTIF($C$7:$C$61,indirect(""C""&amp;row()))&lt;=6),""Final - A1"",
AND(OR(""3x3 FMC""=C20,""3x3 MBLD""=C20),COUNTIF($C$7:indirect(""C""&amp;row()),indirect("""&amp;"C""&amp;row()))=3),""R1 - A3"",
AND(OR(""3x3 FMC""=C20,""3x3 MBLD""=C20),COUNTIF($C$7:indirect(""C""&amp;row()),indirect(""C""&amp;row()))=2),""R1 - A2"",
AND(OR(""3x3 FMC""=C20,""3x3 MBLD""=C20),COUNTIF($C$7:indirect(""C""&amp;row()),indirect(""C""&amp;row()))=1),""R1 -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C20),ROUNDUP((FILTER(Info!$H$2:H81,Info!$A$2:A81=C20)/FILTER(Info!$H$2:H81,Info!$A$2:A81=$K$2))*$I$2)&gt;99),3,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C20),ROUNDUP((FILTER(Info!$H$2:H81,Info!$A$2:A81=C20)/FILTER(Info!$H$2:H81,Info!$A$2:A81=$K$2))*$I$2)&gt;15),2,
AND(COUNTIF($C$7:indirect(""C""&amp;row()),indirect(""C""&amp;row()))=2,COUNTIF($C$7:$C$61,indirect(""C""&amp;row()))=COUNTIF($C$7:indirect("""&amp;"C""&amp;row()),indirect(""C""&amp;row()))),""Final"",
COUNTIF($C$7:indirect(""C""&amp;row()),indirect(""C""&amp;row()))=1,1,
COUNTIF($C$7:indirect(""C""&amp;row()),indirect(""C""&amp;row()))=0,"""")"),"")</f>
        <v/>
      </c>
      <c r="F20" s="44" t="str">
        <f>IFERROR(__xludf.DUMMYFUNCTION("IFS(C20="""","""",
AND(C20=""3x3 FMC"",MOD(COUNTIF($C$7:indirect(""C""&amp;row()),indirect(""C""&amp;row())),3)=0),""Mean of 3"",
AND(C20=""3x3 MBLD"",MOD(COUNTIF($C$7:indirect(""C""&amp;row()),indirect(""C""&amp;row())),3)=0),""Best of 3"",
AND(C20=""3x3 FMC"",MOD(COUNT"&amp;"IF($C$7:indirect(""C""&amp;row()),indirect(""C""&amp;row())),3)=2,
COUNTIF($C$7:$C$61,indirect(""C""&amp;row()))&lt;=COUNTIF($C$7:indirect(""C""&amp;row()),indirect(""C""&amp;row()))),""Best of 2"",
AND(C20=""3x3 FMC"",MOD(COUNTIF($C$7:indirect(""C""&amp;row()),indirect(""C""&amp;row()"&amp;")),3)=2,
COUNTIF($C$7:$C$61,indirect(""C""&amp;row()))&gt;COUNTIF($C$7:indirect(""C""&amp;row()),indirect(""C""&amp;row()))),""Mean of 3"",
AND(C20=""3x3 MBLD"",MOD(COUNTIF($C$7:indirect(""C""&amp;row()),indirect(""C""&amp;row())),3)=2,
COUNTIF($C$7:$C$61,indirect(""C""&amp;row()))"&amp;"&lt;=COUNTIF($C$7:indirect(""C""&amp;row()),indirect(""C""&amp;row()))),""Best of 2"",
AND(C20=""3x3 MBLD"",MOD(COUNTIF($C$7:indirect(""C""&amp;row()),indirect(""C""&amp;row())),3)=2,
COUNTIF($C$7:$C$61,indirect(""C""&amp;row()))&gt;COUNTIF($C$7:indirect(""C""&amp;row()),indirect(""C"&amp;"""&amp;row()))),""Best of 3"",
AND(C20=""3x3 FMC"",MOD(COUNTIF($C$7:indirect(""C""&amp;row()),indirect(""C""&amp;row())),3)=1,
COUNTIF($C$7:$C$61,indirect(""C""&amp;row()))&lt;=COUNTIF($C$7:indirect(""C""&amp;row()),indirect(""C""&amp;row()))),""Best of 1"",
AND(C20=""3x3 FMC"",MOD"&amp;"(COUNTIF($C$7:indirect(""C""&amp;row()),indirect(""C""&amp;row())),3)=1,
COUNTIF($C$7:$C$61,indirect(""C""&amp;row()))=COUNTIF($C$7:indirect(""C""&amp;row()),indirect(""C""&amp;row()))+1),""Best of 2"",
AND(C20=""3x3 FMC"",MOD(COUNTIF($C$7:indirect(""C""&amp;row()),indirect(""C"&amp;"""&amp;row())),3)=1,
COUNTIF($C$7:$C$61,indirect(""C""&amp;row()))&gt;COUNTIF($C$7:indirect(""C""&amp;row()),indirect(""C""&amp;row()))),""Mean of 3"",
AND(C20=""3x3 MBLD"",MOD(COUNTIF($C$7:indirect(""C""&amp;row()),indirect(""C""&amp;row())),3)=1,
COUNTIF($C$7:$C$61,indirect(""C"""&amp;"&amp;row()))&lt;=COUNTIF($C$7:indirect(""C""&amp;row()),indirect(""C""&amp;row()))),""Best of 1"",
AND(C20=""3x3 MBLD"",MOD(COUNTIF($C$7:indirect(""C""&amp;row()),indirect(""C""&amp;row())),3)=1,
COUNTIF($C$7:$C$61,indirect(""C""&amp;row()))=COUNTIF($C$7:indirect(""C""&amp;row()),indir"&amp;"ect(""C""&amp;row()))+1),""Best of 2"",
AND(C20=""3x3 MBLD"",MOD(COUNTIF($C$7:indirect(""C""&amp;row()),indirect(""C""&amp;row())),3)=1,
COUNTIF($C$7:$C$61,indirect(""C""&amp;row()))&gt;COUNTIF($C$7:indirect(""C""&amp;row()),indirect(""C""&amp;row()))),""Best of 3"",
TRUE,(IFERROR("&amp;"FILTER(Info!$D$2:D81, Info!$A$2:A81 = C20), """")))"),"")</f>
        <v/>
      </c>
      <c r="G20" s="45" t="str">
        <f>IFERROR(__xludf.DUMMYFUNCTION("IFS(OR(COUNTIF(Info!$A$22:A81,C20)&gt;0,C20=""""),"""",
OR(""3x3 MBLD""=C20,""3x3 FMC""=C20),60,
AND(E20=1,FILTER(Info!$F$2:F81, Info!$A$2:A81 = C20) = ""No""),FILTER(Info!$P$2:P81, Info!$A$2:A81 = C20),
AND(E20=2,FILTER(Info!$F$2:F81, Info!$A$2:A81 = C20) ="&amp;" ""No""),FILTER(Info!$Q$2:Q81, Info!$A$2:A81 = C20),
AND(E20=3,FILTER(Info!$F$2:F81, Info!$A$2:A81 = C20) = ""No""),FILTER(Info!$R$2:R81, Info!$A$2:A81 = C20),
AND(E20=""Final"",FILTER(Info!$F$2:F81, Info!$A$2:A81 = C20) = ""No""),FILTER(Info!$S$2:S81, In"&amp;"fo!$A$2:A81 = C20),
FILTER(Info!$F$2:F81, Info!$A$2:A81 = C20) = ""Yes"","""")"),"")</f>
        <v/>
      </c>
      <c r="H20" s="45" t="str">
        <f>IFERROR(__xludf.DUMMYFUNCTION("IFS(OR(COUNTIF(Info!$A$22:A81,C20)&gt;0,C20=""""),"""",
OR(""3x3 MBLD""=C20,""3x3 FMC""=C20)=TRUE,"""",
FILTER(Info!$F$2:F81, Info!$A$2:A81 = C20) = ""Yes"",FILTER(Info!$O$2:O81, Info!$A$2:A81 = C20),
FILTER(Info!$F$2:F81, Info!$A$2:A81 = C20) = ""No"",IF(G2"&amp;"0="""",FILTER(Info!$O$2:O81, Info!$A$2:A81 = C20),""""))"),"")</f>
        <v/>
      </c>
      <c r="I20" s="45" t="str">
        <f>IFERROR(__xludf.DUMMYFUNCTION("IFS(OR(COUNTIF(Info!$A$22:A81,C20)&gt;0,C20="""",H20&lt;&gt;""""),"""",
AND(E20&lt;&gt;1,E20&lt;&gt;""R1 - A1"",E20&lt;&gt;""R1 - A2"",E20&lt;&gt;""R1 - A3""),"""",
FILTER(Info!$E$2:E81, Info!$A$2:A81 = C20) = ""Yes"",IF(H20="""",FILTER(Info!$L$2:L81, Info!$A$2:A81 = C20),""""),
FILTER(I"&amp;"nfo!$E$2:E81, Info!$A$2:A81 = C20) = ""No"","""")"),"")</f>
        <v/>
      </c>
      <c r="J20" s="45" t="str">
        <f>IFERROR(__xludf.DUMMYFUNCTION("IFS(OR(COUNTIF(Info!$A$22:A81,C20)&gt;0,C20="""",""3x3 MBLD""=C20,""3x3 FMC""=C20),"""",
AND(E20=1,FILTER(Info!$H$2:H81,Info!$A$2:A81 = C20)&lt;=FILTER(Info!$H$2:H81,Info!$A$2:A81=$K$2)),
ROUNDUP((FILTER(Info!$H$2:H81,Info!$A$2:A81 = C20)/FILTER(Info!$H$2:H81,I"&amp;"nfo!$A$2:A81=$K$2))*$I$2),
AND(E20=1,FILTER(Info!$H$2:H81,Info!$A$2:A81 = C20)&gt;FILTER(Info!$H$2:H81,Info!$A$2:A81=$K$2)),""K2 - Error"",
AND(E20=2,FILTER($J$7:indirect(""J""&amp;row()-1),$C$7:indirect(""C""&amp;row()-1)=C20)&lt;=7),""J - Error"",
E20=2,FLOOR(FILTER("&amp;"$J$7:indirect(""J""&amp;row()-1),$C$7:indirect(""C""&amp;row()-1)=C20)*Info!$T$32),
AND(E20=3,FILTER($J$7:indirect(""J""&amp;row()-1),$C$7:indirect(""C""&amp;row()-1)=C20)&lt;=15),""J - Error"",
E20=3,FLOOR(Info!$T$32*FLOOR(FILTER($J$7:indirect(""J""&amp;row()-1),$C$7:indirect("&amp;"""C""&amp;row()-1)=C20)*Info!$T$32)),
AND(E20=""Final"",COUNTIF($C$7:$C$61,C20)=2,FILTER($J$7:indirect(""J""&amp;row()-1),$C$7:indirect(""C""&amp;row()-1)=C20)&lt;=7),""J - Error"",
AND(E20=""Final"",COUNTIF($C$7:$C$61,C20)=2),
MIN(P20,FLOOR(FILTER($J$7:indirect(""J""&amp;r"&amp;"ow()-1),$C$7:indirect(""C""&amp;row()-1)=C20)*Info!$T$32)),
AND(E20=""Final"",COUNTIF($C$7:$C$61,C20)=3,FILTER($J$7:indirect(""J""&amp;row()-1),$C$7:indirect(""C""&amp;row()-1)=C20)&lt;=15),""J - Error"",
AND(E20=""Final"",COUNTIF($C$7:$C$61,C20)=3),
MIN(P20,FLOOR(Info!"&amp;"$T$32*FLOOR(FILTER($J$7:indirect(""J""&amp;row()-1),$C$7:indirect(""C""&amp;row()-1)=C20)*Info!$T$32))),
AND(E20=""Final"",COUNTIF($C$7:$C$61,C20)&gt;=4,FILTER($J$7:indirect(""J""&amp;row()-1),$C$7:indirect(""C""&amp;row()-1)=C20)&lt;=99),""J - Error"",
AND(E20=""Final"",COUNT"&amp;"IF($C$7:$C$61,C20)&gt;=4),
MIN(P20,FLOOR(Info!$T$32*FLOOR(Info!$T$32*FLOOR(FILTER($J$7:indirect(""J""&amp;row()-1),$C$7:indirect(""C""&amp;row()-1)=C20)*Info!$T$32)))))"),"")</f>
        <v/>
      </c>
      <c r="K20" s="46" t="str">
        <f>IFERROR(__xludf.DUMMYFUNCTION("IFS(AND(indirect(""D""&amp;row()+2)&lt;&gt;$E$2,indirect(""D""&amp;row()+1)=""""),CONCATENATE(""Tom rad! Kopiera hela rad ""&amp;row()&amp;"" dit""),
AND(indirect(""D""&amp;row()-1)&lt;&gt;""Rum"",indirect(""D""&amp;row()-1)=""""),CONCATENATE(""Tom rad! Kopiera hela rad ""&amp;row()&amp;"" dit""),
"&amp;"C20="""","""",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OR(AND(D20&lt;&gt;$E$2,D20&lt;&gt;$E$4,D20&lt;&gt;$K$4,D20&lt;&gt;$Q$4),D20="&amp;"""""),CONCATENATE(""Rum: ""&amp;D20&amp;"" finns ej, byt i D""&amp;row()),
AND(indirect(""D""&amp;row()-1)=""Rum"",C20=""""),CONCATENATE(""För att börja: skriv i cell C""&amp;row()),
AND(C20=""Paus"",M20&lt;=0),CONCATENATE(""Skriv pausens längd i M""&amp;row()),
OR(COUNTIF(Info!$A$"&amp;"22:A81,C20)&gt;0,C20=""""),"""",
AND(D20&lt;&gt;$E$2,$O$2=""Yes"",A20=""=time(hh;mm;ss)""),CONCATENATE(""Skriv starttid för ""&amp;C20&amp;"" i A""&amp;row()),
E20=""E - Error"",CONCATENATE(""För många ""&amp;C20&amp;"" rundor!""),
AND(C20&lt;&gt;""3x3 FMC"",C20&lt;&gt;""3x3 MBLD"",E20&lt;&gt;1,E20&lt;&gt;"&amp;"""Final"",IFERROR(FILTER($E$7:indirect(""E""&amp;row()-1),
$E$7:indirect(""E""&amp;row()-1)=E20-1,$C$7:indirect(""C""&amp;row()-1)=C20))=FALSE),CONCATENATE(""Kan ej vara R""&amp;E20&amp;"", saknar R""&amp;(E20-1)),
AND(indirect(""E""&amp;row()-1)&lt;&gt;""Omgång"",IFERROR(FILTER($E$7:indi"&amp;"rect(""E""&amp;row()-1),
$E$7:indirect(""E""&amp;row()-1)=E20,$C$7:indirect(""C""&amp;row()-1)=C20)=E20)=TRUE),CONCATENATE(""Runda ""&amp;E20&amp;"" i ""&amp;C20&amp;"" finns redan""),
AND(C20&lt;&gt;""3x3 BLD"",C20&lt;&gt;""4x4 BLD"",C20&lt;&gt;""5x5 BLD"",C20&lt;&gt;""4x4 / 5x5 BLD"",OR(E20=2,E20=3,E20="&amp;"""Final""),H20&lt;&gt;""""),CONCATENATE(E20&amp;""-rundor brukar ej ha c.t.l.""),
AND(OR(E20=2,E20=3,E20=""Final""),I20&lt;&gt;""""),CONCATENATE(E20&amp;""-rundor brukar ej ha cutoff""),
AND(OR(C20=""3x3 FMC"",C20=""3x3 MBLD""),OR(E20=1,E20=2,E20=3,E20=""Final"")),CONCATENAT"&amp;"E(C20&amp;""s omgång är Rx - Ax""),
AND(C20&lt;&gt;""3x3 MBLD"",C20&lt;&gt;""3x3 FMC"",FILTER(Info!$D$2:D81, Info!$A$2:A81 = C20)&lt;&gt;F20),CONCATENATE(C20&amp;"" måste ha formatet ""&amp;FILTER(Info!$D$2:D81, Info!$A$2:A81 = C20)),
AND(C20=""3x3 MBLD"",OR(F20=""Avg of 5"",F20=""Mea"&amp;"n of 3"")),CONCATENATE(""Ogiltigt format för ""&amp;C20),
AND(C20=""3x3 FMC"",OR(F20=""Avg of 5"",F20=""Best of 3"")),CONCATENATE(""Ogiltigt format för ""&amp;C20),
AND(OR(F20=""Best of 1"",F20=""Best of 2"",F20=""Best of 3""),I20&lt;&gt;""""),CONCATENATE(F20&amp;""-rundor"&amp;" får ej ha cutoff""),
AND(OR(C20=""3x3 FMC"",C20=""3x3 MBLD""),G20&lt;&gt;60),CONCATENATE(C20&amp;"" måste ha time limit: 60""),
AND(OR(C20=""3x3 FMC"",C20=""3x3 MBLD""),H20&lt;&gt;""""),CONCATENATE(C20&amp;"" kan inte ha c.t.l.""),
AND(G20&lt;&gt;"""",H20&lt;&gt;""""),""Välj time limit"&amp;" ELLER c.t.l"",
AND(C20=""6x6 / 7x7"",G20="""",H20=""""),""Sätt time limit (x / y) eller c.t.l (z)"",
AND(G20="""",H20=""""),""Sätt en time limit eller c.t.l"",
AND(OR(C20=""6x6 / 7x7"",C20=""4x4 / 5x5 BLD""),G20&lt;&gt;"""",REGEXMATCH(TO_TEXT(G20),"" / "")=FAL"&amp;"SE),CONCATENATE(""Time limit måste vara x / y""),
AND(H20&lt;&gt;"""",I20&lt;&gt;""""),CONCATENATE(C20&amp;"" brukar ej ha cutoff OCH c.t.l""),
AND(E20=1,H20="""",I20="""",OR(FILTER(Info!$E$2:E81, Info!$A$2:A81 = C20) = ""Yes"",FILTER(Info!$F$2:F81, Info!$A$2:A81 = C20) "&amp;"= ""Yes""),OR(F20=""Avg of 5"",F20=""Mean of 3"")),CONCATENATE(C20&amp;"" bör ha cutoff eller c.t.l""),
AND(C20=""6x6 / 7x7"",I20&lt;&gt;"""",REGEXMATCH(TO_TEXT(I20),"" / "")=FALSE),CONCATENATE(""Cutoff måste vara x / y""),
AND(H20&lt;&gt;"""",ISNUMBER(H20)=FALSE),""C.t."&amp;"l. måste vara positivt tal (x)"",
AND(C20&lt;&gt;""6x6 / 7x7"",I20&lt;&gt;"""",ISNUMBER(I20)=FALSE),""Cutoff måste vara positivt tal (x)"",
AND(H20&lt;&gt;"""",FILTER(Info!$E$2:E81, Info!$A$2:A81 = C20) = ""No"",FILTER(Info!$F$2:F81, Info!$A$2:A81 = C20) = ""No""),CONCATEN"&amp;"ATE(C20&amp;"" brukar inte ha c.t.l.""),
AND(I20&lt;&gt;"""",FILTER(Info!$E$2:E81, Info!$A$2:A81 = C20) = ""No"",FILTER(Info!$F$2:F81, Info!$A$2:A81 = C20) = ""No""),CONCATENATE(C20&amp;"" brukar inte ha cutoff""),
AND(H20="""",FILTER(Info!$F$2:F81, Info!$A$2:A81 = C20"&amp;") = ""Yes""),CONCATENATE(C20&amp;"" brukar ha c.t.l.""),
AND(C20&lt;&gt;""6x6 / 7x7"",C20&lt;&gt;""4x4 / 5x5 BLD"",G20&lt;&gt;"""",ISNUMBER(G20)=FALSE),""Time limit måste vara positivt tal (x)"",
J20=""J - Error"",CONCATENATE(""För få deltagare i R1 för ""&amp;COUNTIF($C$7:$C$61,i"&amp;"ndirect(""C""&amp;row()))&amp;"" rundor""),
J20=""K2 - Error"",CONCATENATE(C20&amp;"" är mer populär - byt i K2!""),
AND(C20&lt;&gt;""6x6 / 7x7"",C20&lt;&gt;""4x4 / 5x5 BLD"",G20&lt;&gt;"""",I20&lt;&gt;"""",G20&lt;=I20),""Time limit måste vara &gt; cutoff"",
AND(C20&lt;&gt;""6x6 / 7x7"",C20&lt;&gt;""4x4 / 5x"&amp;"5 BLD"",H20&lt;&gt;"""",I20&lt;&gt;"""",H20&lt;=I20),""C.t.l. måste vara &gt; cutoff"",
AND(C20&lt;&gt;""3x3 FMC"",C20&lt;&gt;""3x3 MBLD"",J20=""""),CONCATENATE(""Fyll i antal deltagare i J""&amp;row()),
AND(C20="""",OR(E20&lt;&gt;"""",F20&lt;&gt;"""",G20&lt;&gt;"""",H20&lt;&gt;"""",I20&lt;&gt;"""",J20&lt;&gt;"""")),""Skriv"&amp;" ALLTID gren / aktivitet först"",
AND(I20="""",H20="""",J20&lt;&gt;""""),J20,
OR(""3x3 FMC""=C20,""3x3 MBLD""=C20),J20,
AND(I20&lt;&gt;"""",""6x6 / 7x7""=C20),
IFS(ArrayFormula(SUM(IFERROR(SPLIT(I20,"" / ""))))&lt;(Info!$J$6+Info!$J$7)*2/3,CONCATENATE(""Höj helst cutoff"&amp;"s i ""&amp;C20),
ArrayFormula(SUM(IFERROR(SPLIT(I20,"" / ""))))&lt;=(Info!$J$6+Info!$J$7),ROUNDUP(J20*Info!$J$22),
ArrayFormula(SUM(IFERROR(SPLIT(I20,"" / ""))))&lt;=Info!$J$6+Info!$J$7,ROUNDUP(J20*Info!$K$22),
ArrayFormula(SUM(IFERROR(SPLIT(I20,"" / ""))))&lt;=Info!$"&amp;"K$6+Info!$K$7,ROUNDUP(J20*Info!L$22),
ArrayFormula(SUM(IFERROR(SPLIT(I20,"" / ""))))&lt;=Info!$L$6+Info!$L$7,ROUNDUP(J20*Info!$M$22),
ArrayFormula(SUM(IFERROR(SPLIT(I20,"" / ""))))&lt;=Info!$M$6+Info!$M$7,ROUNDUP(J20*Info!$N$22),
ArrayFormula(SUM(IFERROR(SPLIT("&amp;"I20,"" / ""))))&lt;=(Info!$N$6+Info!$N$7)*3/2,ROUNDUP(J20*Info!$J$26),
ArrayFormula(SUM(IFERROR(SPLIT(I20,"" / ""))))&gt;(Info!$N$6+Info!$N$7)*3/2,CONCATENATE(""Sänk helst cutoffs i ""&amp;C20)),
AND(I20&lt;&gt;"""",FILTER(Info!$E$2:E81, Info!$A$2:A81 = C20) = ""Yes""),
"&amp;"IFS(I20&lt;FILTER(Info!$J$2:J81, Info!$A$2:A81 = C20)*2/3,CONCATENATE(""Höj helst cutoff i ""&amp;C20),
I20&lt;=FILTER(Info!$J$2:J81, Info!$A$2:A81 = C20),ROUNDUP(J20*Info!$J$22),
I20&lt;=FILTER(Info!$K$2:K81, Info!$A$2:A81 = C20),ROUNDUP(J20*Info!$K$22),
I20&lt;=FILTER("&amp;"Info!$L$2:L81, Info!$A$2:A81 = C20),ROUNDUP(J20*Info!L$22),
I20&lt;=FILTER(Info!$M$2:M81, Info!$A$2:A81 = C20),ROUNDUP(J20*Info!$M$22),
I20&lt;=FILTER(Info!$N$2:N81, Info!$A$2:A81 = C20),ROUNDUP(J20*Info!$N$22),
I20&lt;=FILTER(Info!$N$2:N81, Info!$A$2:A81 = C20)*3"&amp;"/2,ROUNDUP(J20*Info!$J$26),
I20&gt;FILTER(Info!$N$2:N81, Info!$A$2:A81 = C20)*3/2,CONCATENATE(""Sänk helst cutoff i ""&amp;C20)),
AND(H20&lt;&gt;"""",""6x6 / 7x7""=C20),
IFS(H20/3&lt;=(Info!$J$6+Info!$J$7)*2/3,""Höj helst cumulative time limit"",
H20/3&lt;=Info!$J$6+Info!$J"&amp;"$7,ROUNDUP(J20*Info!$J$24),
H20/3&lt;=Info!$K$6+Info!$K$7,ROUNDUP(J20*Info!$K$24),
H20/3&lt;=Info!$L$6+Info!$L$7,ROUNDUP(J20*Info!L$24),
H20/3&lt;=Info!$M$6+Info!$M$7,ROUNDUP(J20*Info!$M$24),
H20/3&lt;=Info!$N$6+Info!$N$7,ROUNDUP(J20*Info!$N$24),
H20/3&lt;=(Info!$N$6+In"&amp;"fo!$N$7)*3/2,ROUNDUP(J20*Info!$L$26),
H20/3&gt;(Info!$J$6+Info!$J$7)*3/2,""Sänk helst cumulative time limit""),
AND(H20&lt;&gt;"""",FILTER(Info!$F$2:F81, Info!$A$2:A81 = C20) = ""Yes""),
IFS(H20&lt;=FILTER(Info!$J$2:J81, Info!$A$2:A81 = C20)*2/3,CONCATENATE(""Höj hel"&amp;"st c.t.l. i ""&amp;C20),
H20&lt;=FILTER(Info!$J$2:J81, Info!$A$2:A81 = C20),ROUNDUP(J20*Info!$J$24),
H20&lt;=FILTER(Info!$K$2:K81, Info!$A$2:A81 = C20),ROUNDUP(J20*Info!$K$24),
H20&lt;=FILTER(Info!$L$2:L81, Info!$A$2:A81 = C20),ROUNDUP(J20*Info!L$24),
H20&lt;=FILTER(Info"&amp;"!$M$2:M81, Info!$A$2:A81 = C20),ROUNDUP(J20*Info!$M$24),
H20&lt;=FILTER(Info!$N$2:N81, Info!$A$2:A81 = C20),ROUNDUP(J20*Info!$N$24),
H20&lt;=FILTER(Info!$N$2:N81, Info!$A$2:A81 = C20)*3/2,ROUNDUP(J20*Info!$L$26),
H20&gt;FILTER(Info!$N$2:N81, Info!$A$2:A81 = C20)*3"&amp;"/2,CONCATENATE(""Sänk helst c.t.l. i ""&amp;C20)),
AND(H20&lt;&gt;"""",FILTER(Info!$F$2:F81, Info!$A$2:A81 = C20) = ""No""),
IFS(H20/AA20&lt;=FILTER(Info!$J$2:J81, Info!$A$2:A81 = C20)*2/3,CONCATENATE(""Höj helst c.t.l. i ""&amp;C20),
H20/AA20&lt;=FILTER(Info!$J$2:J81, Info!"&amp;"$A$2:A81 = C20),ROUNDUP(J20*Info!$J$24),
H20/AA20&lt;=FILTER(Info!$K$2:K81, Info!$A$2:A81 = C20),ROUNDUP(J20*Info!$K$24),
H20/AA20&lt;=FILTER(Info!$L$2:L81, Info!$A$2:A81 = C20),ROUNDUP(J20*Info!L$24),
H20/AA20&lt;=FILTER(Info!$M$2:M81, Info!$A$2:A81 = C20),ROUNDU"&amp;"P(J20*Info!$M$24),
H20/AA20&lt;=FILTER(Info!$N$2:N81, Info!$A$2:A81 = C20),ROUNDUP(J20*Info!$N$24),
H20/AA20&lt;=FILTER(Info!$N$2:N81, Info!$A$2:A81 = C20)*3/2,ROUNDUP(J20*Info!$L$26),
H20/AA20&gt;FILTER(Info!$N$2:N81, Info!$A$2:A81 = C20)*3/2,CONCATENATE(""Sänk h"&amp;"elst c.t.l. i ""&amp;C20)),
AND(I20="""",H20&lt;&gt;"""",J20&lt;&gt;""""),ROUNDUP(J20*Info!$T$29),
AND(I20&lt;&gt;"""",H20="""",J20&lt;&gt;""""),ROUNDUP(J20*Info!$T$26))"),"")</f>
        <v/>
      </c>
      <c r="L20" s="47">
        <f>IFERROR(__xludf.DUMMYFUNCTION("IFS(C20="""",0,
C20=""3x3 FMC"",Info!$B$9*N20+M20, C20=""3x3 MBLD"",Info!$B$18*N20+M20,
COUNTIF(Info!$A$22:A81,C20)&gt;0,FILTER(Info!$B$22:B81,Info!$A$22:A81=C20)+M20,
AND(C20&lt;&gt;"""",E20=""""),CONCATENATE(""Fyll i E""&amp;row()),
AND(C20&lt;&gt;"""",E20&lt;&gt;"""",E20&lt;&gt;1,E2"&amp;"0&lt;&gt;2,E20&lt;&gt;3,E20&lt;&gt;""Final""),CONCATENATE(""Fel format på E""&amp;row()),
K20=CONCATENATE(""Runda ""&amp;E20&amp;"" i ""&amp;C20&amp;"" finns redan""),CONCATENATE(""Fel i E""&amp;row()),
AND(C20&lt;&gt;"""",F20=""""),CONCATENATE(""Fyll i F""&amp;row()),
K20=CONCATENATE(C20&amp;"" måste ha forma"&amp;"tet ""&amp;FILTER(Info!$D$2:D81, Info!$A$2:A81 = C20)),CONCATENATE(""Fel format på F""&amp;row()),
AND(C20&lt;&gt;"""",D20=1,H20="""",FILTER(Info!$F$2:F81, Info!$A$2:A81 = C20) = ""Yes""),CONCATENATE(""Fyll i H""&amp;row()),
AND(C20&lt;&gt;"""",D20=1,I20="""",FILTER(Info!$E$2:E8"&amp;"1, Info!$A$2:A81 = C20) = ""Yes""),CONCATENATE(""Fyll i I""&amp;row()),
AND(C20&lt;&gt;"""",J20=""""),CONCATENATE(""Fyll i J""&amp;row()),
AND(C20&lt;&gt;"""",K20="""",OR(H20&lt;&gt;"""",I20&lt;&gt;"""")),CONCATENATE(""Fyll i K""&amp;row()),
AND(C20&lt;&gt;"""",K20=""""),CONCATENATE(""Skriv samma"&amp;" i K""&amp;row()&amp;"" som i J""&amp;row()),
AND(OR(C20=""4x4 BLD"",C20=""5x5 BLD"",C20=""4x4 / 5x5 BLD"")=TRUE,V20&lt;=P20),
MROUND(H20*(Info!$T$20-((Info!$T$20-1)/2)*(1-V20/P20))*(1+((J20/K20)-1)*(1-Info!$J$24))*N20+(Info!$T$11/2)+(N20*Info!$T$11)+(N20*Info!$T$14*(O2"&amp;"0-1)),0.01)+M20,
AND(OR(C20=""4x4 BLD"",C20=""5x5 BLD"",C20=""4x4 / 5x5 BLD"")=TRUE,V20&gt;P20),
MROUND((((J20*Z20+K20*(AA20-Z20))*(H20*Info!$T$20/AA20))/X20)*(1+((J20/K20)-1)*(1-Info!$J$24))*(1+(X20-Info!$T$8)/100)+(Info!$T$11/2)+(N20*Info!$T$11)+(N20*Info!"&amp;"$T$14*(O20-1)),0.01)+M20,
AND(C20=""3x3 BLD"",V20&lt;=P20),
MROUND(H20*(Info!$T$23-((Info!$T$23-1)/2)*(1-V20/P20))*(1+((J20/K20)-1)*(1-Info!$J$24))*N20+(Info!$T$11/2)+(N20*Info!$T$11)+(N20*Info!$T$14*(O20-1)),0.01)+M20,
AND(C20=""3x3 BLD"",V20&gt;P20),
MROUND(("&amp;"((J20*Z20+K20*(AA20-Z20))*(H20*Info!$T$23/AA20))/X20)*(1+((J20/K20)-1)*(1-Info!$J$24))*(1+(X20-Info!$T$8)/100)+(Info!$T$11/2)+(N20*Info!$T$11)+(N20*Info!$T$14*(O20-1)),0.01)+M20,
E20=1,MROUND((((J20*Z20+K20*(AA20-Z20))*Y20)/X20)*(1+(X20-Info!$T$8)/100)+(N"&amp;"20*Info!$T$11)+(N20*Info!$T$14*(O20-1)),0.01)+M20,
AND(E20=""Final"",N20=1,FILTER(Info!$G$2:$G$20,Info!$A$2:$A$20=C20)=""Mycket svår""),
MROUND((((J20*Z20+K20*(AA20-Z20))*(Y20*Info!$T$38))/X20)*(1+(X20-Info!$T$8)/100)+(N20*Info!$T$11)+(N20*Info!$T$14*(O20"&amp;"-1)),0.01)+M20,
AND(E20=""Final"",N20=1,FILTER(Info!$G$2:$G$20,Info!$A$2:$A$20=C20)=""Svår""),
MROUND((((J20*Z20+K20*(AA20-Z20))*(Y20*Info!$T$35))/X20)*(1+(X20-Info!$T$8)/100)+(N20*Info!$T$11)+(N20*Info!$T$14*(O20-1)),0.01)+M20,
E20=""Final"",MROUND((((J2"&amp;"0*Z20+K20*(AA20-Z20))*(Y20*Info!$T$5))/X20)*(1+(X20-Info!$T$8)/100)+(N20*Info!$T$11)+(N20*Info!$T$14*(O20-1)),0.01)+M20,
OR(E20=2,E20=3),MROUND((((J20*Z20+K20*(AA20-Z20))*(Y20*Info!$T$2))/X20)*(1+(X20-Info!$T$8)/100)+(N20*Info!$T$11)+(N20*Info!$T$14*(O20-"&amp;"1)),0.01)+M20)"),0.0)</f>
        <v>0</v>
      </c>
      <c r="M20" s="48">
        <f t="shared" si="1"/>
        <v>0</v>
      </c>
      <c r="N20" s="48" t="str">
        <f>IFS(OR(COUNTIF(Info!$A$22:A81,C20)&gt;0,C20=""),"",
OR(C20="4x4 BLD",C20="5x5 BLD",C20="3x3 MBLD",C20="3x3 FMC",C20="4x4 / 5x5 BLD"),1,
AND(E20="Final",Q20="Yes",MAX(1,ROUNDUP(J20/P20))&gt;1),MAX(2,ROUNDUP(J20/P20)),
AND(E20="Final",Q20="No",MAX(1,ROUNDUP(J20/((P20*2)+2.625-Y20*1.5)))&gt;1),MAX(2,ROUNDUP(J20/((P20*2)+2.625-Y20*1.5))),
E20="Final",1,
Q20="Yes",MAX(2,ROUNDUP(J20/P20)),
TRUE,MAX(2,ROUNDUP(J20/((P20*2)+2.625-Y20*1.5))))</f>
        <v/>
      </c>
      <c r="O20" s="48" t="str">
        <f>IFS(OR(COUNTIF(Info!$A$22:A81,C20)&gt;0,C20=""),"",
OR("3x3 MBLD"=C20,"3x3 FMC"=C20)=TRUE,"",
D20=$E$4,$G$6,D20=$K$4,$M$6,D20=$Q$4,$S$6,D20=$W$4,$Y$6,
TRUE,$S$2)</f>
        <v/>
      </c>
      <c r="P20" s="48" t="str">
        <f>IFS(OR(COUNTIF(Info!$A$22:A81,C20)&gt;0,C20=""),"",
OR("3x3 MBLD"=C20,"3x3 FMC"=C20)=TRUE,"",
D20=$E$4,$E$6,D20=$K$4,$K$6,D20=$Q$4,$Q$6,D20=$W$4,$W$6,
TRUE,$Q$2)</f>
        <v/>
      </c>
      <c r="Q20" s="49" t="str">
        <f>IFS(OR(COUNTIF(Info!$A$22:A81,C20)&gt;0,C20=""),"",
OR("3x3 MBLD"=C20,"3x3 FMC"=C20)=TRUE,"",
D20=$E$4,$I$6,D20=$K$4,$O$6,D20=$Q$4,$U$6,D20=$W$4,$AA$6,
TRUE,$U$2)</f>
        <v/>
      </c>
      <c r="R20" s="50" t="str">
        <f>IFERROR(__xludf.DUMMYFUNCTION("IF(C20="""","""",IFERROR(FILTER(Info!$B$22:B81,Info!$A$22:A81=C20)+M20,""?""))"),"")</f>
        <v/>
      </c>
      <c r="S20" s="51" t="str">
        <f>IFS(OR(COUNTIF(Info!$A$22:A81,C20)&gt;0,C20=""),"",
AND(H20="",I20=""),J20,
TRUE,"?")</f>
        <v/>
      </c>
      <c r="T20" s="52" t="str">
        <f>IFS(OR(COUNTIF(Info!$A$22:A81,C20)&gt;0,C20=""),"",
AND(L20&lt;&gt;0,OR(R20="?",R20="")),"Fyll i R-kolumnen",
OR(C20="3x3 FMC",C20="3x3 MBLD"),R20,
AND(L20&lt;&gt;0,OR(S20="?",S20="")),"Fyll i S-kolumnen",
OR(COUNTIF(Info!$A$22:A81,C20)&gt;0,C20=""),"",
TRUE,Y20*R20/L20)</f>
        <v/>
      </c>
      <c r="U20" s="52"/>
      <c r="V20" s="53" t="str">
        <f>IFS(OR(COUNTIF(Info!$A$22:A81,C20)&gt;0,C20=""),"",
OR("3x3 MBLD"=C20,"3x3 FMC"=C20)=TRUE,"",
TRUE,MROUND((J20/N20),0.01))</f>
        <v/>
      </c>
      <c r="W20" s="54" t="str">
        <f>IFS(OR(COUNTIF(Info!$A$22:A81,C20)&gt;0,C20=""),"",
TRUE,L20/N20)</f>
        <v/>
      </c>
      <c r="X20" s="55" t="str">
        <f>IFS(OR(COUNTIF(Info!$A$22:A81,C20)&gt;0,C20=""),"",
OR("3x3 MBLD"=C20,"3x3 FMC"=C20)=TRUE,"",
OR(C20="4x4 BLD",C20="5x5 BLD",C20="4x4 / 5x5 BLD",AND(C20="3x3 BLD",H20&lt;&gt;""))=TRUE,MIN(V20,P20),
TRUE,MIN(P20,V20,MROUND(((V20*2/3)+((Y20-1.625)/2)),0.01)))</f>
        <v/>
      </c>
      <c r="Y20" s="56" t="str">
        <f>IFERROR(__xludf.DUMMYFUNCTION("IFS(OR(COUNTIF(Info!$A$22:A81,C20)&gt;0,C20=""""),"""",
FILTER(Info!$F$2:F81, Info!$A$2:A81 = C20) = ""Yes"",H20/AA20,
""3x3 FMC""=C20,Info!$B$9,""3x3 MBLD""=C20,Info!$B$18,
AND(E20=1,I20="""",H20="""",Q20=""No"",G20&gt;SUMIF(Info!$A$2:A81,C20,Info!$B$2:B81)*1."&amp;"5),
MIN(SUMIF(Info!$A$2:A81,C20,Info!$B$2:B81)*1.1,SUMIF(Info!$A$2:A81,C20,Info!$B$2:B81)*(1.15-(0.15*(SUMIF(Info!$A$2:A81,C20,Info!$B$2:B81)*1.5)/G20))),
AND(E20=1,I20="""",H20="""",Q20=""Yes"",G20&gt;SUMIF(Info!$A$2:A81,C20,Info!$C$2:C81)*1.5),
MIN(SUMIF(I"&amp;"nfo!$A$2:A81,C20,Info!$C$2:C81)*1.1,SUMIF(Info!$A$2:A81,C20,Info!$C$2:C81)*(1.15-(0.15*(SUMIF(Info!$A$2:A81,C20,Info!$C$2:C81)*1.5)/G20))),
Q20=""No"",SUMIF(Info!$A$2:A81,C20,Info!$B$2:B81),
Q20=""Yes"",SUMIF(Info!$A$2:A81,C20,Info!$C$2:C81))"),"")</f>
        <v/>
      </c>
      <c r="Z20" s="57" t="str">
        <f>IFS(OR(COUNTIF(Info!$A$22:A81,C20)&gt;0,C20=""),"",
AND(OR("3x3 FMC"=C20,"3x3 MBLD"=C20),I20&lt;&gt;""),1,
AND(OR(H20&lt;&gt;"",I20&lt;&gt;""),F20="Avg of 5"),2,
F20="Avg of 5",AA20,
AND(OR(H20&lt;&gt;"",I20&lt;&gt;""),F20="Mean of 3",C20="6x6 / 7x7"),2,
AND(OR(H20&lt;&gt;"",I20&lt;&gt;""),F20="Mean of 3"),1,
F20="Mean of 3",AA20,
AND(OR(H20&lt;&gt;"",I20&lt;&gt;""),F20="Best of 3",C20="4x4 / 5x5 BLD"),2,
AND(OR(H20&lt;&gt;"",I20&lt;&gt;""),F20="Best of 3"),1,
F20="Best of 2",AA20,
F20="Best of 1",AA20)</f>
        <v/>
      </c>
      <c r="AA20" s="57" t="str">
        <f>IFS(OR(COUNTIF(Info!$A$22:A81,C20)&gt;0,C20=""),"",
AND(OR("3x3 MBLD"=C20,"3x3 FMC"=C20),F20="Best of 1"=TRUE),1,
AND(OR("3x3 MBLD"=C20,"3x3 FMC"=C20),F20="Best of 2"=TRUE),2,
AND(OR("3x3 MBLD"=C20,"3x3 FMC"=C20),OR(F20="Best of 3",F20="Mean of 3")=TRUE),3,
AND(F20="Mean of 3",C20="6x6 / 7x7"),6,
AND(F20="Best of 3",C20="4x4 / 5x5 BLD"),6,
F20="Avg of 5",5,F20="Mean of 3",3,F20="Best of 3",3,F20="Best of 2",2,F20="Best of 1",1)</f>
        <v/>
      </c>
      <c r="AB20" s="58"/>
    </row>
    <row r="21">
      <c r="A21" s="40">
        <f>IFERROR(__xludf.DUMMYFUNCTION("IFS(indirect(""A""&amp;row()-1)=""Start"",TIME(indirect(""A""&amp;row()-2),indirect(""B""&amp;row()-2),0),
$O$2=""No"",TIME(0,($A$6*60+$B$6)+CEILING(SUM($L$7:indirect(""L""&amp;row()-1)),5),0),
D21=$E$2,TIME(0,($A$6*60+$B$6)+CEILING(SUM(IFERROR(FILTER($L$7:indirect(""L"""&amp;"&amp;row()-1),REGEXMATCH($D$7:indirect(""D""&amp;row()-1),$E$2)),0)),5),0),
TRUE,""=time(hh;mm;ss)"")"),0.4166666666666667)</f>
        <v>0.4166666667</v>
      </c>
      <c r="B21" s="41">
        <f>IFERROR(__xludf.DUMMYFUNCTION("IFS($O$2=""No"",TIME(0,($A$6*60+$B$6)+CEILING(SUM($L$7:indirect(""L""&amp;row())),5),0),
D21=$E$2,TIME(0,($A$6*60+$B$6)+CEILING(SUM(FILTER($L$7:indirect(""L""&amp;row()),REGEXMATCH($D$7:indirect(""D""&amp;row()),$E$2))),5),0),
A21=""=time(hh;mm;ss)"",CONCATENATE(""Sk"&amp;"riv tid i A""&amp;row()),
AND(A21&lt;&gt;"""",A21&lt;&gt;""=time(hh;mm;ss)""),A21+TIME(0,CEILING(indirect(""L""&amp;row()),5),0))"),0.4166666666666667)</f>
        <v>0.4166666667</v>
      </c>
      <c r="C21" s="42"/>
      <c r="D21" s="43" t="str">
        <f t="shared" si="2"/>
        <v>Stora salen</v>
      </c>
      <c r="E21" s="43" t="str">
        <f>IFERROR(__xludf.DUMMYFUNCTION("IFS(COUNTIF(Info!$A$22:A81,C21)&gt;0,"""",
AND(OR(""3x3 FMC""=C21,""3x3 MBLD""=C21),COUNTIF($C$7:indirect(""C""&amp;row()),indirect(""C""&amp;row()))&gt;=13),""E - Error"",
AND(OR(""3x3 FMC""=C21,""3x3 MBLD""=C21),COUNTIF($C$7:indirect(""C""&amp;row()),indirect(""C""&amp;row()"&amp;"))=12),""Final - A3"",
AND(OR(""3x3 FMC""=C21,""3x3 MBLD""=C21),COUNTIF($C$7:indirect(""C""&amp;row()),indirect(""C""&amp;row()))=11),""Final - A2"",
AND(OR(""3x3 FMC""=C21,""3x3 MBLD""=C21),COUNTIF($C$7:indirect(""C""&amp;row()),indirect(""C""&amp;row()))=10),""Final - "&amp;"A1"",
AND(OR(""3x3 FMC""=C21,""3x3 MBLD""=C21),COUNTIF($C$7:indirect(""C""&amp;row()),indirect(""C""&amp;row()))=9,
COUNTIF($C$7:$C$61,indirect(""C""&amp;row()))&gt;9),""R3 - A3"",
AND(OR(""3x3 FMC""=C21,""3x3 MBLD""=C21),COUNTIF($C$7:indirect(""C""&amp;row()),indirect(""C"&amp;"""&amp;row()))=9,
COUNTIF($C$7:$C$61,indirect(""C""&amp;row()))&lt;=9),""Final - A3"",
AND(OR(""3x3 FMC""=C21,""3x3 MBLD""=C21),COUNTIF($C$7:indirect(""C""&amp;row()),indirect(""C""&amp;row()))=8,
COUNTIF($C$7:$C$61,indirect(""C""&amp;row()))&gt;9),""R3 - A2"",
AND(OR(""3x3 FMC""="&amp;"C21,""3x3 MBLD""=C21),COUNTIF($C$7:indirect(""C""&amp;row()),indirect(""C""&amp;row()))=8,
COUNTIF($C$7:$C$61,indirect(""C""&amp;row()))&lt;=9),""Final - A2"",
AND(OR(""3x3 FMC""=C21,""3x3 MBLD""=C21),COUNTIF($C$7:indirect(""C""&amp;row()),indirect(""C""&amp;row()))=7,
COUNTIF("&amp;"$C$7:$C$61,indirect(""C""&amp;row()))&gt;9),""R3 - A1"",
AND(OR(""3x3 FMC""=C21,""3x3 MBLD""=C21),COUNTIF($C$7:indirect(""C""&amp;row()),indirect(""C""&amp;row()))=7,
COUNTIF($C$7:$C$61,indirect(""C""&amp;row()))&lt;=9),""Final - A1"",
AND(OR(""3x3 FMC""=C21,""3x3 MBLD""=C21),"&amp;"COUNTIF($C$7:indirect(""C""&amp;row()),indirect(""C""&amp;row()))=6,
COUNTIF($C$7:$C$61,indirect(""C""&amp;row()))&gt;6),""R2 - A3"",
AND(OR(""3x3 FMC""=C21,""3x3 MBLD""=C21),COUNTIF($C$7:indirect(""C""&amp;row()),indirect(""C""&amp;row()))=6,
COUNTIF($C$7:$C$61,indirect(""C""&amp;"&amp;"row()))&lt;=6),""Final - A3"",
AND(OR(""3x3 FMC""=C21,""3x3 MBLD""=C21),COUNTIF($C$7:indirect(""C""&amp;row()),indirect(""C""&amp;row()))=5,
COUNTIF($C$7:$C$61,indirect(""C""&amp;row()))&gt;6),""R2 - A2"",
AND(OR(""3x3 FMC""=C21,""3x3 MBLD""=C21),COUNTIF($C$7:indirect(""C"&amp;"""&amp;row()),indirect(""C""&amp;row()))=5,
COUNTIF($C$7:$C$61,indirect(""C""&amp;row()))&lt;=6),""Final - A2"",
AND(OR(""3x3 FMC""=C21,""3x3 MBLD""=C21),COUNTIF($C$7:indirect(""C""&amp;row()),indirect(""C""&amp;row()))=4,
COUNTIF($C$7:$C$61,indirect(""C""&amp;row()))&gt;6),""R2 - A1"&amp;""",
AND(OR(""3x3 FMC""=C21,""3x3 MBLD""=C21),COUNTIF($C$7:indirect(""C""&amp;row()),indirect(""C""&amp;row()))=4,
COUNTIF($C$7:$C$61,indirect(""C""&amp;row()))&lt;=6),""Final - A1"",
AND(OR(""3x3 FMC""=C21,""3x3 MBLD""=C21),COUNTIF($C$7:indirect(""C""&amp;row()),indirect("""&amp;"C""&amp;row()))=3),""R1 - A3"",
AND(OR(""3x3 FMC""=C21,""3x3 MBLD""=C21),COUNTIF($C$7:indirect(""C""&amp;row()),indirect(""C""&amp;row()))=2),""R1 - A2"",
AND(OR(""3x3 FMC""=C21,""3x3 MBLD""=C21),COUNTIF($C$7:indirect(""C""&amp;row()),indirect(""C""&amp;row()))=1),""R1 -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C21),ROUNDUP((FILTER(Info!$H$2:H81,Info!$A$2:A81=C21)/FILTER(Info!$H$2:H81,Info!$A$2:A81=$K$2))*$I$2)&gt;99),3,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C21),ROUNDUP((FILTER(Info!$H$2:H81,Info!$A$2:A81=C21)/FILTER(Info!$H$2:H81,Info!$A$2:A81=$K$2))*$I$2)&gt;15),2,
AND(COUNTIF($C$7:indirect(""C""&amp;row()),indirect(""C""&amp;row()))=2,COUNTIF($C$7:$C$61,indirect(""C""&amp;row()))=COUNTIF($C$7:indirect("""&amp;"C""&amp;row()),indirect(""C""&amp;row()))),""Final"",
COUNTIF($C$7:indirect(""C""&amp;row()),indirect(""C""&amp;row()))=1,1,
COUNTIF($C$7:indirect(""C""&amp;row()),indirect(""C""&amp;row()))=0,"""")"),"")</f>
        <v/>
      </c>
      <c r="F21" s="44" t="str">
        <f>IFERROR(__xludf.DUMMYFUNCTION("IFS(C21="""","""",
AND(C21=""3x3 FMC"",MOD(COUNTIF($C$7:indirect(""C""&amp;row()),indirect(""C""&amp;row())),3)=0),""Mean of 3"",
AND(C21=""3x3 MBLD"",MOD(COUNTIF($C$7:indirect(""C""&amp;row()),indirect(""C""&amp;row())),3)=0),""Best of 3"",
AND(C21=""3x3 FMC"",MOD(COUNT"&amp;"IF($C$7:indirect(""C""&amp;row()),indirect(""C""&amp;row())),3)=2,
COUNTIF($C$7:$C$61,indirect(""C""&amp;row()))&lt;=COUNTIF($C$7:indirect(""C""&amp;row()),indirect(""C""&amp;row()))),""Best of 2"",
AND(C21=""3x3 FMC"",MOD(COUNTIF($C$7:indirect(""C""&amp;row()),indirect(""C""&amp;row()"&amp;")),3)=2,
COUNTIF($C$7:$C$61,indirect(""C""&amp;row()))&gt;COUNTIF($C$7:indirect(""C""&amp;row()),indirect(""C""&amp;row()))),""Mean of 3"",
AND(C21=""3x3 MBLD"",MOD(COUNTIF($C$7:indirect(""C""&amp;row()),indirect(""C""&amp;row())),3)=2,
COUNTIF($C$7:$C$61,indirect(""C""&amp;row()))"&amp;"&lt;=COUNTIF($C$7:indirect(""C""&amp;row()),indirect(""C""&amp;row()))),""Best of 2"",
AND(C21=""3x3 MBLD"",MOD(COUNTIF($C$7:indirect(""C""&amp;row()),indirect(""C""&amp;row())),3)=2,
COUNTIF($C$7:$C$61,indirect(""C""&amp;row()))&gt;COUNTIF($C$7:indirect(""C""&amp;row()),indirect(""C"&amp;"""&amp;row()))),""Best of 3"",
AND(C21=""3x3 FMC"",MOD(COUNTIF($C$7:indirect(""C""&amp;row()),indirect(""C""&amp;row())),3)=1,
COUNTIF($C$7:$C$61,indirect(""C""&amp;row()))&lt;=COUNTIF($C$7:indirect(""C""&amp;row()),indirect(""C""&amp;row()))),""Best of 1"",
AND(C21=""3x3 FMC"",MOD"&amp;"(COUNTIF($C$7:indirect(""C""&amp;row()),indirect(""C""&amp;row())),3)=1,
COUNTIF($C$7:$C$61,indirect(""C""&amp;row()))=COUNTIF($C$7:indirect(""C""&amp;row()),indirect(""C""&amp;row()))+1),""Best of 2"",
AND(C21=""3x3 FMC"",MOD(COUNTIF($C$7:indirect(""C""&amp;row()),indirect(""C"&amp;"""&amp;row())),3)=1,
COUNTIF($C$7:$C$61,indirect(""C""&amp;row()))&gt;COUNTIF($C$7:indirect(""C""&amp;row()),indirect(""C""&amp;row()))),""Mean of 3"",
AND(C21=""3x3 MBLD"",MOD(COUNTIF($C$7:indirect(""C""&amp;row()),indirect(""C""&amp;row())),3)=1,
COUNTIF($C$7:$C$61,indirect(""C"""&amp;"&amp;row()))&lt;=COUNTIF($C$7:indirect(""C""&amp;row()),indirect(""C""&amp;row()))),""Best of 1"",
AND(C21=""3x3 MBLD"",MOD(COUNTIF($C$7:indirect(""C""&amp;row()),indirect(""C""&amp;row())),3)=1,
COUNTIF($C$7:$C$61,indirect(""C""&amp;row()))=COUNTIF($C$7:indirect(""C""&amp;row()),indir"&amp;"ect(""C""&amp;row()))+1),""Best of 2"",
AND(C21=""3x3 MBLD"",MOD(COUNTIF($C$7:indirect(""C""&amp;row()),indirect(""C""&amp;row())),3)=1,
COUNTIF($C$7:$C$61,indirect(""C""&amp;row()))&gt;COUNTIF($C$7:indirect(""C""&amp;row()),indirect(""C""&amp;row()))),""Best of 3"",
TRUE,(IFERROR("&amp;"FILTER(Info!$D$2:D81, Info!$A$2:A81 = C21), """")))"),"")</f>
        <v/>
      </c>
      <c r="G21" s="45" t="str">
        <f>IFERROR(__xludf.DUMMYFUNCTION("IFS(OR(COUNTIF(Info!$A$22:A81,C21)&gt;0,C21=""""),"""",
OR(""3x3 MBLD""=C21,""3x3 FMC""=C21),60,
AND(E21=1,FILTER(Info!$F$2:F81, Info!$A$2:A81 = C21) = ""No""),FILTER(Info!$P$2:P81, Info!$A$2:A81 = C21),
AND(E21=2,FILTER(Info!$F$2:F81, Info!$A$2:A81 = C21) ="&amp;" ""No""),FILTER(Info!$Q$2:Q81, Info!$A$2:A81 = C21),
AND(E21=3,FILTER(Info!$F$2:F81, Info!$A$2:A81 = C21) = ""No""),FILTER(Info!$R$2:R81, Info!$A$2:A81 = C21),
AND(E21=""Final"",FILTER(Info!$F$2:F81, Info!$A$2:A81 = C21) = ""No""),FILTER(Info!$S$2:S81, In"&amp;"fo!$A$2:A81 = C21),
FILTER(Info!$F$2:F81, Info!$A$2:A81 = C21) = ""Yes"","""")"),"")</f>
        <v/>
      </c>
      <c r="H21" s="45" t="str">
        <f>IFERROR(__xludf.DUMMYFUNCTION("IFS(OR(COUNTIF(Info!$A$22:A81,C21)&gt;0,C21=""""),"""",
OR(""3x3 MBLD""=C21,""3x3 FMC""=C21)=TRUE,"""",
FILTER(Info!$F$2:F81, Info!$A$2:A81 = C21) = ""Yes"",FILTER(Info!$O$2:O81, Info!$A$2:A81 = C21),
FILTER(Info!$F$2:F81, Info!$A$2:A81 = C21) = ""No"",IF(G2"&amp;"1="""",FILTER(Info!$O$2:O81, Info!$A$2:A81 = C21),""""))"),"")</f>
        <v/>
      </c>
      <c r="I21" s="45" t="str">
        <f>IFERROR(__xludf.DUMMYFUNCTION("IFS(OR(COUNTIF(Info!$A$22:A81,C21)&gt;0,C21="""",H21&lt;&gt;""""),"""",
AND(E21&lt;&gt;1,E21&lt;&gt;""R1 - A1"",E21&lt;&gt;""R1 - A2"",E21&lt;&gt;""R1 - A3""),"""",
FILTER(Info!$E$2:E81, Info!$A$2:A81 = C21) = ""Yes"",IF(H21="""",FILTER(Info!$L$2:L81, Info!$A$2:A81 = C21),""""),
FILTER(I"&amp;"nfo!$E$2:E81, Info!$A$2:A81 = C21) = ""No"","""")"),"")</f>
        <v/>
      </c>
      <c r="J21" s="45" t="str">
        <f>IFERROR(__xludf.DUMMYFUNCTION("IFS(OR(COUNTIF(Info!$A$22:A81,C21)&gt;0,C21="""",""3x3 MBLD""=C21,""3x3 FMC""=C21),"""",
AND(E21=1,FILTER(Info!$H$2:H81,Info!$A$2:A81 = C21)&lt;=FILTER(Info!$H$2:H81,Info!$A$2:A81=$K$2)),
ROUNDUP((FILTER(Info!$H$2:H81,Info!$A$2:A81 = C21)/FILTER(Info!$H$2:H81,I"&amp;"nfo!$A$2:A81=$K$2))*$I$2),
AND(E21=1,FILTER(Info!$H$2:H81,Info!$A$2:A81 = C21)&gt;FILTER(Info!$H$2:H81,Info!$A$2:A81=$K$2)),""K2 - Error"",
AND(E21=2,FILTER($J$7:indirect(""J""&amp;row()-1),$C$7:indirect(""C""&amp;row()-1)=C21)&lt;=7),""J - Error"",
E21=2,FLOOR(FILTER("&amp;"$J$7:indirect(""J""&amp;row()-1),$C$7:indirect(""C""&amp;row()-1)=C21)*Info!$T$32),
AND(E21=3,FILTER($J$7:indirect(""J""&amp;row()-1),$C$7:indirect(""C""&amp;row()-1)=C21)&lt;=15),""J - Error"",
E21=3,FLOOR(Info!$T$32*FLOOR(FILTER($J$7:indirect(""J""&amp;row()-1),$C$7:indirect("&amp;"""C""&amp;row()-1)=C21)*Info!$T$32)),
AND(E21=""Final"",COUNTIF($C$7:$C$61,C21)=2,FILTER($J$7:indirect(""J""&amp;row()-1),$C$7:indirect(""C""&amp;row()-1)=C21)&lt;=7),""J - Error"",
AND(E21=""Final"",COUNTIF($C$7:$C$61,C21)=2),
MIN(P21,FLOOR(FILTER($J$7:indirect(""J""&amp;r"&amp;"ow()-1),$C$7:indirect(""C""&amp;row()-1)=C21)*Info!$T$32)),
AND(E21=""Final"",COUNTIF($C$7:$C$61,C21)=3,FILTER($J$7:indirect(""J""&amp;row()-1),$C$7:indirect(""C""&amp;row()-1)=C21)&lt;=15),""J - Error"",
AND(E21=""Final"",COUNTIF($C$7:$C$61,C21)=3),
MIN(P21,FLOOR(Info!"&amp;"$T$32*FLOOR(FILTER($J$7:indirect(""J""&amp;row()-1),$C$7:indirect(""C""&amp;row()-1)=C21)*Info!$T$32))),
AND(E21=""Final"",COUNTIF($C$7:$C$61,C21)&gt;=4,FILTER($J$7:indirect(""J""&amp;row()-1),$C$7:indirect(""C""&amp;row()-1)=C21)&lt;=99),""J - Error"",
AND(E21=""Final"",COUNT"&amp;"IF($C$7:$C$61,C21)&gt;=4),
MIN(P21,FLOOR(Info!$T$32*FLOOR(Info!$T$32*FLOOR(FILTER($J$7:indirect(""J""&amp;row()-1),$C$7:indirect(""C""&amp;row()-1)=C21)*Info!$T$32)))))"),"")</f>
        <v/>
      </c>
      <c r="K21" s="46" t="str">
        <f>IFERROR(__xludf.DUMMYFUNCTION("IFS(AND(indirect(""D""&amp;row()+2)&lt;&gt;$E$2,indirect(""D""&amp;row()+1)=""""),CONCATENATE(""Tom rad! Kopiera hela rad ""&amp;row()&amp;"" dit""),
AND(indirect(""D""&amp;row()-1)&lt;&gt;""Rum"",indirect(""D""&amp;row()-1)=""""),CONCATENATE(""Tom rad! Kopiera hela rad ""&amp;row()&amp;"" dit""),
"&amp;"C21="""","""",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OR(AND(D21&lt;&gt;$E$2,D21&lt;&gt;$E$4,D21&lt;&gt;$K$4,D21&lt;&gt;$Q$4),D21="&amp;"""""),CONCATENATE(""Rum: ""&amp;D21&amp;"" finns ej, byt i D""&amp;row()),
AND(indirect(""D""&amp;row()-1)=""Rum"",C21=""""),CONCATENATE(""För att börja: skriv i cell C""&amp;row()),
AND(C21=""Paus"",M21&lt;=0),CONCATENATE(""Skriv pausens längd i M""&amp;row()),
OR(COUNTIF(Info!$A$"&amp;"22:A81,C21)&gt;0,C21=""""),"""",
AND(D21&lt;&gt;$E$2,$O$2=""Yes"",A21=""=time(hh;mm;ss)""),CONCATENATE(""Skriv starttid för ""&amp;C21&amp;"" i A""&amp;row()),
E21=""E - Error"",CONCATENATE(""För många ""&amp;C21&amp;"" rundor!""),
AND(C21&lt;&gt;""3x3 FMC"",C21&lt;&gt;""3x3 MBLD"",E21&lt;&gt;1,E21&lt;&gt;"&amp;"""Final"",IFERROR(FILTER($E$7:indirect(""E""&amp;row()-1),
$E$7:indirect(""E""&amp;row()-1)=E21-1,$C$7:indirect(""C""&amp;row()-1)=C21))=FALSE),CONCATENATE(""Kan ej vara R""&amp;E21&amp;"", saknar R""&amp;(E21-1)),
AND(indirect(""E""&amp;row()-1)&lt;&gt;""Omgång"",IFERROR(FILTER($E$7:indi"&amp;"rect(""E""&amp;row()-1),
$E$7:indirect(""E""&amp;row()-1)=E21,$C$7:indirect(""C""&amp;row()-1)=C21)=E21)=TRUE),CONCATENATE(""Runda ""&amp;E21&amp;"" i ""&amp;C21&amp;"" finns redan""),
AND(C21&lt;&gt;""3x3 BLD"",C21&lt;&gt;""4x4 BLD"",C21&lt;&gt;""5x5 BLD"",C21&lt;&gt;""4x4 / 5x5 BLD"",OR(E21=2,E21=3,E21="&amp;"""Final""),H21&lt;&gt;""""),CONCATENATE(E21&amp;""-rundor brukar ej ha c.t.l.""),
AND(OR(E21=2,E21=3,E21=""Final""),I21&lt;&gt;""""),CONCATENATE(E21&amp;""-rundor brukar ej ha cutoff""),
AND(OR(C21=""3x3 FMC"",C21=""3x3 MBLD""),OR(E21=1,E21=2,E21=3,E21=""Final"")),CONCATENAT"&amp;"E(C21&amp;""s omgång är Rx - Ax""),
AND(C21&lt;&gt;""3x3 MBLD"",C21&lt;&gt;""3x3 FMC"",FILTER(Info!$D$2:D81, Info!$A$2:A81 = C21)&lt;&gt;F21),CONCATENATE(C21&amp;"" måste ha formatet ""&amp;FILTER(Info!$D$2:D81, Info!$A$2:A81 = C21)),
AND(C21=""3x3 MBLD"",OR(F21=""Avg of 5"",F21=""Mea"&amp;"n of 3"")),CONCATENATE(""Ogiltigt format för ""&amp;C21),
AND(C21=""3x3 FMC"",OR(F21=""Avg of 5"",F21=""Best of 3"")),CONCATENATE(""Ogiltigt format för ""&amp;C21),
AND(OR(F21=""Best of 1"",F21=""Best of 2"",F21=""Best of 3""),I21&lt;&gt;""""),CONCATENATE(F21&amp;""-rundor"&amp;" får ej ha cutoff""),
AND(OR(C21=""3x3 FMC"",C21=""3x3 MBLD""),G21&lt;&gt;60),CONCATENATE(C21&amp;"" måste ha time limit: 60""),
AND(OR(C21=""3x3 FMC"",C21=""3x3 MBLD""),H21&lt;&gt;""""),CONCATENATE(C21&amp;"" kan inte ha c.t.l.""),
AND(G21&lt;&gt;"""",H21&lt;&gt;""""),""Välj time limit"&amp;" ELLER c.t.l"",
AND(C21=""6x6 / 7x7"",G21="""",H21=""""),""Sätt time limit (x / y) eller c.t.l (z)"",
AND(G21="""",H21=""""),""Sätt en time limit eller c.t.l"",
AND(OR(C21=""6x6 / 7x7"",C21=""4x4 / 5x5 BLD""),G21&lt;&gt;"""",REGEXMATCH(TO_TEXT(G21),"" / "")=FAL"&amp;"SE),CONCATENATE(""Time limit måste vara x / y""),
AND(H21&lt;&gt;"""",I21&lt;&gt;""""),CONCATENATE(C21&amp;"" brukar ej ha cutoff OCH c.t.l""),
AND(E21=1,H21="""",I21="""",OR(FILTER(Info!$E$2:E81, Info!$A$2:A81 = C21) = ""Yes"",FILTER(Info!$F$2:F81, Info!$A$2:A81 = C21) "&amp;"= ""Yes""),OR(F21=""Avg of 5"",F21=""Mean of 3"")),CONCATENATE(C21&amp;"" bör ha cutoff eller c.t.l""),
AND(C21=""6x6 / 7x7"",I21&lt;&gt;"""",REGEXMATCH(TO_TEXT(I21),"" / "")=FALSE),CONCATENATE(""Cutoff måste vara x / y""),
AND(H21&lt;&gt;"""",ISNUMBER(H21)=FALSE),""C.t."&amp;"l. måste vara positivt tal (x)"",
AND(C21&lt;&gt;""6x6 / 7x7"",I21&lt;&gt;"""",ISNUMBER(I21)=FALSE),""Cutoff måste vara positivt tal (x)"",
AND(H21&lt;&gt;"""",FILTER(Info!$E$2:E81, Info!$A$2:A81 = C21) = ""No"",FILTER(Info!$F$2:F81, Info!$A$2:A81 = C21) = ""No""),CONCATEN"&amp;"ATE(C21&amp;"" brukar inte ha c.t.l.""),
AND(I21&lt;&gt;"""",FILTER(Info!$E$2:E81, Info!$A$2:A81 = C21) = ""No"",FILTER(Info!$F$2:F81, Info!$A$2:A81 = C21) = ""No""),CONCATENATE(C21&amp;"" brukar inte ha cutoff""),
AND(H21="""",FILTER(Info!$F$2:F81, Info!$A$2:A81 = C21"&amp;") = ""Yes""),CONCATENATE(C21&amp;"" brukar ha c.t.l.""),
AND(C21&lt;&gt;""6x6 / 7x7"",C21&lt;&gt;""4x4 / 5x5 BLD"",G21&lt;&gt;"""",ISNUMBER(G21)=FALSE),""Time limit måste vara positivt tal (x)"",
J21=""J - Error"",CONCATENATE(""För få deltagare i R1 för ""&amp;COUNTIF($C$7:$C$61,i"&amp;"ndirect(""C""&amp;row()))&amp;"" rundor""),
J21=""K2 - Error"",CONCATENATE(C21&amp;"" är mer populär - byt i K2!""),
AND(C21&lt;&gt;""6x6 / 7x7"",C21&lt;&gt;""4x4 / 5x5 BLD"",G21&lt;&gt;"""",I21&lt;&gt;"""",G21&lt;=I21),""Time limit måste vara &gt; cutoff"",
AND(C21&lt;&gt;""6x6 / 7x7"",C21&lt;&gt;""4x4 / 5x"&amp;"5 BLD"",H21&lt;&gt;"""",I21&lt;&gt;"""",H21&lt;=I21),""C.t.l. måste vara &gt; cutoff"",
AND(C21&lt;&gt;""3x3 FMC"",C21&lt;&gt;""3x3 MBLD"",J21=""""),CONCATENATE(""Fyll i antal deltagare i J""&amp;row()),
AND(C21="""",OR(E21&lt;&gt;"""",F21&lt;&gt;"""",G21&lt;&gt;"""",H21&lt;&gt;"""",I21&lt;&gt;"""",J21&lt;&gt;"""")),""Skriv"&amp;" ALLTID gren / aktivitet först"",
AND(I21="""",H21="""",J21&lt;&gt;""""),J21,
OR(""3x3 FMC""=C21,""3x3 MBLD""=C21),J21,
AND(I21&lt;&gt;"""",""6x6 / 7x7""=C21),
IFS(ArrayFormula(SUM(IFERROR(SPLIT(I21,"" / ""))))&lt;(Info!$J$6+Info!$J$7)*2/3,CONCATENATE(""Höj helst cutoff"&amp;"s i ""&amp;C21),
ArrayFormula(SUM(IFERROR(SPLIT(I21,"" / ""))))&lt;=(Info!$J$6+Info!$J$7),ROUNDUP(J21*Info!$J$22),
ArrayFormula(SUM(IFERROR(SPLIT(I21,"" / ""))))&lt;=Info!$J$6+Info!$J$7,ROUNDUP(J21*Info!$K$22),
ArrayFormula(SUM(IFERROR(SPLIT(I21,"" / ""))))&lt;=Info!$"&amp;"K$6+Info!$K$7,ROUNDUP(J21*Info!L$22),
ArrayFormula(SUM(IFERROR(SPLIT(I21,"" / ""))))&lt;=Info!$L$6+Info!$L$7,ROUNDUP(J21*Info!$M$22),
ArrayFormula(SUM(IFERROR(SPLIT(I21,"" / ""))))&lt;=Info!$M$6+Info!$M$7,ROUNDUP(J21*Info!$N$22),
ArrayFormula(SUM(IFERROR(SPLIT("&amp;"I21,"" / ""))))&lt;=(Info!$N$6+Info!$N$7)*3/2,ROUNDUP(J21*Info!$J$26),
ArrayFormula(SUM(IFERROR(SPLIT(I21,"" / ""))))&gt;(Info!$N$6+Info!$N$7)*3/2,CONCATENATE(""Sänk helst cutoffs i ""&amp;C21)),
AND(I21&lt;&gt;"""",FILTER(Info!$E$2:E81, Info!$A$2:A81 = C21) = ""Yes""),
"&amp;"IFS(I21&lt;FILTER(Info!$J$2:J81, Info!$A$2:A81 = C21)*2/3,CONCATENATE(""Höj helst cutoff i ""&amp;C21),
I21&lt;=FILTER(Info!$J$2:J81, Info!$A$2:A81 = C21),ROUNDUP(J21*Info!$J$22),
I21&lt;=FILTER(Info!$K$2:K81, Info!$A$2:A81 = C21),ROUNDUP(J21*Info!$K$22),
I21&lt;=FILTER("&amp;"Info!$L$2:L81, Info!$A$2:A81 = C21),ROUNDUP(J21*Info!L$22),
I21&lt;=FILTER(Info!$M$2:M81, Info!$A$2:A81 = C21),ROUNDUP(J21*Info!$M$22),
I21&lt;=FILTER(Info!$N$2:N81, Info!$A$2:A81 = C21),ROUNDUP(J21*Info!$N$22),
I21&lt;=FILTER(Info!$N$2:N81, Info!$A$2:A81 = C21)*3"&amp;"/2,ROUNDUP(J21*Info!$J$26),
I21&gt;FILTER(Info!$N$2:N81, Info!$A$2:A81 = C21)*3/2,CONCATENATE(""Sänk helst cutoff i ""&amp;C21)),
AND(H21&lt;&gt;"""",""6x6 / 7x7""=C21),
IFS(H21/3&lt;=(Info!$J$6+Info!$J$7)*2/3,""Höj helst cumulative time limit"",
H21/3&lt;=Info!$J$6+Info!$J"&amp;"$7,ROUNDUP(J21*Info!$J$24),
H21/3&lt;=Info!$K$6+Info!$K$7,ROUNDUP(J21*Info!$K$24),
H21/3&lt;=Info!$L$6+Info!$L$7,ROUNDUP(J21*Info!L$24),
H21/3&lt;=Info!$M$6+Info!$M$7,ROUNDUP(J21*Info!$M$24),
H21/3&lt;=Info!$N$6+Info!$N$7,ROUNDUP(J21*Info!$N$24),
H21/3&lt;=(Info!$N$6+In"&amp;"fo!$N$7)*3/2,ROUNDUP(J21*Info!$L$26),
H21/3&gt;(Info!$J$6+Info!$J$7)*3/2,""Sänk helst cumulative time limit""),
AND(H21&lt;&gt;"""",FILTER(Info!$F$2:F81, Info!$A$2:A81 = C21) = ""Yes""),
IFS(H21&lt;=FILTER(Info!$J$2:J81, Info!$A$2:A81 = C21)*2/3,CONCATENATE(""Höj hel"&amp;"st c.t.l. i ""&amp;C21),
H21&lt;=FILTER(Info!$J$2:J81, Info!$A$2:A81 = C21),ROUNDUP(J21*Info!$J$24),
H21&lt;=FILTER(Info!$K$2:K81, Info!$A$2:A81 = C21),ROUNDUP(J21*Info!$K$24),
H21&lt;=FILTER(Info!$L$2:L81, Info!$A$2:A81 = C21),ROUNDUP(J21*Info!L$24),
H21&lt;=FILTER(Info"&amp;"!$M$2:M81, Info!$A$2:A81 = C21),ROUNDUP(J21*Info!$M$24),
H21&lt;=FILTER(Info!$N$2:N81, Info!$A$2:A81 = C21),ROUNDUP(J21*Info!$N$24),
H21&lt;=FILTER(Info!$N$2:N81, Info!$A$2:A81 = C21)*3/2,ROUNDUP(J21*Info!$L$26),
H21&gt;FILTER(Info!$N$2:N81, Info!$A$2:A81 = C21)*3"&amp;"/2,CONCATENATE(""Sänk helst c.t.l. i ""&amp;C21)),
AND(H21&lt;&gt;"""",FILTER(Info!$F$2:F81, Info!$A$2:A81 = C21) = ""No""),
IFS(H21/AA21&lt;=FILTER(Info!$J$2:J81, Info!$A$2:A81 = C21)*2/3,CONCATENATE(""Höj helst c.t.l. i ""&amp;C21),
H21/AA21&lt;=FILTER(Info!$J$2:J81, Info!"&amp;"$A$2:A81 = C21),ROUNDUP(J21*Info!$J$24),
H21/AA21&lt;=FILTER(Info!$K$2:K81, Info!$A$2:A81 = C21),ROUNDUP(J21*Info!$K$24),
H21/AA21&lt;=FILTER(Info!$L$2:L81, Info!$A$2:A81 = C21),ROUNDUP(J21*Info!L$24),
H21/AA21&lt;=FILTER(Info!$M$2:M81, Info!$A$2:A81 = C21),ROUNDU"&amp;"P(J21*Info!$M$24),
H21/AA21&lt;=FILTER(Info!$N$2:N81, Info!$A$2:A81 = C21),ROUNDUP(J21*Info!$N$24),
H21/AA21&lt;=FILTER(Info!$N$2:N81, Info!$A$2:A81 = C21)*3/2,ROUNDUP(J21*Info!$L$26),
H21/AA21&gt;FILTER(Info!$N$2:N81, Info!$A$2:A81 = C21)*3/2,CONCATENATE(""Sänk h"&amp;"elst c.t.l. i ""&amp;C21)),
AND(I21="""",H21&lt;&gt;"""",J21&lt;&gt;""""),ROUNDUP(J21*Info!$T$29),
AND(I21&lt;&gt;"""",H21="""",J21&lt;&gt;""""),ROUNDUP(J21*Info!$T$26))"),"")</f>
        <v/>
      </c>
      <c r="L21" s="47">
        <f>IFERROR(__xludf.DUMMYFUNCTION("IFS(C21="""",0,
C21=""3x3 FMC"",Info!$B$9*N21+M21, C21=""3x3 MBLD"",Info!$B$18*N21+M21,
COUNTIF(Info!$A$22:A81,C21)&gt;0,FILTER(Info!$B$22:B81,Info!$A$22:A81=C21)+M21,
AND(C21&lt;&gt;"""",E21=""""),CONCATENATE(""Fyll i E""&amp;row()),
AND(C21&lt;&gt;"""",E21&lt;&gt;"""",E21&lt;&gt;1,E2"&amp;"1&lt;&gt;2,E21&lt;&gt;3,E21&lt;&gt;""Final""),CONCATENATE(""Fel format på E""&amp;row()),
K21=CONCATENATE(""Runda ""&amp;E21&amp;"" i ""&amp;C21&amp;"" finns redan""),CONCATENATE(""Fel i E""&amp;row()),
AND(C21&lt;&gt;"""",F21=""""),CONCATENATE(""Fyll i F""&amp;row()),
K21=CONCATENATE(C21&amp;"" måste ha forma"&amp;"tet ""&amp;FILTER(Info!$D$2:D81, Info!$A$2:A81 = C21)),CONCATENATE(""Fel format på F""&amp;row()),
AND(C21&lt;&gt;"""",D21=1,H21="""",FILTER(Info!$F$2:F81, Info!$A$2:A81 = C21) = ""Yes""),CONCATENATE(""Fyll i H""&amp;row()),
AND(C21&lt;&gt;"""",D21=1,I21="""",FILTER(Info!$E$2:E8"&amp;"1, Info!$A$2:A81 = C21) = ""Yes""),CONCATENATE(""Fyll i I""&amp;row()),
AND(C21&lt;&gt;"""",J21=""""),CONCATENATE(""Fyll i J""&amp;row()),
AND(C21&lt;&gt;"""",K21="""",OR(H21&lt;&gt;"""",I21&lt;&gt;"""")),CONCATENATE(""Fyll i K""&amp;row()),
AND(C21&lt;&gt;"""",K21=""""),CONCATENATE(""Skriv samma"&amp;" i K""&amp;row()&amp;"" som i J""&amp;row()),
AND(OR(C21=""4x4 BLD"",C21=""5x5 BLD"",C21=""4x4 / 5x5 BLD"")=TRUE,V21&lt;=P21),
MROUND(H21*(Info!$T$20-((Info!$T$20-1)/2)*(1-V21/P21))*(1+((J21/K21)-1)*(1-Info!$J$24))*N21+(Info!$T$11/2)+(N21*Info!$T$11)+(N21*Info!$T$14*(O2"&amp;"1-1)),0.01)+M21,
AND(OR(C21=""4x4 BLD"",C21=""5x5 BLD"",C21=""4x4 / 5x5 BLD"")=TRUE,V21&gt;P21),
MROUND((((J21*Z21+K21*(AA21-Z21))*(H21*Info!$T$20/AA21))/X21)*(1+((J21/K21)-1)*(1-Info!$J$24))*(1+(X21-Info!$T$8)/100)+(Info!$T$11/2)+(N21*Info!$T$11)+(N21*Info!"&amp;"$T$14*(O21-1)),0.01)+M21,
AND(C21=""3x3 BLD"",V21&lt;=P21),
MROUND(H21*(Info!$T$23-((Info!$T$23-1)/2)*(1-V21/P21))*(1+((J21/K21)-1)*(1-Info!$J$24))*N21+(Info!$T$11/2)+(N21*Info!$T$11)+(N21*Info!$T$14*(O21-1)),0.01)+M21,
AND(C21=""3x3 BLD"",V21&gt;P21),
MROUND(("&amp;"((J21*Z21+K21*(AA21-Z21))*(H21*Info!$T$23/AA21))/X21)*(1+((J21/K21)-1)*(1-Info!$J$24))*(1+(X21-Info!$T$8)/100)+(Info!$T$11/2)+(N21*Info!$T$11)+(N21*Info!$T$14*(O21-1)),0.01)+M21,
E21=1,MROUND((((J21*Z21+K21*(AA21-Z21))*Y21)/X21)*(1+(X21-Info!$T$8)/100)+(N"&amp;"21*Info!$T$11)+(N21*Info!$T$14*(O21-1)),0.01)+M21,
AND(E21=""Final"",N21=1,FILTER(Info!$G$2:$G$20,Info!$A$2:$A$20=C21)=""Mycket svår""),
MROUND((((J21*Z21+K21*(AA21-Z21))*(Y21*Info!$T$38))/X21)*(1+(X21-Info!$T$8)/100)+(N21*Info!$T$11)+(N21*Info!$T$14*(O21"&amp;"-1)),0.01)+M21,
AND(E21=""Final"",N21=1,FILTER(Info!$G$2:$G$20,Info!$A$2:$A$20=C21)=""Svår""),
MROUND((((J21*Z21+K21*(AA21-Z21))*(Y21*Info!$T$35))/X21)*(1+(X21-Info!$T$8)/100)+(N21*Info!$T$11)+(N21*Info!$T$14*(O21-1)),0.01)+M21,
E21=""Final"",MROUND((((J2"&amp;"1*Z21+K21*(AA21-Z21))*(Y21*Info!$T$5))/X21)*(1+(X21-Info!$T$8)/100)+(N21*Info!$T$11)+(N21*Info!$T$14*(O21-1)),0.01)+M21,
OR(E21=2,E21=3),MROUND((((J21*Z21+K21*(AA21-Z21))*(Y21*Info!$T$2))/X21)*(1+(X21-Info!$T$8)/100)+(N21*Info!$T$11)+(N21*Info!$T$14*(O21-"&amp;"1)),0.01)+M21)"),0.0)</f>
        <v>0</v>
      </c>
      <c r="M21" s="48">
        <f t="shared" si="1"/>
        <v>0</v>
      </c>
      <c r="N21" s="48" t="str">
        <f>IFS(OR(COUNTIF(Info!$A$22:A81,C21)&gt;0,C21=""),"",
OR(C21="4x4 BLD",C21="5x5 BLD",C21="3x3 MBLD",C21="3x3 FMC",C21="4x4 / 5x5 BLD"),1,
AND(E21="Final",Q21="Yes",MAX(1,ROUNDUP(J21/P21))&gt;1),MAX(2,ROUNDUP(J21/P21)),
AND(E21="Final",Q21="No",MAX(1,ROUNDUP(J21/((P21*2)+2.625-Y21*1.5)))&gt;1),MAX(2,ROUNDUP(J21/((P21*2)+2.625-Y21*1.5))),
E21="Final",1,
Q21="Yes",MAX(2,ROUNDUP(J21/P21)),
TRUE,MAX(2,ROUNDUP(J21/((P21*2)+2.625-Y21*1.5))))</f>
        <v/>
      </c>
      <c r="O21" s="48" t="str">
        <f>IFS(OR(COUNTIF(Info!$A$22:A81,C21)&gt;0,C21=""),"",
OR("3x3 MBLD"=C21,"3x3 FMC"=C21)=TRUE,"",
D21=$E$4,$G$6,D21=$K$4,$M$6,D21=$Q$4,$S$6,D21=$W$4,$Y$6,
TRUE,$S$2)</f>
        <v/>
      </c>
      <c r="P21" s="48" t="str">
        <f>IFS(OR(COUNTIF(Info!$A$22:A81,C21)&gt;0,C21=""),"",
OR("3x3 MBLD"=C21,"3x3 FMC"=C21)=TRUE,"",
D21=$E$4,$E$6,D21=$K$4,$K$6,D21=$Q$4,$Q$6,D21=$W$4,$W$6,
TRUE,$Q$2)</f>
        <v/>
      </c>
      <c r="Q21" s="49" t="str">
        <f>IFS(OR(COUNTIF(Info!$A$22:A81,C21)&gt;0,C21=""),"",
OR("3x3 MBLD"=C21,"3x3 FMC"=C21)=TRUE,"",
D21=$E$4,$I$6,D21=$K$4,$O$6,D21=$Q$4,$U$6,D21=$W$4,$AA$6,
TRUE,$U$2)</f>
        <v/>
      </c>
      <c r="R21" s="50" t="str">
        <f>IFERROR(__xludf.DUMMYFUNCTION("IF(C21="""","""",IFERROR(FILTER(Info!$B$22:B81,Info!$A$22:A81=C21)+M21,""?""))"),"")</f>
        <v/>
      </c>
      <c r="S21" s="51" t="str">
        <f>IFS(OR(COUNTIF(Info!$A$22:A81,C21)&gt;0,C21=""),"",
AND(H21="",I21=""),J21,
TRUE,"?")</f>
        <v/>
      </c>
      <c r="T21" s="52" t="str">
        <f>IFS(OR(COUNTIF(Info!$A$22:A81,C21)&gt;0,C21=""),"",
AND(L21&lt;&gt;0,OR(R21="?",R21="")),"Fyll i R-kolumnen",
OR(C21="3x3 FMC",C21="3x3 MBLD"),R21,
AND(L21&lt;&gt;0,OR(S21="?",S21="")),"Fyll i S-kolumnen",
OR(COUNTIF(Info!$A$22:A81,C21)&gt;0,C21=""),"",
TRUE,Y21*R21/L21)</f>
        <v/>
      </c>
      <c r="U21" s="52"/>
      <c r="V21" s="53" t="str">
        <f>IFS(OR(COUNTIF(Info!$A$22:A81,C21)&gt;0,C21=""),"",
OR("3x3 MBLD"=C21,"3x3 FMC"=C21)=TRUE,"",
TRUE,MROUND((J21/N21),0.01))</f>
        <v/>
      </c>
      <c r="W21" s="54" t="str">
        <f>IFS(OR(COUNTIF(Info!$A$22:A81,C21)&gt;0,C21=""),"",
TRUE,L21/N21)</f>
        <v/>
      </c>
      <c r="X21" s="55" t="str">
        <f>IFS(OR(COUNTIF(Info!$A$22:A81,C21)&gt;0,C21=""),"",
OR("3x3 MBLD"=C21,"3x3 FMC"=C21)=TRUE,"",
OR(C21="4x4 BLD",C21="5x5 BLD",C21="4x4 / 5x5 BLD",AND(C21="3x3 BLD",H21&lt;&gt;""))=TRUE,MIN(V21,P21),
TRUE,MIN(P21,V21,MROUND(((V21*2/3)+((Y21-1.625)/2)),0.01)))</f>
        <v/>
      </c>
      <c r="Y21" s="56" t="str">
        <f>IFERROR(__xludf.DUMMYFUNCTION("IFS(OR(COUNTIF(Info!$A$22:A81,C21)&gt;0,C21=""""),"""",
FILTER(Info!$F$2:F81, Info!$A$2:A81 = C21) = ""Yes"",H21/AA21,
""3x3 FMC""=C21,Info!$B$9,""3x3 MBLD""=C21,Info!$B$18,
AND(E21=1,I21="""",H21="""",Q21=""No"",G21&gt;SUMIF(Info!$A$2:A81,C21,Info!$B$2:B81)*1."&amp;"5),
MIN(SUMIF(Info!$A$2:A81,C21,Info!$B$2:B81)*1.1,SUMIF(Info!$A$2:A81,C21,Info!$B$2:B81)*(1.15-(0.15*(SUMIF(Info!$A$2:A81,C21,Info!$B$2:B81)*1.5)/G21))),
AND(E21=1,I21="""",H21="""",Q21=""Yes"",G21&gt;SUMIF(Info!$A$2:A81,C21,Info!$C$2:C81)*1.5),
MIN(SUMIF(I"&amp;"nfo!$A$2:A81,C21,Info!$C$2:C81)*1.1,SUMIF(Info!$A$2:A81,C21,Info!$C$2:C81)*(1.15-(0.15*(SUMIF(Info!$A$2:A81,C21,Info!$C$2:C81)*1.5)/G21))),
Q21=""No"",SUMIF(Info!$A$2:A81,C21,Info!$B$2:B81),
Q21=""Yes"",SUMIF(Info!$A$2:A81,C21,Info!$C$2:C81))"),"")</f>
        <v/>
      </c>
      <c r="Z21" s="57" t="str">
        <f>IFS(OR(COUNTIF(Info!$A$22:A81,C21)&gt;0,C21=""),"",
AND(OR("3x3 FMC"=C21,"3x3 MBLD"=C21),I21&lt;&gt;""),1,
AND(OR(H21&lt;&gt;"",I21&lt;&gt;""),F21="Avg of 5"),2,
F21="Avg of 5",AA21,
AND(OR(H21&lt;&gt;"",I21&lt;&gt;""),F21="Mean of 3",C21="6x6 / 7x7"),2,
AND(OR(H21&lt;&gt;"",I21&lt;&gt;""),F21="Mean of 3"),1,
F21="Mean of 3",AA21,
AND(OR(H21&lt;&gt;"",I21&lt;&gt;""),F21="Best of 3",C21="4x4 / 5x5 BLD"),2,
AND(OR(H21&lt;&gt;"",I21&lt;&gt;""),F21="Best of 3"),1,
F21="Best of 2",AA21,
F21="Best of 1",AA21)</f>
        <v/>
      </c>
      <c r="AA21" s="57" t="str">
        <f>IFS(OR(COUNTIF(Info!$A$22:A81,C21)&gt;0,C21=""),"",
AND(OR("3x3 MBLD"=C21,"3x3 FMC"=C21),F21="Best of 1"=TRUE),1,
AND(OR("3x3 MBLD"=C21,"3x3 FMC"=C21),F21="Best of 2"=TRUE),2,
AND(OR("3x3 MBLD"=C21,"3x3 FMC"=C21),OR(F21="Best of 3",F21="Mean of 3")=TRUE),3,
AND(F21="Mean of 3",C21="6x6 / 7x7"),6,
AND(F21="Best of 3",C21="4x4 / 5x5 BLD"),6,
F21="Avg of 5",5,F21="Mean of 3",3,F21="Best of 3",3,F21="Best of 2",2,F21="Best of 1",1)</f>
        <v/>
      </c>
      <c r="AB21" s="58"/>
    </row>
    <row r="22">
      <c r="A22" s="40">
        <f>IFERROR(__xludf.DUMMYFUNCTION("IFS(indirect(""A""&amp;row()-1)=""Start"",TIME(indirect(""A""&amp;row()-2),indirect(""B""&amp;row()-2),0),
$O$2=""No"",TIME(0,($A$6*60+$B$6)+CEILING(SUM($L$7:indirect(""L""&amp;row()-1)),5),0),
D22=$E$2,TIME(0,($A$6*60+$B$6)+CEILING(SUM(IFERROR(FILTER($L$7:indirect(""L"""&amp;"&amp;row()-1),REGEXMATCH($D$7:indirect(""D""&amp;row()-1),$E$2)),0)),5),0),
TRUE,""=time(hh;mm;ss)"")"),0.4166666666666667)</f>
        <v>0.4166666667</v>
      </c>
      <c r="B22" s="41">
        <f>IFERROR(__xludf.DUMMYFUNCTION("IFS($O$2=""No"",TIME(0,($A$6*60+$B$6)+CEILING(SUM($L$7:indirect(""L""&amp;row())),5),0),
D22=$E$2,TIME(0,($A$6*60+$B$6)+CEILING(SUM(FILTER($L$7:indirect(""L""&amp;row()),REGEXMATCH($D$7:indirect(""D""&amp;row()),$E$2))),5),0),
A22=""=time(hh;mm;ss)"",CONCATENATE(""Sk"&amp;"riv tid i A""&amp;row()),
AND(A22&lt;&gt;"""",A22&lt;&gt;""=time(hh;mm;ss)""),A22+TIME(0,CEILING(indirect(""L""&amp;row()),5),0))"),0.4166666666666667)</f>
        <v>0.4166666667</v>
      </c>
      <c r="C22" s="42"/>
      <c r="D22" s="43" t="str">
        <f t="shared" si="2"/>
        <v>Stora salen</v>
      </c>
      <c r="E22" s="43" t="str">
        <f>IFERROR(__xludf.DUMMYFUNCTION("IFS(COUNTIF(Info!$A$22:A81,C22)&gt;0,"""",
AND(OR(""3x3 FMC""=C22,""3x3 MBLD""=C22),COUNTIF($C$7:indirect(""C""&amp;row()),indirect(""C""&amp;row()))&gt;=13),""E - Error"",
AND(OR(""3x3 FMC""=C22,""3x3 MBLD""=C22),COUNTIF($C$7:indirect(""C""&amp;row()),indirect(""C""&amp;row()"&amp;"))=12),""Final - A3"",
AND(OR(""3x3 FMC""=C22,""3x3 MBLD""=C22),COUNTIF($C$7:indirect(""C""&amp;row()),indirect(""C""&amp;row()))=11),""Final - A2"",
AND(OR(""3x3 FMC""=C22,""3x3 MBLD""=C22),COUNTIF($C$7:indirect(""C""&amp;row()),indirect(""C""&amp;row()))=10),""Final - "&amp;"A1"",
AND(OR(""3x3 FMC""=C22,""3x3 MBLD""=C22),COUNTIF($C$7:indirect(""C""&amp;row()),indirect(""C""&amp;row()))=9,
COUNTIF($C$7:$C$61,indirect(""C""&amp;row()))&gt;9),""R3 - A3"",
AND(OR(""3x3 FMC""=C22,""3x3 MBLD""=C22),COUNTIF($C$7:indirect(""C""&amp;row()),indirect(""C"&amp;"""&amp;row()))=9,
COUNTIF($C$7:$C$61,indirect(""C""&amp;row()))&lt;=9),""Final - A3"",
AND(OR(""3x3 FMC""=C22,""3x3 MBLD""=C22),COUNTIF($C$7:indirect(""C""&amp;row()),indirect(""C""&amp;row()))=8,
COUNTIF($C$7:$C$61,indirect(""C""&amp;row()))&gt;9),""R3 - A2"",
AND(OR(""3x3 FMC""="&amp;"C22,""3x3 MBLD""=C22),COUNTIF($C$7:indirect(""C""&amp;row()),indirect(""C""&amp;row()))=8,
COUNTIF($C$7:$C$61,indirect(""C""&amp;row()))&lt;=9),""Final - A2"",
AND(OR(""3x3 FMC""=C22,""3x3 MBLD""=C22),COUNTIF($C$7:indirect(""C""&amp;row()),indirect(""C""&amp;row()))=7,
COUNTIF("&amp;"$C$7:$C$61,indirect(""C""&amp;row()))&gt;9),""R3 - A1"",
AND(OR(""3x3 FMC""=C22,""3x3 MBLD""=C22),COUNTIF($C$7:indirect(""C""&amp;row()),indirect(""C""&amp;row()))=7,
COUNTIF($C$7:$C$61,indirect(""C""&amp;row()))&lt;=9),""Final - A1"",
AND(OR(""3x3 FMC""=C22,""3x3 MBLD""=C22),"&amp;"COUNTIF($C$7:indirect(""C""&amp;row()),indirect(""C""&amp;row()))=6,
COUNTIF($C$7:$C$61,indirect(""C""&amp;row()))&gt;6),""R2 - A3"",
AND(OR(""3x3 FMC""=C22,""3x3 MBLD""=C22),COUNTIF($C$7:indirect(""C""&amp;row()),indirect(""C""&amp;row()))=6,
COUNTIF($C$7:$C$61,indirect(""C""&amp;"&amp;"row()))&lt;=6),""Final - A3"",
AND(OR(""3x3 FMC""=C22,""3x3 MBLD""=C22),COUNTIF($C$7:indirect(""C""&amp;row()),indirect(""C""&amp;row()))=5,
COUNTIF($C$7:$C$61,indirect(""C""&amp;row()))&gt;6),""R2 - A2"",
AND(OR(""3x3 FMC""=C22,""3x3 MBLD""=C22),COUNTIF($C$7:indirect(""C"&amp;"""&amp;row()),indirect(""C""&amp;row()))=5,
COUNTIF($C$7:$C$61,indirect(""C""&amp;row()))&lt;=6),""Final - A2"",
AND(OR(""3x3 FMC""=C22,""3x3 MBLD""=C22),COUNTIF($C$7:indirect(""C""&amp;row()),indirect(""C""&amp;row()))=4,
COUNTIF($C$7:$C$61,indirect(""C""&amp;row()))&gt;6),""R2 - A1"&amp;""",
AND(OR(""3x3 FMC""=C22,""3x3 MBLD""=C22),COUNTIF($C$7:indirect(""C""&amp;row()),indirect(""C""&amp;row()))=4,
COUNTIF($C$7:$C$61,indirect(""C""&amp;row()))&lt;=6),""Final - A1"",
AND(OR(""3x3 FMC""=C22,""3x3 MBLD""=C22),COUNTIF($C$7:indirect(""C""&amp;row()),indirect("""&amp;"C""&amp;row()))=3),""R1 - A3"",
AND(OR(""3x3 FMC""=C22,""3x3 MBLD""=C22),COUNTIF($C$7:indirect(""C""&amp;row()),indirect(""C""&amp;row()))=2),""R1 - A2"",
AND(OR(""3x3 FMC""=C22,""3x3 MBLD""=C22),COUNTIF($C$7:indirect(""C""&amp;row()),indirect(""C""&amp;row()))=1),""R1 -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C22),ROUNDUP((FILTER(Info!$H$2:H81,Info!$A$2:A81=C22)/FILTER(Info!$H$2:H81,Info!$A$2:A81=$K$2))*$I$2)&gt;99),3,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C22),ROUNDUP((FILTER(Info!$H$2:H81,Info!$A$2:A81=C22)/FILTER(Info!$H$2:H81,Info!$A$2:A81=$K$2))*$I$2)&gt;15),2,
AND(COUNTIF($C$7:indirect(""C""&amp;row()),indirect(""C""&amp;row()))=2,COUNTIF($C$7:$C$61,indirect(""C""&amp;row()))=COUNTIF($C$7:indirect("""&amp;"C""&amp;row()),indirect(""C""&amp;row()))),""Final"",
COUNTIF($C$7:indirect(""C""&amp;row()),indirect(""C""&amp;row()))=1,1,
COUNTIF($C$7:indirect(""C""&amp;row()),indirect(""C""&amp;row()))=0,"""")"),"")</f>
        <v/>
      </c>
      <c r="F22" s="44" t="str">
        <f>IFERROR(__xludf.DUMMYFUNCTION("IFS(C22="""","""",
AND(C22=""3x3 FMC"",MOD(COUNTIF($C$7:indirect(""C""&amp;row()),indirect(""C""&amp;row())),3)=0),""Mean of 3"",
AND(C22=""3x3 MBLD"",MOD(COUNTIF($C$7:indirect(""C""&amp;row()),indirect(""C""&amp;row())),3)=0),""Best of 3"",
AND(C22=""3x3 FMC"",MOD(COUNT"&amp;"IF($C$7:indirect(""C""&amp;row()),indirect(""C""&amp;row())),3)=2,
COUNTIF($C$7:$C$61,indirect(""C""&amp;row()))&lt;=COUNTIF($C$7:indirect(""C""&amp;row()),indirect(""C""&amp;row()))),""Best of 2"",
AND(C22=""3x3 FMC"",MOD(COUNTIF($C$7:indirect(""C""&amp;row()),indirect(""C""&amp;row()"&amp;")),3)=2,
COUNTIF($C$7:$C$61,indirect(""C""&amp;row()))&gt;COUNTIF($C$7:indirect(""C""&amp;row()),indirect(""C""&amp;row()))),""Mean of 3"",
AND(C22=""3x3 MBLD"",MOD(COUNTIF($C$7:indirect(""C""&amp;row()),indirect(""C""&amp;row())),3)=2,
COUNTIF($C$7:$C$61,indirect(""C""&amp;row()))"&amp;"&lt;=COUNTIF($C$7:indirect(""C""&amp;row()),indirect(""C""&amp;row()))),""Best of 2"",
AND(C22=""3x3 MBLD"",MOD(COUNTIF($C$7:indirect(""C""&amp;row()),indirect(""C""&amp;row())),3)=2,
COUNTIF($C$7:$C$61,indirect(""C""&amp;row()))&gt;COUNTIF($C$7:indirect(""C""&amp;row()),indirect(""C"&amp;"""&amp;row()))),""Best of 3"",
AND(C22=""3x3 FMC"",MOD(COUNTIF($C$7:indirect(""C""&amp;row()),indirect(""C""&amp;row())),3)=1,
COUNTIF($C$7:$C$61,indirect(""C""&amp;row()))&lt;=COUNTIF($C$7:indirect(""C""&amp;row()),indirect(""C""&amp;row()))),""Best of 1"",
AND(C22=""3x3 FMC"",MOD"&amp;"(COUNTIF($C$7:indirect(""C""&amp;row()),indirect(""C""&amp;row())),3)=1,
COUNTIF($C$7:$C$61,indirect(""C""&amp;row()))=COUNTIF($C$7:indirect(""C""&amp;row()),indirect(""C""&amp;row()))+1),""Best of 2"",
AND(C22=""3x3 FMC"",MOD(COUNTIF($C$7:indirect(""C""&amp;row()),indirect(""C"&amp;"""&amp;row())),3)=1,
COUNTIF($C$7:$C$61,indirect(""C""&amp;row()))&gt;COUNTIF($C$7:indirect(""C""&amp;row()),indirect(""C""&amp;row()))),""Mean of 3"",
AND(C22=""3x3 MBLD"",MOD(COUNTIF($C$7:indirect(""C""&amp;row()),indirect(""C""&amp;row())),3)=1,
COUNTIF($C$7:$C$61,indirect(""C"""&amp;"&amp;row()))&lt;=COUNTIF($C$7:indirect(""C""&amp;row()),indirect(""C""&amp;row()))),""Best of 1"",
AND(C22=""3x3 MBLD"",MOD(COUNTIF($C$7:indirect(""C""&amp;row()),indirect(""C""&amp;row())),3)=1,
COUNTIF($C$7:$C$61,indirect(""C""&amp;row()))=COUNTIF($C$7:indirect(""C""&amp;row()),indir"&amp;"ect(""C""&amp;row()))+1),""Best of 2"",
AND(C22=""3x3 MBLD"",MOD(COUNTIF($C$7:indirect(""C""&amp;row()),indirect(""C""&amp;row())),3)=1,
COUNTIF($C$7:$C$61,indirect(""C""&amp;row()))&gt;COUNTIF($C$7:indirect(""C""&amp;row()),indirect(""C""&amp;row()))),""Best of 3"",
TRUE,(IFERROR("&amp;"FILTER(Info!$D$2:D81, Info!$A$2:A81 = C22), """")))"),"")</f>
        <v/>
      </c>
      <c r="G22" s="45" t="str">
        <f>IFERROR(__xludf.DUMMYFUNCTION("IFS(OR(COUNTIF(Info!$A$22:A81,C22)&gt;0,C22=""""),"""",
OR(""3x3 MBLD""=C22,""3x3 FMC""=C22),60,
AND(E22=1,FILTER(Info!$F$2:F81, Info!$A$2:A81 = C22) = ""No""),FILTER(Info!$P$2:P81, Info!$A$2:A81 = C22),
AND(E22=2,FILTER(Info!$F$2:F81, Info!$A$2:A81 = C22) ="&amp;" ""No""),FILTER(Info!$Q$2:Q81, Info!$A$2:A81 = C22),
AND(E22=3,FILTER(Info!$F$2:F81, Info!$A$2:A81 = C22) = ""No""),FILTER(Info!$R$2:R81, Info!$A$2:A81 = C22),
AND(E22=""Final"",FILTER(Info!$F$2:F81, Info!$A$2:A81 = C22) = ""No""),FILTER(Info!$S$2:S81, In"&amp;"fo!$A$2:A81 = C22),
FILTER(Info!$F$2:F81, Info!$A$2:A81 = C22) = ""Yes"","""")"),"")</f>
        <v/>
      </c>
      <c r="H22" s="45" t="str">
        <f>IFERROR(__xludf.DUMMYFUNCTION("IFS(OR(COUNTIF(Info!$A$22:A81,C22)&gt;0,C22=""""),"""",
OR(""3x3 MBLD""=C22,""3x3 FMC""=C22)=TRUE,"""",
FILTER(Info!$F$2:F81, Info!$A$2:A81 = C22) = ""Yes"",FILTER(Info!$O$2:O81, Info!$A$2:A81 = C22),
FILTER(Info!$F$2:F81, Info!$A$2:A81 = C22) = ""No"",IF(G2"&amp;"2="""",FILTER(Info!$O$2:O81, Info!$A$2:A81 = C22),""""))"),"")</f>
        <v/>
      </c>
      <c r="I22" s="45" t="str">
        <f>IFERROR(__xludf.DUMMYFUNCTION("IFS(OR(COUNTIF(Info!$A$22:A81,C22)&gt;0,C22="""",H22&lt;&gt;""""),"""",
AND(E22&lt;&gt;1,E22&lt;&gt;""R1 - A1"",E22&lt;&gt;""R1 - A2"",E22&lt;&gt;""R1 - A3""),"""",
FILTER(Info!$E$2:E81, Info!$A$2:A81 = C22) = ""Yes"",IF(H22="""",FILTER(Info!$L$2:L81, Info!$A$2:A81 = C22),""""),
FILTER(I"&amp;"nfo!$E$2:E81, Info!$A$2:A81 = C22) = ""No"","""")"),"")</f>
        <v/>
      </c>
      <c r="J22" s="45" t="str">
        <f>IFERROR(__xludf.DUMMYFUNCTION("IFS(OR(COUNTIF(Info!$A$22:A81,C22)&gt;0,C22="""",""3x3 MBLD""=C22,""3x3 FMC""=C22),"""",
AND(E22=1,FILTER(Info!$H$2:H81,Info!$A$2:A81 = C22)&lt;=FILTER(Info!$H$2:H81,Info!$A$2:A81=$K$2)),
ROUNDUP((FILTER(Info!$H$2:H81,Info!$A$2:A81 = C22)/FILTER(Info!$H$2:H81,I"&amp;"nfo!$A$2:A81=$K$2))*$I$2),
AND(E22=1,FILTER(Info!$H$2:H81,Info!$A$2:A81 = C22)&gt;FILTER(Info!$H$2:H81,Info!$A$2:A81=$K$2)),""K2 - Error"",
AND(E22=2,FILTER($J$7:indirect(""J""&amp;row()-1),$C$7:indirect(""C""&amp;row()-1)=C22)&lt;=7),""J - Error"",
E22=2,FLOOR(FILTER("&amp;"$J$7:indirect(""J""&amp;row()-1),$C$7:indirect(""C""&amp;row()-1)=C22)*Info!$T$32),
AND(E22=3,FILTER($J$7:indirect(""J""&amp;row()-1),$C$7:indirect(""C""&amp;row()-1)=C22)&lt;=15),""J - Error"",
E22=3,FLOOR(Info!$T$32*FLOOR(FILTER($J$7:indirect(""J""&amp;row()-1),$C$7:indirect("&amp;"""C""&amp;row()-1)=C22)*Info!$T$32)),
AND(E22=""Final"",COUNTIF($C$7:$C$61,C22)=2,FILTER($J$7:indirect(""J""&amp;row()-1),$C$7:indirect(""C""&amp;row()-1)=C22)&lt;=7),""J - Error"",
AND(E22=""Final"",COUNTIF($C$7:$C$61,C22)=2),
MIN(P22,FLOOR(FILTER($J$7:indirect(""J""&amp;r"&amp;"ow()-1),$C$7:indirect(""C""&amp;row()-1)=C22)*Info!$T$32)),
AND(E22=""Final"",COUNTIF($C$7:$C$61,C22)=3,FILTER($J$7:indirect(""J""&amp;row()-1),$C$7:indirect(""C""&amp;row()-1)=C22)&lt;=15),""J - Error"",
AND(E22=""Final"",COUNTIF($C$7:$C$61,C22)=3),
MIN(P22,FLOOR(Info!"&amp;"$T$32*FLOOR(FILTER($J$7:indirect(""J""&amp;row()-1),$C$7:indirect(""C""&amp;row()-1)=C22)*Info!$T$32))),
AND(E22=""Final"",COUNTIF($C$7:$C$61,C22)&gt;=4,FILTER($J$7:indirect(""J""&amp;row()-1),$C$7:indirect(""C""&amp;row()-1)=C22)&lt;=99),""J - Error"",
AND(E22=""Final"",COUNT"&amp;"IF($C$7:$C$61,C22)&gt;=4),
MIN(P22,FLOOR(Info!$T$32*FLOOR(Info!$T$32*FLOOR(FILTER($J$7:indirect(""J""&amp;row()-1),$C$7:indirect(""C""&amp;row()-1)=C22)*Info!$T$32)))))"),"")</f>
        <v/>
      </c>
      <c r="K22" s="46" t="str">
        <f>IFERROR(__xludf.DUMMYFUNCTION("IFS(AND(indirect(""D""&amp;row()+2)&lt;&gt;$E$2,indirect(""D""&amp;row()+1)=""""),CONCATENATE(""Tom rad! Kopiera hela rad ""&amp;row()&amp;"" dit""),
AND(indirect(""D""&amp;row()-1)&lt;&gt;""Rum"",indirect(""D""&amp;row()-1)=""""),CONCATENATE(""Tom rad! Kopiera hela rad ""&amp;row()&amp;"" dit""),
"&amp;"C22="""","""",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OR(AND(D22&lt;&gt;$E$2,D22&lt;&gt;$E$4,D22&lt;&gt;$K$4,D22&lt;&gt;$Q$4),D22="&amp;"""""),CONCATENATE(""Rum: ""&amp;D22&amp;"" finns ej, byt i D""&amp;row()),
AND(indirect(""D""&amp;row()-1)=""Rum"",C22=""""),CONCATENATE(""För att börja: skriv i cell C""&amp;row()),
AND(C22=""Paus"",M22&lt;=0),CONCATENATE(""Skriv pausens längd i M""&amp;row()),
OR(COUNTIF(Info!$A$"&amp;"22:A81,C22)&gt;0,C22=""""),"""",
AND(D22&lt;&gt;$E$2,$O$2=""Yes"",A22=""=time(hh;mm;ss)""),CONCATENATE(""Skriv starttid för ""&amp;C22&amp;"" i A""&amp;row()),
E22=""E - Error"",CONCATENATE(""För många ""&amp;C22&amp;"" rundor!""),
AND(C22&lt;&gt;""3x3 FMC"",C22&lt;&gt;""3x3 MBLD"",E22&lt;&gt;1,E22&lt;&gt;"&amp;"""Final"",IFERROR(FILTER($E$7:indirect(""E""&amp;row()-1),
$E$7:indirect(""E""&amp;row()-1)=E22-1,$C$7:indirect(""C""&amp;row()-1)=C22))=FALSE),CONCATENATE(""Kan ej vara R""&amp;E22&amp;"", saknar R""&amp;(E22-1)),
AND(indirect(""E""&amp;row()-1)&lt;&gt;""Omgång"",IFERROR(FILTER($E$7:indi"&amp;"rect(""E""&amp;row()-1),
$E$7:indirect(""E""&amp;row()-1)=E22,$C$7:indirect(""C""&amp;row()-1)=C22)=E22)=TRUE),CONCATENATE(""Runda ""&amp;E22&amp;"" i ""&amp;C22&amp;"" finns redan""),
AND(C22&lt;&gt;""3x3 BLD"",C22&lt;&gt;""4x4 BLD"",C22&lt;&gt;""5x5 BLD"",C22&lt;&gt;""4x4 / 5x5 BLD"",OR(E22=2,E22=3,E22="&amp;"""Final""),H22&lt;&gt;""""),CONCATENATE(E22&amp;""-rundor brukar ej ha c.t.l.""),
AND(OR(E22=2,E22=3,E22=""Final""),I22&lt;&gt;""""),CONCATENATE(E22&amp;""-rundor brukar ej ha cutoff""),
AND(OR(C22=""3x3 FMC"",C22=""3x3 MBLD""),OR(E22=1,E22=2,E22=3,E22=""Final"")),CONCATENAT"&amp;"E(C22&amp;""s omgång är Rx - Ax""),
AND(C22&lt;&gt;""3x3 MBLD"",C22&lt;&gt;""3x3 FMC"",FILTER(Info!$D$2:D81, Info!$A$2:A81 = C22)&lt;&gt;F22),CONCATENATE(C22&amp;"" måste ha formatet ""&amp;FILTER(Info!$D$2:D81, Info!$A$2:A81 = C22)),
AND(C22=""3x3 MBLD"",OR(F22=""Avg of 5"",F22=""Mea"&amp;"n of 3"")),CONCATENATE(""Ogiltigt format för ""&amp;C22),
AND(C22=""3x3 FMC"",OR(F22=""Avg of 5"",F22=""Best of 3"")),CONCATENATE(""Ogiltigt format för ""&amp;C22),
AND(OR(F22=""Best of 1"",F22=""Best of 2"",F22=""Best of 3""),I22&lt;&gt;""""),CONCATENATE(F22&amp;""-rundor"&amp;" får ej ha cutoff""),
AND(OR(C22=""3x3 FMC"",C22=""3x3 MBLD""),G22&lt;&gt;60),CONCATENATE(C22&amp;"" måste ha time limit: 60""),
AND(OR(C22=""3x3 FMC"",C22=""3x3 MBLD""),H22&lt;&gt;""""),CONCATENATE(C22&amp;"" kan inte ha c.t.l.""),
AND(G22&lt;&gt;"""",H22&lt;&gt;""""),""Välj time limit"&amp;" ELLER c.t.l"",
AND(C22=""6x6 / 7x7"",G22="""",H22=""""),""Sätt time limit (x / y) eller c.t.l (z)"",
AND(G22="""",H22=""""),""Sätt en time limit eller c.t.l"",
AND(OR(C22=""6x6 / 7x7"",C22=""4x4 / 5x5 BLD""),G22&lt;&gt;"""",REGEXMATCH(TO_TEXT(G22),"" / "")=FAL"&amp;"SE),CONCATENATE(""Time limit måste vara x / y""),
AND(H22&lt;&gt;"""",I22&lt;&gt;""""),CONCATENATE(C22&amp;"" brukar ej ha cutoff OCH c.t.l""),
AND(E22=1,H22="""",I22="""",OR(FILTER(Info!$E$2:E81, Info!$A$2:A81 = C22) = ""Yes"",FILTER(Info!$F$2:F81, Info!$A$2:A81 = C22) "&amp;"= ""Yes""),OR(F22=""Avg of 5"",F22=""Mean of 3"")),CONCATENATE(C22&amp;"" bör ha cutoff eller c.t.l""),
AND(C22=""6x6 / 7x7"",I22&lt;&gt;"""",REGEXMATCH(TO_TEXT(I22),"" / "")=FALSE),CONCATENATE(""Cutoff måste vara x / y""),
AND(H22&lt;&gt;"""",ISNUMBER(H22)=FALSE),""C.t."&amp;"l. måste vara positivt tal (x)"",
AND(C22&lt;&gt;""6x6 / 7x7"",I22&lt;&gt;"""",ISNUMBER(I22)=FALSE),""Cutoff måste vara positivt tal (x)"",
AND(H22&lt;&gt;"""",FILTER(Info!$E$2:E81, Info!$A$2:A81 = C22) = ""No"",FILTER(Info!$F$2:F81, Info!$A$2:A81 = C22) = ""No""),CONCATEN"&amp;"ATE(C22&amp;"" brukar inte ha c.t.l.""),
AND(I22&lt;&gt;"""",FILTER(Info!$E$2:E81, Info!$A$2:A81 = C22) = ""No"",FILTER(Info!$F$2:F81, Info!$A$2:A81 = C22) = ""No""),CONCATENATE(C22&amp;"" brukar inte ha cutoff""),
AND(H22="""",FILTER(Info!$F$2:F81, Info!$A$2:A81 = C22"&amp;") = ""Yes""),CONCATENATE(C22&amp;"" brukar ha c.t.l.""),
AND(C22&lt;&gt;""6x6 / 7x7"",C22&lt;&gt;""4x4 / 5x5 BLD"",G22&lt;&gt;"""",ISNUMBER(G22)=FALSE),""Time limit måste vara positivt tal (x)"",
J22=""J - Error"",CONCATENATE(""För få deltagare i R1 för ""&amp;COUNTIF($C$7:$C$61,i"&amp;"ndirect(""C""&amp;row()))&amp;"" rundor""),
J22=""K2 - Error"",CONCATENATE(C22&amp;"" är mer populär - byt i K2!""),
AND(C22&lt;&gt;""6x6 / 7x7"",C22&lt;&gt;""4x4 / 5x5 BLD"",G22&lt;&gt;"""",I22&lt;&gt;"""",G22&lt;=I22),""Time limit måste vara &gt; cutoff"",
AND(C22&lt;&gt;""6x6 / 7x7"",C22&lt;&gt;""4x4 / 5x"&amp;"5 BLD"",H22&lt;&gt;"""",I22&lt;&gt;"""",H22&lt;=I22),""C.t.l. måste vara &gt; cutoff"",
AND(C22&lt;&gt;""3x3 FMC"",C22&lt;&gt;""3x3 MBLD"",J22=""""),CONCATENATE(""Fyll i antal deltagare i J""&amp;row()),
AND(C22="""",OR(E22&lt;&gt;"""",F22&lt;&gt;"""",G22&lt;&gt;"""",H22&lt;&gt;"""",I22&lt;&gt;"""",J22&lt;&gt;"""")),""Skriv"&amp;" ALLTID gren / aktivitet först"",
AND(I22="""",H22="""",J22&lt;&gt;""""),J22,
OR(""3x3 FMC""=C22,""3x3 MBLD""=C22),J22,
AND(I22&lt;&gt;"""",""6x6 / 7x7""=C22),
IFS(ArrayFormula(SUM(IFERROR(SPLIT(I22,"" / ""))))&lt;(Info!$J$6+Info!$J$7)*2/3,CONCATENATE(""Höj helst cutoff"&amp;"s i ""&amp;C22),
ArrayFormula(SUM(IFERROR(SPLIT(I22,"" / ""))))&lt;=(Info!$J$6+Info!$J$7),ROUNDUP(J22*Info!$J$22),
ArrayFormula(SUM(IFERROR(SPLIT(I22,"" / ""))))&lt;=Info!$J$6+Info!$J$7,ROUNDUP(J22*Info!$K$22),
ArrayFormula(SUM(IFERROR(SPLIT(I22,"" / ""))))&lt;=Info!$"&amp;"K$6+Info!$K$7,ROUNDUP(J22*Info!L$22),
ArrayFormula(SUM(IFERROR(SPLIT(I22,"" / ""))))&lt;=Info!$L$6+Info!$L$7,ROUNDUP(J22*Info!$M$22),
ArrayFormula(SUM(IFERROR(SPLIT(I22,"" / ""))))&lt;=Info!$M$6+Info!$M$7,ROUNDUP(J22*Info!$N$22),
ArrayFormula(SUM(IFERROR(SPLIT("&amp;"I22,"" / ""))))&lt;=(Info!$N$6+Info!$N$7)*3/2,ROUNDUP(J22*Info!$J$26),
ArrayFormula(SUM(IFERROR(SPLIT(I22,"" / ""))))&gt;(Info!$N$6+Info!$N$7)*3/2,CONCATENATE(""Sänk helst cutoffs i ""&amp;C22)),
AND(I22&lt;&gt;"""",FILTER(Info!$E$2:E81, Info!$A$2:A81 = C22) = ""Yes""),
"&amp;"IFS(I22&lt;FILTER(Info!$J$2:J81, Info!$A$2:A81 = C22)*2/3,CONCATENATE(""Höj helst cutoff i ""&amp;C22),
I22&lt;=FILTER(Info!$J$2:J81, Info!$A$2:A81 = C22),ROUNDUP(J22*Info!$J$22),
I22&lt;=FILTER(Info!$K$2:K81, Info!$A$2:A81 = C22),ROUNDUP(J22*Info!$K$22),
I22&lt;=FILTER("&amp;"Info!$L$2:L81, Info!$A$2:A81 = C22),ROUNDUP(J22*Info!L$22),
I22&lt;=FILTER(Info!$M$2:M81, Info!$A$2:A81 = C22),ROUNDUP(J22*Info!$M$22),
I22&lt;=FILTER(Info!$N$2:N81, Info!$A$2:A81 = C22),ROUNDUP(J22*Info!$N$22),
I22&lt;=FILTER(Info!$N$2:N81, Info!$A$2:A81 = C22)*3"&amp;"/2,ROUNDUP(J22*Info!$J$26),
I22&gt;FILTER(Info!$N$2:N81, Info!$A$2:A81 = C22)*3/2,CONCATENATE(""Sänk helst cutoff i ""&amp;C22)),
AND(H22&lt;&gt;"""",""6x6 / 7x7""=C22),
IFS(H22/3&lt;=(Info!$J$6+Info!$J$7)*2/3,""Höj helst cumulative time limit"",
H22/3&lt;=Info!$J$6+Info!$J"&amp;"$7,ROUNDUP(J22*Info!$J$24),
H22/3&lt;=Info!$K$6+Info!$K$7,ROUNDUP(J22*Info!$K$24),
H22/3&lt;=Info!$L$6+Info!$L$7,ROUNDUP(J22*Info!L$24),
H22/3&lt;=Info!$M$6+Info!$M$7,ROUNDUP(J22*Info!$M$24),
H22/3&lt;=Info!$N$6+Info!$N$7,ROUNDUP(J22*Info!$N$24),
H22/3&lt;=(Info!$N$6+In"&amp;"fo!$N$7)*3/2,ROUNDUP(J22*Info!$L$26),
H22/3&gt;(Info!$J$6+Info!$J$7)*3/2,""Sänk helst cumulative time limit""),
AND(H22&lt;&gt;"""",FILTER(Info!$F$2:F81, Info!$A$2:A81 = C22) = ""Yes""),
IFS(H22&lt;=FILTER(Info!$J$2:J81, Info!$A$2:A81 = C22)*2/3,CONCATENATE(""Höj hel"&amp;"st c.t.l. i ""&amp;C22),
H22&lt;=FILTER(Info!$J$2:J81, Info!$A$2:A81 = C22),ROUNDUP(J22*Info!$J$24),
H22&lt;=FILTER(Info!$K$2:K81, Info!$A$2:A81 = C22),ROUNDUP(J22*Info!$K$24),
H22&lt;=FILTER(Info!$L$2:L81, Info!$A$2:A81 = C22),ROUNDUP(J22*Info!L$24),
H22&lt;=FILTER(Info"&amp;"!$M$2:M81, Info!$A$2:A81 = C22),ROUNDUP(J22*Info!$M$24),
H22&lt;=FILTER(Info!$N$2:N81, Info!$A$2:A81 = C22),ROUNDUP(J22*Info!$N$24),
H22&lt;=FILTER(Info!$N$2:N81, Info!$A$2:A81 = C22)*3/2,ROUNDUP(J22*Info!$L$26),
H22&gt;FILTER(Info!$N$2:N81, Info!$A$2:A81 = C22)*3"&amp;"/2,CONCATENATE(""Sänk helst c.t.l. i ""&amp;C22)),
AND(H22&lt;&gt;"""",FILTER(Info!$F$2:F81, Info!$A$2:A81 = C22) = ""No""),
IFS(H22/AA22&lt;=FILTER(Info!$J$2:J81, Info!$A$2:A81 = C22)*2/3,CONCATENATE(""Höj helst c.t.l. i ""&amp;C22),
H22/AA22&lt;=FILTER(Info!$J$2:J81, Info!"&amp;"$A$2:A81 = C22),ROUNDUP(J22*Info!$J$24),
H22/AA22&lt;=FILTER(Info!$K$2:K81, Info!$A$2:A81 = C22),ROUNDUP(J22*Info!$K$24),
H22/AA22&lt;=FILTER(Info!$L$2:L81, Info!$A$2:A81 = C22),ROUNDUP(J22*Info!L$24),
H22/AA22&lt;=FILTER(Info!$M$2:M81, Info!$A$2:A81 = C22),ROUNDU"&amp;"P(J22*Info!$M$24),
H22/AA22&lt;=FILTER(Info!$N$2:N81, Info!$A$2:A81 = C22),ROUNDUP(J22*Info!$N$24),
H22/AA22&lt;=FILTER(Info!$N$2:N81, Info!$A$2:A81 = C22)*3/2,ROUNDUP(J22*Info!$L$26),
H22/AA22&gt;FILTER(Info!$N$2:N81, Info!$A$2:A81 = C22)*3/2,CONCATENATE(""Sänk h"&amp;"elst c.t.l. i ""&amp;C22)),
AND(I22="""",H22&lt;&gt;"""",J22&lt;&gt;""""),ROUNDUP(J22*Info!$T$29),
AND(I22&lt;&gt;"""",H22="""",J22&lt;&gt;""""),ROUNDUP(J22*Info!$T$26))"),"")</f>
        <v/>
      </c>
      <c r="L22" s="47">
        <f>IFERROR(__xludf.DUMMYFUNCTION("IFS(C22="""",0,
C22=""3x3 FMC"",Info!$B$9*N22+M22, C22=""3x3 MBLD"",Info!$B$18*N22+M22,
COUNTIF(Info!$A$22:A81,C22)&gt;0,FILTER(Info!$B$22:B81,Info!$A$22:A81=C22)+M22,
AND(C22&lt;&gt;"""",E22=""""),CONCATENATE(""Fyll i E""&amp;row()),
AND(C22&lt;&gt;"""",E22&lt;&gt;"""",E22&lt;&gt;1,E2"&amp;"2&lt;&gt;2,E22&lt;&gt;3,E22&lt;&gt;""Final""),CONCATENATE(""Fel format på E""&amp;row()),
K22=CONCATENATE(""Runda ""&amp;E22&amp;"" i ""&amp;C22&amp;"" finns redan""),CONCATENATE(""Fel i E""&amp;row()),
AND(C22&lt;&gt;"""",F22=""""),CONCATENATE(""Fyll i F""&amp;row()),
K22=CONCATENATE(C22&amp;"" måste ha forma"&amp;"tet ""&amp;FILTER(Info!$D$2:D81, Info!$A$2:A81 = C22)),CONCATENATE(""Fel format på F""&amp;row()),
AND(C22&lt;&gt;"""",D22=1,H22="""",FILTER(Info!$F$2:F81, Info!$A$2:A81 = C22) = ""Yes""),CONCATENATE(""Fyll i H""&amp;row()),
AND(C22&lt;&gt;"""",D22=1,I22="""",FILTER(Info!$E$2:E8"&amp;"1, Info!$A$2:A81 = C22) = ""Yes""),CONCATENATE(""Fyll i I""&amp;row()),
AND(C22&lt;&gt;"""",J22=""""),CONCATENATE(""Fyll i J""&amp;row()),
AND(C22&lt;&gt;"""",K22="""",OR(H22&lt;&gt;"""",I22&lt;&gt;"""")),CONCATENATE(""Fyll i K""&amp;row()),
AND(C22&lt;&gt;"""",K22=""""),CONCATENATE(""Skriv samma"&amp;" i K""&amp;row()&amp;"" som i J""&amp;row()),
AND(OR(C22=""4x4 BLD"",C22=""5x5 BLD"",C22=""4x4 / 5x5 BLD"")=TRUE,V22&lt;=P22),
MROUND(H22*(Info!$T$20-((Info!$T$20-1)/2)*(1-V22/P22))*(1+((J22/K22)-1)*(1-Info!$J$24))*N22+(Info!$T$11/2)+(N22*Info!$T$11)+(N22*Info!$T$14*(O2"&amp;"2-1)),0.01)+M22,
AND(OR(C22=""4x4 BLD"",C22=""5x5 BLD"",C22=""4x4 / 5x5 BLD"")=TRUE,V22&gt;P22),
MROUND((((J22*Z22+K22*(AA22-Z22))*(H22*Info!$T$20/AA22))/X22)*(1+((J22/K22)-1)*(1-Info!$J$24))*(1+(X22-Info!$T$8)/100)+(Info!$T$11/2)+(N22*Info!$T$11)+(N22*Info!"&amp;"$T$14*(O22-1)),0.01)+M22,
AND(C22=""3x3 BLD"",V22&lt;=P22),
MROUND(H22*(Info!$T$23-((Info!$T$23-1)/2)*(1-V22/P22))*(1+((J22/K22)-1)*(1-Info!$J$24))*N22+(Info!$T$11/2)+(N22*Info!$T$11)+(N22*Info!$T$14*(O22-1)),0.01)+M22,
AND(C22=""3x3 BLD"",V22&gt;P22),
MROUND(("&amp;"((J22*Z22+K22*(AA22-Z22))*(H22*Info!$T$23/AA22))/X22)*(1+((J22/K22)-1)*(1-Info!$J$24))*(1+(X22-Info!$T$8)/100)+(Info!$T$11/2)+(N22*Info!$T$11)+(N22*Info!$T$14*(O22-1)),0.01)+M22,
E22=1,MROUND((((J22*Z22+K22*(AA22-Z22))*Y22)/X22)*(1+(X22-Info!$T$8)/100)+(N"&amp;"22*Info!$T$11)+(N22*Info!$T$14*(O22-1)),0.01)+M22,
AND(E22=""Final"",N22=1,FILTER(Info!$G$2:$G$20,Info!$A$2:$A$20=C22)=""Mycket svår""),
MROUND((((J22*Z22+K22*(AA22-Z22))*(Y22*Info!$T$38))/X22)*(1+(X22-Info!$T$8)/100)+(N22*Info!$T$11)+(N22*Info!$T$14*(O22"&amp;"-1)),0.01)+M22,
AND(E22=""Final"",N22=1,FILTER(Info!$G$2:$G$20,Info!$A$2:$A$20=C22)=""Svår""),
MROUND((((J22*Z22+K22*(AA22-Z22))*(Y22*Info!$T$35))/X22)*(1+(X22-Info!$T$8)/100)+(N22*Info!$T$11)+(N22*Info!$T$14*(O22-1)),0.01)+M22,
E22=""Final"",MROUND((((J2"&amp;"2*Z22+K22*(AA22-Z22))*(Y22*Info!$T$5))/X22)*(1+(X22-Info!$T$8)/100)+(N22*Info!$T$11)+(N22*Info!$T$14*(O22-1)),0.01)+M22,
OR(E22=2,E22=3),MROUND((((J22*Z22+K22*(AA22-Z22))*(Y22*Info!$T$2))/X22)*(1+(X22-Info!$T$8)/100)+(N22*Info!$T$11)+(N22*Info!$T$14*(O22-"&amp;"1)),0.01)+M22)"),0.0)</f>
        <v>0</v>
      </c>
      <c r="M22" s="48">
        <f t="shared" si="1"/>
        <v>0</v>
      </c>
      <c r="N22" s="48" t="str">
        <f>IFS(OR(COUNTIF(Info!$A$22:A81,C22)&gt;0,C22=""),"",
OR(C22="4x4 BLD",C22="5x5 BLD",C22="3x3 MBLD",C22="3x3 FMC",C22="4x4 / 5x5 BLD"),1,
AND(E22="Final",Q22="Yes",MAX(1,ROUNDUP(J22/P22))&gt;1),MAX(2,ROUNDUP(J22/P22)),
AND(E22="Final",Q22="No",MAX(1,ROUNDUP(J22/((P22*2)+2.625-Y22*1.5)))&gt;1),MAX(2,ROUNDUP(J22/((P22*2)+2.625-Y22*1.5))),
E22="Final",1,
Q22="Yes",MAX(2,ROUNDUP(J22/P22)),
TRUE,MAX(2,ROUNDUP(J22/((P22*2)+2.625-Y22*1.5))))</f>
        <v/>
      </c>
      <c r="O22" s="48" t="str">
        <f>IFS(OR(COUNTIF(Info!$A$22:A81,C22)&gt;0,C22=""),"",
OR("3x3 MBLD"=C22,"3x3 FMC"=C22)=TRUE,"",
D22=$E$4,$G$6,D22=$K$4,$M$6,D22=$Q$4,$S$6,D22=$W$4,$Y$6,
TRUE,$S$2)</f>
        <v/>
      </c>
      <c r="P22" s="48" t="str">
        <f>IFS(OR(COUNTIF(Info!$A$22:A81,C22)&gt;0,C22=""),"",
OR("3x3 MBLD"=C22,"3x3 FMC"=C22)=TRUE,"",
D22=$E$4,$E$6,D22=$K$4,$K$6,D22=$Q$4,$Q$6,D22=$W$4,$W$6,
TRUE,$Q$2)</f>
        <v/>
      </c>
      <c r="Q22" s="49" t="str">
        <f>IFS(OR(COUNTIF(Info!$A$22:A81,C22)&gt;0,C22=""),"",
OR("3x3 MBLD"=C22,"3x3 FMC"=C22)=TRUE,"",
D22=$E$4,$I$6,D22=$K$4,$O$6,D22=$Q$4,$U$6,D22=$W$4,$AA$6,
TRUE,$U$2)</f>
        <v/>
      </c>
      <c r="R22" s="50" t="str">
        <f>IFERROR(__xludf.DUMMYFUNCTION("IF(C22="""","""",IFERROR(FILTER(Info!$B$22:B81,Info!$A$22:A81=C22)+M22,""?""))"),"")</f>
        <v/>
      </c>
      <c r="S22" s="51" t="str">
        <f>IFS(OR(COUNTIF(Info!$A$22:A81,C22)&gt;0,C22=""),"",
AND(H22="",I22=""),J22,
TRUE,"?")</f>
        <v/>
      </c>
      <c r="T22" s="52" t="str">
        <f>IFS(OR(COUNTIF(Info!$A$22:A81,C22)&gt;0,C22=""),"",
AND(L22&lt;&gt;0,OR(R22="?",R22="")),"Fyll i R-kolumnen",
OR(C22="3x3 FMC",C22="3x3 MBLD"),R22,
AND(L22&lt;&gt;0,OR(S22="?",S22="")),"Fyll i S-kolumnen",
OR(COUNTIF(Info!$A$22:A81,C22)&gt;0,C22=""),"",
TRUE,Y22*R22/L22)</f>
        <v/>
      </c>
      <c r="U22" s="52"/>
      <c r="V22" s="53" t="str">
        <f>IFS(OR(COUNTIF(Info!$A$22:A81,C22)&gt;0,C22=""),"",
OR("3x3 MBLD"=C22,"3x3 FMC"=C22)=TRUE,"",
TRUE,MROUND((J22/N22),0.01))</f>
        <v/>
      </c>
      <c r="W22" s="54" t="str">
        <f>IFS(OR(COUNTIF(Info!$A$22:A81,C22)&gt;0,C22=""),"",
TRUE,L22/N22)</f>
        <v/>
      </c>
      <c r="X22" s="55" t="str">
        <f>IFS(OR(COUNTIF(Info!$A$22:A81,C22)&gt;0,C22=""),"",
OR("3x3 MBLD"=C22,"3x3 FMC"=C22)=TRUE,"",
OR(C22="4x4 BLD",C22="5x5 BLD",C22="4x4 / 5x5 BLD",AND(C22="3x3 BLD",H22&lt;&gt;""))=TRUE,MIN(V22,P22),
TRUE,MIN(P22,V22,MROUND(((V22*2/3)+((Y22-1.625)/2)),0.01)))</f>
        <v/>
      </c>
      <c r="Y22" s="56" t="str">
        <f>IFERROR(__xludf.DUMMYFUNCTION("IFS(OR(COUNTIF(Info!$A$22:A81,C22)&gt;0,C22=""""),"""",
FILTER(Info!$F$2:F81, Info!$A$2:A81 = C22) = ""Yes"",H22/AA22,
""3x3 FMC""=C22,Info!$B$9,""3x3 MBLD""=C22,Info!$B$18,
AND(E22=1,I22="""",H22="""",Q22=""No"",G22&gt;SUMIF(Info!$A$2:A81,C22,Info!$B$2:B81)*1."&amp;"5),
MIN(SUMIF(Info!$A$2:A81,C22,Info!$B$2:B81)*1.1,SUMIF(Info!$A$2:A81,C22,Info!$B$2:B81)*(1.15-(0.15*(SUMIF(Info!$A$2:A81,C22,Info!$B$2:B81)*1.5)/G22))),
AND(E22=1,I22="""",H22="""",Q22=""Yes"",G22&gt;SUMIF(Info!$A$2:A81,C22,Info!$C$2:C81)*1.5),
MIN(SUMIF(I"&amp;"nfo!$A$2:A81,C22,Info!$C$2:C81)*1.1,SUMIF(Info!$A$2:A81,C22,Info!$C$2:C81)*(1.15-(0.15*(SUMIF(Info!$A$2:A81,C22,Info!$C$2:C81)*1.5)/G22))),
Q22=""No"",SUMIF(Info!$A$2:A81,C22,Info!$B$2:B81),
Q22=""Yes"",SUMIF(Info!$A$2:A81,C22,Info!$C$2:C81))"),"")</f>
        <v/>
      </c>
      <c r="Z22" s="57" t="str">
        <f>IFS(OR(COUNTIF(Info!$A$22:A81,C22)&gt;0,C22=""),"",
AND(OR("3x3 FMC"=C22,"3x3 MBLD"=C22),I22&lt;&gt;""),1,
AND(OR(H22&lt;&gt;"",I22&lt;&gt;""),F22="Avg of 5"),2,
F22="Avg of 5",AA22,
AND(OR(H22&lt;&gt;"",I22&lt;&gt;""),F22="Mean of 3",C22="6x6 / 7x7"),2,
AND(OR(H22&lt;&gt;"",I22&lt;&gt;""),F22="Mean of 3"),1,
F22="Mean of 3",AA22,
AND(OR(H22&lt;&gt;"",I22&lt;&gt;""),F22="Best of 3",C22="4x4 / 5x5 BLD"),2,
AND(OR(H22&lt;&gt;"",I22&lt;&gt;""),F22="Best of 3"),1,
F22="Best of 2",AA22,
F22="Best of 1",AA22)</f>
        <v/>
      </c>
      <c r="AA22" s="57" t="str">
        <f>IFS(OR(COUNTIF(Info!$A$22:A81,C22)&gt;0,C22=""),"",
AND(OR("3x3 MBLD"=C22,"3x3 FMC"=C22),F22="Best of 1"=TRUE),1,
AND(OR("3x3 MBLD"=C22,"3x3 FMC"=C22),F22="Best of 2"=TRUE),2,
AND(OR("3x3 MBLD"=C22,"3x3 FMC"=C22),OR(F22="Best of 3",F22="Mean of 3")=TRUE),3,
AND(F22="Mean of 3",C22="6x6 / 7x7"),6,
AND(F22="Best of 3",C22="4x4 / 5x5 BLD"),6,
F22="Avg of 5",5,F22="Mean of 3",3,F22="Best of 3",3,F22="Best of 2",2,F22="Best of 1",1)</f>
        <v/>
      </c>
      <c r="AB22" s="58"/>
    </row>
    <row r="23">
      <c r="A23" s="40">
        <f>IFERROR(__xludf.DUMMYFUNCTION("IFS(indirect(""A""&amp;row()-1)=""Start"",TIME(indirect(""A""&amp;row()-2),indirect(""B""&amp;row()-2),0),
$O$2=""No"",TIME(0,($A$6*60+$B$6)+CEILING(SUM($L$7:indirect(""L""&amp;row()-1)),5),0),
D23=$E$2,TIME(0,($A$6*60+$B$6)+CEILING(SUM(IFERROR(FILTER($L$7:indirect(""L"""&amp;"&amp;row()-1),REGEXMATCH($D$7:indirect(""D""&amp;row()-1),$E$2)),0)),5),0),
TRUE,""=time(hh;mm;ss)"")"),0.4166666666666667)</f>
        <v>0.4166666667</v>
      </c>
      <c r="B23" s="41">
        <f>IFERROR(__xludf.DUMMYFUNCTION("IFS($O$2=""No"",TIME(0,($A$6*60+$B$6)+CEILING(SUM($L$7:indirect(""L""&amp;row())),5),0),
D23=$E$2,TIME(0,($A$6*60+$B$6)+CEILING(SUM(FILTER($L$7:indirect(""L""&amp;row()),REGEXMATCH($D$7:indirect(""D""&amp;row()),$E$2))),5),0),
A23=""=time(hh;mm;ss)"",CONCATENATE(""Sk"&amp;"riv tid i A""&amp;row()),
AND(A23&lt;&gt;"""",A23&lt;&gt;""=time(hh;mm;ss)""),A23+TIME(0,CEILING(indirect(""L""&amp;row()),5),0))"),0.4166666666666667)</f>
        <v>0.4166666667</v>
      </c>
      <c r="C23" s="42"/>
      <c r="D23" s="43" t="str">
        <f t="shared" si="2"/>
        <v>Stora salen</v>
      </c>
      <c r="E23" s="43" t="str">
        <f>IFERROR(__xludf.DUMMYFUNCTION("IFS(COUNTIF(Info!$A$22:A81,C23)&gt;0,"""",
AND(OR(""3x3 FMC""=C23,""3x3 MBLD""=C23),COUNTIF($C$7:indirect(""C""&amp;row()),indirect(""C""&amp;row()))&gt;=13),""E - Error"",
AND(OR(""3x3 FMC""=C23,""3x3 MBLD""=C23),COUNTIF($C$7:indirect(""C""&amp;row()),indirect(""C""&amp;row()"&amp;"))=12),""Final - A3"",
AND(OR(""3x3 FMC""=C23,""3x3 MBLD""=C23),COUNTIF($C$7:indirect(""C""&amp;row()),indirect(""C""&amp;row()))=11),""Final - A2"",
AND(OR(""3x3 FMC""=C23,""3x3 MBLD""=C23),COUNTIF($C$7:indirect(""C""&amp;row()),indirect(""C""&amp;row()))=10),""Final - "&amp;"A1"",
AND(OR(""3x3 FMC""=C23,""3x3 MBLD""=C23),COUNTIF($C$7:indirect(""C""&amp;row()),indirect(""C""&amp;row()))=9,
COUNTIF($C$7:$C$61,indirect(""C""&amp;row()))&gt;9),""R3 - A3"",
AND(OR(""3x3 FMC""=C23,""3x3 MBLD""=C23),COUNTIF($C$7:indirect(""C""&amp;row()),indirect(""C"&amp;"""&amp;row()))=9,
COUNTIF($C$7:$C$61,indirect(""C""&amp;row()))&lt;=9),""Final - A3"",
AND(OR(""3x3 FMC""=C23,""3x3 MBLD""=C23),COUNTIF($C$7:indirect(""C""&amp;row()),indirect(""C""&amp;row()))=8,
COUNTIF($C$7:$C$61,indirect(""C""&amp;row()))&gt;9),""R3 - A2"",
AND(OR(""3x3 FMC""="&amp;"C23,""3x3 MBLD""=C23),COUNTIF($C$7:indirect(""C""&amp;row()),indirect(""C""&amp;row()))=8,
COUNTIF($C$7:$C$61,indirect(""C""&amp;row()))&lt;=9),""Final - A2"",
AND(OR(""3x3 FMC""=C23,""3x3 MBLD""=C23),COUNTIF($C$7:indirect(""C""&amp;row()),indirect(""C""&amp;row()))=7,
COUNTIF("&amp;"$C$7:$C$61,indirect(""C""&amp;row()))&gt;9),""R3 - A1"",
AND(OR(""3x3 FMC""=C23,""3x3 MBLD""=C23),COUNTIF($C$7:indirect(""C""&amp;row()),indirect(""C""&amp;row()))=7,
COUNTIF($C$7:$C$61,indirect(""C""&amp;row()))&lt;=9),""Final - A1"",
AND(OR(""3x3 FMC""=C23,""3x3 MBLD""=C23),"&amp;"COUNTIF($C$7:indirect(""C""&amp;row()),indirect(""C""&amp;row()))=6,
COUNTIF($C$7:$C$61,indirect(""C""&amp;row()))&gt;6),""R2 - A3"",
AND(OR(""3x3 FMC""=C23,""3x3 MBLD""=C23),COUNTIF($C$7:indirect(""C""&amp;row()),indirect(""C""&amp;row()))=6,
COUNTIF($C$7:$C$61,indirect(""C""&amp;"&amp;"row()))&lt;=6),""Final - A3"",
AND(OR(""3x3 FMC""=C23,""3x3 MBLD""=C23),COUNTIF($C$7:indirect(""C""&amp;row()),indirect(""C""&amp;row()))=5,
COUNTIF($C$7:$C$61,indirect(""C""&amp;row()))&gt;6),""R2 - A2"",
AND(OR(""3x3 FMC""=C23,""3x3 MBLD""=C23),COUNTIF($C$7:indirect(""C"&amp;"""&amp;row()),indirect(""C""&amp;row()))=5,
COUNTIF($C$7:$C$61,indirect(""C""&amp;row()))&lt;=6),""Final - A2"",
AND(OR(""3x3 FMC""=C23,""3x3 MBLD""=C23),COUNTIF($C$7:indirect(""C""&amp;row()),indirect(""C""&amp;row()))=4,
COUNTIF($C$7:$C$61,indirect(""C""&amp;row()))&gt;6),""R2 - A1"&amp;""",
AND(OR(""3x3 FMC""=C23,""3x3 MBLD""=C23),COUNTIF($C$7:indirect(""C""&amp;row()),indirect(""C""&amp;row()))=4,
COUNTIF($C$7:$C$61,indirect(""C""&amp;row()))&lt;=6),""Final - A1"",
AND(OR(""3x3 FMC""=C23,""3x3 MBLD""=C23),COUNTIF($C$7:indirect(""C""&amp;row()),indirect("""&amp;"C""&amp;row()))=3),""R1 - A3"",
AND(OR(""3x3 FMC""=C23,""3x3 MBLD""=C23),COUNTIF($C$7:indirect(""C""&amp;row()),indirect(""C""&amp;row()))=2),""R1 - A2"",
AND(OR(""3x3 FMC""=C23,""3x3 MBLD""=C23),COUNTIF($C$7:indirect(""C""&amp;row()),indirect(""C""&amp;row()))=1),""R1 -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C23),ROUNDUP((FILTER(Info!$H$2:H81,Info!$A$2:A81=C23)/FILTER(Info!$H$2:H81,Info!$A$2:A81=$K$2))*$I$2)&gt;99),3,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C23),ROUNDUP((FILTER(Info!$H$2:H81,Info!$A$2:A81=C23)/FILTER(Info!$H$2:H81,Info!$A$2:A81=$K$2))*$I$2)&gt;15),2,
AND(COUNTIF($C$7:indirect(""C""&amp;row()),indirect(""C""&amp;row()))=2,COUNTIF($C$7:$C$61,indirect(""C""&amp;row()))=COUNTIF($C$7:indirect("""&amp;"C""&amp;row()),indirect(""C""&amp;row()))),""Final"",
COUNTIF($C$7:indirect(""C""&amp;row()),indirect(""C""&amp;row()))=1,1,
COUNTIF($C$7:indirect(""C""&amp;row()),indirect(""C""&amp;row()))=0,"""")"),"")</f>
        <v/>
      </c>
      <c r="F23" s="44" t="str">
        <f>IFERROR(__xludf.DUMMYFUNCTION("IFS(C23="""","""",
AND(C23=""3x3 FMC"",MOD(COUNTIF($C$7:indirect(""C""&amp;row()),indirect(""C""&amp;row())),3)=0),""Mean of 3"",
AND(C23=""3x3 MBLD"",MOD(COUNTIF($C$7:indirect(""C""&amp;row()),indirect(""C""&amp;row())),3)=0),""Best of 3"",
AND(C23=""3x3 FMC"",MOD(COUNT"&amp;"IF($C$7:indirect(""C""&amp;row()),indirect(""C""&amp;row())),3)=2,
COUNTIF($C$7:$C$61,indirect(""C""&amp;row()))&lt;=COUNTIF($C$7:indirect(""C""&amp;row()),indirect(""C""&amp;row()))),""Best of 2"",
AND(C23=""3x3 FMC"",MOD(COUNTIF($C$7:indirect(""C""&amp;row()),indirect(""C""&amp;row()"&amp;")),3)=2,
COUNTIF($C$7:$C$61,indirect(""C""&amp;row()))&gt;COUNTIF($C$7:indirect(""C""&amp;row()),indirect(""C""&amp;row()))),""Mean of 3"",
AND(C23=""3x3 MBLD"",MOD(COUNTIF($C$7:indirect(""C""&amp;row()),indirect(""C""&amp;row())),3)=2,
COUNTIF($C$7:$C$61,indirect(""C""&amp;row()))"&amp;"&lt;=COUNTIF($C$7:indirect(""C""&amp;row()),indirect(""C""&amp;row()))),""Best of 2"",
AND(C23=""3x3 MBLD"",MOD(COUNTIF($C$7:indirect(""C""&amp;row()),indirect(""C""&amp;row())),3)=2,
COUNTIF($C$7:$C$61,indirect(""C""&amp;row()))&gt;COUNTIF($C$7:indirect(""C""&amp;row()),indirect(""C"&amp;"""&amp;row()))),""Best of 3"",
AND(C23=""3x3 FMC"",MOD(COUNTIF($C$7:indirect(""C""&amp;row()),indirect(""C""&amp;row())),3)=1,
COUNTIF($C$7:$C$61,indirect(""C""&amp;row()))&lt;=COUNTIF($C$7:indirect(""C""&amp;row()),indirect(""C""&amp;row()))),""Best of 1"",
AND(C23=""3x3 FMC"",MOD"&amp;"(COUNTIF($C$7:indirect(""C""&amp;row()),indirect(""C""&amp;row())),3)=1,
COUNTIF($C$7:$C$61,indirect(""C""&amp;row()))=COUNTIF($C$7:indirect(""C""&amp;row()),indirect(""C""&amp;row()))+1),""Best of 2"",
AND(C23=""3x3 FMC"",MOD(COUNTIF($C$7:indirect(""C""&amp;row()),indirect(""C"&amp;"""&amp;row())),3)=1,
COUNTIF($C$7:$C$61,indirect(""C""&amp;row()))&gt;COUNTIF($C$7:indirect(""C""&amp;row()),indirect(""C""&amp;row()))),""Mean of 3"",
AND(C23=""3x3 MBLD"",MOD(COUNTIF($C$7:indirect(""C""&amp;row()),indirect(""C""&amp;row())),3)=1,
COUNTIF($C$7:$C$61,indirect(""C"""&amp;"&amp;row()))&lt;=COUNTIF($C$7:indirect(""C""&amp;row()),indirect(""C""&amp;row()))),""Best of 1"",
AND(C23=""3x3 MBLD"",MOD(COUNTIF($C$7:indirect(""C""&amp;row()),indirect(""C""&amp;row())),3)=1,
COUNTIF($C$7:$C$61,indirect(""C""&amp;row()))=COUNTIF($C$7:indirect(""C""&amp;row()),indir"&amp;"ect(""C""&amp;row()))+1),""Best of 2"",
AND(C23=""3x3 MBLD"",MOD(COUNTIF($C$7:indirect(""C""&amp;row()),indirect(""C""&amp;row())),3)=1,
COUNTIF($C$7:$C$61,indirect(""C""&amp;row()))&gt;COUNTIF($C$7:indirect(""C""&amp;row()),indirect(""C""&amp;row()))),""Best of 3"",
TRUE,(IFERROR("&amp;"FILTER(Info!$D$2:D81, Info!$A$2:A81 = C23), """")))"),"")</f>
        <v/>
      </c>
      <c r="G23" s="45" t="str">
        <f>IFERROR(__xludf.DUMMYFUNCTION("IFS(OR(COUNTIF(Info!$A$22:A81,C23)&gt;0,C23=""""),"""",
OR(""3x3 MBLD""=C23,""3x3 FMC""=C23),60,
AND(E23=1,FILTER(Info!$F$2:F81, Info!$A$2:A81 = C23) = ""No""),FILTER(Info!$P$2:P81, Info!$A$2:A81 = C23),
AND(E23=2,FILTER(Info!$F$2:F81, Info!$A$2:A81 = C23) ="&amp;" ""No""),FILTER(Info!$Q$2:Q81, Info!$A$2:A81 = C23),
AND(E23=3,FILTER(Info!$F$2:F81, Info!$A$2:A81 = C23) = ""No""),FILTER(Info!$R$2:R81, Info!$A$2:A81 = C23),
AND(E23=""Final"",FILTER(Info!$F$2:F81, Info!$A$2:A81 = C23) = ""No""),FILTER(Info!$S$2:S81, In"&amp;"fo!$A$2:A81 = C23),
FILTER(Info!$F$2:F81, Info!$A$2:A81 = C23) = ""Yes"","""")"),"")</f>
        <v/>
      </c>
      <c r="H23" s="45" t="str">
        <f>IFERROR(__xludf.DUMMYFUNCTION("IFS(OR(COUNTIF(Info!$A$22:A81,C23)&gt;0,C23=""""),"""",
OR(""3x3 MBLD""=C23,""3x3 FMC""=C23)=TRUE,"""",
FILTER(Info!$F$2:F81, Info!$A$2:A81 = C23) = ""Yes"",FILTER(Info!$O$2:O81, Info!$A$2:A81 = C23),
FILTER(Info!$F$2:F81, Info!$A$2:A81 = C23) = ""No"",IF(G2"&amp;"3="""",FILTER(Info!$O$2:O81, Info!$A$2:A81 = C23),""""))"),"")</f>
        <v/>
      </c>
      <c r="I23" s="45" t="str">
        <f>IFERROR(__xludf.DUMMYFUNCTION("IFS(OR(COUNTIF(Info!$A$22:A81,C23)&gt;0,C23="""",H23&lt;&gt;""""),"""",
AND(E23&lt;&gt;1,E23&lt;&gt;""R1 - A1"",E23&lt;&gt;""R1 - A2"",E23&lt;&gt;""R1 - A3""),"""",
FILTER(Info!$E$2:E81, Info!$A$2:A81 = C23) = ""Yes"",IF(H23="""",FILTER(Info!$L$2:L81, Info!$A$2:A81 = C23),""""),
FILTER(I"&amp;"nfo!$E$2:E81, Info!$A$2:A81 = C23) = ""No"","""")"),"")</f>
        <v/>
      </c>
      <c r="J23" s="45" t="str">
        <f>IFERROR(__xludf.DUMMYFUNCTION("IFS(OR(COUNTIF(Info!$A$22:A81,C23)&gt;0,C23="""",""3x3 MBLD""=C23,""3x3 FMC""=C23),"""",
AND(E23=1,FILTER(Info!$H$2:H81,Info!$A$2:A81 = C23)&lt;=FILTER(Info!$H$2:H81,Info!$A$2:A81=$K$2)),
ROUNDUP((FILTER(Info!$H$2:H81,Info!$A$2:A81 = C23)/FILTER(Info!$H$2:H81,I"&amp;"nfo!$A$2:A81=$K$2))*$I$2),
AND(E23=1,FILTER(Info!$H$2:H81,Info!$A$2:A81 = C23)&gt;FILTER(Info!$H$2:H81,Info!$A$2:A81=$K$2)),""K2 - Error"",
AND(E23=2,FILTER($J$7:indirect(""J""&amp;row()-1),$C$7:indirect(""C""&amp;row()-1)=C23)&lt;=7),""J - Error"",
E23=2,FLOOR(FILTER("&amp;"$J$7:indirect(""J""&amp;row()-1),$C$7:indirect(""C""&amp;row()-1)=C23)*Info!$T$32),
AND(E23=3,FILTER($J$7:indirect(""J""&amp;row()-1),$C$7:indirect(""C""&amp;row()-1)=C23)&lt;=15),""J - Error"",
E23=3,FLOOR(Info!$T$32*FLOOR(FILTER($J$7:indirect(""J""&amp;row()-1),$C$7:indirect("&amp;"""C""&amp;row()-1)=C23)*Info!$T$32)),
AND(E23=""Final"",COUNTIF($C$7:$C$61,C23)=2,FILTER($J$7:indirect(""J""&amp;row()-1),$C$7:indirect(""C""&amp;row()-1)=C23)&lt;=7),""J - Error"",
AND(E23=""Final"",COUNTIF($C$7:$C$61,C23)=2),
MIN(P23,FLOOR(FILTER($J$7:indirect(""J""&amp;r"&amp;"ow()-1),$C$7:indirect(""C""&amp;row()-1)=C23)*Info!$T$32)),
AND(E23=""Final"",COUNTIF($C$7:$C$61,C23)=3,FILTER($J$7:indirect(""J""&amp;row()-1),$C$7:indirect(""C""&amp;row()-1)=C23)&lt;=15),""J - Error"",
AND(E23=""Final"",COUNTIF($C$7:$C$61,C23)=3),
MIN(P23,FLOOR(Info!"&amp;"$T$32*FLOOR(FILTER($J$7:indirect(""J""&amp;row()-1),$C$7:indirect(""C""&amp;row()-1)=C23)*Info!$T$32))),
AND(E23=""Final"",COUNTIF($C$7:$C$61,C23)&gt;=4,FILTER($J$7:indirect(""J""&amp;row()-1),$C$7:indirect(""C""&amp;row()-1)=C23)&lt;=99),""J - Error"",
AND(E23=""Final"",COUNT"&amp;"IF($C$7:$C$61,C23)&gt;=4),
MIN(P23,FLOOR(Info!$T$32*FLOOR(Info!$T$32*FLOOR(FILTER($J$7:indirect(""J""&amp;row()-1),$C$7:indirect(""C""&amp;row()-1)=C23)*Info!$T$32)))))"),"")</f>
        <v/>
      </c>
      <c r="K23" s="46" t="str">
        <f>IFERROR(__xludf.DUMMYFUNCTION("IFS(AND(indirect(""D""&amp;row()+2)&lt;&gt;$E$2,indirect(""D""&amp;row()+1)=""""),CONCATENATE(""Tom rad! Kopiera hela rad ""&amp;row()&amp;"" dit""),
AND(indirect(""D""&amp;row()-1)&lt;&gt;""Rum"",indirect(""D""&amp;row()-1)=""""),CONCATENATE(""Tom rad! Kopiera hela rad ""&amp;row()&amp;"" dit""),
"&amp;"C23="""","""",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OR(AND(D23&lt;&gt;$E$2,D23&lt;&gt;$E$4,D23&lt;&gt;$K$4,D23&lt;&gt;$Q$4),D23="&amp;"""""),CONCATENATE(""Rum: ""&amp;D23&amp;"" finns ej, byt i D""&amp;row()),
AND(indirect(""D""&amp;row()-1)=""Rum"",C23=""""),CONCATENATE(""För att börja: skriv i cell C""&amp;row()),
AND(C23=""Paus"",M23&lt;=0),CONCATENATE(""Skriv pausens längd i M""&amp;row()),
OR(COUNTIF(Info!$A$"&amp;"22:A81,C23)&gt;0,C23=""""),"""",
AND(D23&lt;&gt;$E$2,$O$2=""Yes"",A23=""=time(hh;mm;ss)""),CONCATENATE(""Skriv starttid för ""&amp;C23&amp;"" i A""&amp;row()),
E23=""E - Error"",CONCATENATE(""För många ""&amp;C23&amp;"" rundor!""),
AND(C23&lt;&gt;""3x3 FMC"",C23&lt;&gt;""3x3 MBLD"",E23&lt;&gt;1,E23&lt;&gt;"&amp;"""Final"",IFERROR(FILTER($E$7:indirect(""E""&amp;row()-1),
$E$7:indirect(""E""&amp;row()-1)=E23-1,$C$7:indirect(""C""&amp;row()-1)=C23))=FALSE),CONCATENATE(""Kan ej vara R""&amp;E23&amp;"", saknar R""&amp;(E23-1)),
AND(indirect(""E""&amp;row()-1)&lt;&gt;""Omgång"",IFERROR(FILTER($E$7:indi"&amp;"rect(""E""&amp;row()-1),
$E$7:indirect(""E""&amp;row()-1)=E23,$C$7:indirect(""C""&amp;row()-1)=C23)=E23)=TRUE),CONCATENATE(""Runda ""&amp;E23&amp;"" i ""&amp;C23&amp;"" finns redan""),
AND(C23&lt;&gt;""3x3 BLD"",C23&lt;&gt;""4x4 BLD"",C23&lt;&gt;""5x5 BLD"",C23&lt;&gt;""4x4 / 5x5 BLD"",OR(E23=2,E23=3,E23="&amp;"""Final""),H23&lt;&gt;""""),CONCATENATE(E23&amp;""-rundor brukar ej ha c.t.l.""),
AND(OR(E23=2,E23=3,E23=""Final""),I23&lt;&gt;""""),CONCATENATE(E23&amp;""-rundor brukar ej ha cutoff""),
AND(OR(C23=""3x3 FMC"",C23=""3x3 MBLD""),OR(E23=1,E23=2,E23=3,E23=""Final"")),CONCATENAT"&amp;"E(C23&amp;""s omgång är Rx - Ax""),
AND(C23&lt;&gt;""3x3 MBLD"",C23&lt;&gt;""3x3 FMC"",FILTER(Info!$D$2:D81, Info!$A$2:A81 = C23)&lt;&gt;F23),CONCATENATE(C23&amp;"" måste ha formatet ""&amp;FILTER(Info!$D$2:D81, Info!$A$2:A81 = C23)),
AND(C23=""3x3 MBLD"",OR(F23=""Avg of 5"",F23=""Mea"&amp;"n of 3"")),CONCATENATE(""Ogiltigt format för ""&amp;C23),
AND(C23=""3x3 FMC"",OR(F23=""Avg of 5"",F23=""Best of 3"")),CONCATENATE(""Ogiltigt format för ""&amp;C23),
AND(OR(F23=""Best of 1"",F23=""Best of 2"",F23=""Best of 3""),I23&lt;&gt;""""),CONCATENATE(F23&amp;""-rundor"&amp;" får ej ha cutoff""),
AND(OR(C23=""3x3 FMC"",C23=""3x3 MBLD""),G23&lt;&gt;60),CONCATENATE(C23&amp;"" måste ha time limit: 60""),
AND(OR(C23=""3x3 FMC"",C23=""3x3 MBLD""),H23&lt;&gt;""""),CONCATENATE(C23&amp;"" kan inte ha c.t.l.""),
AND(G23&lt;&gt;"""",H23&lt;&gt;""""),""Välj time limit"&amp;" ELLER c.t.l"",
AND(C23=""6x6 / 7x7"",G23="""",H23=""""),""Sätt time limit (x / y) eller c.t.l (z)"",
AND(G23="""",H23=""""),""Sätt en time limit eller c.t.l"",
AND(OR(C23=""6x6 / 7x7"",C23=""4x4 / 5x5 BLD""),G23&lt;&gt;"""",REGEXMATCH(TO_TEXT(G23),"" / "")=FAL"&amp;"SE),CONCATENATE(""Time limit måste vara x / y""),
AND(H23&lt;&gt;"""",I23&lt;&gt;""""),CONCATENATE(C23&amp;"" brukar ej ha cutoff OCH c.t.l""),
AND(E23=1,H23="""",I23="""",OR(FILTER(Info!$E$2:E81, Info!$A$2:A81 = C23) = ""Yes"",FILTER(Info!$F$2:F81, Info!$A$2:A81 = C23) "&amp;"= ""Yes""),OR(F23=""Avg of 5"",F23=""Mean of 3"")),CONCATENATE(C23&amp;"" bör ha cutoff eller c.t.l""),
AND(C23=""6x6 / 7x7"",I23&lt;&gt;"""",REGEXMATCH(TO_TEXT(I23),"" / "")=FALSE),CONCATENATE(""Cutoff måste vara x / y""),
AND(H23&lt;&gt;"""",ISNUMBER(H23)=FALSE),""C.t."&amp;"l. måste vara positivt tal (x)"",
AND(C23&lt;&gt;""6x6 / 7x7"",I23&lt;&gt;"""",ISNUMBER(I23)=FALSE),""Cutoff måste vara positivt tal (x)"",
AND(H23&lt;&gt;"""",FILTER(Info!$E$2:E81, Info!$A$2:A81 = C23) = ""No"",FILTER(Info!$F$2:F81, Info!$A$2:A81 = C23) = ""No""),CONCATEN"&amp;"ATE(C23&amp;"" brukar inte ha c.t.l.""),
AND(I23&lt;&gt;"""",FILTER(Info!$E$2:E81, Info!$A$2:A81 = C23) = ""No"",FILTER(Info!$F$2:F81, Info!$A$2:A81 = C23) = ""No""),CONCATENATE(C23&amp;"" brukar inte ha cutoff""),
AND(H23="""",FILTER(Info!$F$2:F81, Info!$A$2:A81 = C23"&amp;") = ""Yes""),CONCATENATE(C23&amp;"" brukar ha c.t.l.""),
AND(C23&lt;&gt;""6x6 / 7x7"",C23&lt;&gt;""4x4 / 5x5 BLD"",G23&lt;&gt;"""",ISNUMBER(G23)=FALSE),""Time limit måste vara positivt tal (x)"",
J23=""J - Error"",CONCATENATE(""För få deltagare i R1 för ""&amp;COUNTIF($C$7:$C$61,i"&amp;"ndirect(""C""&amp;row()))&amp;"" rundor""),
J23=""K2 - Error"",CONCATENATE(C23&amp;"" är mer populär - byt i K2!""),
AND(C23&lt;&gt;""6x6 / 7x7"",C23&lt;&gt;""4x4 / 5x5 BLD"",G23&lt;&gt;"""",I23&lt;&gt;"""",G23&lt;=I23),""Time limit måste vara &gt; cutoff"",
AND(C23&lt;&gt;""6x6 / 7x7"",C23&lt;&gt;""4x4 / 5x"&amp;"5 BLD"",H23&lt;&gt;"""",I23&lt;&gt;"""",H23&lt;=I23),""C.t.l. måste vara &gt; cutoff"",
AND(C23&lt;&gt;""3x3 FMC"",C23&lt;&gt;""3x3 MBLD"",J23=""""),CONCATENATE(""Fyll i antal deltagare i J""&amp;row()),
AND(C23="""",OR(E23&lt;&gt;"""",F23&lt;&gt;"""",G23&lt;&gt;"""",H23&lt;&gt;"""",I23&lt;&gt;"""",J23&lt;&gt;"""")),""Skriv"&amp;" ALLTID gren / aktivitet först"",
AND(I23="""",H23="""",J23&lt;&gt;""""),J23,
OR(""3x3 FMC""=C23,""3x3 MBLD""=C23),J23,
AND(I23&lt;&gt;"""",""6x6 / 7x7""=C23),
IFS(ArrayFormula(SUM(IFERROR(SPLIT(I23,"" / ""))))&lt;(Info!$J$6+Info!$J$7)*2/3,CONCATENATE(""Höj helst cutoff"&amp;"s i ""&amp;C23),
ArrayFormula(SUM(IFERROR(SPLIT(I23,"" / ""))))&lt;=(Info!$J$6+Info!$J$7),ROUNDUP(J23*Info!$J$22),
ArrayFormula(SUM(IFERROR(SPLIT(I23,"" / ""))))&lt;=Info!$J$6+Info!$J$7,ROUNDUP(J23*Info!$K$22),
ArrayFormula(SUM(IFERROR(SPLIT(I23,"" / ""))))&lt;=Info!$"&amp;"K$6+Info!$K$7,ROUNDUP(J23*Info!L$22),
ArrayFormula(SUM(IFERROR(SPLIT(I23,"" / ""))))&lt;=Info!$L$6+Info!$L$7,ROUNDUP(J23*Info!$M$22),
ArrayFormula(SUM(IFERROR(SPLIT(I23,"" / ""))))&lt;=Info!$M$6+Info!$M$7,ROUNDUP(J23*Info!$N$22),
ArrayFormula(SUM(IFERROR(SPLIT("&amp;"I23,"" / ""))))&lt;=(Info!$N$6+Info!$N$7)*3/2,ROUNDUP(J23*Info!$J$26),
ArrayFormula(SUM(IFERROR(SPLIT(I23,"" / ""))))&gt;(Info!$N$6+Info!$N$7)*3/2,CONCATENATE(""Sänk helst cutoffs i ""&amp;C23)),
AND(I23&lt;&gt;"""",FILTER(Info!$E$2:E81, Info!$A$2:A81 = C23) = ""Yes""),
"&amp;"IFS(I23&lt;FILTER(Info!$J$2:J81, Info!$A$2:A81 = C23)*2/3,CONCATENATE(""Höj helst cutoff i ""&amp;C23),
I23&lt;=FILTER(Info!$J$2:J81, Info!$A$2:A81 = C23),ROUNDUP(J23*Info!$J$22),
I23&lt;=FILTER(Info!$K$2:K81, Info!$A$2:A81 = C23),ROUNDUP(J23*Info!$K$22),
I23&lt;=FILTER("&amp;"Info!$L$2:L81, Info!$A$2:A81 = C23),ROUNDUP(J23*Info!L$22),
I23&lt;=FILTER(Info!$M$2:M81, Info!$A$2:A81 = C23),ROUNDUP(J23*Info!$M$22),
I23&lt;=FILTER(Info!$N$2:N81, Info!$A$2:A81 = C23),ROUNDUP(J23*Info!$N$22),
I23&lt;=FILTER(Info!$N$2:N81, Info!$A$2:A81 = C23)*3"&amp;"/2,ROUNDUP(J23*Info!$J$26),
I23&gt;FILTER(Info!$N$2:N81, Info!$A$2:A81 = C23)*3/2,CONCATENATE(""Sänk helst cutoff i ""&amp;C23)),
AND(H23&lt;&gt;"""",""6x6 / 7x7""=C23),
IFS(H23/3&lt;=(Info!$J$6+Info!$J$7)*2/3,""Höj helst cumulative time limit"",
H23/3&lt;=Info!$J$6+Info!$J"&amp;"$7,ROUNDUP(J23*Info!$J$24),
H23/3&lt;=Info!$K$6+Info!$K$7,ROUNDUP(J23*Info!$K$24),
H23/3&lt;=Info!$L$6+Info!$L$7,ROUNDUP(J23*Info!L$24),
H23/3&lt;=Info!$M$6+Info!$M$7,ROUNDUP(J23*Info!$M$24),
H23/3&lt;=Info!$N$6+Info!$N$7,ROUNDUP(J23*Info!$N$24),
H23/3&lt;=(Info!$N$6+In"&amp;"fo!$N$7)*3/2,ROUNDUP(J23*Info!$L$26),
H23/3&gt;(Info!$J$6+Info!$J$7)*3/2,""Sänk helst cumulative time limit""),
AND(H23&lt;&gt;"""",FILTER(Info!$F$2:F81, Info!$A$2:A81 = C23) = ""Yes""),
IFS(H23&lt;=FILTER(Info!$J$2:J81, Info!$A$2:A81 = C23)*2/3,CONCATENATE(""Höj hel"&amp;"st c.t.l. i ""&amp;C23),
H23&lt;=FILTER(Info!$J$2:J81, Info!$A$2:A81 = C23),ROUNDUP(J23*Info!$J$24),
H23&lt;=FILTER(Info!$K$2:K81, Info!$A$2:A81 = C23),ROUNDUP(J23*Info!$K$24),
H23&lt;=FILTER(Info!$L$2:L81, Info!$A$2:A81 = C23),ROUNDUP(J23*Info!L$24),
H23&lt;=FILTER(Info"&amp;"!$M$2:M81, Info!$A$2:A81 = C23),ROUNDUP(J23*Info!$M$24),
H23&lt;=FILTER(Info!$N$2:N81, Info!$A$2:A81 = C23),ROUNDUP(J23*Info!$N$24),
H23&lt;=FILTER(Info!$N$2:N81, Info!$A$2:A81 = C23)*3/2,ROUNDUP(J23*Info!$L$26),
H23&gt;FILTER(Info!$N$2:N81, Info!$A$2:A81 = C23)*3"&amp;"/2,CONCATENATE(""Sänk helst c.t.l. i ""&amp;C23)),
AND(H23&lt;&gt;"""",FILTER(Info!$F$2:F81, Info!$A$2:A81 = C23) = ""No""),
IFS(H23/AA23&lt;=FILTER(Info!$J$2:J81, Info!$A$2:A81 = C23)*2/3,CONCATENATE(""Höj helst c.t.l. i ""&amp;C23),
H23/AA23&lt;=FILTER(Info!$J$2:J81, Info!"&amp;"$A$2:A81 = C23),ROUNDUP(J23*Info!$J$24),
H23/AA23&lt;=FILTER(Info!$K$2:K81, Info!$A$2:A81 = C23),ROUNDUP(J23*Info!$K$24),
H23/AA23&lt;=FILTER(Info!$L$2:L81, Info!$A$2:A81 = C23),ROUNDUP(J23*Info!L$24),
H23/AA23&lt;=FILTER(Info!$M$2:M81, Info!$A$2:A81 = C23),ROUNDU"&amp;"P(J23*Info!$M$24),
H23/AA23&lt;=FILTER(Info!$N$2:N81, Info!$A$2:A81 = C23),ROUNDUP(J23*Info!$N$24),
H23/AA23&lt;=FILTER(Info!$N$2:N81, Info!$A$2:A81 = C23)*3/2,ROUNDUP(J23*Info!$L$26),
H23/AA23&gt;FILTER(Info!$N$2:N81, Info!$A$2:A81 = C23)*3/2,CONCATENATE(""Sänk h"&amp;"elst c.t.l. i ""&amp;C23)),
AND(I23="""",H23&lt;&gt;"""",J23&lt;&gt;""""),ROUNDUP(J23*Info!$T$29),
AND(I23&lt;&gt;"""",H23="""",J23&lt;&gt;""""),ROUNDUP(J23*Info!$T$26))"),"")</f>
        <v/>
      </c>
      <c r="L23" s="47">
        <f>IFERROR(__xludf.DUMMYFUNCTION("IFS(C23="""",0,
C23=""3x3 FMC"",Info!$B$9*N23+M23, C23=""3x3 MBLD"",Info!$B$18*N23+M23,
COUNTIF(Info!$A$22:A81,C23)&gt;0,FILTER(Info!$B$22:B81,Info!$A$22:A81=C23)+M23,
AND(C23&lt;&gt;"""",E23=""""),CONCATENATE(""Fyll i E""&amp;row()),
AND(C23&lt;&gt;"""",E23&lt;&gt;"""",E23&lt;&gt;1,E2"&amp;"3&lt;&gt;2,E23&lt;&gt;3,E23&lt;&gt;""Final""),CONCATENATE(""Fel format på E""&amp;row()),
K23=CONCATENATE(""Runda ""&amp;E23&amp;"" i ""&amp;C23&amp;"" finns redan""),CONCATENATE(""Fel i E""&amp;row()),
AND(C23&lt;&gt;"""",F23=""""),CONCATENATE(""Fyll i F""&amp;row()),
K23=CONCATENATE(C23&amp;"" måste ha forma"&amp;"tet ""&amp;FILTER(Info!$D$2:D81, Info!$A$2:A81 = C23)),CONCATENATE(""Fel format på F""&amp;row()),
AND(C23&lt;&gt;"""",D23=1,H23="""",FILTER(Info!$F$2:F81, Info!$A$2:A81 = C23) = ""Yes""),CONCATENATE(""Fyll i H""&amp;row()),
AND(C23&lt;&gt;"""",D23=1,I23="""",FILTER(Info!$E$2:E8"&amp;"1, Info!$A$2:A81 = C23) = ""Yes""),CONCATENATE(""Fyll i I""&amp;row()),
AND(C23&lt;&gt;"""",J23=""""),CONCATENATE(""Fyll i J""&amp;row()),
AND(C23&lt;&gt;"""",K23="""",OR(H23&lt;&gt;"""",I23&lt;&gt;"""")),CONCATENATE(""Fyll i K""&amp;row()),
AND(C23&lt;&gt;"""",K23=""""),CONCATENATE(""Skriv samma"&amp;" i K""&amp;row()&amp;"" som i J""&amp;row()),
AND(OR(C23=""4x4 BLD"",C23=""5x5 BLD"",C23=""4x4 / 5x5 BLD"")=TRUE,V23&lt;=P23),
MROUND(H23*(Info!$T$20-((Info!$T$20-1)/2)*(1-V23/P23))*(1+((J23/K23)-1)*(1-Info!$J$24))*N23+(Info!$T$11/2)+(N23*Info!$T$11)+(N23*Info!$T$14*(O2"&amp;"3-1)),0.01)+M23,
AND(OR(C23=""4x4 BLD"",C23=""5x5 BLD"",C23=""4x4 / 5x5 BLD"")=TRUE,V23&gt;P23),
MROUND((((J23*Z23+K23*(AA23-Z23))*(H23*Info!$T$20/AA23))/X23)*(1+((J23/K23)-1)*(1-Info!$J$24))*(1+(X23-Info!$T$8)/100)+(Info!$T$11/2)+(N23*Info!$T$11)+(N23*Info!"&amp;"$T$14*(O23-1)),0.01)+M23,
AND(C23=""3x3 BLD"",V23&lt;=P23),
MROUND(H23*(Info!$T$23-((Info!$T$23-1)/2)*(1-V23/P23))*(1+((J23/K23)-1)*(1-Info!$J$24))*N23+(Info!$T$11/2)+(N23*Info!$T$11)+(N23*Info!$T$14*(O23-1)),0.01)+M23,
AND(C23=""3x3 BLD"",V23&gt;P23),
MROUND(("&amp;"((J23*Z23+K23*(AA23-Z23))*(H23*Info!$T$23/AA23))/X23)*(1+((J23/K23)-1)*(1-Info!$J$24))*(1+(X23-Info!$T$8)/100)+(Info!$T$11/2)+(N23*Info!$T$11)+(N23*Info!$T$14*(O23-1)),0.01)+M23,
E23=1,MROUND((((J23*Z23+K23*(AA23-Z23))*Y23)/X23)*(1+(X23-Info!$T$8)/100)+(N"&amp;"23*Info!$T$11)+(N23*Info!$T$14*(O23-1)),0.01)+M23,
AND(E23=""Final"",N23=1,FILTER(Info!$G$2:$G$20,Info!$A$2:$A$20=C23)=""Mycket svår""),
MROUND((((J23*Z23+K23*(AA23-Z23))*(Y23*Info!$T$38))/X23)*(1+(X23-Info!$T$8)/100)+(N23*Info!$T$11)+(N23*Info!$T$14*(O23"&amp;"-1)),0.01)+M23,
AND(E23=""Final"",N23=1,FILTER(Info!$G$2:$G$20,Info!$A$2:$A$20=C23)=""Svår""),
MROUND((((J23*Z23+K23*(AA23-Z23))*(Y23*Info!$T$35))/X23)*(1+(X23-Info!$T$8)/100)+(N23*Info!$T$11)+(N23*Info!$T$14*(O23-1)),0.01)+M23,
E23=""Final"",MROUND((((J2"&amp;"3*Z23+K23*(AA23-Z23))*(Y23*Info!$T$5))/X23)*(1+(X23-Info!$T$8)/100)+(N23*Info!$T$11)+(N23*Info!$T$14*(O23-1)),0.01)+M23,
OR(E23=2,E23=3),MROUND((((J23*Z23+K23*(AA23-Z23))*(Y23*Info!$T$2))/X23)*(1+(X23-Info!$T$8)/100)+(N23*Info!$T$11)+(N23*Info!$T$14*(O23-"&amp;"1)),0.01)+M23)"),0.0)</f>
        <v>0</v>
      </c>
      <c r="M23" s="48">
        <f t="shared" si="1"/>
        <v>0</v>
      </c>
      <c r="N23" s="48" t="str">
        <f>IFS(OR(COUNTIF(Info!$A$22:A81,C23)&gt;0,C23=""),"",
OR(C23="4x4 BLD",C23="5x5 BLD",C23="3x3 MBLD",C23="3x3 FMC",C23="4x4 / 5x5 BLD"),1,
AND(E23="Final",Q23="Yes",MAX(1,ROUNDUP(J23/P23))&gt;1),MAX(2,ROUNDUP(J23/P23)),
AND(E23="Final",Q23="No",MAX(1,ROUNDUP(J23/((P23*2)+2.625-Y23*1.5)))&gt;1),MAX(2,ROUNDUP(J23/((P23*2)+2.625-Y23*1.5))),
E23="Final",1,
Q23="Yes",MAX(2,ROUNDUP(J23/P23)),
TRUE,MAX(2,ROUNDUP(J23/((P23*2)+2.625-Y23*1.5))))</f>
        <v/>
      </c>
      <c r="O23" s="48" t="str">
        <f>IFS(OR(COUNTIF(Info!$A$22:A81,C23)&gt;0,C23=""),"",
OR("3x3 MBLD"=C23,"3x3 FMC"=C23)=TRUE,"",
D23=$E$4,$G$6,D23=$K$4,$M$6,D23=$Q$4,$S$6,D23=$W$4,$Y$6,
TRUE,$S$2)</f>
        <v/>
      </c>
      <c r="P23" s="48" t="str">
        <f>IFS(OR(COUNTIF(Info!$A$22:A81,C23)&gt;0,C23=""),"",
OR("3x3 MBLD"=C23,"3x3 FMC"=C23)=TRUE,"",
D23=$E$4,$E$6,D23=$K$4,$K$6,D23=$Q$4,$Q$6,D23=$W$4,$W$6,
TRUE,$Q$2)</f>
        <v/>
      </c>
      <c r="Q23" s="49" t="str">
        <f>IFS(OR(COUNTIF(Info!$A$22:A81,C23)&gt;0,C23=""),"",
OR("3x3 MBLD"=C23,"3x3 FMC"=C23)=TRUE,"",
D23=$E$4,$I$6,D23=$K$4,$O$6,D23=$Q$4,$U$6,D23=$W$4,$AA$6,
TRUE,$U$2)</f>
        <v/>
      </c>
      <c r="R23" s="50" t="str">
        <f>IFERROR(__xludf.DUMMYFUNCTION("IF(C23="""","""",IFERROR(FILTER(Info!$B$22:B81,Info!$A$22:A81=C23)+M23,""?""))"),"")</f>
        <v/>
      </c>
      <c r="S23" s="51" t="str">
        <f>IFS(OR(COUNTIF(Info!$A$22:A81,C23)&gt;0,C23=""),"",
AND(H23="",I23=""),J23,
TRUE,"?")</f>
        <v/>
      </c>
      <c r="T23" s="52" t="str">
        <f>IFS(OR(COUNTIF(Info!$A$22:A81,C23)&gt;0,C23=""),"",
AND(L23&lt;&gt;0,OR(R23="?",R23="")),"Fyll i R-kolumnen",
OR(C23="3x3 FMC",C23="3x3 MBLD"),R23,
AND(L23&lt;&gt;0,OR(S23="?",S23="")),"Fyll i S-kolumnen",
OR(COUNTIF(Info!$A$22:A81,C23)&gt;0,C23=""),"",
TRUE,Y23*R23/L23)</f>
        <v/>
      </c>
      <c r="U23" s="52"/>
      <c r="V23" s="53" t="str">
        <f>IFS(OR(COUNTIF(Info!$A$22:A81,C23)&gt;0,C23=""),"",
OR("3x3 MBLD"=C23,"3x3 FMC"=C23)=TRUE,"",
TRUE,MROUND((J23/N23),0.01))</f>
        <v/>
      </c>
      <c r="W23" s="54" t="str">
        <f>IFS(OR(COUNTIF(Info!$A$22:A81,C23)&gt;0,C23=""),"",
TRUE,L23/N23)</f>
        <v/>
      </c>
      <c r="X23" s="55" t="str">
        <f>IFS(OR(COUNTIF(Info!$A$22:A81,C23)&gt;0,C23=""),"",
OR("3x3 MBLD"=C23,"3x3 FMC"=C23)=TRUE,"",
OR(C23="4x4 BLD",C23="5x5 BLD",C23="4x4 / 5x5 BLD",AND(C23="3x3 BLD",H23&lt;&gt;""))=TRUE,MIN(V23,P23),
TRUE,MIN(P23,V23,MROUND(((V23*2/3)+((Y23-1.625)/2)),0.01)))</f>
        <v/>
      </c>
      <c r="Y23" s="56" t="str">
        <f>IFERROR(__xludf.DUMMYFUNCTION("IFS(OR(COUNTIF(Info!$A$22:A81,C23)&gt;0,C23=""""),"""",
FILTER(Info!$F$2:F81, Info!$A$2:A81 = C23) = ""Yes"",H23/AA23,
""3x3 FMC""=C23,Info!$B$9,""3x3 MBLD""=C23,Info!$B$18,
AND(E23=1,I23="""",H23="""",Q23=""No"",G23&gt;SUMIF(Info!$A$2:A81,C23,Info!$B$2:B81)*1."&amp;"5),
MIN(SUMIF(Info!$A$2:A81,C23,Info!$B$2:B81)*1.1,SUMIF(Info!$A$2:A81,C23,Info!$B$2:B81)*(1.15-(0.15*(SUMIF(Info!$A$2:A81,C23,Info!$B$2:B81)*1.5)/G23))),
AND(E23=1,I23="""",H23="""",Q23=""Yes"",G23&gt;SUMIF(Info!$A$2:A81,C23,Info!$C$2:C81)*1.5),
MIN(SUMIF(I"&amp;"nfo!$A$2:A81,C23,Info!$C$2:C81)*1.1,SUMIF(Info!$A$2:A81,C23,Info!$C$2:C81)*(1.15-(0.15*(SUMIF(Info!$A$2:A81,C23,Info!$C$2:C81)*1.5)/G23))),
Q23=""No"",SUMIF(Info!$A$2:A81,C23,Info!$B$2:B81),
Q23=""Yes"",SUMIF(Info!$A$2:A81,C23,Info!$C$2:C81))"),"")</f>
        <v/>
      </c>
      <c r="Z23" s="57" t="str">
        <f>IFS(OR(COUNTIF(Info!$A$22:A81,C23)&gt;0,C23=""),"",
AND(OR("3x3 FMC"=C23,"3x3 MBLD"=C23),I23&lt;&gt;""),1,
AND(OR(H23&lt;&gt;"",I23&lt;&gt;""),F23="Avg of 5"),2,
F23="Avg of 5",AA23,
AND(OR(H23&lt;&gt;"",I23&lt;&gt;""),F23="Mean of 3",C23="6x6 / 7x7"),2,
AND(OR(H23&lt;&gt;"",I23&lt;&gt;""),F23="Mean of 3"),1,
F23="Mean of 3",AA23,
AND(OR(H23&lt;&gt;"",I23&lt;&gt;""),F23="Best of 3",C23="4x4 / 5x5 BLD"),2,
AND(OR(H23&lt;&gt;"",I23&lt;&gt;""),F23="Best of 3"),1,
F23="Best of 2",AA23,
F23="Best of 1",AA23)</f>
        <v/>
      </c>
      <c r="AA23" s="57" t="str">
        <f>IFS(OR(COUNTIF(Info!$A$22:A81,C23)&gt;0,C23=""),"",
AND(OR("3x3 MBLD"=C23,"3x3 FMC"=C23),F23="Best of 1"=TRUE),1,
AND(OR("3x3 MBLD"=C23,"3x3 FMC"=C23),F23="Best of 2"=TRUE),2,
AND(OR("3x3 MBLD"=C23,"3x3 FMC"=C23),OR(F23="Best of 3",F23="Mean of 3")=TRUE),3,
AND(F23="Mean of 3",C23="6x6 / 7x7"),6,
AND(F23="Best of 3",C23="4x4 / 5x5 BLD"),6,
F23="Avg of 5",5,F23="Mean of 3",3,F23="Best of 3",3,F23="Best of 2",2,F23="Best of 1",1)</f>
        <v/>
      </c>
      <c r="AB23" s="58"/>
    </row>
    <row r="24">
      <c r="A24" s="40">
        <f>IFERROR(__xludf.DUMMYFUNCTION("IFS(indirect(""A""&amp;row()-1)=""Start"",TIME(indirect(""A""&amp;row()-2),indirect(""B""&amp;row()-2),0),
$O$2=""No"",TIME(0,($A$6*60+$B$6)+CEILING(SUM($L$7:indirect(""L""&amp;row()-1)),5),0),
D24=$E$2,TIME(0,($A$6*60+$B$6)+CEILING(SUM(IFERROR(FILTER($L$7:indirect(""L"""&amp;"&amp;row()-1),REGEXMATCH($D$7:indirect(""D""&amp;row()-1),$E$2)),0)),5),0),
TRUE,""=time(hh;mm;ss)"")"),0.4166666666666667)</f>
        <v>0.4166666667</v>
      </c>
      <c r="B24" s="41">
        <f>IFERROR(__xludf.DUMMYFUNCTION("IFS($O$2=""No"",TIME(0,($A$6*60+$B$6)+CEILING(SUM($L$7:indirect(""L""&amp;row())),5),0),
D24=$E$2,TIME(0,($A$6*60+$B$6)+CEILING(SUM(FILTER($L$7:indirect(""L""&amp;row()),REGEXMATCH($D$7:indirect(""D""&amp;row()),$E$2))),5),0),
A24=""=time(hh;mm;ss)"",CONCATENATE(""Sk"&amp;"riv tid i A""&amp;row()),
AND(A24&lt;&gt;"""",A24&lt;&gt;""=time(hh;mm;ss)""),A24+TIME(0,CEILING(indirect(""L""&amp;row()),5),0))"),0.4166666666666667)</f>
        <v>0.4166666667</v>
      </c>
      <c r="C24" s="42"/>
      <c r="D24" s="43" t="str">
        <f t="shared" si="2"/>
        <v>Stora salen</v>
      </c>
      <c r="E24" s="43" t="str">
        <f>IFERROR(__xludf.DUMMYFUNCTION("IFS(COUNTIF(Info!$A$22:A81,C24)&gt;0,"""",
AND(OR(""3x3 FMC""=C24,""3x3 MBLD""=C24),COUNTIF($C$7:indirect(""C""&amp;row()),indirect(""C""&amp;row()))&gt;=13),""E - Error"",
AND(OR(""3x3 FMC""=C24,""3x3 MBLD""=C24),COUNTIF($C$7:indirect(""C""&amp;row()),indirect(""C""&amp;row()"&amp;"))=12),""Final - A3"",
AND(OR(""3x3 FMC""=C24,""3x3 MBLD""=C24),COUNTIF($C$7:indirect(""C""&amp;row()),indirect(""C""&amp;row()))=11),""Final - A2"",
AND(OR(""3x3 FMC""=C24,""3x3 MBLD""=C24),COUNTIF($C$7:indirect(""C""&amp;row()),indirect(""C""&amp;row()))=10),""Final - "&amp;"A1"",
AND(OR(""3x3 FMC""=C24,""3x3 MBLD""=C24),COUNTIF($C$7:indirect(""C""&amp;row()),indirect(""C""&amp;row()))=9,
COUNTIF($C$7:$C$61,indirect(""C""&amp;row()))&gt;9),""R3 - A3"",
AND(OR(""3x3 FMC""=C24,""3x3 MBLD""=C24),COUNTIF($C$7:indirect(""C""&amp;row()),indirect(""C"&amp;"""&amp;row()))=9,
COUNTIF($C$7:$C$61,indirect(""C""&amp;row()))&lt;=9),""Final - A3"",
AND(OR(""3x3 FMC""=C24,""3x3 MBLD""=C24),COUNTIF($C$7:indirect(""C""&amp;row()),indirect(""C""&amp;row()))=8,
COUNTIF($C$7:$C$61,indirect(""C""&amp;row()))&gt;9),""R3 - A2"",
AND(OR(""3x3 FMC""="&amp;"C24,""3x3 MBLD""=C24),COUNTIF($C$7:indirect(""C""&amp;row()),indirect(""C""&amp;row()))=8,
COUNTIF($C$7:$C$61,indirect(""C""&amp;row()))&lt;=9),""Final - A2"",
AND(OR(""3x3 FMC""=C24,""3x3 MBLD""=C24),COUNTIF($C$7:indirect(""C""&amp;row()),indirect(""C""&amp;row()))=7,
COUNTIF("&amp;"$C$7:$C$61,indirect(""C""&amp;row()))&gt;9),""R3 - A1"",
AND(OR(""3x3 FMC""=C24,""3x3 MBLD""=C24),COUNTIF($C$7:indirect(""C""&amp;row()),indirect(""C""&amp;row()))=7,
COUNTIF($C$7:$C$61,indirect(""C""&amp;row()))&lt;=9),""Final - A1"",
AND(OR(""3x3 FMC""=C24,""3x3 MBLD""=C24),"&amp;"COUNTIF($C$7:indirect(""C""&amp;row()),indirect(""C""&amp;row()))=6,
COUNTIF($C$7:$C$61,indirect(""C""&amp;row()))&gt;6),""R2 - A3"",
AND(OR(""3x3 FMC""=C24,""3x3 MBLD""=C24),COUNTIF($C$7:indirect(""C""&amp;row()),indirect(""C""&amp;row()))=6,
COUNTIF($C$7:$C$61,indirect(""C""&amp;"&amp;"row()))&lt;=6),""Final - A3"",
AND(OR(""3x3 FMC""=C24,""3x3 MBLD""=C24),COUNTIF($C$7:indirect(""C""&amp;row()),indirect(""C""&amp;row()))=5,
COUNTIF($C$7:$C$61,indirect(""C""&amp;row()))&gt;6),""R2 - A2"",
AND(OR(""3x3 FMC""=C24,""3x3 MBLD""=C24),COUNTIF($C$7:indirect(""C"&amp;"""&amp;row()),indirect(""C""&amp;row()))=5,
COUNTIF($C$7:$C$61,indirect(""C""&amp;row()))&lt;=6),""Final - A2"",
AND(OR(""3x3 FMC""=C24,""3x3 MBLD""=C24),COUNTIF($C$7:indirect(""C""&amp;row()),indirect(""C""&amp;row()))=4,
COUNTIF($C$7:$C$61,indirect(""C""&amp;row()))&gt;6),""R2 - A1"&amp;""",
AND(OR(""3x3 FMC""=C24,""3x3 MBLD""=C24),COUNTIF($C$7:indirect(""C""&amp;row()),indirect(""C""&amp;row()))=4,
COUNTIF($C$7:$C$61,indirect(""C""&amp;row()))&lt;=6),""Final - A1"",
AND(OR(""3x3 FMC""=C24,""3x3 MBLD""=C24),COUNTIF($C$7:indirect(""C""&amp;row()),indirect("""&amp;"C""&amp;row()))=3),""R1 - A3"",
AND(OR(""3x3 FMC""=C24,""3x3 MBLD""=C24),COUNTIF($C$7:indirect(""C""&amp;row()),indirect(""C""&amp;row()))=2),""R1 - A2"",
AND(OR(""3x3 FMC""=C24,""3x3 MBLD""=C24),COUNTIF($C$7:indirect(""C""&amp;row()),indirect(""C""&amp;row()))=1),""R1 -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C24),ROUNDUP((FILTER(Info!$H$2:H81,Info!$A$2:A81=C24)/FILTER(Info!$H$2:H81,Info!$A$2:A81=$K$2))*$I$2)&gt;99),3,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C24),ROUNDUP((FILTER(Info!$H$2:H81,Info!$A$2:A81=C24)/FILTER(Info!$H$2:H81,Info!$A$2:A81=$K$2))*$I$2)&gt;15),2,
AND(COUNTIF($C$7:indirect(""C""&amp;row()),indirect(""C""&amp;row()))=2,COUNTIF($C$7:$C$61,indirect(""C""&amp;row()))=COUNTIF($C$7:indirect("""&amp;"C""&amp;row()),indirect(""C""&amp;row()))),""Final"",
COUNTIF($C$7:indirect(""C""&amp;row()),indirect(""C""&amp;row()))=1,1,
COUNTIF($C$7:indirect(""C""&amp;row()),indirect(""C""&amp;row()))=0,"""")"),"")</f>
        <v/>
      </c>
      <c r="F24" s="44" t="str">
        <f>IFERROR(__xludf.DUMMYFUNCTION("IFS(C24="""","""",
AND(C24=""3x3 FMC"",MOD(COUNTIF($C$7:indirect(""C""&amp;row()),indirect(""C""&amp;row())),3)=0),""Mean of 3"",
AND(C24=""3x3 MBLD"",MOD(COUNTIF($C$7:indirect(""C""&amp;row()),indirect(""C""&amp;row())),3)=0),""Best of 3"",
AND(C24=""3x3 FMC"",MOD(COUNT"&amp;"IF($C$7:indirect(""C""&amp;row()),indirect(""C""&amp;row())),3)=2,
COUNTIF($C$7:$C$61,indirect(""C""&amp;row()))&lt;=COUNTIF($C$7:indirect(""C""&amp;row()),indirect(""C""&amp;row()))),""Best of 2"",
AND(C24=""3x3 FMC"",MOD(COUNTIF($C$7:indirect(""C""&amp;row()),indirect(""C""&amp;row()"&amp;")),3)=2,
COUNTIF($C$7:$C$61,indirect(""C""&amp;row()))&gt;COUNTIF($C$7:indirect(""C""&amp;row()),indirect(""C""&amp;row()))),""Mean of 3"",
AND(C24=""3x3 MBLD"",MOD(COUNTIF($C$7:indirect(""C""&amp;row()),indirect(""C""&amp;row())),3)=2,
COUNTIF($C$7:$C$61,indirect(""C""&amp;row()))"&amp;"&lt;=COUNTIF($C$7:indirect(""C""&amp;row()),indirect(""C""&amp;row()))),""Best of 2"",
AND(C24=""3x3 MBLD"",MOD(COUNTIF($C$7:indirect(""C""&amp;row()),indirect(""C""&amp;row())),3)=2,
COUNTIF($C$7:$C$61,indirect(""C""&amp;row()))&gt;COUNTIF($C$7:indirect(""C""&amp;row()),indirect(""C"&amp;"""&amp;row()))),""Best of 3"",
AND(C24=""3x3 FMC"",MOD(COUNTIF($C$7:indirect(""C""&amp;row()),indirect(""C""&amp;row())),3)=1,
COUNTIF($C$7:$C$61,indirect(""C""&amp;row()))&lt;=COUNTIF($C$7:indirect(""C""&amp;row()),indirect(""C""&amp;row()))),""Best of 1"",
AND(C24=""3x3 FMC"",MOD"&amp;"(COUNTIF($C$7:indirect(""C""&amp;row()),indirect(""C""&amp;row())),3)=1,
COUNTIF($C$7:$C$61,indirect(""C""&amp;row()))=COUNTIF($C$7:indirect(""C""&amp;row()),indirect(""C""&amp;row()))+1),""Best of 2"",
AND(C24=""3x3 FMC"",MOD(COUNTIF($C$7:indirect(""C""&amp;row()),indirect(""C"&amp;"""&amp;row())),3)=1,
COUNTIF($C$7:$C$61,indirect(""C""&amp;row()))&gt;COUNTIF($C$7:indirect(""C""&amp;row()),indirect(""C""&amp;row()))),""Mean of 3"",
AND(C24=""3x3 MBLD"",MOD(COUNTIF($C$7:indirect(""C""&amp;row()),indirect(""C""&amp;row())),3)=1,
COUNTIF($C$7:$C$61,indirect(""C"""&amp;"&amp;row()))&lt;=COUNTIF($C$7:indirect(""C""&amp;row()),indirect(""C""&amp;row()))),""Best of 1"",
AND(C24=""3x3 MBLD"",MOD(COUNTIF($C$7:indirect(""C""&amp;row()),indirect(""C""&amp;row())),3)=1,
COUNTIF($C$7:$C$61,indirect(""C""&amp;row()))=COUNTIF($C$7:indirect(""C""&amp;row()),indir"&amp;"ect(""C""&amp;row()))+1),""Best of 2"",
AND(C24=""3x3 MBLD"",MOD(COUNTIF($C$7:indirect(""C""&amp;row()),indirect(""C""&amp;row())),3)=1,
COUNTIF($C$7:$C$61,indirect(""C""&amp;row()))&gt;COUNTIF($C$7:indirect(""C""&amp;row()),indirect(""C""&amp;row()))),""Best of 3"",
TRUE,(IFERROR("&amp;"FILTER(Info!$D$2:D81, Info!$A$2:A81 = C24), """")))"),"")</f>
        <v/>
      </c>
      <c r="G24" s="45" t="str">
        <f>IFERROR(__xludf.DUMMYFUNCTION("IFS(OR(COUNTIF(Info!$A$22:A81,C24)&gt;0,C24=""""),"""",
OR(""3x3 MBLD""=C24,""3x3 FMC""=C24),60,
AND(E24=1,FILTER(Info!$F$2:F81, Info!$A$2:A81 = C24) = ""No""),FILTER(Info!$P$2:P81, Info!$A$2:A81 = C24),
AND(E24=2,FILTER(Info!$F$2:F81, Info!$A$2:A81 = C24) ="&amp;" ""No""),FILTER(Info!$Q$2:Q81, Info!$A$2:A81 = C24),
AND(E24=3,FILTER(Info!$F$2:F81, Info!$A$2:A81 = C24) = ""No""),FILTER(Info!$R$2:R81, Info!$A$2:A81 = C24),
AND(E24=""Final"",FILTER(Info!$F$2:F81, Info!$A$2:A81 = C24) = ""No""),FILTER(Info!$S$2:S81, In"&amp;"fo!$A$2:A81 = C24),
FILTER(Info!$F$2:F81, Info!$A$2:A81 = C24) = ""Yes"","""")"),"")</f>
        <v/>
      </c>
      <c r="H24" s="45" t="str">
        <f>IFERROR(__xludf.DUMMYFUNCTION("IFS(OR(COUNTIF(Info!$A$22:A81,C24)&gt;0,C24=""""),"""",
OR(""3x3 MBLD""=C24,""3x3 FMC""=C24)=TRUE,"""",
FILTER(Info!$F$2:F81, Info!$A$2:A81 = C24) = ""Yes"",FILTER(Info!$O$2:O81, Info!$A$2:A81 = C24),
FILTER(Info!$F$2:F81, Info!$A$2:A81 = C24) = ""No"",IF(G2"&amp;"4="""",FILTER(Info!$O$2:O81, Info!$A$2:A81 = C24),""""))"),"")</f>
        <v/>
      </c>
      <c r="I24" s="45" t="str">
        <f>IFERROR(__xludf.DUMMYFUNCTION("IFS(OR(COUNTIF(Info!$A$22:A81,C24)&gt;0,C24="""",H24&lt;&gt;""""),"""",
AND(E24&lt;&gt;1,E24&lt;&gt;""R1 - A1"",E24&lt;&gt;""R1 - A2"",E24&lt;&gt;""R1 - A3""),"""",
FILTER(Info!$E$2:E81, Info!$A$2:A81 = C24) = ""Yes"",IF(H24="""",FILTER(Info!$L$2:L81, Info!$A$2:A81 = C24),""""),
FILTER(I"&amp;"nfo!$E$2:E81, Info!$A$2:A81 = C24) = ""No"","""")"),"")</f>
        <v/>
      </c>
      <c r="J24" s="45" t="str">
        <f>IFERROR(__xludf.DUMMYFUNCTION("IFS(OR(COUNTIF(Info!$A$22:A81,C24)&gt;0,C24="""",""3x3 MBLD""=C24,""3x3 FMC""=C24),"""",
AND(E24=1,FILTER(Info!$H$2:H81,Info!$A$2:A81 = C24)&lt;=FILTER(Info!$H$2:H81,Info!$A$2:A81=$K$2)),
ROUNDUP((FILTER(Info!$H$2:H81,Info!$A$2:A81 = C24)/FILTER(Info!$H$2:H81,I"&amp;"nfo!$A$2:A81=$K$2))*$I$2),
AND(E24=1,FILTER(Info!$H$2:H81,Info!$A$2:A81 = C24)&gt;FILTER(Info!$H$2:H81,Info!$A$2:A81=$K$2)),""K2 - Error"",
AND(E24=2,FILTER($J$7:indirect(""J""&amp;row()-1),$C$7:indirect(""C""&amp;row()-1)=C24)&lt;=7),""J - Error"",
E24=2,FLOOR(FILTER("&amp;"$J$7:indirect(""J""&amp;row()-1),$C$7:indirect(""C""&amp;row()-1)=C24)*Info!$T$32),
AND(E24=3,FILTER($J$7:indirect(""J""&amp;row()-1),$C$7:indirect(""C""&amp;row()-1)=C24)&lt;=15),""J - Error"",
E24=3,FLOOR(Info!$T$32*FLOOR(FILTER($J$7:indirect(""J""&amp;row()-1),$C$7:indirect("&amp;"""C""&amp;row()-1)=C24)*Info!$T$32)),
AND(E24=""Final"",COUNTIF($C$7:$C$61,C24)=2,FILTER($J$7:indirect(""J""&amp;row()-1),$C$7:indirect(""C""&amp;row()-1)=C24)&lt;=7),""J - Error"",
AND(E24=""Final"",COUNTIF($C$7:$C$61,C24)=2),
MIN(P24,FLOOR(FILTER($J$7:indirect(""J""&amp;r"&amp;"ow()-1),$C$7:indirect(""C""&amp;row()-1)=C24)*Info!$T$32)),
AND(E24=""Final"",COUNTIF($C$7:$C$61,C24)=3,FILTER($J$7:indirect(""J""&amp;row()-1),$C$7:indirect(""C""&amp;row()-1)=C24)&lt;=15),""J - Error"",
AND(E24=""Final"",COUNTIF($C$7:$C$61,C24)=3),
MIN(P24,FLOOR(Info!"&amp;"$T$32*FLOOR(FILTER($J$7:indirect(""J""&amp;row()-1),$C$7:indirect(""C""&amp;row()-1)=C24)*Info!$T$32))),
AND(E24=""Final"",COUNTIF($C$7:$C$61,C24)&gt;=4,FILTER($J$7:indirect(""J""&amp;row()-1),$C$7:indirect(""C""&amp;row()-1)=C24)&lt;=99),""J - Error"",
AND(E24=""Final"",COUNT"&amp;"IF($C$7:$C$61,C24)&gt;=4),
MIN(P24,FLOOR(Info!$T$32*FLOOR(Info!$T$32*FLOOR(FILTER($J$7:indirect(""J""&amp;row()-1),$C$7:indirect(""C""&amp;row()-1)=C24)*Info!$T$32)))))"),"")</f>
        <v/>
      </c>
      <c r="K24" s="46" t="str">
        <f>IFERROR(__xludf.DUMMYFUNCTION("IFS(AND(indirect(""D""&amp;row()+2)&lt;&gt;$E$2,indirect(""D""&amp;row()+1)=""""),CONCATENATE(""Tom rad! Kopiera hela rad ""&amp;row()&amp;"" dit""),
AND(indirect(""D""&amp;row()-1)&lt;&gt;""Rum"",indirect(""D""&amp;row()-1)=""""),CONCATENATE(""Tom rad! Kopiera hela rad ""&amp;row()&amp;"" dit""),
"&amp;"C24="""","""",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OR(AND(D24&lt;&gt;$E$2,D24&lt;&gt;$E$4,D24&lt;&gt;$K$4,D24&lt;&gt;$Q$4),D24="&amp;"""""),CONCATENATE(""Rum: ""&amp;D24&amp;"" finns ej, byt i D""&amp;row()),
AND(indirect(""D""&amp;row()-1)=""Rum"",C24=""""),CONCATENATE(""För att börja: skriv i cell C""&amp;row()),
AND(C24=""Paus"",M24&lt;=0),CONCATENATE(""Skriv pausens längd i M""&amp;row()),
OR(COUNTIF(Info!$A$"&amp;"22:A81,C24)&gt;0,C24=""""),"""",
AND(D24&lt;&gt;$E$2,$O$2=""Yes"",A24=""=time(hh;mm;ss)""),CONCATENATE(""Skriv starttid för ""&amp;C24&amp;"" i A""&amp;row()),
E24=""E - Error"",CONCATENATE(""För många ""&amp;C24&amp;"" rundor!""),
AND(C24&lt;&gt;""3x3 FMC"",C24&lt;&gt;""3x3 MBLD"",E24&lt;&gt;1,E24&lt;&gt;"&amp;"""Final"",IFERROR(FILTER($E$7:indirect(""E""&amp;row()-1),
$E$7:indirect(""E""&amp;row()-1)=E24-1,$C$7:indirect(""C""&amp;row()-1)=C24))=FALSE),CONCATENATE(""Kan ej vara R""&amp;E24&amp;"", saknar R""&amp;(E24-1)),
AND(indirect(""E""&amp;row()-1)&lt;&gt;""Omgång"",IFERROR(FILTER($E$7:indi"&amp;"rect(""E""&amp;row()-1),
$E$7:indirect(""E""&amp;row()-1)=E24,$C$7:indirect(""C""&amp;row()-1)=C24)=E24)=TRUE),CONCATENATE(""Runda ""&amp;E24&amp;"" i ""&amp;C24&amp;"" finns redan""),
AND(C24&lt;&gt;""3x3 BLD"",C24&lt;&gt;""4x4 BLD"",C24&lt;&gt;""5x5 BLD"",C24&lt;&gt;""4x4 / 5x5 BLD"",OR(E24=2,E24=3,E24="&amp;"""Final""),H24&lt;&gt;""""),CONCATENATE(E24&amp;""-rundor brukar ej ha c.t.l.""),
AND(OR(E24=2,E24=3,E24=""Final""),I24&lt;&gt;""""),CONCATENATE(E24&amp;""-rundor brukar ej ha cutoff""),
AND(OR(C24=""3x3 FMC"",C24=""3x3 MBLD""),OR(E24=1,E24=2,E24=3,E24=""Final"")),CONCATENAT"&amp;"E(C24&amp;""s omgång är Rx - Ax""),
AND(C24&lt;&gt;""3x3 MBLD"",C24&lt;&gt;""3x3 FMC"",FILTER(Info!$D$2:D81, Info!$A$2:A81 = C24)&lt;&gt;F24),CONCATENATE(C24&amp;"" måste ha formatet ""&amp;FILTER(Info!$D$2:D81, Info!$A$2:A81 = C24)),
AND(C24=""3x3 MBLD"",OR(F24=""Avg of 5"",F24=""Mea"&amp;"n of 3"")),CONCATENATE(""Ogiltigt format för ""&amp;C24),
AND(C24=""3x3 FMC"",OR(F24=""Avg of 5"",F24=""Best of 3"")),CONCATENATE(""Ogiltigt format för ""&amp;C24),
AND(OR(F24=""Best of 1"",F24=""Best of 2"",F24=""Best of 3""),I24&lt;&gt;""""),CONCATENATE(F24&amp;""-rundor"&amp;" får ej ha cutoff""),
AND(OR(C24=""3x3 FMC"",C24=""3x3 MBLD""),G24&lt;&gt;60),CONCATENATE(C24&amp;"" måste ha time limit: 60""),
AND(OR(C24=""3x3 FMC"",C24=""3x3 MBLD""),H24&lt;&gt;""""),CONCATENATE(C24&amp;"" kan inte ha c.t.l.""),
AND(G24&lt;&gt;"""",H24&lt;&gt;""""),""Välj time limit"&amp;" ELLER c.t.l"",
AND(C24=""6x6 / 7x7"",G24="""",H24=""""),""Sätt time limit (x / y) eller c.t.l (z)"",
AND(G24="""",H24=""""),""Sätt en time limit eller c.t.l"",
AND(OR(C24=""6x6 / 7x7"",C24=""4x4 / 5x5 BLD""),G24&lt;&gt;"""",REGEXMATCH(TO_TEXT(G24),"" / "")=FAL"&amp;"SE),CONCATENATE(""Time limit måste vara x / y""),
AND(H24&lt;&gt;"""",I24&lt;&gt;""""),CONCATENATE(C24&amp;"" brukar ej ha cutoff OCH c.t.l""),
AND(E24=1,H24="""",I24="""",OR(FILTER(Info!$E$2:E81, Info!$A$2:A81 = C24) = ""Yes"",FILTER(Info!$F$2:F81, Info!$A$2:A81 = C24) "&amp;"= ""Yes""),OR(F24=""Avg of 5"",F24=""Mean of 3"")),CONCATENATE(C24&amp;"" bör ha cutoff eller c.t.l""),
AND(C24=""6x6 / 7x7"",I24&lt;&gt;"""",REGEXMATCH(TO_TEXT(I24),"" / "")=FALSE),CONCATENATE(""Cutoff måste vara x / y""),
AND(H24&lt;&gt;"""",ISNUMBER(H24)=FALSE),""C.t."&amp;"l. måste vara positivt tal (x)"",
AND(C24&lt;&gt;""6x6 / 7x7"",I24&lt;&gt;"""",ISNUMBER(I24)=FALSE),""Cutoff måste vara positivt tal (x)"",
AND(H24&lt;&gt;"""",FILTER(Info!$E$2:E81, Info!$A$2:A81 = C24) = ""No"",FILTER(Info!$F$2:F81, Info!$A$2:A81 = C24) = ""No""),CONCATEN"&amp;"ATE(C24&amp;"" brukar inte ha c.t.l.""),
AND(I24&lt;&gt;"""",FILTER(Info!$E$2:E81, Info!$A$2:A81 = C24) = ""No"",FILTER(Info!$F$2:F81, Info!$A$2:A81 = C24) = ""No""),CONCATENATE(C24&amp;"" brukar inte ha cutoff""),
AND(H24="""",FILTER(Info!$F$2:F81, Info!$A$2:A81 = C24"&amp;") = ""Yes""),CONCATENATE(C24&amp;"" brukar ha c.t.l.""),
AND(C24&lt;&gt;""6x6 / 7x7"",C24&lt;&gt;""4x4 / 5x5 BLD"",G24&lt;&gt;"""",ISNUMBER(G24)=FALSE),""Time limit måste vara positivt tal (x)"",
J24=""J - Error"",CONCATENATE(""För få deltagare i R1 för ""&amp;COUNTIF($C$7:$C$61,i"&amp;"ndirect(""C""&amp;row()))&amp;"" rundor""),
J24=""K2 - Error"",CONCATENATE(C24&amp;"" är mer populär - byt i K2!""),
AND(C24&lt;&gt;""6x6 / 7x7"",C24&lt;&gt;""4x4 / 5x5 BLD"",G24&lt;&gt;"""",I24&lt;&gt;"""",G24&lt;=I24),""Time limit måste vara &gt; cutoff"",
AND(C24&lt;&gt;""6x6 / 7x7"",C24&lt;&gt;""4x4 / 5x"&amp;"5 BLD"",H24&lt;&gt;"""",I24&lt;&gt;"""",H24&lt;=I24),""C.t.l. måste vara &gt; cutoff"",
AND(C24&lt;&gt;""3x3 FMC"",C24&lt;&gt;""3x3 MBLD"",J24=""""),CONCATENATE(""Fyll i antal deltagare i J""&amp;row()),
AND(C24="""",OR(E24&lt;&gt;"""",F24&lt;&gt;"""",G24&lt;&gt;"""",H24&lt;&gt;"""",I24&lt;&gt;"""",J24&lt;&gt;"""")),""Skriv"&amp;" ALLTID gren / aktivitet först"",
AND(I24="""",H24="""",J24&lt;&gt;""""),J24,
OR(""3x3 FMC""=C24,""3x3 MBLD""=C24),J24,
AND(I24&lt;&gt;"""",""6x6 / 7x7""=C24),
IFS(ArrayFormula(SUM(IFERROR(SPLIT(I24,"" / ""))))&lt;(Info!$J$6+Info!$J$7)*2/3,CONCATENATE(""Höj helst cutoff"&amp;"s i ""&amp;C24),
ArrayFormula(SUM(IFERROR(SPLIT(I24,"" / ""))))&lt;=(Info!$J$6+Info!$J$7),ROUNDUP(J24*Info!$J$22),
ArrayFormula(SUM(IFERROR(SPLIT(I24,"" / ""))))&lt;=Info!$J$6+Info!$J$7,ROUNDUP(J24*Info!$K$22),
ArrayFormula(SUM(IFERROR(SPLIT(I24,"" / ""))))&lt;=Info!$"&amp;"K$6+Info!$K$7,ROUNDUP(J24*Info!L$22),
ArrayFormula(SUM(IFERROR(SPLIT(I24,"" / ""))))&lt;=Info!$L$6+Info!$L$7,ROUNDUP(J24*Info!$M$22),
ArrayFormula(SUM(IFERROR(SPLIT(I24,"" / ""))))&lt;=Info!$M$6+Info!$M$7,ROUNDUP(J24*Info!$N$22),
ArrayFormula(SUM(IFERROR(SPLIT("&amp;"I24,"" / ""))))&lt;=(Info!$N$6+Info!$N$7)*3/2,ROUNDUP(J24*Info!$J$26),
ArrayFormula(SUM(IFERROR(SPLIT(I24,"" / ""))))&gt;(Info!$N$6+Info!$N$7)*3/2,CONCATENATE(""Sänk helst cutoffs i ""&amp;C24)),
AND(I24&lt;&gt;"""",FILTER(Info!$E$2:E81, Info!$A$2:A81 = C24) = ""Yes""),
"&amp;"IFS(I24&lt;FILTER(Info!$J$2:J81, Info!$A$2:A81 = C24)*2/3,CONCATENATE(""Höj helst cutoff i ""&amp;C24),
I24&lt;=FILTER(Info!$J$2:J81, Info!$A$2:A81 = C24),ROUNDUP(J24*Info!$J$22),
I24&lt;=FILTER(Info!$K$2:K81, Info!$A$2:A81 = C24),ROUNDUP(J24*Info!$K$22),
I24&lt;=FILTER("&amp;"Info!$L$2:L81, Info!$A$2:A81 = C24),ROUNDUP(J24*Info!L$22),
I24&lt;=FILTER(Info!$M$2:M81, Info!$A$2:A81 = C24),ROUNDUP(J24*Info!$M$22),
I24&lt;=FILTER(Info!$N$2:N81, Info!$A$2:A81 = C24),ROUNDUP(J24*Info!$N$22),
I24&lt;=FILTER(Info!$N$2:N81, Info!$A$2:A81 = C24)*3"&amp;"/2,ROUNDUP(J24*Info!$J$26),
I24&gt;FILTER(Info!$N$2:N81, Info!$A$2:A81 = C24)*3/2,CONCATENATE(""Sänk helst cutoff i ""&amp;C24)),
AND(H24&lt;&gt;"""",""6x6 / 7x7""=C24),
IFS(H24/3&lt;=(Info!$J$6+Info!$J$7)*2/3,""Höj helst cumulative time limit"",
H24/3&lt;=Info!$J$6+Info!$J"&amp;"$7,ROUNDUP(J24*Info!$J$24),
H24/3&lt;=Info!$K$6+Info!$K$7,ROUNDUP(J24*Info!$K$24),
H24/3&lt;=Info!$L$6+Info!$L$7,ROUNDUP(J24*Info!L$24),
H24/3&lt;=Info!$M$6+Info!$M$7,ROUNDUP(J24*Info!$M$24),
H24/3&lt;=Info!$N$6+Info!$N$7,ROUNDUP(J24*Info!$N$24),
H24/3&lt;=(Info!$N$6+In"&amp;"fo!$N$7)*3/2,ROUNDUP(J24*Info!$L$26),
H24/3&gt;(Info!$J$6+Info!$J$7)*3/2,""Sänk helst cumulative time limit""),
AND(H24&lt;&gt;"""",FILTER(Info!$F$2:F81, Info!$A$2:A81 = C24) = ""Yes""),
IFS(H24&lt;=FILTER(Info!$J$2:J81, Info!$A$2:A81 = C24)*2/3,CONCATENATE(""Höj hel"&amp;"st c.t.l. i ""&amp;C24),
H24&lt;=FILTER(Info!$J$2:J81, Info!$A$2:A81 = C24),ROUNDUP(J24*Info!$J$24),
H24&lt;=FILTER(Info!$K$2:K81, Info!$A$2:A81 = C24),ROUNDUP(J24*Info!$K$24),
H24&lt;=FILTER(Info!$L$2:L81, Info!$A$2:A81 = C24),ROUNDUP(J24*Info!L$24),
H24&lt;=FILTER(Info"&amp;"!$M$2:M81, Info!$A$2:A81 = C24),ROUNDUP(J24*Info!$M$24),
H24&lt;=FILTER(Info!$N$2:N81, Info!$A$2:A81 = C24),ROUNDUP(J24*Info!$N$24),
H24&lt;=FILTER(Info!$N$2:N81, Info!$A$2:A81 = C24)*3/2,ROUNDUP(J24*Info!$L$26),
H24&gt;FILTER(Info!$N$2:N81, Info!$A$2:A81 = C24)*3"&amp;"/2,CONCATENATE(""Sänk helst c.t.l. i ""&amp;C24)),
AND(H24&lt;&gt;"""",FILTER(Info!$F$2:F81, Info!$A$2:A81 = C24) = ""No""),
IFS(H24/AA24&lt;=FILTER(Info!$J$2:J81, Info!$A$2:A81 = C24)*2/3,CONCATENATE(""Höj helst c.t.l. i ""&amp;C24),
H24/AA24&lt;=FILTER(Info!$J$2:J81, Info!"&amp;"$A$2:A81 = C24),ROUNDUP(J24*Info!$J$24),
H24/AA24&lt;=FILTER(Info!$K$2:K81, Info!$A$2:A81 = C24),ROUNDUP(J24*Info!$K$24),
H24/AA24&lt;=FILTER(Info!$L$2:L81, Info!$A$2:A81 = C24),ROUNDUP(J24*Info!L$24),
H24/AA24&lt;=FILTER(Info!$M$2:M81, Info!$A$2:A81 = C24),ROUNDU"&amp;"P(J24*Info!$M$24),
H24/AA24&lt;=FILTER(Info!$N$2:N81, Info!$A$2:A81 = C24),ROUNDUP(J24*Info!$N$24),
H24/AA24&lt;=FILTER(Info!$N$2:N81, Info!$A$2:A81 = C24)*3/2,ROUNDUP(J24*Info!$L$26),
H24/AA24&gt;FILTER(Info!$N$2:N81, Info!$A$2:A81 = C24)*3/2,CONCATENATE(""Sänk h"&amp;"elst c.t.l. i ""&amp;C24)),
AND(I24="""",H24&lt;&gt;"""",J24&lt;&gt;""""),ROUNDUP(J24*Info!$T$29),
AND(I24&lt;&gt;"""",H24="""",J24&lt;&gt;""""),ROUNDUP(J24*Info!$T$26))"),"")</f>
        <v/>
      </c>
      <c r="L24" s="47">
        <f>IFERROR(__xludf.DUMMYFUNCTION("IFS(C24="""",0,
C24=""3x3 FMC"",Info!$B$9*N24+M24, C24=""3x3 MBLD"",Info!$B$18*N24+M24,
COUNTIF(Info!$A$22:A81,C24)&gt;0,FILTER(Info!$B$22:B81,Info!$A$22:A81=C24)+M24,
AND(C24&lt;&gt;"""",E24=""""),CONCATENATE(""Fyll i E""&amp;row()),
AND(C24&lt;&gt;"""",E24&lt;&gt;"""",E24&lt;&gt;1,E2"&amp;"4&lt;&gt;2,E24&lt;&gt;3,E24&lt;&gt;""Final""),CONCATENATE(""Fel format på E""&amp;row()),
K24=CONCATENATE(""Runda ""&amp;E24&amp;"" i ""&amp;C24&amp;"" finns redan""),CONCATENATE(""Fel i E""&amp;row()),
AND(C24&lt;&gt;"""",F24=""""),CONCATENATE(""Fyll i F""&amp;row()),
K24=CONCATENATE(C24&amp;"" måste ha forma"&amp;"tet ""&amp;FILTER(Info!$D$2:D81, Info!$A$2:A81 = C24)),CONCATENATE(""Fel format på F""&amp;row()),
AND(C24&lt;&gt;"""",D24=1,H24="""",FILTER(Info!$F$2:F81, Info!$A$2:A81 = C24) = ""Yes""),CONCATENATE(""Fyll i H""&amp;row()),
AND(C24&lt;&gt;"""",D24=1,I24="""",FILTER(Info!$E$2:E8"&amp;"1, Info!$A$2:A81 = C24) = ""Yes""),CONCATENATE(""Fyll i I""&amp;row()),
AND(C24&lt;&gt;"""",J24=""""),CONCATENATE(""Fyll i J""&amp;row()),
AND(C24&lt;&gt;"""",K24="""",OR(H24&lt;&gt;"""",I24&lt;&gt;"""")),CONCATENATE(""Fyll i K""&amp;row()),
AND(C24&lt;&gt;"""",K24=""""),CONCATENATE(""Skriv samma"&amp;" i K""&amp;row()&amp;"" som i J""&amp;row()),
AND(OR(C24=""4x4 BLD"",C24=""5x5 BLD"",C24=""4x4 / 5x5 BLD"")=TRUE,V24&lt;=P24),
MROUND(H24*(Info!$T$20-((Info!$T$20-1)/2)*(1-V24/P24))*(1+((J24/K24)-1)*(1-Info!$J$24))*N24+(Info!$T$11/2)+(N24*Info!$T$11)+(N24*Info!$T$14*(O2"&amp;"4-1)),0.01)+M24,
AND(OR(C24=""4x4 BLD"",C24=""5x5 BLD"",C24=""4x4 / 5x5 BLD"")=TRUE,V24&gt;P24),
MROUND((((J24*Z24+K24*(AA24-Z24))*(H24*Info!$T$20/AA24))/X24)*(1+((J24/K24)-1)*(1-Info!$J$24))*(1+(X24-Info!$T$8)/100)+(Info!$T$11/2)+(N24*Info!$T$11)+(N24*Info!"&amp;"$T$14*(O24-1)),0.01)+M24,
AND(C24=""3x3 BLD"",V24&lt;=P24),
MROUND(H24*(Info!$T$23-((Info!$T$23-1)/2)*(1-V24/P24))*(1+((J24/K24)-1)*(1-Info!$J$24))*N24+(Info!$T$11/2)+(N24*Info!$T$11)+(N24*Info!$T$14*(O24-1)),0.01)+M24,
AND(C24=""3x3 BLD"",V24&gt;P24),
MROUND(("&amp;"((J24*Z24+K24*(AA24-Z24))*(H24*Info!$T$23/AA24))/X24)*(1+((J24/K24)-1)*(1-Info!$J$24))*(1+(X24-Info!$T$8)/100)+(Info!$T$11/2)+(N24*Info!$T$11)+(N24*Info!$T$14*(O24-1)),0.01)+M24,
E24=1,MROUND((((J24*Z24+K24*(AA24-Z24))*Y24)/X24)*(1+(X24-Info!$T$8)/100)+(N"&amp;"24*Info!$T$11)+(N24*Info!$T$14*(O24-1)),0.01)+M24,
AND(E24=""Final"",N24=1,FILTER(Info!$G$2:$G$20,Info!$A$2:$A$20=C24)=""Mycket svår""),
MROUND((((J24*Z24+K24*(AA24-Z24))*(Y24*Info!$T$38))/X24)*(1+(X24-Info!$T$8)/100)+(N24*Info!$T$11)+(N24*Info!$T$14*(O24"&amp;"-1)),0.01)+M24,
AND(E24=""Final"",N24=1,FILTER(Info!$G$2:$G$20,Info!$A$2:$A$20=C24)=""Svår""),
MROUND((((J24*Z24+K24*(AA24-Z24))*(Y24*Info!$T$35))/X24)*(1+(X24-Info!$T$8)/100)+(N24*Info!$T$11)+(N24*Info!$T$14*(O24-1)),0.01)+M24,
E24=""Final"",MROUND((((J2"&amp;"4*Z24+K24*(AA24-Z24))*(Y24*Info!$T$5))/X24)*(1+(X24-Info!$T$8)/100)+(N24*Info!$T$11)+(N24*Info!$T$14*(O24-1)),0.01)+M24,
OR(E24=2,E24=3),MROUND((((J24*Z24+K24*(AA24-Z24))*(Y24*Info!$T$2))/X24)*(1+(X24-Info!$T$8)/100)+(N24*Info!$T$11)+(N24*Info!$T$14*(O24-"&amp;"1)),0.01)+M24)"),0.0)</f>
        <v>0</v>
      </c>
      <c r="M24" s="48">
        <f t="shared" si="1"/>
        <v>0</v>
      </c>
      <c r="N24" s="48" t="str">
        <f>IFS(OR(COUNTIF(Info!$A$22:A81,C24)&gt;0,C24=""),"",
OR(C24="4x4 BLD",C24="5x5 BLD",C24="3x3 MBLD",C24="3x3 FMC",C24="4x4 / 5x5 BLD"),1,
AND(E24="Final",Q24="Yes",MAX(1,ROUNDUP(J24/P24))&gt;1),MAX(2,ROUNDUP(J24/P24)),
AND(E24="Final",Q24="No",MAX(1,ROUNDUP(J24/((P24*2)+2.625-Y24*1.5)))&gt;1),MAX(2,ROUNDUP(J24/((P24*2)+2.625-Y24*1.5))),
E24="Final",1,
Q24="Yes",MAX(2,ROUNDUP(J24/P24)),
TRUE,MAX(2,ROUNDUP(J24/((P24*2)+2.625-Y24*1.5))))</f>
        <v/>
      </c>
      <c r="O24" s="48" t="str">
        <f>IFS(OR(COUNTIF(Info!$A$22:A81,C24)&gt;0,C24=""),"",
OR("3x3 MBLD"=C24,"3x3 FMC"=C24)=TRUE,"",
D24=$E$4,$G$6,D24=$K$4,$M$6,D24=$Q$4,$S$6,D24=$W$4,$Y$6,
TRUE,$S$2)</f>
        <v/>
      </c>
      <c r="P24" s="48" t="str">
        <f>IFS(OR(COUNTIF(Info!$A$22:A81,C24)&gt;0,C24=""),"",
OR("3x3 MBLD"=C24,"3x3 FMC"=C24)=TRUE,"",
D24=$E$4,$E$6,D24=$K$4,$K$6,D24=$Q$4,$Q$6,D24=$W$4,$W$6,
TRUE,$Q$2)</f>
        <v/>
      </c>
      <c r="Q24" s="49" t="str">
        <f>IFS(OR(COUNTIF(Info!$A$22:A81,C24)&gt;0,C24=""),"",
OR("3x3 MBLD"=C24,"3x3 FMC"=C24)=TRUE,"",
D24=$E$4,$I$6,D24=$K$4,$O$6,D24=$Q$4,$U$6,D24=$W$4,$AA$6,
TRUE,$U$2)</f>
        <v/>
      </c>
      <c r="R24" s="50" t="str">
        <f>IFERROR(__xludf.DUMMYFUNCTION("IF(C24="""","""",IFERROR(FILTER(Info!$B$22:B81,Info!$A$22:A81=C24)+M24,""?""))"),"")</f>
        <v/>
      </c>
      <c r="S24" s="51" t="str">
        <f>IFS(OR(COUNTIF(Info!$A$22:A81,C24)&gt;0,C24=""),"",
AND(H24="",I24=""),J24,
TRUE,"?")</f>
        <v/>
      </c>
      <c r="T24" s="52" t="str">
        <f>IFS(OR(COUNTIF(Info!$A$22:A81,C24)&gt;0,C24=""),"",
AND(L24&lt;&gt;0,OR(R24="?",R24="")),"Fyll i R-kolumnen",
OR(C24="3x3 FMC",C24="3x3 MBLD"),R24,
AND(L24&lt;&gt;0,OR(S24="?",S24="")),"Fyll i S-kolumnen",
OR(COUNTIF(Info!$A$22:A81,C24)&gt;0,C24=""),"",
TRUE,Y24*R24/L24)</f>
        <v/>
      </c>
      <c r="U24" s="52"/>
      <c r="V24" s="53" t="str">
        <f>IFS(OR(COUNTIF(Info!$A$22:A81,C24)&gt;0,C24=""),"",
OR("3x3 MBLD"=C24,"3x3 FMC"=C24)=TRUE,"",
TRUE,MROUND((J24/N24),0.01))</f>
        <v/>
      </c>
      <c r="W24" s="54" t="str">
        <f>IFS(OR(COUNTIF(Info!$A$22:A81,C24)&gt;0,C24=""),"",
TRUE,L24/N24)</f>
        <v/>
      </c>
      <c r="X24" s="55" t="str">
        <f>IFS(OR(COUNTIF(Info!$A$22:A81,C24)&gt;0,C24=""),"",
OR("3x3 MBLD"=C24,"3x3 FMC"=C24)=TRUE,"",
OR(C24="4x4 BLD",C24="5x5 BLD",C24="4x4 / 5x5 BLD",AND(C24="3x3 BLD",H24&lt;&gt;""))=TRUE,MIN(V24,P24),
TRUE,MIN(P24,V24,MROUND(((V24*2/3)+((Y24-1.625)/2)),0.01)))</f>
        <v/>
      </c>
      <c r="Y24" s="56" t="str">
        <f>IFERROR(__xludf.DUMMYFUNCTION("IFS(OR(COUNTIF(Info!$A$22:A81,C24)&gt;0,C24=""""),"""",
FILTER(Info!$F$2:F81, Info!$A$2:A81 = C24) = ""Yes"",H24/AA24,
""3x3 FMC""=C24,Info!$B$9,""3x3 MBLD""=C24,Info!$B$18,
AND(E24=1,I24="""",H24="""",Q24=""No"",G24&gt;SUMIF(Info!$A$2:A81,C24,Info!$B$2:B81)*1."&amp;"5),
MIN(SUMIF(Info!$A$2:A81,C24,Info!$B$2:B81)*1.1,SUMIF(Info!$A$2:A81,C24,Info!$B$2:B81)*(1.15-(0.15*(SUMIF(Info!$A$2:A81,C24,Info!$B$2:B81)*1.5)/G24))),
AND(E24=1,I24="""",H24="""",Q24=""Yes"",G24&gt;SUMIF(Info!$A$2:A81,C24,Info!$C$2:C81)*1.5),
MIN(SUMIF(I"&amp;"nfo!$A$2:A81,C24,Info!$C$2:C81)*1.1,SUMIF(Info!$A$2:A81,C24,Info!$C$2:C81)*(1.15-(0.15*(SUMIF(Info!$A$2:A81,C24,Info!$C$2:C81)*1.5)/G24))),
Q24=""No"",SUMIF(Info!$A$2:A81,C24,Info!$B$2:B81),
Q24=""Yes"",SUMIF(Info!$A$2:A81,C24,Info!$C$2:C81))"),"")</f>
        <v/>
      </c>
      <c r="Z24" s="57" t="str">
        <f>IFS(OR(COUNTIF(Info!$A$22:A81,C24)&gt;0,C24=""),"",
AND(OR("3x3 FMC"=C24,"3x3 MBLD"=C24),I24&lt;&gt;""),1,
AND(OR(H24&lt;&gt;"",I24&lt;&gt;""),F24="Avg of 5"),2,
F24="Avg of 5",AA24,
AND(OR(H24&lt;&gt;"",I24&lt;&gt;""),F24="Mean of 3",C24="6x6 / 7x7"),2,
AND(OR(H24&lt;&gt;"",I24&lt;&gt;""),F24="Mean of 3"),1,
F24="Mean of 3",AA24,
AND(OR(H24&lt;&gt;"",I24&lt;&gt;""),F24="Best of 3",C24="4x4 / 5x5 BLD"),2,
AND(OR(H24&lt;&gt;"",I24&lt;&gt;""),F24="Best of 3"),1,
F24="Best of 2",AA24,
F24="Best of 1",AA24)</f>
        <v/>
      </c>
      <c r="AA24" s="57" t="str">
        <f>IFS(OR(COUNTIF(Info!$A$22:A81,C24)&gt;0,C24=""),"",
AND(OR("3x3 MBLD"=C24,"3x3 FMC"=C24),F24="Best of 1"=TRUE),1,
AND(OR("3x3 MBLD"=C24,"3x3 FMC"=C24),F24="Best of 2"=TRUE),2,
AND(OR("3x3 MBLD"=C24,"3x3 FMC"=C24),OR(F24="Best of 3",F24="Mean of 3")=TRUE),3,
AND(F24="Mean of 3",C24="6x6 / 7x7"),6,
AND(F24="Best of 3",C24="4x4 / 5x5 BLD"),6,
F24="Avg of 5",5,F24="Mean of 3",3,F24="Best of 3",3,F24="Best of 2",2,F24="Best of 1",1)</f>
        <v/>
      </c>
      <c r="AB24" s="58"/>
    </row>
    <row r="25">
      <c r="A25" s="40">
        <f>IFERROR(__xludf.DUMMYFUNCTION("IFS(indirect(""A""&amp;row()-1)=""Start"",TIME(indirect(""A""&amp;row()-2),indirect(""B""&amp;row()-2),0),
$O$2=""No"",TIME(0,($A$6*60+$B$6)+CEILING(SUM($L$7:indirect(""L""&amp;row()-1)),5),0),
D25=$E$2,TIME(0,($A$6*60+$B$6)+CEILING(SUM(IFERROR(FILTER($L$7:indirect(""L"""&amp;"&amp;row()-1),REGEXMATCH($D$7:indirect(""D""&amp;row()-1),$E$2)),0)),5),0),
TRUE,""=time(hh;mm;ss)"")"),0.4166666666666667)</f>
        <v>0.4166666667</v>
      </c>
      <c r="B25" s="41">
        <f>IFERROR(__xludf.DUMMYFUNCTION("IFS($O$2=""No"",TIME(0,($A$6*60+$B$6)+CEILING(SUM($L$7:indirect(""L""&amp;row())),5),0),
D25=$E$2,TIME(0,($A$6*60+$B$6)+CEILING(SUM(FILTER($L$7:indirect(""L""&amp;row()),REGEXMATCH($D$7:indirect(""D""&amp;row()),$E$2))),5),0),
A25=""=time(hh;mm;ss)"",CONCATENATE(""Sk"&amp;"riv tid i A""&amp;row()),
AND(A25&lt;&gt;"""",A25&lt;&gt;""=time(hh;mm;ss)""),A25+TIME(0,CEILING(indirect(""L""&amp;row()),5),0))"),0.4166666666666667)</f>
        <v>0.4166666667</v>
      </c>
      <c r="C25" s="42"/>
      <c r="D25" s="43" t="str">
        <f t="shared" si="2"/>
        <v>Stora salen</v>
      </c>
      <c r="E25" s="43" t="str">
        <f>IFERROR(__xludf.DUMMYFUNCTION("IFS(COUNTIF(Info!$A$22:A81,C25)&gt;0,"""",
AND(OR(""3x3 FMC""=C25,""3x3 MBLD""=C25),COUNTIF($C$7:indirect(""C""&amp;row()),indirect(""C""&amp;row()))&gt;=13),""E - Error"",
AND(OR(""3x3 FMC""=C25,""3x3 MBLD""=C25),COUNTIF($C$7:indirect(""C""&amp;row()),indirect(""C""&amp;row()"&amp;"))=12),""Final - A3"",
AND(OR(""3x3 FMC""=C25,""3x3 MBLD""=C25),COUNTIF($C$7:indirect(""C""&amp;row()),indirect(""C""&amp;row()))=11),""Final - A2"",
AND(OR(""3x3 FMC""=C25,""3x3 MBLD""=C25),COUNTIF($C$7:indirect(""C""&amp;row()),indirect(""C""&amp;row()))=10),""Final - "&amp;"A1"",
AND(OR(""3x3 FMC""=C25,""3x3 MBLD""=C25),COUNTIF($C$7:indirect(""C""&amp;row()),indirect(""C""&amp;row()))=9,
COUNTIF($C$7:$C$61,indirect(""C""&amp;row()))&gt;9),""R3 - A3"",
AND(OR(""3x3 FMC""=C25,""3x3 MBLD""=C25),COUNTIF($C$7:indirect(""C""&amp;row()),indirect(""C"&amp;"""&amp;row()))=9,
COUNTIF($C$7:$C$61,indirect(""C""&amp;row()))&lt;=9),""Final - A3"",
AND(OR(""3x3 FMC""=C25,""3x3 MBLD""=C25),COUNTIF($C$7:indirect(""C""&amp;row()),indirect(""C""&amp;row()))=8,
COUNTIF($C$7:$C$61,indirect(""C""&amp;row()))&gt;9),""R3 - A2"",
AND(OR(""3x3 FMC""="&amp;"C25,""3x3 MBLD""=C25),COUNTIF($C$7:indirect(""C""&amp;row()),indirect(""C""&amp;row()))=8,
COUNTIF($C$7:$C$61,indirect(""C""&amp;row()))&lt;=9),""Final - A2"",
AND(OR(""3x3 FMC""=C25,""3x3 MBLD""=C25),COUNTIF($C$7:indirect(""C""&amp;row()),indirect(""C""&amp;row()))=7,
COUNTIF("&amp;"$C$7:$C$61,indirect(""C""&amp;row()))&gt;9),""R3 - A1"",
AND(OR(""3x3 FMC""=C25,""3x3 MBLD""=C25),COUNTIF($C$7:indirect(""C""&amp;row()),indirect(""C""&amp;row()))=7,
COUNTIF($C$7:$C$61,indirect(""C""&amp;row()))&lt;=9),""Final - A1"",
AND(OR(""3x3 FMC""=C25,""3x3 MBLD""=C25),"&amp;"COUNTIF($C$7:indirect(""C""&amp;row()),indirect(""C""&amp;row()))=6,
COUNTIF($C$7:$C$61,indirect(""C""&amp;row()))&gt;6),""R2 - A3"",
AND(OR(""3x3 FMC""=C25,""3x3 MBLD""=C25),COUNTIF($C$7:indirect(""C""&amp;row()),indirect(""C""&amp;row()))=6,
COUNTIF($C$7:$C$61,indirect(""C""&amp;"&amp;"row()))&lt;=6),""Final - A3"",
AND(OR(""3x3 FMC""=C25,""3x3 MBLD""=C25),COUNTIF($C$7:indirect(""C""&amp;row()),indirect(""C""&amp;row()))=5,
COUNTIF($C$7:$C$61,indirect(""C""&amp;row()))&gt;6),""R2 - A2"",
AND(OR(""3x3 FMC""=C25,""3x3 MBLD""=C25),COUNTIF($C$7:indirect(""C"&amp;"""&amp;row()),indirect(""C""&amp;row()))=5,
COUNTIF($C$7:$C$61,indirect(""C""&amp;row()))&lt;=6),""Final - A2"",
AND(OR(""3x3 FMC""=C25,""3x3 MBLD""=C25),COUNTIF($C$7:indirect(""C""&amp;row()),indirect(""C""&amp;row()))=4,
COUNTIF($C$7:$C$61,indirect(""C""&amp;row()))&gt;6),""R2 - A1"&amp;""",
AND(OR(""3x3 FMC""=C25,""3x3 MBLD""=C25),COUNTIF($C$7:indirect(""C""&amp;row()),indirect(""C""&amp;row()))=4,
COUNTIF($C$7:$C$61,indirect(""C""&amp;row()))&lt;=6),""Final - A1"",
AND(OR(""3x3 FMC""=C25,""3x3 MBLD""=C25),COUNTIF($C$7:indirect(""C""&amp;row()),indirect("""&amp;"C""&amp;row()))=3),""R1 - A3"",
AND(OR(""3x3 FMC""=C25,""3x3 MBLD""=C25),COUNTIF($C$7:indirect(""C""&amp;row()),indirect(""C""&amp;row()))=2),""R1 - A2"",
AND(OR(""3x3 FMC""=C25,""3x3 MBLD""=C25),COUNTIF($C$7:indirect(""C""&amp;row()),indirect(""C""&amp;row()))=1),""R1 -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C25),ROUNDUP((FILTER(Info!$H$2:H81,Info!$A$2:A81=C25)/FILTER(Info!$H$2:H81,Info!$A$2:A81=$K$2))*$I$2)&gt;99),3,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C25),ROUNDUP((FILTER(Info!$H$2:H81,Info!$A$2:A81=C25)/FILTER(Info!$H$2:H81,Info!$A$2:A81=$K$2))*$I$2)&gt;15),2,
AND(COUNTIF($C$7:indirect(""C""&amp;row()),indirect(""C""&amp;row()))=2,COUNTIF($C$7:$C$61,indirect(""C""&amp;row()))=COUNTIF($C$7:indirect("""&amp;"C""&amp;row()),indirect(""C""&amp;row()))),""Final"",
COUNTIF($C$7:indirect(""C""&amp;row()),indirect(""C""&amp;row()))=1,1,
COUNTIF($C$7:indirect(""C""&amp;row()),indirect(""C""&amp;row()))=0,"""")"),"")</f>
        <v/>
      </c>
      <c r="F25" s="44" t="str">
        <f>IFERROR(__xludf.DUMMYFUNCTION("IFS(C25="""","""",
AND(C25=""3x3 FMC"",MOD(COUNTIF($C$7:indirect(""C""&amp;row()),indirect(""C""&amp;row())),3)=0),""Mean of 3"",
AND(C25=""3x3 MBLD"",MOD(COUNTIF($C$7:indirect(""C""&amp;row()),indirect(""C""&amp;row())),3)=0),""Best of 3"",
AND(C25=""3x3 FMC"",MOD(COUNT"&amp;"IF($C$7:indirect(""C""&amp;row()),indirect(""C""&amp;row())),3)=2,
COUNTIF($C$7:$C$61,indirect(""C""&amp;row()))&lt;=COUNTIF($C$7:indirect(""C""&amp;row()),indirect(""C""&amp;row()))),""Best of 2"",
AND(C25=""3x3 FMC"",MOD(COUNTIF($C$7:indirect(""C""&amp;row()),indirect(""C""&amp;row()"&amp;")),3)=2,
COUNTIF($C$7:$C$61,indirect(""C""&amp;row()))&gt;COUNTIF($C$7:indirect(""C""&amp;row()),indirect(""C""&amp;row()))),""Mean of 3"",
AND(C25=""3x3 MBLD"",MOD(COUNTIF($C$7:indirect(""C""&amp;row()),indirect(""C""&amp;row())),3)=2,
COUNTIF($C$7:$C$61,indirect(""C""&amp;row()))"&amp;"&lt;=COUNTIF($C$7:indirect(""C""&amp;row()),indirect(""C""&amp;row()))),""Best of 2"",
AND(C25=""3x3 MBLD"",MOD(COUNTIF($C$7:indirect(""C""&amp;row()),indirect(""C""&amp;row())),3)=2,
COUNTIF($C$7:$C$61,indirect(""C""&amp;row()))&gt;COUNTIF($C$7:indirect(""C""&amp;row()),indirect(""C"&amp;"""&amp;row()))),""Best of 3"",
AND(C25=""3x3 FMC"",MOD(COUNTIF($C$7:indirect(""C""&amp;row()),indirect(""C""&amp;row())),3)=1,
COUNTIF($C$7:$C$61,indirect(""C""&amp;row()))&lt;=COUNTIF($C$7:indirect(""C""&amp;row()),indirect(""C""&amp;row()))),""Best of 1"",
AND(C25=""3x3 FMC"",MOD"&amp;"(COUNTIF($C$7:indirect(""C""&amp;row()),indirect(""C""&amp;row())),3)=1,
COUNTIF($C$7:$C$61,indirect(""C""&amp;row()))=COUNTIF($C$7:indirect(""C""&amp;row()),indirect(""C""&amp;row()))+1),""Best of 2"",
AND(C25=""3x3 FMC"",MOD(COUNTIF($C$7:indirect(""C""&amp;row()),indirect(""C"&amp;"""&amp;row())),3)=1,
COUNTIF($C$7:$C$61,indirect(""C""&amp;row()))&gt;COUNTIF($C$7:indirect(""C""&amp;row()),indirect(""C""&amp;row()))),""Mean of 3"",
AND(C25=""3x3 MBLD"",MOD(COUNTIF($C$7:indirect(""C""&amp;row()),indirect(""C""&amp;row())),3)=1,
COUNTIF($C$7:$C$61,indirect(""C"""&amp;"&amp;row()))&lt;=COUNTIF($C$7:indirect(""C""&amp;row()),indirect(""C""&amp;row()))),""Best of 1"",
AND(C25=""3x3 MBLD"",MOD(COUNTIF($C$7:indirect(""C""&amp;row()),indirect(""C""&amp;row())),3)=1,
COUNTIF($C$7:$C$61,indirect(""C""&amp;row()))=COUNTIF($C$7:indirect(""C""&amp;row()),indir"&amp;"ect(""C""&amp;row()))+1),""Best of 2"",
AND(C25=""3x3 MBLD"",MOD(COUNTIF($C$7:indirect(""C""&amp;row()),indirect(""C""&amp;row())),3)=1,
COUNTIF($C$7:$C$61,indirect(""C""&amp;row()))&gt;COUNTIF($C$7:indirect(""C""&amp;row()),indirect(""C""&amp;row()))),""Best of 3"",
TRUE,(IFERROR("&amp;"FILTER(Info!$D$2:D81, Info!$A$2:A81 = C25), """")))"),"")</f>
        <v/>
      </c>
      <c r="G25" s="45" t="str">
        <f>IFERROR(__xludf.DUMMYFUNCTION("IFS(OR(COUNTIF(Info!$A$22:A81,C25)&gt;0,C25=""""),"""",
OR(""3x3 MBLD""=C25,""3x3 FMC""=C25),60,
AND(E25=1,FILTER(Info!$F$2:F81, Info!$A$2:A81 = C25) = ""No""),FILTER(Info!$P$2:P81, Info!$A$2:A81 = C25),
AND(E25=2,FILTER(Info!$F$2:F81, Info!$A$2:A81 = C25) ="&amp;" ""No""),FILTER(Info!$Q$2:Q81, Info!$A$2:A81 = C25),
AND(E25=3,FILTER(Info!$F$2:F81, Info!$A$2:A81 = C25) = ""No""),FILTER(Info!$R$2:R81, Info!$A$2:A81 = C25),
AND(E25=""Final"",FILTER(Info!$F$2:F81, Info!$A$2:A81 = C25) = ""No""),FILTER(Info!$S$2:S81, In"&amp;"fo!$A$2:A81 = C25),
FILTER(Info!$F$2:F81, Info!$A$2:A81 = C25) = ""Yes"","""")"),"")</f>
        <v/>
      </c>
      <c r="H25" s="45" t="str">
        <f>IFERROR(__xludf.DUMMYFUNCTION("IFS(OR(COUNTIF(Info!$A$22:A81,C25)&gt;0,C25=""""),"""",
OR(""3x3 MBLD""=C25,""3x3 FMC""=C25)=TRUE,"""",
FILTER(Info!$F$2:F81, Info!$A$2:A81 = C25) = ""Yes"",FILTER(Info!$O$2:O81, Info!$A$2:A81 = C25),
FILTER(Info!$F$2:F81, Info!$A$2:A81 = C25) = ""No"",IF(G2"&amp;"5="""",FILTER(Info!$O$2:O81, Info!$A$2:A81 = C25),""""))"),"")</f>
        <v/>
      </c>
      <c r="I25" s="45" t="str">
        <f>IFERROR(__xludf.DUMMYFUNCTION("IFS(OR(COUNTIF(Info!$A$22:A81,C25)&gt;0,C25="""",H25&lt;&gt;""""),"""",
AND(E25&lt;&gt;1,E25&lt;&gt;""R1 - A1"",E25&lt;&gt;""R1 - A2"",E25&lt;&gt;""R1 - A3""),"""",
FILTER(Info!$E$2:E81, Info!$A$2:A81 = C25) = ""Yes"",IF(H25="""",FILTER(Info!$L$2:L81, Info!$A$2:A81 = C25),""""),
FILTER(I"&amp;"nfo!$E$2:E81, Info!$A$2:A81 = C25) = ""No"","""")"),"")</f>
        <v/>
      </c>
      <c r="J25" s="45" t="str">
        <f>IFERROR(__xludf.DUMMYFUNCTION("IFS(OR(COUNTIF(Info!$A$22:A81,C25)&gt;0,C25="""",""3x3 MBLD""=C25,""3x3 FMC""=C25),"""",
AND(E25=1,FILTER(Info!$H$2:H81,Info!$A$2:A81 = C25)&lt;=FILTER(Info!$H$2:H81,Info!$A$2:A81=$K$2)),
ROUNDUP((FILTER(Info!$H$2:H81,Info!$A$2:A81 = C25)/FILTER(Info!$H$2:H81,I"&amp;"nfo!$A$2:A81=$K$2))*$I$2),
AND(E25=1,FILTER(Info!$H$2:H81,Info!$A$2:A81 = C25)&gt;FILTER(Info!$H$2:H81,Info!$A$2:A81=$K$2)),""K2 - Error"",
AND(E25=2,FILTER($J$7:indirect(""J""&amp;row()-1),$C$7:indirect(""C""&amp;row()-1)=C25)&lt;=7),""J - Error"",
E25=2,FLOOR(FILTER("&amp;"$J$7:indirect(""J""&amp;row()-1),$C$7:indirect(""C""&amp;row()-1)=C25)*Info!$T$32),
AND(E25=3,FILTER($J$7:indirect(""J""&amp;row()-1),$C$7:indirect(""C""&amp;row()-1)=C25)&lt;=15),""J - Error"",
E25=3,FLOOR(Info!$T$32*FLOOR(FILTER($J$7:indirect(""J""&amp;row()-1),$C$7:indirect("&amp;"""C""&amp;row()-1)=C25)*Info!$T$32)),
AND(E25=""Final"",COUNTIF($C$7:$C$61,C25)=2,FILTER($J$7:indirect(""J""&amp;row()-1),$C$7:indirect(""C""&amp;row()-1)=C25)&lt;=7),""J - Error"",
AND(E25=""Final"",COUNTIF($C$7:$C$61,C25)=2),
MIN(P25,FLOOR(FILTER($J$7:indirect(""J""&amp;r"&amp;"ow()-1),$C$7:indirect(""C""&amp;row()-1)=C25)*Info!$T$32)),
AND(E25=""Final"",COUNTIF($C$7:$C$61,C25)=3,FILTER($J$7:indirect(""J""&amp;row()-1),$C$7:indirect(""C""&amp;row()-1)=C25)&lt;=15),""J - Error"",
AND(E25=""Final"",COUNTIF($C$7:$C$61,C25)=3),
MIN(P25,FLOOR(Info!"&amp;"$T$32*FLOOR(FILTER($J$7:indirect(""J""&amp;row()-1),$C$7:indirect(""C""&amp;row()-1)=C25)*Info!$T$32))),
AND(E25=""Final"",COUNTIF($C$7:$C$61,C25)&gt;=4,FILTER($J$7:indirect(""J""&amp;row()-1),$C$7:indirect(""C""&amp;row()-1)=C25)&lt;=99),""J - Error"",
AND(E25=""Final"",COUNT"&amp;"IF($C$7:$C$61,C25)&gt;=4),
MIN(P25,FLOOR(Info!$T$32*FLOOR(Info!$T$32*FLOOR(FILTER($J$7:indirect(""J""&amp;row()-1),$C$7:indirect(""C""&amp;row()-1)=C25)*Info!$T$32)))))"),"")</f>
        <v/>
      </c>
      <c r="K25" s="46" t="str">
        <f>IFERROR(__xludf.DUMMYFUNCTION("IFS(AND(indirect(""D""&amp;row()+2)&lt;&gt;$E$2,indirect(""D""&amp;row()+1)=""""),CONCATENATE(""Tom rad! Kopiera hela rad ""&amp;row()&amp;"" dit""),
AND(indirect(""D""&amp;row()-1)&lt;&gt;""Rum"",indirect(""D""&amp;row()-1)=""""),CONCATENATE(""Tom rad! Kopiera hela rad ""&amp;row()&amp;"" dit""),
"&amp;"C25="""","""",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OR(AND(D25&lt;&gt;$E$2,D25&lt;&gt;$E$4,D25&lt;&gt;$K$4,D25&lt;&gt;$Q$4),D25="&amp;"""""),CONCATENATE(""Rum: ""&amp;D25&amp;"" finns ej, byt i D""&amp;row()),
AND(indirect(""D""&amp;row()-1)=""Rum"",C25=""""),CONCATENATE(""För att börja: skriv i cell C""&amp;row()),
AND(C25=""Paus"",M25&lt;=0),CONCATENATE(""Skriv pausens längd i M""&amp;row()),
OR(COUNTIF(Info!$A$"&amp;"22:A81,C25)&gt;0,C25=""""),"""",
AND(D25&lt;&gt;$E$2,$O$2=""Yes"",A25=""=time(hh;mm;ss)""),CONCATENATE(""Skriv starttid för ""&amp;C25&amp;"" i A""&amp;row()),
E25=""E - Error"",CONCATENATE(""För många ""&amp;C25&amp;"" rundor!""),
AND(C25&lt;&gt;""3x3 FMC"",C25&lt;&gt;""3x3 MBLD"",E25&lt;&gt;1,E25&lt;&gt;"&amp;"""Final"",IFERROR(FILTER($E$7:indirect(""E""&amp;row()-1),
$E$7:indirect(""E""&amp;row()-1)=E25-1,$C$7:indirect(""C""&amp;row()-1)=C25))=FALSE),CONCATENATE(""Kan ej vara R""&amp;E25&amp;"", saknar R""&amp;(E25-1)),
AND(indirect(""E""&amp;row()-1)&lt;&gt;""Omgång"",IFERROR(FILTER($E$7:indi"&amp;"rect(""E""&amp;row()-1),
$E$7:indirect(""E""&amp;row()-1)=E25,$C$7:indirect(""C""&amp;row()-1)=C25)=E25)=TRUE),CONCATENATE(""Runda ""&amp;E25&amp;"" i ""&amp;C25&amp;"" finns redan""),
AND(C25&lt;&gt;""3x3 BLD"",C25&lt;&gt;""4x4 BLD"",C25&lt;&gt;""5x5 BLD"",C25&lt;&gt;""4x4 / 5x5 BLD"",OR(E25=2,E25=3,E25="&amp;"""Final""),H25&lt;&gt;""""),CONCATENATE(E25&amp;""-rundor brukar ej ha c.t.l.""),
AND(OR(E25=2,E25=3,E25=""Final""),I25&lt;&gt;""""),CONCATENATE(E25&amp;""-rundor brukar ej ha cutoff""),
AND(OR(C25=""3x3 FMC"",C25=""3x3 MBLD""),OR(E25=1,E25=2,E25=3,E25=""Final"")),CONCATENAT"&amp;"E(C25&amp;""s omgång är Rx - Ax""),
AND(C25&lt;&gt;""3x3 MBLD"",C25&lt;&gt;""3x3 FMC"",FILTER(Info!$D$2:D81, Info!$A$2:A81 = C25)&lt;&gt;F25),CONCATENATE(C25&amp;"" måste ha formatet ""&amp;FILTER(Info!$D$2:D81, Info!$A$2:A81 = C25)),
AND(C25=""3x3 MBLD"",OR(F25=""Avg of 5"",F25=""Mea"&amp;"n of 3"")),CONCATENATE(""Ogiltigt format för ""&amp;C25),
AND(C25=""3x3 FMC"",OR(F25=""Avg of 5"",F25=""Best of 3"")),CONCATENATE(""Ogiltigt format för ""&amp;C25),
AND(OR(F25=""Best of 1"",F25=""Best of 2"",F25=""Best of 3""),I25&lt;&gt;""""),CONCATENATE(F25&amp;""-rundor"&amp;" får ej ha cutoff""),
AND(OR(C25=""3x3 FMC"",C25=""3x3 MBLD""),G25&lt;&gt;60),CONCATENATE(C25&amp;"" måste ha time limit: 60""),
AND(OR(C25=""3x3 FMC"",C25=""3x3 MBLD""),H25&lt;&gt;""""),CONCATENATE(C25&amp;"" kan inte ha c.t.l.""),
AND(G25&lt;&gt;"""",H25&lt;&gt;""""),""Välj time limit"&amp;" ELLER c.t.l"",
AND(C25=""6x6 / 7x7"",G25="""",H25=""""),""Sätt time limit (x / y) eller c.t.l (z)"",
AND(G25="""",H25=""""),""Sätt en time limit eller c.t.l"",
AND(OR(C25=""6x6 / 7x7"",C25=""4x4 / 5x5 BLD""),G25&lt;&gt;"""",REGEXMATCH(TO_TEXT(G25),"" / "")=FAL"&amp;"SE),CONCATENATE(""Time limit måste vara x / y""),
AND(H25&lt;&gt;"""",I25&lt;&gt;""""),CONCATENATE(C25&amp;"" brukar ej ha cutoff OCH c.t.l""),
AND(E25=1,H25="""",I25="""",OR(FILTER(Info!$E$2:E81, Info!$A$2:A81 = C25) = ""Yes"",FILTER(Info!$F$2:F81, Info!$A$2:A81 = C25) "&amp;"= ""Yes""),OR(F25=""Avg of 5"",F25=""Mean of 3"")),CONCATENATE(C25&amp;"" bör ha cutoff eller c.t.l""),
AND(C25=""6x6 / 7x7"",I25&lt;&gt;"""",REGEXMATCH(TO_TEXT(I25),"" / "")=FALSE),CONCATENATE(""Cutoff måste vara x / y""),
AND(H25&lt;&gt;"""",ISNUMBER(H25)=FALSE),""C.t."&amp;"l. måste vara positivt tal (x)"",
AND(C25&lt;&gt;""6x6 / 7x7"",I25&lt;&gt;"""",ISNUMBER(I25)=FALSE),""Cutoff måste vara positivt tal (x)"",
AND(H25&lt;&gt;"""",FILTER(Info!$E$2:E81, Info!$A$2:A81 = C25) = ""No"",FILTER(Info!$F$2:F81, Info!$A$2:A81 = C25) = ""No""),CONCATEN"&amp;"ATE(C25&amp;"" brukar inte ha c.t.l.""),
AND(I25&lt;&gt;"""",FILTER(Info!$E$2:E81, Info!$A$2:A81 = C25) = ""No"",FILTER(Info!$F$2:F81, Info!$A$2:A81 = C25) = ""No""),CONCATENATE(C25&amp;"" brukar inte ha cutoff""),
AND(H25="""",FILTER(Info!$F$2:F81, Info!$A$2:A81 = C25"&amp;") = ""Yes""),CONCATENATE(C25&amp;"" brukar ha c.t.l.""),
AND(C25&lt;&gt;""6x6 / 7x7"",C25&lt;&gt;""4x4 / 5x5 BLD"",G25&lt;&gt;"""",ISNUMBER(G25)=FALSE),""Time limit måste vara positivt tal (x)"",
J25=""J - Error"",CONCATENATE(""För få deltagare i R1 för ""&amp;COUNTIF($C$7:$C$61,i"&amp;"ndirect(""C""&amp;row()))&amp;"" rundor""),
J25=""K2 - Error"",CONCATENATE(C25&amp;"" är mer populär - byt i K2!""),
AND(C25&lt;&gt;""6x6 / 7x7"",C25&lt;&gt;""4x4 / 5x5 BLD"",G25&lt;&gt;"""",I25&lt;&gt;"""",G25&lt;=I25),""Time limit måste vara &gt; cutoff"",
AND(C25&lt;&gt;""6x6 / 7x7"",C25&lt;&gt;""4x4 / 5x"&amp;"5 BLD"",H25&lt;&gt;"""",I25&lt;&gt;"""",H25&lt;=I25),""C.t.l. måste vara &gt; cutoff"",
AND(C25&lt;&gt;""3x3 FMC"",C25&lt;&gt;""3x3 MBLD"",J25=""""),CONCATENATE(""Fyll i antal deltagare i J""&amp;row()),
AND(C25="""",OR(E25&lt;&gt;"""",F25&lt;&gt;"""",G25&lt;&gt;"""",H25&lt;&gt;"""",I25&lt;&gt;"""",J25&lt;&gt;"""")),""Skriv"&amp;" ALLTID gren / aktivitet först"",
AND(I25="""",H25="""",J25&lt;&gt;""""),J25,
OR(""3x3 FMC""=C25,""3x3 MBLD""=C25),J25,
AND(I25&lt;&gt;"""",""6x6 / 7x7""=C25),
IFS(ArrayFormula(SUM(IFERROR(SPLIT(I25,"" / ""))))&lt;(Info!$J$6+Info!$J$7)*2/3,CONCATENATE(""Höj helst cutoff"&amp;"s i ""&amp;C25),
ArrayFormula(SUM(IFERROR(SPLIT(I25,"" / ""))))&lt;=(Info!$J$6+Info!$J$7),ROUNDUP(J25*Info!$J$22),
ArrayFormula(SUM(IFERROR(SPLIT(I25,"" / ""))))&lt;=Info!$J$6+Info!$J$7,ROUNDUP(J25*Info!$K$22),
ArrayFormula(SUM(IFERROR(SPLIT(I25,"" / ""))))&lt;=Info!$"&amp;"K$6+Info!$K$7,ROUNDUP(J25*Info!L$22),
ArrayFormula(SUM(IFERROR(SPLIT(I25,"" / ""))))&lt;=Info!$L$6+Info!$L$7,ROUNDUP(J25*Info!$M$22),
ArrayFormula(SUM(IFERROR(SPLIT(I25,"" / ""))))&lt;=Info!$M$6+Info!$M$7,ROUNDUP(J25*Info!$N$22),
ArrayFormula(SUM(IFERROR(SPLIT("&amp;"I25,"" / ""))))&lt;=(Info!$N$6+Info!$N$7)*3/2,ROUNDUP(J25*Info!$J$26),
ArrayFormula(SUM(IFERROR(SPLIT(I25,"" / ""))))&gt;(Info!$N$6+Info!$N$7)*3/2,CONCATENATE(""Sänk helst cutoffs i ""&amp;C25)),
AND(I25&lt;&gt;"""",FILTER(Info!$E$2:E81, Info!$A$2:A81 = C25) = ""Yes""),
"&amp;"IFS(I25&lt;FILTER(Info!$J$2:J81, Info!$A$2:A81 = C25)*2/3,CONCATENATE(""Höj helst cutoff i ""&amp;C25),
I25&lt;=FILTER(Info!$J$2:J81, Info!$A$2:A81 = C25),ROUNDUP(J25*Info!$J$22),
I25&lt;=FILTER(Info!$K$2:K81, Info!$A$2:A81 = C25),ROUNDUP(J25*Info!$K$22),
I25&lt;=FILTER("&amp;"Info!$L$2:L81, Info!$A$2:A81 = C25),ROUNDUP(J25*Info!L$22),
I25&lt;=FILTER(Info!$M$2:M81, Info!$A$2:A81 = C25),ROUNDUP(J25*Info!$M$22),
I25&lt;=FILTER(Info!$N$2:N81, Info!$A$2:A81 = C25),ROUNDUP(J25*Info!$N$22),
I25&lt;=FILTER(Info!$N$2:N81, Info!$A$2:A81 = C25)*3"&amp;"/2,ROUNDUP(J25*Info!$J$26),
I25&gt;FILTER(Info!$N$2:N81, Info!$A$2:A81 = C25)*3/2,CONCATENATE(""Sänk helst cutoff i ""&amp;C25)),
AND(H25&lt;&gt;"""",""6x6 / 7x7""=C25),
IFS(H25/3&lt;=(Info!$J$6+Info!$J$7)*2/3,""Höj helst cumulative time limit"",
H25/3&lt;=Info!$J$6+Info!$J"&amp;"$7,ROUNDUP(J25*Info!$J$24),
H25/3&lt;=Info!$K$6+Info!$K$7,ROUNDUP(J25*Info!$K$24),
H25/3&lt;=Info!$L$6+Info!$L$7,ROUNDUP(J25*Info!L$24),
H25/3&lt;=Info!$M$6+Info!$M$7,ROUNDUP(J25*Info!$M$24),
H25/3&lt;=Info!$N$6+Info!$N$7,ROUNDUP(J25*Info!$N$24),
H25/3&lt;=(Info!$N$6+In"&amp;"fo!$N$7)*3/2,ROUNDUP(J25*Info!$L$26),
H25/3&gt;(Info!$J$6+Info!$J$7)*3/2,""Sänk helst cumulative time limit""),
AND(H25&lt;&gt;"""",FILTER(Info!$F$2:F81, Info!$A$2:A81 = C25) = ""Yes""),
IFS(H25&lt;=FILTER(Info!$J$2:J81, Info!$A$2:A81 = C25)*2/3,CONCATENATE(""Höj hel"&amp;"st c.t.l. i ""&amp;C25),
H25&lt;=FILTER(Info!$J$2:J81, Info!$A$2:A81 = C25),ROUNDUP(J25*Info!$J$24),
H25&lt;=FILTER(Info!$K$2:K81, Info!$A$2:A81 = C25),ROUNDUP(J25*Info!$K$24),
H25&lt;=FILTER(Info!$L$2:L81, Info!$A$2:A81 = C25),ROUNDUP(J25*Info!L$24),
H25&lt;=FILTER(Info"&amp;"!$M$2:M81, Info!$A$2:A81 = C25),ROUNDUP(J25*Info!$M$24),
H25&lt;=FILTER(Info!$N$2:N81, Info!$A$2:A81 = C25),ROUNDUP(J25*Info!$N$24),
H25&lt;=FILTER(Info!$N$2:N81, Info!$A$2:A81 = C25)*3/2,ROUNDUP(J25*Info!$L$26),
H25&gt;FILTER(Info!$N$2:N81, Info!$A$2:A81 = C25)*3"&amp;"/2,CONCATENATE(""Sänk helst c.t.l. i ""&amp;C25)),
AND(H25&lt;&gt;"""",FILTER(Info!$F$2:F81, Info!$A$2:A81 = C25) = ""No""),
IFS(H25/AA25&lt;=FILTER(Info!$J$2:J81, Info!$A$2:A81 = C25)*2/3,CONCATENATE(""Höj helst c.t.l. i ""&amp;C25),
H25/AA25&lt;=FILTER(Info!$J$2:J81, Info!"&amp;"$A$2:A81 = C25),ROUNDUP(J25*Info!$J$24),
H25/AA25&lt;=FILTER(Info!$K$2:K81, Info!$A$2:A81 = C25),ROUNDUP(J25*Info!$K$24),
H25/AA25&lt;=FILTER(Info!$L$2:L81, Info!$A$2:A81 = C25),ROUNDUP(J25*Info!L$24),
H25/AA25&lt;=FILTER(Info!$M$2:M81, Info!$A$2:A81 = C25),ROUNDU"&amp;"P(J25*Info!$M$24),
H25/AA25&lt;=FILTER(Info!$N$2:N81, Info!$A$2:A81 = C25),ROUNDUP(J25*Info!$N$24),
H25/AA25&lt;=FILTER(Info!$N$2:N81, Info!$A$2:A81 = C25)*3/2,ROUNDUP(J25*Info!$L$26),
H25/AA25&gt;FILTER(Info!$N$2:N81, Info!$A$2:A81 = C25)*3/2,CONCATENATE(""Sänk h"&amp;"elst c.t.l. i ""&amp;C25)),
AND(I25="""",H25&lt;&gt;"""",J25&lt;&gt;""""),ROUNDUP(J25*Info!$T$29),
AND(I25&lt;&gt;"""",H25="""",J25&lt;&gt;""""),ROUNDUP(J25*Info!$T$26))"),"")</f>
        <v/>
      </c>
      <c r="L25" s="47">
        <f>IFERROR(__xludf.DUMMYFUNCTION("IFS(C25="""",0,
C25=""3x3 FMC"",Info!$B$9*N25+M25, C25=""3x3 MBLD"",Info!$B$18*N25+M25,
COUNTIF(Info!$A$22:A81,C25)&gt;0,FILTER(Info!$B$22:B81,Info!$A$22:A81=C25)+M25,
AND(C25&lt;&gt;"""",E25=""""),CONCATENATE(""Fyll i E""&amp;row()),
AND(C25&lt;&gt;"""",E25&lt;&gt;"""",E25&lt;&gt;1,E2"&amp;"5&lt;&gt;2,E25&lt;&gt;3,E25&lt;&gt;""Final""),CONCATENATE(""Fel format på E""&amp;row()),
K25=CONCATENATE(""Runda ""&amp;E25&amp;"" i ""&amp;C25&amp;"" finns redan""),CONCATENATE(""Fel i E""&amp;row()),
AND(C25&lt;&gt;"""",F25=""""),CONCATENATE(""Fyll i F""&amp;row()),
K25=CONCATENATE(C25&amp;"" måste ha forma"&amp;"tet ""&amp;FILTER(Info!$D$2:D81, Info!$A$2:A81 = C25)),CONCATENATE(""Fel format på F""&amp;row()),
AND(C25&lt;&gt;"""",D25=1,H25="""",FILTER(Info!$F$2:F81, Info!$A$2:A81 = C25) = ""Yes""),CONCATENATE(""Fyll i H""&amp;row()),
AND(C25&lt;&gt;"""",D25=1,I25="""",FILTER(Info!$E$2:E8"&amp;"1, Info!$A$2:A81 = C25) = ""Yes""),CONCATENATE(""Fyll i I""&amp;row()),
AND(C25&lt;&gt;"""",J25=""""),CONCATENATE(""Fyll i J""&amp;row()),
AND(C25&lt;&gt;"""",K25="""",OR(H25&lt;&gt;"""",I25&lt;&gt;"""")),CONCATENATE(""Fyll i K""&amp;row()),
AND(C25&lt;&gt;"""",K25=""""),CONCATENATE(""Skriv samma"&amp;" i K""&amp;row()&amp;"" som i J""&amp;row()),
AND(OR(C25=""4x4 BLD"",C25=""5x5 BLD"",C25=""4x4 / 5x5 BLD"")=TRUE,V25&lt;=P25),
MROUND(H25*(Info!$T$20-((Info!$T$20-1)/2)*(1-V25/P25))*(1+((J25/K25)-1)*(1-Info!$J$24))*N25+(Info!$T$11/2)+(N25*Info!$T$11)+(N25*Info!$T$14*(O2"&amp;"5-1)),0.01)+M25,
AND(OR(C25=""4x4 BLD"",C25=""5x5 BLD"",C25=""4x4 / 5x5 BLD"")=TRUE,V25&gt;P25),
MROUND((((J25*Z25+K25*(AA25-Z25))*(H25*Info!$T$20/AA25))/X25)*(1+((J25/K25)-1)*(1-Info!$J$24))*(1+(X25-Info!$T$8)/100)+(Info!$T$11/2)+(N25*Info!$T$11)+(N25*Info!"&amp;"$T$14*(O25-1)),0.01)+M25,
AND(C25=""3x3 BLD"",V25&lt;=P25),
MROUND(H25*(Info!$T$23-((Info!$T$23-1)/2)*(1-V25/P25))*(1+((J25/K25)-1)*(1-Info!$J$24))*N25+(Info!$T$11/2)+(N25*Info!$T$11)+(N25*Info!$T$14*(O25-1)),0.01)+M25,
AND(C25=""3x3 BLD"",V25&gt;P25),
MROUND(("&amp;"((J25*Z25+K25*(AA25-Z25))*(H25*Info!$T$23/AA25))/X25)*(1+((J25/K25)-1)*(1-Info!$J$24))*(1+(X25-Info!$T$8)/100)+(Info!$T$11/2)+(N25*Info!$T$11)+(N25*Info!$T$14*(O25-1)),0.01)+M25,
E25=1,MROUND((((J25*Z25+K25*(AA25-Z25))*Y25)/X25)*(1+(X25-Info!$T$8)/100)+(N"&amp;"25*Info!$T$11)+(N25*Info!$T$14*(O25-1)),0.01)+M25,
AND(E25=""Final"",N25=1,FILTER(Info!$G$2:$G$20,Info!$A$2:$A$20=C25)=""Mycket svår""),
MROUND((((J25*Z25+K25*(AA25-Z25))*(Y25*Info!$T$38))/X25)*(1+(X25-Info!$T$8)/100)+(N25*Info!$T$11)+(N25*Info!$T$14*(O25"&amp;"-1)),0.01)+M25,
AND(E25=""Final"",N25=1,FILTER(Info!$G$2:$G$20,Info!$A$2:$A$20=C25)=""Svår""),
MROUND((((J25*Z25+K25*(AA25-Z25))*(Y25*Info!$T$35))/X25)*(1+(X25-Info!$T$8)/100)+(N25*Info!$T$11)+(N25*Info!$T$14*(O25-1)),0.01)+M25,
E25=""Final"",MROUND((((J2"&amp;"5*Z25+K25*(AA25-Z25))*(Y25*Info!$T$5))/X25)*(1+(X25-Info!$T$8)/100)+(N25*Info!$T$11)+(N25*Info!$T$14*(O25-1)),0.01)+M25,
OR(E25=2,E25=3),MROUND((((J25*Z25+K25*(AA25-Z25))*(Y25*Info!$T$2))/X25)*(1+(X25-Info!$T$8)/100)+(N25*Info!$T$11)+(N25*Info!$T$14*(O25-"&amp;"1)),0.01)+M25)"),0.0)</f>
        <v>0</v>
      </c>
      <c r="M25" s="48">
        <f t="shared" si="1"/>
        <v>0</v>
      </c>
      <c r="N25" s="48" t="str">
        <f>IFS(OR(COUNTIF(Info!$A$22:A81,C25)&gt;0,C25=""),"",
OR(C25="4x4 BLD",C25="5x5 BLD",C25="3x3 MBLD",C25="3x3 FMC",C25="4x4 / 5x5 BLD"),1,
AND(E25="Final",Q25="Yes",MAX(1,ROUNDUP(J25/P25))&gt;1),MAX(2,ROUNDUP(J25/P25)),
AND(E25="Final",Q25="No",MAX(1,ROUNDUP(J25/((P25*2)+2.625-Y25*1.5)))&gt;1),MAX(2,ROUNDUP(J25/((P25*2)+2.625-Y25*1.5))),
E25="Final",1,
Q25="Yes",MAX(2,ROUNDUP(J25/P25)),
TRUE,MAX(2,ROUNDUP(J25/((P25*2)+2.625-Y25*1.5))))</f>
        <v/>
      </c>
      <c r="O25" s="48" t="str">
        <f>IFS(OR(COUNTIF(Info!$A$22:A81,C25)&gt;0,C25=""),"",
OR("3x3 MBLD"=C25,"3x3 FMC"=C25)=TRUE,"",
D25=$E$4,$G$6,D25=$K$4,$M$6,D25=$Q$4,$S$6,D25=$W$4,$Y$6,
TRUE,$S$2)</f>
        <v/>
      </c>
      <c r="P25" s="48" t="str">
        <f>IFS(OR(COUNTIF(Info!$A$22:A81,C25)&gt;0,C25=""),"",
OR("3x3 MBLD"=C25,"3x3 FMC"=C25)=TRUE,"",
D25=$E$4,$E$6,D25=$K$4,$K$6,D25=$Q$4,$Q$6,D25=$W$4,$W$6,
TRUE,$Q$2)</f>
        <v/>
      </c>
      <c r="Q25" s="49" t="str">
        <f>IFS(OR(COUNTIF(Info!$A$22:A81,C25)&gt;0,C25=""),"",
OR("3x3 MBLD"=C25,"3x3 FMC"=C25)=TRUE,"",
D25=$E$4,$I$6,D25=$K$4,$O$6,D25=$Q$4,$U$6,D25=$W$4,$AA$6,
TRUE,$U$2)</f>
        <v/>
      </c>
      <c r="R25" s="50" t="str">
        <f>IFERROR(__xludf.DUMMYFUNCTION("IF(C25="""","""",IFERROR(FILTER(Info!$B$22:B81,Info!$A$22:A81=C25)+M25,""?""))"),"")</f>
        <v/>
      </c>
      <c r="S25" s="51" t="str">
        <f>IFS(OR(COUNTIF(Info!$A$22:A81,C25)&gt;0,C25=""),"",
AND(H25="",I25=""),J25,
TRUE,"?")</f>
        <v/>
      </c>
      <c r="T25" s="52" t="str">
        <f>IFS(OR(COUNTIF(Info!$A$22:A81,C25)&gt;0,C25=""),"",
AND(L25&lt;&gt;0,OR(R25="?",R25="")),"Fyll i R-kolumnen",
OR(C25="3x3 FMC",C25="3x3 MBLD"),R25,
AND(L25&lt;&gt;0,OR(S25="?",S25="")),"Fyll i S-kolumnen",
OR(COUNTIF(Info!$A$22:A81,C25)&gt;0,C25=""),"",
TRUE,Y25*R25/L25)</f>
        <v/>
      </c>
      <c r="U25" s="52"/>
      <c r="V25" s="53" t="str">
        <f>IFS(OR(COUNTIF(Info!$A$22:A81,C25)&gt;0,C25=""),"",
OR("3x3 MBLD"=C25,"3x3 FMC"=C25)=TRUE,"",
TRUE,MROUND((J25/N25),0.01))</f>
        <v/>
      </c>
      <c r="W25" s="54" t="str">
        <f>IFS(OR(COUNTIF(Info!$A$22:A81,C25)&gt;0,C25=""),"",
TRUE,L25/N25)</f>
        <v/>
      </c>
      <c r="X25" s="55" t="str">
        <f>IFS(OR(COUNTIF(Info!$A$22:A81,C25)&gt;0,C25=""),"",
OR("3x3 MBLD"=C25,"3x3 FMC"=C25)=TRUE,"",
OR(C25="4x4 BLD",C25="5x5 BLD",C25="4x4 / 5x5 BLD",AND(C25="3x3 BLD",H25&lt;&gt;""))=TRUE,MIN(V25,P25),
TRUE,MIN(P25,V25,MROUND(((V25*2/3)+((Y25-1.625)/2)),0.01)))</f>
        <v/>
      </c>
      <c r="Y25" s="56" t="str">
        <f>IFERROR(__xludf.DUMMYFUNCTION("IFS(OR(COUNTIF(Info!$A$22:A81,C25)&gt;0,C25=""""),"""",
FILTER(Info!$F$2:F81, Info!$A$2:A81 = C25) = ""Yes"",H25/AA25,
""3x3 FMC""=C25,Info!$B$9,""3x3 MBLD""=C25,Info!$B$18,
AND(E25=1,I25="""",H25="""",Q25=""No"",G25&gt;SUMIF(Info!$A$2:A81,C25,Info!$B$2:B81)*1."&amp;"5),
MIN(SUMIF(Info!$A$2:A81,C25,Info!$B$2:B81)*1.1,SUMIF(Info!$A$2:A81,C25,Info!$B$2:B81)*(1.15-(0.15*(SUMIF(Info!$A$2:A81,C25,Info!$B$2:B81)*1.5)/G25))),
AND(E25=1,I25="""",H25="""",Q25=""Yes"",G25&gt;SUMIF(Info!$A$2:A81,C25,Info!$C$2:C81)*1.5),
MIN(SUMIF(I"&amp;"nfo!$A$2:A81,C25,Info!$C$2:C81)*1.1,SUMIF(Info!$A$2:A81,C25,Info!$C$2:C81)*(1.15-(0.15*(SUMIF(Info!$A$2:A81,C25,Info!$C$2:C81)*1.5)/G25))),
Q25=""No"",SUMIF(Info!$A$2:A81,C25,Info!$B$2:B81),
Q25=""Yes"",SUMIF(Info!$A$2:A81,C25,Info!$C$2:C81))"),"")</f>
        <v/>
      </c>
      <c r="Z25" s="57" t="str">
        <f>IFS(OR(COUNTIF(Info!$A$22:A81,C25)&gt;0,C25=""),"",
AND(OR("3x3 FMC"=C25,"3x3 MBLD"=C25),I25&lt;&gt;""),1,
AND(OR(H25&lt;&gt;"",I25&lt;&gt;""),F25="Avg of 5"),2,
F25="Avg of 5",AA25,
AND(OR(H25&lt;&gt;"",I25&lt;&gt;""),F25="Mean of 3",C25="6x6 / 7x7"),2,
AND(OR(H25&lt;&gt;"",I25&lt;&gt;""),F25="Mean of 3"),1,
F25="Mean of 3",AA25,
AND(OR(H25&lt;&gt;"",I25&lt;&gt;""),F25="Best of 3",C25="4x4 / 5x5 BLD"),2,
AND(OR(H25&lt;&gt;"",I25&lt;&gt;""),F25="Best of 3"),1,
F25="Best of 2",AA25,
F25="Best of 1",AA25)</f>
        <v/>
      </c>
      <c r="AA25" s="57" t="str">
        <f>IFS(OR(COUNTIF(Info!$A$22:A81,C25)&gt;0,C25=""),"",
AND(OR("3x3 MBLD"=C25,"3x3 FMC"=C25),F25="Best of 1"=TRUE),1,
AND(OR("3x3 MBLD"=C25,"3x3 FMC"=C25),F25="Best of 2"=TRUE),2,
AND(OR("3x3 MBLD"=C25,"3x3 FMC"=C25),OR(F25="Best of 3",F25="Mean of 3")=TRUE),3,
AND(F25="Mean of 3",C25="6x6 / 7x7"),6,
AND(F25="Best of 3",C25="4x4 / 5x5 BLD"),6,
F25="Avg of 5",5,F25="Mean of 3",3,F25="Best of 3",3,F25="Best of 2",2,F25="Best of 1",1)</f>
        <v/>
      </c>
      <c r="AB25" s="58"/>
    </row>
    <row r="26">
      <c r="A26" s="40">
        <f>IFERROR(__xludf.DUMMYFUNCTION("IFS(indirect(""A""&amp;row()-1)=""Start"",TIME(indirect(""A""&amp;row()-2),indirect(""B""&amp;row()-2),0),
$O$2=""No"",TIME(0,($A$6*60+$B$6)+CEILING(SUM($L$7:indirect(""L""&amp;row()-1)),5),0),
D26=$E$2,TIME(0,($A$6*60+$B$6)+CEILING(SUM(IFERROR(FILTER($L$7:indirect(""L"""&amp;"&amp;row()-1),REGEXMATCH($D$7:indirect(""D""&amp;row()-1),$E$2)),0)),5),0),
TRUE,""=time(hh;mm;ss)"")"),0.4166666666666667)</f>
        <v>0.4166666667</v>
      </c>
      <c r="B26" s="41">
        <f>IFERROR(__xludf.DUMMYFUNCTION("IFS($O$2=""No"",TIME(0,($A$6*60+$B$6)+CEILING(SUM($L$7:indirect(""L""&amp;row())),5),0),
D26=$E$2,TIME(0,($A$6*60+$B$6)+CEILING(SUM(FILTER($L$7:indirect(""L""&amp;row()),REGEXMATCH($D$7:indirect(""D""&amp;row()),$E$2))),5),0),
A26=""=time(hh;mm;ss)"",CONCATENATE(""Sk"&amp;"riv tid i A""&amp;row()),
AND(A26&lt;&gt;"""",A26&lt;&gt;""=time(hh;mm;ss)""),A26+TIME(0,CEILING(indirect(""L""&amp;row()),5),0))"),0.4166666666666667)</f>
        <v>0.4166666667</v>
      </c>
      <c r="C26" s="42"/>
      <c r="D26" s="43" t="str">
        <f t="shared" si="2"/>
        <v>Stora salen</v>
      </c>
      <c r="E26" s="43" t="str">
        <f>IFERROR(__xludf.DUMMYFUNCTION("IFS(COUNTIF(Info!$A$22:A81,C26)&gt;0,"""",
AND(OR(""3x3 FMC""=C26,""3x3 MBLD""=C26),COUNTIF($C$7:indirect(""C""&amp;row()),indirect(""C""&amp;row()))&gt;=13),""E - Error"",
AND(OR(""3x3 FMC""=C26,""3x3 MBLD""=C26),COUNTIF($C$7:indirect(""C""&amp;row()),indirect(""C""&amp;row()"&amp;"))=12),""Final - A3"",
AND(OR(""3x3 FMC""=C26,""3x3 MBLD""=C26),COUNTIF($C$7:indirect(""C""&amp;row()),indirect(""C""&amp;row()))=11),""Final - A2"",
AND(OR(""3x3 FMC""=C26,""3x3 MBLD""=C26),COUNTIF($C$7:indirect(""C""&amp;row()),indirect(""C""&amp;row()))=10),""Final - "&amp;"A1"",
AND(OR(""3x3 FMC""=C26,""3x3 MBLD""=C26),COUNTIF($C$7:indirect(""C""&amp;row()),indirect(""C""&amp;row()))=9,
COUNTIF($C$7:$C$61,indirect(""C""&amp;row()))&gt;9),""R3 - A3"",
AND(OR(""3x3 FMC""=C26,""3x3 MBLD""=C26),COUNTIF($C$7:indirect(""C""&amp;row()),indirect(""C"&amp;"""&amp;row()))=9,
COUNTIF($C$7:$C$61,indirect(""C""&amp;row()))&lt;=9),""Final - A3"",
AND(OR(""3x3 FMC""=C26,""3x3 MBLD""=C26),COUNTIF($C$7:indirect(""C""&amp;row()),indirect(""C""&amp;row()))=8,
COUNTIF($C$7:$C$61,indirect(""C""&amp;row()))&gt;9),""R3 - A2"",
AND(OR(""3x3 FMC""="&amp;"C26,""3x3 MBLD""=C26),COUNTIF($C$7:indirect(""C""&amp;row()),indirect(""C""&amp;row()))=8,
COUNTIF($C$7:$C$61,indirect(""C""&amp;row()))&lt;=9),""Final - A2"",
AND(OR(""3x3 FMC""=C26,""3x3 MBLD""=C26),COUNTIF($C$7:indirect(""C""&amp;row()),indirect(""C""&amp;row()))=7,
COUNTIF("&amp;"$C$7:$C$61,indirect(""C""&amp;row()))&gt;9),""R3 - A1"",
AND(OR(""3x3 FMC""=C26,""3x3 MBLD""=C26),COUNTIF($C$7:indirect(""C""&amp;row()),indirect(""C""&amp;row()))=7,
COUNTIF($C$7:$C$61,indirect(""C""&amp;row()))&lt;=9),""Final - A1"",
AND(OR(""3x3 FMC""=C26,""3x3 MBLD""=C26),"&amp;"COUNTIF($C$7:indirect(""C""&amp;row()),indirect(""C""&amp;row()))=6,
COUNTIF($C$7:$C$61,indirect(""C""&amp;row()))&gt;6),""R2 - A3"",
AND(OR(""3x3 FMC""=C26,""3x3 MBLD""=C26),COUNTIF($C$7:indirect(""C""&amp;row()),indirect(""C""&amp;row()))=6,
COUNTIF($C$7:$C$61,indirect(""C""&amp;"&amp;"row()))&lt;=6),""Final - A3"",
AND(OR(""3x3 FMC""=C26,""3x3 MBLD""=C26),COUNTIF($C$7:indirect(""C""&amp;row()),indirect(""C""&amp;row()))=5,
COUNTIF($C$7:$C$61,indirect(""C""&amp;row()))&gt;6),""R2 - A2"",
AND(OR(""3x3 FMC""=C26,""3x3 MBLD""=C26),COUNTIF($C$7:indirect(""C"&amp;"""&amp;row()),indirect(""C""&amp;row()))=5,
COUNTIF($C$7:$C$61,indirect(""C""&amp;row()))&lt;=6),""Final - A2"",
AND(OR(""3x3 FMC""=C26,""3x3 MBLD""=C26),COUNTIF($C$7:indirect(""C""&amp;row()),indirect(""C""&amp;row()))=4,
COUNTIF($C$7:$C$61,indirect(""C""&amp;row()))&gt;6),""R2 - A1"&amp;""",
AND(OR(""3x3 FMC""=C26,""3x3 MBLD""=C26),COUNTIF($C$7:indirect(""C""&amp;row()),indirect(""C""&amp;row()))=4,
COUNTIF($C$7:$C$61,indirect(""C""&amp;row()))&lt;=6),""Final - A1"",
AND(OR(""3x3 FMC""=C26,""3x3 MBLD""=C26),COUNTIF($C$7:indirect(""C""&amp;row()),indirect("""&amp;"C""&amp;row()))=3),""R1 - A3"",
AND(OR(""3x3 FMC""=C26,""3x3 MBLD""=C26),COUNTIF($C$7:indirect(""C""&amp;row()),indirect(""C""&amp;row()))=2),""R1 - A2"",
AND(OR(""3x3 FMC""=C26,""3x3 MBLD""=C26),COUNTIF($C$7:indirect(""C""&amp;row()),indirect(""C""&amp;row()))=1),""R1 -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C26),ROUNDUP((FILTER(Info!$H$2:H81,Info!$A$2:A81=C26)/FILTER(Info!$H$2:H81,Info!$A$2:A81=$K$2))*$I$2)&gt;99),3,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C26),ROUNDUP((FILTER(Info!$H$2:H81,Info!$A$2:A81=C26)/FILTER(Info!$H$2:H81,Info!$A$2:A81=$K$2))*$I$2)&gt;15),2,
AND(COUNTIF($C$7:indirect(""C""&amp;row()),indirect(""C""&amp;row()))=2,COUNTIF($C$7:$C$61,indirect(""C""&amp;row()))=COUNTIF($C$7:indirect("""&amp;"C""&amp;row()),indirect(""C""&amp;row()))),""Final"",
COUNTIF($C$7:indirect(""C""&amp;row()),indirect(""C""&amp;row()))=1,1,
COUNTIF($C$7:indirect(""C""&amp;row()),indirect(""C""&amp;row()))=0,"""")"),"")</f>
        <v/>
      </c>
      <c r="F26" s="44" t="str">
        <f>IFERROR(__xludf.DUMMYFUNCTION("IFS(C26="""","""",
AND(C26=""3x3 FMC"",MOD(COUNTIF($C$7:indirect(""C""&amp;row()),indirect(""C""&amp;row())),3)=0),""Mean of 3"",
AND(C26=""3x3 MBLD"",MOD(COUNTIF($C$7:indirect(""C""&amp;row()),indirect(""C""&amp;row())),3)=0),""Best of 3"",
AND(C26=""3x3 FMC"",MOD(COUNT"&amp;"IF($C$7:indirect(""C""&amp;row()),indirect(""C""&amp;row())),3)=2,
COUNTIF($C$7:$C$61,indirect(""C""&amp;row()))&lt;=COUNTIF($C$7:indirect(""C""&amp;row()),indirect(""C""&amp;row()))),""Best of 2"",
AND(C26=""3x3 FMC"",MOD(COUNTIF($C$7:indirect(""C""&amp;row()),indirect(""C""&amp;row()"&amp;")),3)=2,
COUNTIF($C$7:$C$61,indirect(""C""&amp;row()))&gt;COUNTIF($C$7:indirect(""C""&amp;row()),indirect(""C""&amp;row()))),""Mean of 3"",
AND(C26=""3x3 MBLD"",MOD(COUNTIF($C$7:indirect(""C""&amp;row()),indirect(""C""&amp;row())),3)=2,
COUNTIF($C$7:$C$61,indirect(""C""&amp;row()))"&amp;"&lt;=COUNTIF($C$7:indirect(""C""&amp;row()),indirect(""C""&amp;row()))),""Best of 2"",
AND(C26=""3x3 MBLD"",MOD(COUNTIF($C$7:indirect(""C""&amp;row()),indirect(""C""&amp;row())),3)=2,
COUNTIF($C$7:$C$61,indirect(""C""&amp;row()))&gt;COUNTIF($C$7:indirect(""C""&amp;row()),indirect(""C"&amp;"""&amp;row()))),""Best of 3"",
AND(C26=""3x3 FMC"",MOD(COUNTIF($C$7:indirect(""C""&amp;row()),indirect(""C""&amp;row())),3)=1,
COUNTIF($C$7:$C$61,indirect(""C""&amp;row()))&lt;=COUNTIF($C$7:indirect(""C""&amp;row()),indirect(""C""&amp;row()))),""Best of 1"",
AND(C26=""3x3 FMC"",MOD"&amp;"(COUNTIF($C$7:indirect(""C""&amp;row()),indirect(""C""&amp;row())),3)=1,
COUNTIF($C$7:$C$61,indirect(""C""&amp;row()))=COUNTIF($C$7:indirect(""C""&amp;row()),indirect(""C""&amp;row()))+1),""Best of 2"",
AND(C26=""3x3 FMC"",MOD(COUNTIF($C$7:indirect(""C""&amp;row()),indirect(""C"&amp;"""&amp;row())),3)=1,
COUNTIF($C$7:$C$61,indirect(""C""&amp;row()))&gt;COUNTIF($C$7:indirect(""C""&amp;row()),indirect(""C""&amp;row()))),""Mean of 3"",
AND(C26=""3x3 MBLD"",MOD(COUNTIF($C$7:indirect(""C""&amp;row()),indirect(""C""&amp;row())),3)=1,
COUNTIF($C$7:$C$61,indirect(""C"""&amp;"&amp;row()))&lt;=COUNTIF($C$7:indirect(""C""&amp;row()),indirect(""C""&amp;row()))),""Best of 1"",
AND(C26=""3x3 MBLD"",MOD(COUNTIF($C$7:indirect(""C""&amp;row()),indirect(""C""&amp;row())),3)=1,
COUNTIF($C$7:$C$61,indirect(""C""&amp;row()))=COUNTIF($C$7:indirect(""C""&amp;row()),indir"&amp;"ect(""C""&amp;row()))+1),""Best of 2"",
AND(C26=""3x3 MBLD"",MOD(COUNTIF($C$7:indirect(""C""&amp;row()),indirect(""C""&amp;row())),3)=1,
COUNTIF($C$7:$C$61,indirect(""C""&amp;row()))&gt;COUNTIF($C$7:indirect(""C""&amp;row()),indirect(""C""&amp;row()))),""Best of 3"",
TRUE,(IFERROR("&amp;"FILTER(Info!$D$2:D81, Info!$A$2:A81 = C26), """")))"),"")</f>
        <v/>
      </c>
      <c r="G26" s="45" t="str">
        <f>IFERROR(__xludf.DUMMYFUNCTION("IFS(OR(COUNTIF(Info!$A$22:A81,C26)&gt;0,C26=""""),"""",
OR(""3x3 MBLD""=C26,""3x3 FMC""=C26),60,
AND(E26=1,FILTER(Info!$F$2:F81, Info!$A$2:A81 = C26) = ""No""),FILTER(Info!$P$2:P81, Info!$A$2:A81 = C26),
AND(E26=2,FILTER(Info!$F$2:F81, Info!$A$2:A81 = C26) ="&amp;" ""No""),FILTER(Info!$Q$2:Q81, Info!$A$2:A81 = C26),
AND(E26=3,FILTER(Info!$F$2:F81, Info!$A$2:A81 = C26) = ""No""),FILTER(Info!$R$2:R81, Info!$A$2:A81 = C26),
AND(E26=""Final"",FILTER(Info!$F$2:F81, Info!$A$2:A81 = C26) = ""No""),FILTER(Info!$S$2:S81, In"&amp;"fo!$A$2:A81 = C26),
FILTER(Info!$F$2:F81, Info!$A$2:A81 = C26) = ""Yes"","""")"),"")</f>
        <v/>
      </c>
      <c r="H26" s="45" t="str">
        <f>IFERROR(__xludf.DUMMYFUNCTION("IFS(OR(COUNTIF(Info!$A$22:A81,C26)&gt;0,C26=""""),"""",
OR(""3x3 MBLD""=C26,""3x3 FMC""=C26)=TRUE,"""",
FILTER(Info!$F$2:F81, Info!$A$2:A81 = C26) = ""Yes"",FILTER(Info!$O$2:O81, Info!$A$2:A81 = C26),
FILTER(Info!$F$2:F81, Info!$A$2:A81 = C26) = ""No"",IF(G2"&amp;"6="""",FILTER(Info!$O$2:O81, Info!$A$2:A81 = C26),""""))"),"")</f>
        <v/>
      </c>
      <c r="I26" s="45" t="str">
        <f>IFERROR(__xludf.DUMMYFUNCTION("IFS(OR(COUNTIF(Info!$A$22:A81,C26)&gt;0,C26="""",H26&lt;&gt;""""),"""",
AND(E26&lt;&gt;1,E26&lt;&gt;""R1 - A1"",E26&lt;&gt;""R1 - A2"",E26&lt;&gt;""R1 - A3""),"""",
FILTER(Info!$E$2:E81, Info!$A$2:A81 = C26) = ""Yes"",IF(H26="""",FILTER(Info!$L$2:L81, Info!$A$2:A81 = C26),""""),
FILTER(I"&amp;"nfo!$E$2:E81, Info!$A$2:A81 = C26) = ""No"","""")"),"")</f>
        <v/>
      </c>
      <c r="J26" s="45" t="str">
        <f>IFERROR(__xludf.DUMMYFUNCTION("IFS(OR(COUNTIF(Info!$A$22:A81,C26)&gt;0,C26="""",""3x3 MBLD""=C26,""3x3 FMC""=C26),"""",
AND(E26=1,FILTER(Info!$H$2:H81,Info!$A$2:A81 = C26)&lt;=FILTER(Info!$H$2:H81,Info!$A$2:A81=$K$2)),
ROUNDUP((FILTER(Info!$H$2:H81,Info!$A$2:A81 = C26)/FILTER(Info!$H$2:H81,I"&amp;"nfo!$A$2:A81=$K$2))*$I$2),
AND(E26=1,FILTER(Info!$H$2:H81,Info!$A$2:A81 = C26)&gt;FILTER(Info!$H$2:H81,Info!$A$2:A81=$K$2)),""K2 - Error"",
AND(E26=2,FILTER($J$7:indirect(""J""&amp;row()-1),$C$7:indirect(""C""&amp;row()-1)=C26)&lt;=7),""J - Error"",
E26=2,FLOOR(FILTER("&amp;"$J$7:indirect(""J""&amp;row()-1),$C$7:indirect(""C""&amp;row()-1)=C26)*Info!$T$32),
AND(E26=3,FILTER($J$7:indirect(""J""&amp;row()-1),$C$7:indirect(""C""&amp;row()-1)=C26)&lt;=15),""J - Error"",
E26=3,FLOOR(Info!$T$32*FLOOR(FILTER($J$7:indirect(""J""&amp;row()-1),$C$7:indirect("&amp;"""C""&amp;row()-1)=C26)*Info!$T$32)),
AND(E26=""Final"",COUNTIF($C$7:$C$61,C26)=2,FILTER($J$7:indirect(""J""&amp;row()-1),$C$7:indirect(""C""&amp;row()-1)=C26)&lt;=7),""J - Error"",
AND(E26=""Final"",COUNTIF($C$7:$C$61,C26)=2),
MIN(P26,FLOOR(FILTER($J$7:indirect(""J""&amp;r"&amp;"ow()-1),$C$7:indirect(""C""&amp;row()-1)=C26)*Info!$T$32)),
AND(E26=""Final"",COUNTIF($C$7:$C$61,C26)=3,FILTER($J$7:indirect(""J""&amp;row()-1),$C$7:indirect(""C""&amp;row()-1)=C26)&lt;=15),""J - Error"",
AND(E26=""Final"",COUNTIF($C$7:$C$61,C26)=3),
MIN(P26,FLOOR(Info!"&amp;"$T$32*FLOOR(FILTER($J$7:indirect(""J""&amp;row()-1),$C$7:indirect(""C""&amp;row()-1)=C26)*Info!$T$32))),
AND(E26=""Final"",COUNTIF($C$7:$C$61,C26)&gt;=4,FILTER($J$7:indirect(""J""&amp;row()-1),$C$7:indirect(""C""&amp;row()-1)=C26)&lt;=99),""J - Error"",
AND(E26=""Final"",COUNT"&amp;"IF($C$7:$C$61,C26)&gt;=4),
MIN(P26,FLOOR(Info!$T$32*FLOOR(Info!$T$32*FLOOR(FILTER($J$7:indirect(""J""&amp;row()-1),$C$7:indirect(""C""&amp;row()-1)=C26)*Info!$T$32)))))"),"")</f>
        <v/>
      </c>
      <c r="K26" s="46" t="str">
        <f>IFERROR(__xludf.DUMMYFUNCTION("IFS(AND(indirect(""D""&amp;row()+2)&lt;&gt;$E$2,indirect(""D""&amp;row()+1)=""""),CONCATENATE(""Tom rad! Kopiera hela rad ""&amp;row()&amp;"" dit""),
AND(indirect(""D""&amp;row()-1)&lt;&gt;""Rum"",indirect(""D""&amp;row()-1)=""""),CONCATENATE(""Tom rad! Kopiera hela rad ""&amp;row()&amp;"" dit""),
"&amp;"C26="""","""",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OR(AND(D26&lt;&gt;$E$2,D26&lt;&gt;$E$4,D26&lt;&gt;$K$4,D26&lt;&gt;$Q$4),D26="&amp;"""""),CONCATENATE(""Rum: ""&amp;D26&amp;"" finns ej, byt i D""&amp;row()),
AND(indirect(""D""&amp;row()-1)=""Rum"",C26=""""),CONCATENATE(""För att börja: skriv i cell C""&amp;row()),
AND(C26=""Paus"",M26&lt;=0),CONCATENATE(""Skriv pausens längd i M""&amp;row()),
OR(COUNTIF(Info!$A$"&amp;"22:A81,C26)&gt;0,C26=""""),"""",
AND(D26&lt;&gt;$E$2,$O$2=""Yes"",A26=""=time(hh;mm;ss)""),CONCATENATE(""Skriv starttid för ""&amp;C26&amp;"" i A""&amp;row()),
E26=""E - Error"",CONCATENATE(""För många ""&amp;C26&amp;"" rundor!""),
AND(C26&lt;&gt;""3x3 FMC"",C26&lt;&gt;""3x3 MBLD"",E26&lt;&gt;1,E26&lt;&gt;"&amp;"""Final"",IFERROR(FILTER($E$7:indirect(""E""&amp;row()-1),
$E$7:indirect(""E""&amp;row()-1)=E26-1,$C$7:indirect(""C""&amp;row()-1)=C26))=FALSE),CONCATENATE(""Kan ej vara R""&amp;E26&amp;"", saknar R""&amp;(E26-1)),
AND(indirect(""E""&amp;row()-1)&lt;&gt;""Omgång"",IFERROR(FILTER($E$7:indi"&amp;"rect(""E""&amp;row()-1),
$E$7:indirect(""E""&amp;row()-1)=E26,$C$7:indirect(""C""&amp;row()-1)=C26)=E26)=TRUE),CONCATENATE(""Runda ""&amp;E26&amp;"" i ""&amp;C26&amp;"" finns redan""),
AND(C26&lt;&gt;""3x3 BLD"",C26&lt;&gt;""4x4 BLD"",C26&lt;&gt;""5x5 BLD"",C26&lt;&gt;""4x4 / 5x5 BLD"",OR(E26=2,E26=3,E26="&amp;"""Final""),H26&lt;&gt;""""),CONCATENATE(E26&amp;""-rundor brukar ej ha c.t.l.""),
AND(OR(E26=2,E26=3,E26=""Final""),I26&lt;&gt;""""),CONCATENATE(E26&amp;""-rundor brukar ej ha cutoff""),
AND(OR(C26=""3x3 FMC"",C26=""3x3 MBLD""),OR(E26=1,E26=2,E26=3,E26=""Final"")),CONCATENAT"&amp;"E(C26&amp;""s omgång är Rx - Ax""),
AND(C26&lt;&gt;""3x3 MBLD"",C26&lt;&gt;""3x3 FMC"",FILTER(Info!$D$2:D81, Info!$A$2:A81 = C26)&lt;&gt;F26),CONCATENATE(C26&amp;"" måste ha formatet ""&amp;FILTER(Info!$D$2:D81, Info!$A$2:A81 = C26)),
AND(C26=""3x3 MBLD"",OR(F26=""Avg of 5"",F26=""Mea"&amp;"n of 3"")),CONCATENATE(""Ogiltigt format för ""&amp;C26),
AND(C26=""3x3 FMC"",OR(F26=""Avg of 5"",F26=""Best of 3"")),CONCATENATE(""Ogiltigt format för ""&amp;C26),
AND(OR(F26=""Best of 1"",F26=""Best of 2"",F26=""Best of 3""),I26&lt;&gt;""""),CONCATENATE(F26&amp;""-rundor"&amp;" får ej ha cutoff""),
AND(OR(C26=""3x3 FMC"",C26=""3x3 MBLD""),G26&lt;&gt;60),CONCATENATE(C26&amp;"" måste ha time limit: 60""),
AND(OR(C26=""3x3 FMC"",C26=""3x3 MBLD""),H26&lt;&gt;""""),CONCATENATE(C26&amp;"" kan inte ha c.t.l.""),
AND(G26&lt;&gt;"""",H26&lt;&gt;""""),""Välj time limit"&amp;" ELLER c.t.l"",
AND(C26=""6x6 / 7x7"",G26="""",H26=""""),""Sätt time limit (x / y) eller c.t.l (z)"",
AND(G26="""",H26=""""),""Sätt en time limit eller c.t.l"",
AND(OR(C26=""6x6 / 7x7"",C26=""4x4 / 5x5 BLD""),G26&lt;&gt;"""",REGEXMATCH(TO_TEXT(G26),"" / "")=FAL"&amp;"SE),CONCATENATE(""Time limit måste vara x / y""),
AND(H26&lt;&gt;"""",I26&lt;&gt;""""),CONCATENATE(C26&amp;"" brukar ej ha cutoff OCH c.t.l""),
AND(E26=1,H26="""",I26="""",OR(FILTER(Info!$E$2:E81, Info!$A$2:A81 = C26) = ""Yes"",FILTER(Info!$F$2:F81, Info!$A$2:A81 = C26) "&amp;"= ""Yes""),OR(F26=""Avg of 5"",F26=""Mean of 3"")),CONCATENATE(C26&amp;"" bör ha cutoff eller c.t.l""),
AND(C26=""6x6 / 7x7"",I26&lt;&gt;"""",REGEXMATCH(TO_TEXT(I26),"" / "")=FALSE),CONCATENATE(""Cutoff måste vara x / y""),
AND(H26&lt;&gt;"""",ISNUMBER(H26)=FALSE),""C.t."&amp;"l. måste vara positivt tal (x)"",
AND(C26&lt;&gt;""6x6 / 7x7"",I26&lt;&gt;"""",ISNUMBER(I26)=FALSE),""Cutoff måste vara positivt tal (x)"",
AND(H26&lt;&gt;"""",FILTER(Info!$E$2:E81, Info!$A$2:A81 = C26) = ""No"",FILTER(Info!$F$2:F81, Info!$A$2:A81 = C26) = ""No""),CONCATEN"&amp;"ATE(C26&amp;"" brukar inte ha c.t.l.""),
AND(I26&lt;&gt;"""",FILTER(Info!$E$2:E81, Info!$A$2:A81 = C26) = ""No"",FILTER(Info!$F$2:F81, Info!$A$2:A81 = C26) = ""No""),CONCATENATE(C26&amp;"" brukar inte ha cutoff""),
AND(H26="""",FILTER(Info!$F$2:F81, Info!$A$2:A81 = C26"&amp;") = ""Yes""),CONCATENATE(C26&amp;"" brukar ha c.t.l.""),
AND(C26&lt;&gt;""6x6 / 7x7"",C26&lt;&gt;""4x4 / 5x5 BLD"",G26&lt;&gt;"""",ISNUMBER(G26)=FALSE),""Time limit måste vara positivt tal (x)"",
J26=""J - Error"",CONCATENATE(""För få deltagare i R1 för ""&amp;COUNTIF($C$7:$C$61,i"&amp;"ndirect(""C""&amp;row()))&amp;"" rundor""),
J26=""K2 - Error"",CONCATENATE(C26&amp;"" är mer populär - byt i K2!""),
AND(C26&lt;&gt;""6x6 / 7x7"",C26&lt;&gt;""4x4 / 5x5 BLD"",G26&lt;&gt;"""",I26&lt;&gt;"""",G26&lt;=I26),""Time limit måste vara &gt; cutoff"",
AND(C26&lt;&gt;""6x6 / 7x7"",C26&lt;&gt;""4x4 / 5x"&amp;"5 BLD"",H26&lt;&gt;"""",I26&lt;&gt;"""",H26&lt;=I26),""C.t.l. måste vara &gt; cutoff"",
AND(C26&lt;&gt;""3x3 FMC"",C26&lt;&gt;""3x3 MBLD"",J26=""""),CONCATENATE(""Fyll i antal deltagare i J""&amp;row()),
AND(C26="""",OR(E26&lt;&gt;"""",F26&lt;&gt;"""",G26&lt;&gt;"""",H26&lt;&gt;"""",I26&lt;&gt;"""",J26&lt;&gt;"""")),""Skriv"&amp;" ALLTID gren / aktivitet först"",
AND(I26="""",H26="""",J26&lt;&gt;""""),J26,
OR(""3x3 FMC""=C26,""3x3 MBLD""=C26),J26,
AND(I26&lt;&gt;"""",""6x6 / 7x7""=C26),
IFS(ArrayFormula(SUM(IFERROR(SPLIT(I26,"" / ""))))&lt;(Info!$J$6+Info!$J$7)*2/3,CONCATENATE(""Höj helst cutoff"&amp;"s i ""&amp;C26),
ArrayFormula(SUM(IFERROR(SPLIT(I26,"" / ""))))&lt;=(Info!$J$6+Info!$J$7),ROUNDUP(J26*Info!$J$22),
ArrayFormula(SUM(IFERROR(SPLIT(I26,"" / ""))))&lt;=Info!$J$6+Info!$J$7,ROUNDUP(J26*Info!$K$22),
ArrayFormula(SUM(IFERROR(SPLIT(I26,"" / ""))))&lt;=Info!$"&amp;"K$6+Info!$K$7,ROUNDUP(J26*Info!L$22),
ArrayFormula(SUM(IFERROR(SPLIT(I26,"" / ""))))&lt;=Info!$L$6+Info!$L$7,ROUNDUP(J26*Info!$M$22),
ArrayFormula(SUM(IFERROR(SPLIT(I26,"" / ""))))&lt;=Info!$M$6+Info!$M$7,ROUNDUP(J26*Info!$N$22),
ArrayFormula(SUM(IFERROR(SPLIT("&amp;"I26,"" / ""))))&lt;=(Info!$N$6+Info!$N$7)*3/2,ROUNDUP(J26*Info!$J$26),
ArrayFormula(SUM(IFERROR(SPLIT(I26,"" / ""))))&gt;(Info!$N$6+Info!$N$7)*3/2,CONCATENATE(""Sänk helst cutoffs i ""&amp;C26)),
AND(I26&lt;&gt;"""",FILTER(Info!$E$2:E81, Info!$A$2:A81 = C26) = ""Yes""),
"&amp;"IFS(I26&lt;FILTER(Info!$J$2:J81, Info!$A$2:A81 = C26)*2/3,CONCATENATE(""Höj helst cutoff i ""&amp;C26),
I26&lt;=FILTER(Info!$J$2:J81, Info!$A$2:A81 = C26),ROUNDUP(J26*Info!$J$22),
I26&lt;=FILTER(Info!$K$2:K81, Info!$A$2:A81 = C26),ROUNDUP(J26*Info!$K$22),
I26&lt;=FILTER("&amp;"Info!$L$2:L81, Info!$A$2:A81 = C26),ROUNDUP(J26*Info!L$22),
I26&lt;=FILTER(Info!$M$2:M81, Info!$A$2:A81 = C26),ROUNDUP(J26*Info!$M$22),
I26&lt;=FILTER(Info!$N$2:N81, Info!$A$2:A81 = C26),ROUNDUP(J26*Info!$N$22),
I26&lt;=FILTER(Info!$N$2:N81, Info!$A$2:A81 = C26)*3"&amp;"/2,ROUNDUP(J26*Info!$J$26),
I26&gt;FILTER(Info!$N$2:N81, Info!$A$2:A81 = C26)*3/2,CONCATENATE(""Sänk helst cutoff i ""&amp;C26)),
AND(H26&lt;&gt;"""",""6x6 / 7x7""=C26),
IFS(H26/3&lt;=(Info!$J$6+Info!$J$7)*2/3,""Höj helst cumulative time limit"",
H26/3&lt;=Info!$J$6+Info!$J"&amp;"$7,ROUNDUP(J26*Info!$J$24),
H26/3&lt;=Info!$K$6+Info!$K$7,ROUNDUP(J26*Info!$K$24),
H26/3&lt;=Info!$L$6+Info!$L$7,ROUNDUP(J26*Info!L$24),
H26/3&lt;=Info!$M$6+Info!$M$7,ROUNDUP(J26*Info!$M$24),
H26/3&lt;=Info!$N$6+Info!$N$7,ROUNDUP(J26*Info!$N$24),
H26/3&lt;=(Info!$N$6+In"&amp;"fo!$N$7)*3/2,ROUNDUP(J26*Info!$L$26),
H26/3&gt;(Info!$J$6+Info!$J$7)*3/2,""Sänk helst cumulative time limit""),
AND(H26&lt;&gt;"""",FILTER(Info!$F$2:F81, Info!$A$2:A81 = C26) = ""Yes""),
IFS(H26&lt;=FILTER(Info!$J$2:J81, Info!$A$2:A81 = C26)*2/3,CONCATENATE(""Höj hel"&amp;"st c.t.l. i ""&amp;C26),
H26&lt;=FILTER(Info!$J$2:J81, Info!$A$2:A81 = C26),ROUNDUP(J26*Info!$J$24),
H26&lt;=FILTER(Info!$K$2:K81, Info!$A$2:A81 = C26),ROUNDUP(J26*Info!$K$24),
H26&lt;=FILTER(Info!$L$2:L81, Info!$A$2:A81 = C26),ROUNDUP(J26*Info!L$24),
H26&lt;=FILTER(Info"&amp;"!$M$2:M81, Info!$A$2:A81 = C26),ROUNDUP(J26*Info!$M$24),
H26&lt;=FILTER(Info!$N$2:N81, Info!$A$2:A81 = C26),ROUNDUP(J26*Info!$N$24),
H26&lt;=FILTER(Info!$N$2:N81, Info!$A$2:A81 = C26)*3/2,ROUNDUP(J26*Info!$L$26),
H26&gt;FILTER(Info!$N$2:N81, Info!$A$2:A81 = C26)*3"&amp;"/2,CONCATENATE(""Sänk helst c.t.l. i ""&amp;C26)),
AND(H26&lt;&gt;"""",FILTER(Info!$F$2:F81, Info!$A$2:A81 = C26) = ""No""),
IFS(H26/AA26&lt;=FILTER(Info!$J$2:J81, Info!$A$2:A81 = C26)*2/3,CONCATENATE(""Höj helst c.t.l. i ""&amp;C26),
H26/AA26&lt;=FILTER(Info!$J$2:J81, Info!"&amp;"$A$2:A81 = C26),ROUNDUP(J26*Info!$J$24),
H26/AA26&lt;=FILTER(Info!$K$2:K81, Info!$A$2:A81 = C26),ROUNDUP(J26*Info!$K$24),
H26/AA26&lt;=FILTER(Info!$L$2:L81, Info!$A$2:A81 = C26),ROUNDUP(J26*Info!L$24),
H26/AA26&lt;=FILTER(Info!$M$2:M81, Info!$A$2:A81 = C26),ROUNDU"&amp;"P(J26*Info!$M$24),
H26/AA26&lt;=FILTER(Info!$N$2:N81, Info!$A$2:A81 = C26),ROUNDUP(J26*Info!$N$24),
H26/AA26&lt;=FILTER(Info!$N$2:N81, Info!$A$2:A81 = C26)*3/2,ROUNDUP(J26*Info!$L$26),
H26/AA26&gt;FILTER(Info!$N$2:N81, Info!$A$2:A81 = C26)*3/2,CONCATENATE(""Sänk h"&amp;"elst c.t.l. i ""&amp;C26)),
AND(I26="""",H26&lt;&gt;"""",J26&lt;&gt;""""),ROUNDUP(J26*Info!$T$29),
AND(I26&lt;&gt;"""",H26="""",J26&lt;&gt;""""),ROUNDUP(J26*Info!$T$26))"),"")</f>
        <v/>
      </c>
      <c r="L26" s="47">
        <f>IFERROR(__xludf.DUMMYFUNCTION("IFS(C26="""",0,
C26=""3x3 FMC"",Info!$B$9*N26+M26, C26=""3x3 MBLD"",Info!$B$18*N26+M26,
COUNTIF(Info!$A$22:A81,C26)&gt;0,FILTER(Info!$B$22:B81,Info!$A$22:A81=C26)+M26,
AND(C26&lt;&gt;"""",E26=""""),CONCATENATE(""Fyll i E""&amp;row()),
AND(C26&lt;&gt;"""",E26&lt;&gt;"""",E26&lt;&gt;1,E2"&amp;"6&lt;&gt;2,E26&lt;&gt;3,E26&lt;&gt;""Final""),CONCATENATE(""Fel format på E""&amp;row()),
K26=CONCATENATE(""Runda ""&amp;E26&amp;"" i ""&amp;C26&amp;"" finns redan""),CONCATENATE(""Fel i E""&amp;row()),
AND(C26&lt;&gt;"""",F26=""""),CONCATENATE(""Fyll i F""&amp;row()),
K26=CONCATENATE(C26&amp;"" måste ha forma"&amp;"tet ""&amp;FILTER(Info!$D$2:D81, Info!$A$2:A81 = C26)),CONCATENATE(""Fel format på F""&amp;row()),
AND(C26&lt;&gt;"""",D26=1,H26="""",FILTER(Info!$F$2:F81, Info!$A$2:A81 = C26) = ""Yes""),CONCATENATE(""Fyll i H""&amp;row()),
AND(C26&lt;&gt;"""",D26=1,I26="""",FILTER(Info!$E$2:E8"&amp;"1, Info!$A$2:A81 = C26) = ""Yes""),CONCATENATE(""Fyll i I""&amp;row()),
AND(C26&lt;&gt;"""",J26=""""),CONCATENATE(""Fyll i J""&amp;row()),
AND(C26&lt;&gt;"""",K26="""",OR(H26&lt;&gt;"""",I26&lt;&gt;"""")),CONCATENATE(""Fyll i K""&amp;row()),
AND(C26&lt;&gt;"""",K26=""""),CONCATENATE(""Skriv samma"&amp;" i K""&amp;row()&amp;"" som i J""&amp;row()),
AND(OR(C26=""4x4 BLD"",C26=""5x5 BLD"",C26=""4x4 / 5x5 BLD"")=TRUE,V26&lt;=P26),
MROUND(H26*(Info!$T$20-((Info!$T$20-1)/2)*(1-V26/P26))*(1+((J26/K26)-1)*(1-Info!$J$24))*N26+(Info!$T$11/2)+(N26*Info!$T$11)+(N26*Info!$T$14*(O2"&amp;"6-1)),0.01)+M26,
AND(OR(C26=""4x4 BLD"",C26=""5x5 BLD"",C26=""4x4 / 5x5 BLD"")=TRUE,V26&gt;P26),
MROUND((((J26*Z26+K26*(AA26-Z26))*(H26*Info!$T$20/AA26))/X26)*(1+((J26/K26)-1)*(1-Info!$J$24))*(1+(X26-Info!$T$8)/100)+(Info!$T$11/2)+(N26*Info!$T$11)+(N26*Info!"&amp;"$T$14*(O26-1)),0.01)+M26,
AND(C26=""3x3 BLD"",V26&lt;=P26),
MROUND(H26*(Info!$T$23-((Info!$T$23-1)/2)*(1-V26/P26))*(1+((J26/K26)-1)*(1-Info!$J$24))*N26+(Info!$T$11/2)+(N26*Info!$T$11)+(N26*Info!$T$14*(O26-1)),0.01)+M26,
AND(C26=""3x3 BLD"",V26&gt;P26),
MROUND(("&amp;"((J26*Z26+K26*(AA26-Z26))*(H26*Info!$T$23/AA26))/X26)*(1+((J26/K26)-1)*(1-Info!$J$24))*(1+(X26-Info!$T$8)/100)+(Info!$T$11/2)+(N26*Info!$T$11)+(N26*Info!$T$14*(O26-1)),0.01)+M26,
E26=1,MROUND((((J26*Z26+K26*(AA26-Z26))*Y26)/X26)*(1+(X26-Info!$T$8)/100)+(N"&amp;"26*Info!$T$11)+(N26*Info!$T$14*(O26-1)),0.01)+M26,
AND(E26=""Final"",N26=1,FILTER(Info!$G$2:$G$20,Info!$A$2:$A$20=C26)=""Mycket svår""),
MROUND((((J26*Z26+K26*(AA26-Z26))*(Y26*Info!$T$38))/X26)*(1+(X26-Info!$T$8)/100)+(N26*Info!$T$11)+(N26*Info!$T$14*(O26"&amp;"-1)),0.01)+M26,
AND(E26=""Final"",N26=1,FILTER(Info!$G$2:$G$20,Info!$A$2:$A$20=C26)=""Svår""),
MROUND((((J26*Z26+K26*(AA26-Z26))*(Y26*Info!$T$35))/X26)*(1+(X26-Info!$T$8)/100)+(N26*Info!$T$11)+(N26*Info!$T$14*(O26-1)),0.01)+M26,
E26=""Final"",MROUND((((J2"&amp;"6*Z26+K26*(AA26-Z26))*(Y26*Info!$T$5))/X26)*(1+(X26-Info!$T$8)/100)+(N26*Info!$T$11)+(N26*Info!$T$14*(O26-1)),0.01)+M26,
OR(E26=2,E26=3),MROUND((((J26*Z26+K26*(AA26-Z26))*(Y26*Info!$T$2))/X26)*(1+(X26-Info!$T$8)/100)+(N26*Info!$T$11)+(N26*Info!$T$14*(O26-"&amp;"1)),0.01)+M26)"),0.0)</f>
        <v>0</v>
      </c>
      <c r="M26" s="48">
        <f t="shared" si="1"/>
        <v>0</v>
      </c>
      <c r="N26" s="48" t="str">
        <f>IFS(OR(COUNTIF(Info!$A$22:A81,C26)&gt;0,C26=""),"",
OR(C26="4x4 BLD",C26="5x5 BLD",C26="3x3 MBLD",C26="3x3 FMC",C26="4x4 / 5x5 BLD"),1,
AND(E26="Final",Q26="Yes",MAX(1,ROUNDUP(J26/P26))&gt;1),MAX(2,ROUNDUP(J26/P26)),
AND(E26="Final",Q26="No",MAX(1,ROUNDUP(J26/((P26*2)+2.625-Y26*1.5)))&gt;1),MAX(2,ROUNDUP(J26/((P26*2)+2.625-Y26*1.5))),
E26="Final",1,
Q26="Yes",MAX(2,ROUNDUP(J26/P26)),
TRUE,MAX(2,ROUNDUP(J26/((P26*2)+2.625-Y26*1.5))))</f>
        <v/>
      </c>
      <c r="O26" s="48" t="str">
        <f>IFS(OR(COUNTIF(Info!$A$22:A81,C26)&gt;0,C26=""),"",
OR("3x3 MBLD"=C26,"3x3 FMC"=C26)=TRUE,"",
D26=$E$4,$G$6,D26=$K$4,$M$6,D26=$Q$4,$S$6,D26=$W$4,$Y$6,
TRUE,$S$2)</f>
        <v/>
      </c>
      <c r="P26" s="48" t="str">
        <f>IFS(OR(COUNTIF(Info!$A$22:A81,C26)&gt;0,C26=""),"",
OR("3x3 MBLD"=C26,"3x3 FMC"=C26)=TRUE,"",
D26=$E$4,$E$6,D26=$K$4,$K$6,D26=$Q$4,$Q$6,D26=$W$4,$W$6,
TRUE,$Q$2)</f>
        <v/>
      </c>
      <c r="Q26" s="49" t="str">
        <f>IFS(OR(COUNTIF(Info!$A$22:A81,C26)&gt;0,C26=""),"",
OR("3x3 MBLD"=C26,"3x3 FMC"=C26)=TRUE,"",
D26=$E$4,$I$6,D26=$K$4,$O$6,D26=$Q$4,$U$6,D26=$W$4,$AA$6,
TRUE,$U$2)</f>
        <v/>
      </c>
      <c r="R26" s="50" t="str">
        <f>IFERROR(__xludf.DUMMYFUNCTION("IF(C26="""","""",IFERROR(FILTER(Info!$B$22:B81,Info!$A$22:A81=C26)+M26,""?""))"),"")</f>
        <v/>
      </c>
      <c r="S26" s="51" t="str">
        <f>IFS(OR(COUNTIF(Info!$A$22:A81,C26)&gt;0,C26=""),"",
AND(H26="",I26=""),J26,
TRUE,"?")</f>
        <v/>
      </c>
      <c r="T26" s="52" t="str">
        <f>IFS(OR(COUNTIF(Info!$A$22:A81,C26)&gt;0,C26=""),"",
AND(L26&lt;&gt;0,OR(R26="?",R26="")),"Fyll i R-kolumnen",
OR(C26="3x3 FMC",C26="3x3 MBLD"),R26,
AND(L26&lt;&gt;0,OR(S26="?",S26="")),"Fyll i S-kolumnen",
OR(COUNTIF(Info!$A$22:A81,C26)&gt;0,C26=""),"",
TRUE,Y26*R26/L26)</f>
        <v/>
      </c>
      <c r="U26" s="52"/>
      <c r="V26" s="53" t="str">
        <f>IFS(OR(COUNTIF(Info!$A$22:A81,C26)&gt;0,C26=""),"",
OR("3x3 MBLD"=C26,"3x3 FMC"=C26)=TRUE,"",
TRUE,MROUND((J26/N26),0.01))</f>
        <v/>
      </c>
      <c r="W26" s="54" t="str">
        <f>IFS(OR(COUNTIF(Info!$A$22:A81,C26)&gt;0,C26=""),"",
TRUE,L26/N26)</f>
        <v/>
      </c>
      <c r="X26" s="55" t="str">
        <f>IFS(OR(COUNTIF(Info!$A$22:A81,C26)&gt;0,C26=""),"",
OR("3x3 MBLD"=C26,"3x3 FMC"=C26)=TRUE,"",
OR(C26="4x4 BLD",C26="5x5 BLD",C26="4x4 / 5x5 BLD",AND(C26="3x3 BLD",H26&lt;&gt;""))=TRUE,MIN(V26,P26),
TRUE,MIN(P26,V26,MROUND(((V26*2/3)+((Y26-1.625)/2)),0.01)))</f>
        <v/>
      </c>
      <c r="Y26" s="56" t="str">
        <f>IFERROR(__xludf.DUMMYFUNCTION("IFS(OR(COUNTIF(Info!$A$22:A81,C26)&gt;0,C26=""""),"""",
FILTER(Info!$F$2:F81, Info!$A$2:A81 = C26) = ""Yes"",H26/AA26,
""3x3 FMC""=C26,Info!$B$9,""3x3 MBLD""=C26,Info!$B$18,
AND(E26=1,I26="""",H26="""",Q26=""No"",G26&gt;SUMIF(Info!$A$2:A81,C26,Info!$B$2:B81)*1."&amp;"5),
MIN(SUMIF(Info!$A$2:A81,C26,Info!$B$2:B81)*1.1,SUMIF(Info!$A$2:A81,C26,Info!$B$2:B81)*(1.15-(0.15*(SUMIF(Info!$A$2:A81,C26,Info!$B$2:B81)*1.5)/G26))),
AND(E26=1,I26="""",H26="""",Q26=""Yes"",G26&gt;SUMIF(Info!$A$2:A81,C26,Info!$C$2:C81)*1.5),
MIN(SUMIF(I"&amp;"nfo!$A$2:A81,C26,Info!$C$2:C81)*1.1,SUMIF(Info!$A$2:A81,C26,Info!$C$2:C81)*(1.15-(0.15*(SUMIF(Info!$A$2:A81,C26,Info!$C$2:C81)*1.5)/G26))),
Q26=""No"",SUMIF(Info!$A$2:A81,C26,Info!$B$2:B81),
Q26=""Yes"",SUMIF(Info!$A$2:A81,C26,Info!$C$2:C81))"),"")</f>
        <v/>
      </c>
      <c r="Z26" s="57" t="str">
        <f>IFS(OR(COUNTIF(Info!$A$22:A81,C26)&gt;0,C26=""),"",
AND(OR("3x3 FMC"=C26,"3x3 MBLD"=C26),I26&lt;&gt;""),1,
AND(OR(H26&lt;&gt;"",I26&lt;&gt;""),F26="Avg of 5"),2,
F26="Avg of 5",AA26,
AND(OR(H26&lt;&gt;"",I26&lt;&gt;""),F26="Mean of 3",C26="6x6 / 7x7"),2,
AND(OR(H26&lt;&gt;"",I26&lt;&gt;""),F26="Mean of 3"),1,
F26="Mean of 3",AA26,
AND(OR(H26&lt;&gt;"",I26&lt;&gt;""),F26="Best of 3",C26="4x4 / 5x5 BLD"),2,
AND(OR(H26&lt;&gt;"",I26&lt;&gt;""),F26="Best of 3"),1,
F26="Best of 2",AA26,
F26="Best of 1",AA26)</f>
        <v/>
      </c>
      <c r="AA26" s="57" t="str">
        <f>IFS(OR(COUNTIF(Info!$A$22:A81,C26)&gt;0,C26=""),"",
AND(OR("3x3 MBLD"=C26,"3x3 FMC"=C26),F26="Best of 1"=TRUE),1,
AND(OR("3x3 MBLD"=C26,"3x3 FMC"=C26),F26="Best of 2"=TRUE),2,
AND(OR("3x3 MBLD"=C26,"3x3 FMC"=C26),OR(F26="Best of 3",F26="Mean of 3")=TRUE),3,
AND(F26="Mean of 3",C26="6x6 / 7x7"),6,
AND(F26="Best of 3",C26="4x4 / 5x5 BLD"),6,
F26="Avg of 5",5,F26="Mean of 3",3,F26="Best of 3",3,F26="Best of 2",2,F26="Best of 1",1)</f>
        <v/>
      </c>
      <c r="AB26" s="58"/>
    </row>
    <row r="27">
      <c r="A27" s="40">
        <f>IFERROR(__xludf.DUMMYFUNCTION("IFS(indirect(""A""&amp;row()-1)=""Start"",TIME(indirect(""A""&amp;row()-2),indirect(""B""&amp;row()-2),0),
$O$2=""No"",TIME(0,($A$6*60+$B$6)+CEILING(SUM($L$7:indirect(""L""&amp;row()-1)),5),0),
D27=$E$2,TIME(0,($A$6*60+$B$6)+CEILING(SUM(IFERROR(FILTER($L$7:indirect(""L"""&amp;"&amp;row()-1),REGEXMATCH($D$7:indirect(""D""&amp;row()-1),$E$2)),0)),5),0),
TRUE,""=time(hh;mm;ss)"")"),0.4166666666666667)</f>
        <v>0.4166666667</v>
      </c>
      <c r="B27" s="41">
        <f>IFERROR(__xludf.DUMMYFUNCTION("IFS($O$2=""No"",TIME(0,($A$6*60+$B$6)+CEILING(SUM($L$7:indirect(""L""&amp;row())),5),0),
D27=$E$2,TIME(0,($A$6*60+$B$6)+CEILING(SUM(FILTER($L$7:indirect(""L""&amp;row()),REGEXMATCH($D$7:indirect(""D""&amp;row()),$E$2))),5),0),
A27=""=time(hh;mm;ss)"",CONCATENATE(""Sk"&amp;"riv tid i A""&amp;row()),
AND(A27&lt;&gt;"""",A27&lt;&gt;""=time(hh;mm;ss)""),A27+TIME(0,CEILING(indirect(""L""&amp;row()),5),0))"),0.4166666666666667)</f>
        <v>0.4166666667</v>
      </c>
      <c r="C27" s="42"/>
      <c r="D27" s="43" t="str">
        <f t="shared" si="2"/>
        <v>Stora salen</v>
      </c>
      <c r="E27" s="43" t="str">
        <f>IFERROR(__xludf.DUMMYFUNCTION("IFS(COUNTIF(Info!$A$22:A81,C27)&gt;0,"""",
AND(OR(""3x3 FMC""=C27,""3x3 MBLD""=C27),COUNTIF($C$7:indirect(""C""&amp;row()),indirect(""C""&amp;row()))&gt;=13),""E - Error"",
AND(OR(""3x3 FMC""=C27,""3x3 MBLD""=C27),COUNTIF($C$7:indirect(""C""&amp;row()),indirect(""C""&amp;row()"&amp;"))=12),""Final - A3"",
AND(OR(""3x3 FMC""=C27,""3x3 MBLD""=C27),COUNTIF($C$7:indirect(""C""&amp;row()),indirect(""C""&amp;row()))=11),""Final - A2"",
AND(OR(""3x3 FMC""=C27,""3x3 MBLD""=C27),COUNTIF($C$7:indirect(""C""&amp;row()),indirect(""C""&amp;row()))=10),""Final - "&amp;"A1"",
AND(OR(""3x3 FMC""=C27,""3x3 MBLD""=C27),COUNTIF($C$7:indirect(""C""&amp;row()),indirect(""C""&amp;row()))=9,
COUNTIF($C$7:$C$61,indirect(""C""&amp;row()))&gt;9),""R3 - A3"",
AND(OR(""3x3 FMC""=C27,""3x3 MBLD""=C27),COUNTIF($C$7:indirect(""C""&amp;row()),indirect(""C"&amp;"""&amp;row()))=9,
COUNTIF($C$7:$C$61,indirect(""C""&amp;row()))&lt;=9),""Final - A3"",
AND(OR(""3x3 FMC""=C27,""3x3 MBLD""=C27),COUNTIF($C$7:indirect(""C""&amp;row()),indirect(""C""&amp;row()))=8,
COUNTIF($C$7:$C$61,indirect(""C""&amp;row()))&gt;9),""R3 - A2"",
AND(OR(""3x3 FMC""="&amp;"C27,""3x3 MBLD""=C27),COUNTIF($C$7:indirect(""C""&amp;row()),indirect(""C""&amp;row()))=8,
COUNTIF($C$7:$C$61,indirect(""C""&amp;row()))&lt;=9),""Final - A2"",
AND(OR(""3x3 FMC""=C27,""3x3 MBLD""=C27),COUNTIF($C$7:indirect(""C""&amp;row()),indirect(""C""&amp;row()))=7,
COUNTIF("&amp;"$C$7:$C$61,indirect(""C""&amp;row()))&gt;9),""R3 - A1"",
AND(OR(""3x3 FMC""=C27,""3x3 MBLD""=C27),COUNTIF($C$7:indirect(""C""&amp;row()),indirect(""C""&amp;row()))=7,
COUNTIF($C$7:$C$61,indirect(""C""&amp;row()))&lt;=9),""Final - A1"",
AND(OR(""3x3 FMC""=C27,""3x3 MBLD""=C27),"&amp;"COUNTIF($C$7:indirect(""C""&amp;row()),indirect(""C""&amp;row()))=6,
COUNTIF($C$7:$C$61,indirect(""C""&amp;row()))&gt;6),""R2 - A3"",
AND(OR(""3x3 FMC""=C27,""3x3 MBLD""=C27),COUNTIF($C$7:indirect(""C""&amp;row()),indirect(""C""&amp;row()))=6,
COUNTIF($C$7:$C$61,indirect(""C""&amp;"&amp;"row()))&lt;=6),""Final - A3"",
AND(OR(""3x3 FMC""=C27,""3x3 MBLD""=C27),COUNTIF($C$7:indirect(""C""&amp;row()),indirect(""C""&amp;row()))=5,
COUNTIF($C$7:$C$61,indirect(""C""&amp;row()))&gt;6),""R2 - A2"",
AND(OR(""3x3 FMC""=C27,""3x3 MBLD""=C27),COUNTIF($C$7:indirect(""C"&amp;"""&amp;row()),indirect(""C""&amp;row()))=5,
COUNTIF($C$7:$C$61,indirect(""C""&amp;row()))&lt;=6),""Final - A2"",
AND(OR(""3x3 FMC""=C27,""3x3 MBLD""=C27),COUNTIF($C$7:indirect(""C""&amp;row()),indirect(""C""&amp;row()))=4,
COUNTIF($C$7:$C$61,indirect(""C""&amp;row()))&gt;6),""R2 - A1"&amp;""",
AND(OR(""3x3 FMC""=C27,""3x3 MBLD""=C27),COUNTIF($C$7:indirect(""C""&amp;row()),indirect(""C""&amp;row()))=4,
COUNTIF($C$7:$C$61,indirect(""C""&amp;row()))&lt;=6),""Final - A1"",
AND(OR(""3x3 FMC""=C27,""3x3 MBLD""=C27),COUNTIF($C$7:indirect(""C""&amp;row()),indirect("""&amp;"C""&amp;row()))=3),""R1 - A3"",
AND(OR(""3x3 FMC""=C27,""3x3 MBLD""=C27),COUNTIF($C$7:indirect(""C""&amp;row()),indirect(""C""&amp;row()))=2),""R1 - A2"",
AND(OR(""3x3 FMC""=C27,""3x3 MBLD""=C27),COUNTIF($C$7:indirect(""C""&amp;row()),indirect(""C""&amp;row()))=1),""R1 -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C27),ROUNDUP((FILTER(Info!$H$2:H81,Info!$A$2:A81=C27)/FILTER(Info!$H$2:H81,Info!$A$2:A81=$K$2))*$I$2)&gt;99),3,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C27),ROUNDUP((FILTER(Info!$H$2:H81,Info!$A$2:A81=C27)/FILTER(Info!$H$2:H81,Info!$A$2:A81=$K$2))*$I$2)&gt;15),2,
AND(COUNTIF($C$7:indirect(""C""&amp;row()),indirect(""C""&amp;row()))=2,COUNTIF($C$7:$C$61,indirect(""C""&amp;row()))=COUNTIF($C$7:indirect("""&amp;"C""&amp;row()),indirect(""C""&amp;row()))),""Final"",
COUNTIF($C$7:indirect(""C""&amp;row()),indirect(""C""&amp;row()))=1,1,
COUNTIF($C$7:indirect(""C""&amp;row()),indirect(""C""&amp;row()))=0,"""")"),"")</f>
        <v/>
      </c>
      <c r="F27" s="44" t="str">
        <f>IFERROR(__xludf.DUMMYFUNCTION("IFS(C27="""","""",
AND(C27=""3x3 FMC"",MOD(COUNTIF($C$7:indirect(""C""&amp;row()),indirect(""C""&amp;row())),3)=0),""Mean of 3"",
AND(C27=""3x3 MBLD"",MOD(COUNTIF($C$7:indirect(""C""&amp;row()),indirect(""C""&amp;row())),3)=0),""Best of 3"",
AND(C27=""3x3 FMC"",MOD(COUNT"&amp;"IF($C$7:indirect(""C""&amp;row()),indirect(""C""&amp;row())),3)=2,
COUNTIF($C$7:$C$61,indirect(""C""&amp;row()))&lt;=COUNTIF($C$7:indirect(""C""&amp;row()),indirect(""C""&amp;row()))),""Best of 2"",
AND(C27=""3x3 FMC"",MOD(COUNTIF($C$7:indirect(""C""&amp;row()),indirect(""C""&amp;row()"&amp;")),3)=2,
COUNTIF($C$7:$C$61,indirect(""C""&amp;row()))&gt;COUNTIF($C$7:indirect(""C""&amp;row()),indirect(""C""&amp;row()))),""Mean of 3"",
AND(C27=""3x3 MBLD"",MOD(COUNTIF($C$7:indirect(""C""&amp;row()),indirect(""C""&amp;row())),3)=2,
COUNTIF($C$7:$C$61,indirect(""C""&amp;row()))"&amp;"&lt;=COUNTIF($C$7:indirect(""C""&amp;row()),indirect(""C""&amp;row()))),""Best of 2"",
AND(C27=""3x3 MBLD"",MOD(COUNTIF($C$7:indirect(""C""&amp;row()),indirect(""C""&amp;row())),3)=2,
COUNTIF($C$7:$C$61,indirect(""C""&amp;row()))&gt;COUNTIF($C$7:indirect(""C""&amp;row()),indirect(""C"&amp;"""&amp;row()))),""Best of 3"",
AND(C27=""3x3 FMC"",MOD(COUNTIF($C$7:indirect(""C""&amp;row()),indirect(""C""&amp;row())),3)=1,
COUNTIF($C$7:$C$61,indirect(""C""&amp;row()))&lt;=COUNTIF($C$7:indirect(""C""&amp;row()),indirect(""C""&amp;row()))),""Best of 1"",
AND(C27=""3x3 FMC"",MOD"&amp;"(COUNTIF($C$7:indirect(""C""&amp;row()),indirect(""C""&amp;row())),3)=1,
COUNTIF($C$7:$C$61,indirect(""C""&amp;row()))=COUNTIF($C$7:indirect(""C""&amp;row()),indirect(""C""&amp;row()))+1),""Best of 2"",
AND(C27=""3x3 FMC"",MOD(COUNTIF($C$7:indirect(""C""&amp;row()),indirect(""C"&amp;"""&amp;row())),3)=1,
COUNTIF($C$7:$C$61,indirect(""C""&amp;row()))&gt;COUNTIF($C$7:indirect(""C""&amp;row()),indirect(""C""&amp;row()))),""Mean of 3"",
AND(C27=""3x3 MBLD"",MOD(COUNTIF($C$7:indirect(""C""&amp;row()),indirect(""C""&amp;row())),3)=1,
COUNTIF($C$7:$C$61,indirect(""C"""&amp;"&amp;row()))&lt;=COUNTIF($C$7:indirect(""C""&amp;row()),indirect(""C""&amp;row()))),""Best of 1"",
AND(C27=""3x3 MBLD"",MOD(COUNTIF($C$7:indirect(""C""&amp;row()),indirect(""C""&amp;row())),3)=1,
COUNTIF($C$7:$C$61,indirect(""C""&amp;row()))=COUNTIF($C$7:indirect(""C""&amp;row()),indir"&amp;"ect(""C""&amp;row()))+1),""Best of 2"",
AND(C27=""3x3 MBLD"",MOD(COUNTIF($C$7:indirect(""C""&amp;row()),indirect(""C""&amp;row())),3)=1,
COUNTIF($C$7:$C$61,indirect(""C""&amp;row()))&gt;COUNTIF($C$7:indirect(""C""&amp;row()),indirect(""C""&amp;row()))),""Best of 3"",
TRUE,(IFERROR("&amp;"FILTER(Info!$D$2:D81, Info!$A$2:A81 = C27), """")))"),"")</f>
        <v/>
      </c>
      <c r="G27" s="45" t="str">
        <f>IFERROR(__xludf.DUMMYFUNCTION("IFS(OR(COUNTIF(Info!$A$22:A81,C27)&gt;0,C27=""""),"""",
OR(""3x3 MBLD""=C27,""3x3 FMC""=C27),60,
AND(E27=1,FILTER(Info!$F$2:F81, Info!$A$2:A81 = C27) = ""No""),FILTER(Info!$P$2:P81, Info!$A$2:A81 = C27),
AND(E27=2,FILTER(Info!$F$2:F81, Info!$A$2:A81 = C27) ="&amp;" ""No""),FILTER(Info!$Q$2:Q81, Info!$A$2:A81 = C27),
AND(E27=3,FILTER(Info!$F$2:F81, Info!$A$2:A81 = C27) = ""No""),FILTER(Info!$R$2:R81, Info!$A$2:A81 = C27),
AND(E27=""Final"",FILTER(Info!$F$2:F81, Info!$A$2:A81 = C27) = ""No""),FILTER(Info!$S$2:S81, In"&amp;"fo!$A$2:A81 = C27),
FILTER(Info!$F$2:F81, Info!$A$2:A81 = C27) = ""Yes"","""")"),"")</f>
        <v/>
      </c>
      <c r="H27" s="45" t="str">
        <f>IFERROR(__xludf.DUMMYFUNCTION("IFS(OR(COUNTIF(Info!$A$22:A81,C27)&gt;0,C27=""""),"""",
OR(""3x3 MBLD""=C27,""3x3 FMC""=C27)=TRUE,"""",
FILTER(Info!$F$2:F81, Info!$A$2:A81 = C27) = ""Yes"",FILTER(Info!$O$2:O81, Info!$A$2:A81 = C27),
FILTER(Info!$F$2:F81, Info!$A$2:A81 = C27) = ""No"",IF(G2"&amp;"7="""",FILTER(Info!$O$2:O81, Info!$A$2:A81 = C27),""""))"),"")</f>
        <v/>
      </c>
      <c r="I27" s="45" t="str">
        <f>IFERROR(__xludf.DUMMYFUNCTION("IFS(OR(COUNTIF(Info!$A$22:A81,C27)&gt;0,C27="""",H27&lt;&gt;""""),"""",
AND(E27&lt;&gt;1,E27&lt;&gt;""R1 - A1"",E27&lt;&gt;""R1 - A2"",E27&lt;&gt;""R1 - A3""),"""",
FILTER(Info!$E$2:E81, Info!$A$2:A81 = C27) = ""Yes"",IF(H27="""",FILTER(Info!$L$2:L81, Info!$A$2:A81 = C27),""""),
FILTER(I"&amp;"nfo!$E$2:E81, Info!$A$2:A81 = C27) = ""No"","""")"),"")</f>
        <v/>
      </c>
      <c r="J27" s="45" t="str">
        <f>IFERROR(__xludf.DUMMYFUNCTION("IFS(OR(COUNTIF(Info!$A$22:A81,C27)&gt;0,C27="""",""3x3 MBLD""=C27,""3x3 FMC""=C27),"""",
AND(E27=1,FILTER(Info!$H$2:H81,Info!$A$2:A81 = C27)&lt;=FILTER(Info!$H$2:H81,Info!$A$2:A81=$K$2)),
ROUNDUP((FILTER(Info!$H$2:H81,Info!$A$2:A81 = C27)/FILTER(Info!$H$2:H81,I"&amp;"nfo!$A$2:A81=$K$2))*$I$2),
AND(E27=1,FILTER(Info!$H$2:H81,Info!$A$2:A81 = C27)&gt;FILTER(Info!$H$2:H81,Info!$A$2:A81=$K$2)),""K2 - Error"",
AND(E27=2,FILTER($J$7:indirect(""J""&amp;row()-1),$C$7:indirect(""C""&amp;row()-1)=C27)&lt;=7),""J - Error"",
E27=2,FLOOR(FILTER("&amp;"$J$7:indirect(""J""&amp;row()-1),$C$7:indirect(""C""&amp;row()-1)=C27)*Info!$T$32),
AND(E27=3,FILTER($J$7:indirect(""J""&amp;row()-1),$C$7:indirect(""C""&amp;row()-1)=C27)&lt;=15),""J - Error"",
E27=3,FLOOR(Info!$T$32*FLOOR(FILTER($J$7:indirect(""J""&amp;row()-1),$C$7:indirect("&amp;"""C""&amp;row()-1)=C27)*Info!$T$32)),
AND(E27=""Final"",COUNTIF($C$7:$C$61,C27)=2,FILTER($J$7:indirect(""J""&amp;row()-1),$C$7:indirect(""C""&amp;row()-1)=C27)&lt;=7),""J - Error"",
AND(E27=""Final"",COUNTIF($C$7:$C$61,C27)=2),
MIN(P27,FLOOR(FILTER($J$7:indirect(""J""&amp;r"&amp;"ow()-1),$C$7:indirect(""C""&amp;row()-1)=C27)*Info!$T$32)),
AND(E27=""Final"",COUNTIF($C$7:$C$61,C27)=3,FILTER($J$7:indirect(""J""&amp;row()-1),$C$7:indirect(""C""&amp;row()-1)=C27)&lt;=15),""J - Error"",
AND(E27=""Final"",COUNTIF($C$7:$C$61,C27)=3),
MIN(P27,FLOOR(Info!"&amp;"$T$32*FLOOR(FILTER($J$7:indirect(""J""&amp;row()-1),$C$7:indirect(""C""&amp;row()-1)=C27)*Info!$T$32))),
AND(E27=""Final"",COUNTIF($C$7:$C$61,C27)&gt;=4,FILTER($J$7:indirect(""J""&amp;row()-1),$C$7:indirect(""C""&amp;row()-1)=C27)&lt;=99),""J - Error"",
AND(E27=""Final"",COUNT"&amp;"IF($C$7:$C$61,C27)&gt;=4),
MIN(P27,FLOOR(Info!$T$32*FLOOR(Info!$T$32*FLOOR(FILTER($J$7:indirect(""J""&amp;row()-1),$C$7:indirect(""C""&amp;row()-1)=C27)*Info!$T$32)))))"),"")</f>
        <v/>
      </c>
      <c r="K27" s="46" t="str">
        <f>IFERROR(__xludf.DUMMYFUNCTION("IFS(AND(indirect(""D""&amp;row()+2)&lt;&gt;$E$2,indirect(""D""&amp;row()+1)=""""),CONCATENATE(""Tom rad! Kopiera hela rad ""&amp;row()&amp;"" dit""),
AND(indirect(""D""&amp;row()-1)&lt;&gt;""Rum"",indirect(""D""&amp;row()-1)=""""),CONCATENATE(""Tom rad! Kopiera hela rad ""&amp;row()&amp;"" dit""),
"&amp;"C27="""","""",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OR(AND(D27&lt;&gt;$E$2,D27&lt;&gt;$E$4,D27&lt;&gt;$K$4,D27&lt;&gt;$Q$4),D27="&amp;"""""),CONCATENATE(""Rum: ""&amp;D27&amp;"" finns ej, byt i D""&amp;row()),
AND(indirect(""D""&amp;row()-1)=""Rum"",C27=""""),CONCATENATE(""För att börja: skriv i cell C""&amp;row()),
AND(C27=""Paus"",M27&lt;=0),CONCATENATE(""Skriv pausens längd i M""&amp;row()),
OR(COUNTIF(Info!$A$"&amp;"22:A81,C27)&gt;0,C27=""""),"""",
AND(D27&lt;&gt;$E$2,$O$2=""Yes"",A27=""=time(hh;mm;ss)""),CONCATENATE(""Skriv starttid för ""&amp;C27&amp;"" i A""&amp;row()),
E27=""E - Error"",CONCATENATE(""För många ""&amp;C27&amp;"" rundor!""),
AND(C27&lt;&gt;""3x3 FMC"",C27&lt;&gt;""3x3 MBLD"",E27&lt;&gt;1,E27&lt;&gt;"&amp;"""Final"",IFERROR(FILTER($E$7:indirect(""E""&amp;row()-1),
$E$7:indirect(""E""&amp;row()-1)=E27-1,$C$7:indirect(""C""&amp;row()-1)=C27))=FALSE),CONCATENATE(""Kan ej vara R""&amp;E27&amp;"", saknar R""&amp;(E27-1)),
AND(indirect(""E""&amp;row()-1)&lt;&gt;""Omgång"",IFERROR(FILTER($E$7:indi"&amp;"rect(""E""&amp;row()-1),
$E$7:indirect(""E""&amp;row()-1)=E27,$C$7:indirect(""C""&amp;row()-1)=C27)=E27)=TRUE),CONCATENATE(""Runda ""&amp;E27&amp;"" i ""&amp;C27&amp;"" finns redan""),
AND(C27&lt;&gt;""3x3 BLD"",C27&lt;&gt;""4x4 BLD"",C27&lt;&gt;""5x5 BLD"",C27&lt;&gt;""4x4 / 5x5 BLD"",OR(E27=2,E27=3,E27="&amp;"""Final""),H27&lt;&gt;""""),CONCATENATE(E27&amp;""-rundor brukar ej ha c.t.l.""),
AND(OR(E27=2,E27=3,E27=""Final""),I27&lt;&gt;""""),CONCATENATE(E27&amp;""-rundor brukar ej ha cutoff""),
AND(OR(C27=""3x3 FMC"",C27=""3x3 MBLD""),OR(E27=1,E27=2,E27=3,E27=""Final"")),CONCATENAT"&amp;"E(C27&amp;""s omgång är Rx - Ax""),
AND(C27&lt;&gt;""3x3 MBLD"",C27&lt;&gt;""3x3 FMC"",FILTER(Info!$D$2:D81, Info!$A$2:A81 = C27)&lt;&gt;F27),CONCATENATE(C27&amp;"" måste ha formatet ""&amp;FILTER(Info!$D$2:D81, Info!$A$2:A81 = C27)),
AND(C27=""3x3 MBLD"",OR(F27=""Avg of 5"",F27=""Mea"&amp;"n of 3"")),CONCATENATE(""Ogiltigt format för ""&amp;C27),
AND(C27=""3x3 FMC"",OR(F27=""Avg of 5"",F27=""Best of 3"")),CONCATENATE(""Ogiltigt format för ""&amp;C27),
AND(OR(F27=""Best of 1"",F27=""Best of 2"",F27=""Best of 3""),I27&lt;&gt;""""),CONCATENATE(F27&amp;""-rundor"&amp;" får ej ha cutoff""),
AND(OR(C27=""3x3 FMC"",C27=""3x3 MBLD""),G27&lt;&gt;60),CONCATENATE(C27&amp;"" måste ha time limit: 60""),
AND(OR(C27=""3x3 FMC"",C27=""3x3 MBLD""),H27&lt;&gt;""""),CONCATENATE(C27&amp;"" kan inte ha c.t.l.""),
AND(G27&lt;&gt;"""",H27&lt;&gt;""""),""Välj time limit"&amp;" ELLER c.t.l"",
AND(C27=""6x6 / 7x7"",G27="""",H27=""""),""Sätt time limit (x / y) eller c.t.l (z)"",
AND(G27="""",H27=""""),""Sätt en time limit eller c.t.l"",
AND(OR(C27=""6x6 / 7x7"",C27=""4x4 / 5x5 BLD""),G27&lt;&gt;"""",REGEXMATCH(TO_TEXT(G27),"" / "")=FAL"&amp;"SE),CONCATENATE(""Time limit måste vara x / y""),
AND(H27&lt;&gt;"""",I27&lt;&gt;""""),CONCATENATE(C27&amp;"" brukar ej ha cutoff OCH c.t.l""),
AND(E27=1,H27="""",I27="""",OR(FILTER(Info!$E$2:E81, Info!$A$2:A81 = C27) = ""Yes"",FILTER(Info!$F$2:F81, Info!$A$2:A81 = C27) "&amp;"= ""Yes""),OR(F27=""Avg of 5"",F27=""Mean of 3"")),CONCATENATE(C27&amp;"" bör ha cutoff eller c.t.l""),
AND(C27=""6x6 / 7x7"",I27&lt;&gt;"""",REGEXMATCH(TO_TEXT(I27),"" / "")=FALSE),CONCATENATE(""Cutoff måste vara x / y""),
AND(H27&lt;&gt;"""",ISNUMBER(H27)=FALSE),""C.t."&amp;"l. måste vara positivt tal (x)"",
AND(C27&lt;&gt;""6x6 / 7x7"",I27&lt;&gt;"""",ISNUMBER(I27)=FALSE),""Cutoff måste vara positivt tal (x)"",
AND(H27&lt;&gt;"""",FILTER(Info!$E$2:E81, Info!$A$2:A81 = C27) = ""No"",FILTER(Info!$F$2:F81, Info!$A$2:A81 = C27) = ""No""),CONCATEN"&amp;"ATE(C27&amp;"" brukar inte ha c.t.l.""),
AND(I27&lt;&gt;"""",FILTER(Info!$E$2:E81, Info!$A$2:A81 = C27) = ""No"",FILTER(Info!$F$2:F81, Info!$A$2:A81 = C27) = ""No""),CONCATENATE(C27&amp;"" brukar inte ha cutoff""),
AND(H27="""",FILTER(Info!$F$2:F81, Info!$A$2:A81 = C27"&amp;") = ""Yes""),CONCATENATE(C27&amp;"" brukar ha c.t.l.""),
AND(C27&lt;&gt;""6x6 / 7x7"",C27&lt;&gt;""4x4 / 5x5 BLD"",G27&lt;&gt;"""",ISNUMBER(G27)=FALSE),""Time limit måste vara positivt tal (x)"",
J27=""J - Error"",CONCATENATE(""För få deltagare i R1 för ""&amp;COUNTIF($C$7:$C$61,i"&amp;"ndirect(""C""&amp;row()))&amp;"" rundor""),
J27=""K2 - Error"",CONCATENATE(C27&amp;"" är mer populär - byt i K2!""),
AND(C27&lt;&gt;""6x6 / 7x7"",C27&lt;&gt;""4x4 / 5x5 BLD"",G27&lt;&gt;"""",I27&lt;&gt;"""",G27&lt;=I27),""Time limit måste vara &gt; cutoff"",
AND(C27&lt;&gt;""6x6 / 7x7"",C27&lt;&gt;""4x4 / 5x"&amp;"5 BLD"",H27&lt;&gt;"""",I27&lt;&gt;"""",H27&lt;=I27),""C.t.l. måste vara &gt; cutoff"",
AND(C27&lt;&gt;""3x3 FMC"",C27&lt;&gt;""3x3 MBLD"",J27=""""),CONCATENATE(""Fyll i antal deltagare i J""&amp;row()),
AND(C27="""",OR(E27&lt;&gt;"""",F27&lt;&gt;"""",G27&lt;&gt;"""",H27&lt;&gt;"""",I27&lt;&gt;"""",J27&lt;&gt;"""")),""Skriv"&amp;" ALLTID gren / aktivitet först"",
AND(I27="""",H27="""",J27&lt;&gt;""""),J27,
OR(""3x3 FMC""=C27,""3x3 MBLD""=C27),J27,
AND(I27&lt;&gt;"""",""6x6 / 7x7""=C27),
IFS(ArrayFormula(SUM(IFERROR(SPLIT(I27,"" / ""))))&lt;(Info!$J$6+Info!$J$7)*2/3,CONCATENATE(""Höj helst cutoff"&amp;"s i ""&amp;C27),
ArrayFormula(SUM(IFERROR(SPLIT(I27,"" / ""))))&lt;=(Info!$J$6+Info!$J$7),ROUNDUP(J27*Info!$J$22),
ArrayFormula(SUM(IFERROR(SPLIT(I27,"" / ""))))&lt;=Info!$J$6+Info!$J$7,ROUNDUP(J27*Info!$K$22),
ArrayFormula(SUM(IFERROR(SPLIT(I27,"" / ""))))&lt;=Info!$"&amp;"K$6+Info!$K$7,ROUNDUP(J27*Info!L$22),
ArrayFormula(SUM(IFERROR(SPLIT(I27,"" / ""))))&lt;=Info!$L$6+Info!$L$7,ROUNDUP(J27*Info!$M$22),
ArrayFormula(SUM(IFERROR(SPLIT(I27,"" / ""))))&lt;=Info!$M$6+Info!$M$7,ROUNDUP(J27*Info!$N$22),
ArrayFormula(SUM(IFERROR(SPLIT("&amp;"I27,"" / ""))))&lt;=(Info!$N$6+Info!$N$7)*3/2,ROUNDUP(J27*Info!$J$26),
ArrayFormula(SUM(IFERROR(SPLIT(I27,"" / ""))))&gt;(Info!$N$6+Info!$N$7)*3/2,CONCATENATE(""Sänk helst cutoffs i ""&amp;C27)),
AND(I27&lt;&gt;"""",FILTER(Info!$E$2:E81, Info!$A$2:A81 = C27) = ""Yes""),
"&amp;"IFS(I27&lt;FILTER(Info!$J$2:J81, Info!$A$2:A81 = C27)*2/3,CONCATENATE(""Höj helst cutoff i ""&amp;C27),
I27&lt;=FILTER(Info!$J$2:J81, Info!$A$2:A81 = C27),ROUNDUP(J27*Info!$J$22),
I27&lt;=FILTER(Info!$K$2:K81, Info!$A$2:A81 = C27),ROUNDUP(J27*Info!$K$22),
I27&lt;=FILTER("&amp;"Info!$L$2:L81, Info!$A$2:A81 = C27),ROUNDUP(J27*Info!L$22),
I27&lt;=FILTER(Info!$M$2:M81, Info!$A$2:A81 = C27),ROUNDUP(J27*Info!$M$22),
I27&lt;=FILTER(Info!$N$2:N81, Info!$A$2:A81 = C27),ROUNDUP(J27*Info!$N$22),
I27&lt;=FILTER(Info!$N$2:N81, Info!$A$2:A81 = C27)*3"&amp;"/2,ROUNDUP(J27*Info!$J$26),
I27&gt;FILTER(Info!$N$2:N81, Info!$A$2:A81 = C27)*3/2,CONCATENATE(""Sänk helst cutoff i ""&amp;C27)),
AND(H27&lt;&gt;"""",""6x6 / 7x7""=C27),
IFS(H27/3&lt;=(Info!$J$6+Info!$J$7)*2/3,""Höj helst cumulative time limit"",
H27/3&lt;=Info!$J$6+Info!$J"&amp;"$7,ROUNDUP(J27*Info!$J$24),
H27/3&lt;=Info!$K$6+Info!$K$7,ROUNDUP(J27*Info!$K$24),
H27/3&lt;=Info!$L$6+Info!$L$7,ROUNDUP(J27*Info!L$24),
H27/3&lt;=Info!$M$6+Info!$M$7,ROUNDUP(J27*Info!$M$24),
H27/3&lt;=Info!$N$6+Info!$N$7,ROUNDUP(J27*Info!$N$24),
H27/3&lt;=(Info!$N$6+In"&amp;"fo!$N$7)*3/2,ROUNDUP(J27*Info!$L$26),
H27/3&gt;(Info!$J$6+Info!$J$7)*3/2,""Sänk helst cumulative time limit""),
AND(H27&lt;&gt;"""",FILTER(Info!$F$2:F81, Info!$A$2:A81 = C27) = ""Yes""),
IFS(H27&lt;=FILTER(Info!$J$2:J81, Info!$A$2:A81 = C27)*2/3,CONCATENATE(""Höj hel"&amp;"st c.t.l. i ""&amp;C27),
H27&lt;=FILTER(Info!$J$2:J81, Info!$A$2:A81 = C27),ROUNDUP(J27*Info!$J$24),
H27&lt;=FILTER(Info!$K$2:K81, Info!$A$2:A81 = C27),ROUNDUP(J27*Info!$K$24),
H27&lt;=FILTER(Info!$L$2:L81, Info!$A$2:A81 = C27),ROUNDUP(J27*Info!L$24),
H27&lt;=FILTER(Info"&amp;"!$M$2:M81, Info!$A$2:A81 = C27),ROUNDUP(J27*Info!$M$24),
H27&lt;=FILTER(Info!$N$2:N81, Info!$A$2:A81 = C27),ROUNDUP(J27*Info!$N$24),
H27&lt;=FILTER(Info!$N$2:N81, Info!$A$2:A81 = C27)*3/2,ROUNDUP(J27*Info!$L$26),
H27&gt;FILTER(Info!$N$2:N81, Info!$A$2:A81 = C27)*3"&amp;"/2,CONCATENATE(""Sänk helst c.t.l. i ""&amp;C27)),
AND(H27&lt;&gt;"""",FILTER(Info!$F$2:F81, Info!$A$2:A81 = C27) = ""No""),
IFS(H27/AA27&lt;=FILTER(Info!$J$2:J81, Info!$A$2:A81 = C27)*2/3,CONCATENATE(""Höj helst c.t.l. i ""&amp;C27),
H27/AA27&lt;=FILTER(Info!$J$2:J81, Info!"&amp;"$A$2:A81 = C27),ROUNDUP(J27*Info!$J$24),
H27/AA27&lt;=FILTER(Info!$K$2:K81, Info!$A$2:A81 = C27),ROUNDUP(J27*Info!$K$24),
H27/AA27&lt;=FILTER(Info!$L$2:L81, Info!$A$2:A81 = C27),ROUNDUP(J27*Info!L$24),
H27/AA27&lt;=FILTER(Info!$M$2:M81, Info!$A$2:A81 = C27),ROUNDU"&amp;"P(J27*Info!$M$24),
H27/AA27&lt;=FILTER(Info!$N$2:N81, Info!$A$2:A81 = C27),ROUNDUP(J27*Info!$N$24),
H27/AA27&lt;=FILTER(Info!$N$2:N81, Info!$A$2:A81 = C27)*3/2,ROUNDUP(J27*Info!$L$26),
H27/AA27&gt;FILTER(Info!$N$2:N81, Info!$A$2:A81 = C27)*3/2,CONCATENATE(""Sänk h"&amp;"elst c.t.l. i ""&amp;C27)),
AND(I27="""",H27&lt;&gt;"""",J27&lt;&gt;""""),ROUNDUP(J27*Info!$T$29),
AND(I27&lt;&gt;"""",H27="""",J27&lt;&gt;""""),ROUNDUP(J27*Info!$T$26))"),"")</f>
        <v/>
      </c>
      <c r="L27" s="47">
        <f>IFERROR(__xludf.DUMMYFUNCTION("IFS(C27="""",0,
C27=""3x3 FMC"",Info!$B$9*N27+M27, C27=""3x3 MBLD"",Info!$B$18*N27+M27,
COUNTIF(Info!$A$22:A81,C27)&gt;0,FILTER(Info!$B$22:B81,Info!$A$22:A81=C27)+M27,
AND(C27&lt;&gt;"""",E27=""""),CONCATENATE(""Fyll i E""&amp;row()),
AND(C27&lt;&gt;"""",E27&lt;&gt;"""",E27&lt;&gt;1,E2"&amp;"7&lt;&gt;2,E27&lt;&gt;3,E27&lt;&gt;""Final""),CONCATENATE(""Fel format på E""&amp;row()),
K27=CONCATENATE(""Runda ""&amp;E27&amp;"" i ""&amp;C27&amp;"" finns redan""),CONCATENATE(""Fel i E""&amp;row()),
AND(C27&lt;&gt;"""",F27=""""),CONCATENATE(""Fyll i F""&amp;row()),
K27=CONCATENATE(C27&amp;"" måste ha forma"&amp;"tet ""&amp;FILTER(Info!$D$2:D81, Info!$A$2:A81 = C27)),CONCATENATE(""Fel format på F""&amp;row()),
AND(C27&lt;&gt;"""",D27=1,H27="""",FILTER(Info!$F$2:F81, Info!$A$2:A81 = C27) = ""Yes""),CONCATENATE(""Fyll i H""&amp;row()),
AND(C27&lt;&gt;"""",D27=1,I27="""",FILTER(Info!$E$2:E8"&amp;"1, Info!$A$2:A81 = C27) = ""Yes""),CONCATENATE(""Fyll i I""&amp;row()),
AND(C27&lt;&gt;"""",J27=""""),CONCATENATE(""Fyll i J""&amp;row()),
AND(C27&lt;&gt;"""",K27="""",OR(H27&lt;&gt;"""",I27&lt;&gt;"""")),CONCATENATE(""Fyll i K""&amp;row()),
AND(C27&lt;&gt;"""",K27=""""),CONCATENATE(""Skriv samma"&amp;" i K""&amp;row()&amp;"" som i J""&amp;row()),
AND(OR(C27=""4x4 BLD"",C27=""5x5 BLD"",C27=""4x4 / 5x5 BLD"")=TRUE,V27&lt;=P27),
MROUND(H27*(Info!$T$20-((Info!$T$20-1)/2)*(1-V27/P27))*(1+((J27/K27)-1)*(1-Info!$J$24))*N27+(Info!$T$11/2)+(N27*Info!$T$11)+(N27*Info!$T$14*(O2"&amp;"7-1)),0.01)+M27,
AND(OR(C27=""4x4 BLD"",C27=""5x5 BLD"",C27=""4x4 / 5x5 BLD"")=TRUE,V27&gt;P27),
MROUND((((J27*Z27+K27*(AA27-Z27))*(H27*Info!$T$20/AA27))/X27)*(1+((J27/K27)-1)*(1-Info!$J$24))*(1+(X27-Info!$T$8)/100)+(Info!$T$11/2)+(N27*Info!$T$11)+(N27*Info!"&amp;"$T$14*(O27-1)),0.01)+M27,
AND(C27=""3x3 BLD"",V27&lt;=P27),
MROUND(H27*(Info!$T$23-((Info!$T$23-1)/2)*(1-V27/P27))*(1+((J27/K27)-1)*(1-Info!$J$24))*N27+(Info!$T$11/2)+(N27*Info!$T$11)+(N27*Info!$T$14*(O27-1)),0.01)+M27,
AND(C27=""3x3 BLD"",V27&gt;P27),
MROUND(("&amp;"((J27*Z27+K27*(AA27-Z27))*(H27*Info!$T$23/AA27))/X27)*(1+((J27/K27)-1)*(1-Info!$J$24))*(1+(X27-Info!$T$8)/100)+(Info!$T$11/2)+(N27*Info!$T$11)+(N27*Info!$T$14*(O27-1)),0.01)+M27,
E27=1,MROUND((((J27*Z27+K27*(AA27-Z27))*Y27)/X27)*(1+(X27-Info!$T$8)/100)+(N"&amp;"27*Info!$T$11)+(N27*Info!$T$14*(O27-1)),0.01)+M27,
AND(E27=""Final"",N27=1,FILTER(Info!$G$2:$G$20,Info!$A$2:$A$20=C27)=""Mycket svår""),
MROUND((((J27*Z27+K27*(AA27-Z27))*(Y27*Info!$T$38))/X27)*(1+(X27-Info!$T$8)/100)+(N27*Info!$T$11)+(N27*Info!$T$14*(O27"&amp;"-1)),0.01)+M27,
AND(E27=""Final"",N27=1,FILTER(Info!$G$2:$G$20,Info!$A$2:$A$20=C27)=""Svår""),
MROUND((((J27*Z27+K27*(AA27-Z27))*(Y27*Info!$T$35))/X27)*(1+(X27-Info!$T$8)/100)+(N27*Info!$T$11)+(N27*Info!$T$14*(O27-1)),0.01)+M27,
E27=""Final"",MROUND((((J2"&amp;"7*Z27+K27*(AA27-Z27))*(Y27*Info!$T$5))/X27)*(1+(X27-Info!$T$8)/100)+(N27*Info!$T$11)+(N27*Info!$T$14*(O27-1)),0.01)+M27,
OR(E27=2,E27=3),MROUND((((J27*Z27+K27*(AA27-Z27))*(Y27*Info!$T$2))/X27)*(1+(X27-Info!$T$8)/100)+(N27*Info!$T$11)+(N27*Info!$T$14*(O27-"&amp;"1)),0.01)+M27)"),0.0)</f>
        <v>0</v>
      </c>
      <c r="M27" s="48">
        <f t="shared" si="1"/>
        <v>0</v>
      </c>
      <c r="N27" s="48" t="str">
        <f>IFS(OR(COUNTIF(Info!$A$22:A81,C27)&gt;0,C27=""),"",
OR(C27="4x4 BLD",C27="5x5 BLD",C27="3x3 MBLD",C27="3x3 FMC",C27="4x4 / 5x5 BLD"),1,
AND(E27="Final",Q27="Yes",MAX(1,ROUNDUP(J27/P27))&gt;1),MAX(2,ROUNDUP(J27/P27)),
AND(E27="Final",Q27="No",MAX(1,ROUNDUP(J27/((P27*2)+2.625-Y27*1.5)))&gt;1),MAX(2,ROUNDUP(J27/((P27*2)+2.625-Y27*1.5))),
E27="Final",1,
Q27="Yes",MAX(2,ROUNDUP(J27/P27)),
TRUE,MAX(2,ROUNDUP(J27/((P27*2)+2.625-Y27*1.5))))</f>
        <v/>
      </c>
      <c r="O27" s="48" t="str">
        <f>IFS(OR(COUNTIF(Info!$A$22:A81,C27)&gt;0,C27=""),"",
OR("3x3 MBLD"=C27,"3x3 FMC"=C27)=TRUE,"",
D27=$E$4,$G$6,D27=$K$4,$M$6,D27=$Q$4,$S$6,D27=$W$4,$Y$6,
TRUE,$S$2)</f>
        <v/>
      </c>
      <c r="P27" s="48" t="str">
        <f>IFS(OR(COUNTIF(Info!$A$22:A81,C27)&gt;0,C27=""),"",
OR("3x3 MBLD"=C27,"3x3 FMC"=C27)=TRUE,"",
D27=$E$4,$E$6,D27=$K$4,$K$6,D27=$Q$4,$Q$6,D27=$W$4,$W$6,
TRUE,$Q$2)</f>
        <v/>
      </c>
      <c r="Q27" s="49" t="str">
        <f>IFS(OR(COUNTIF(Info!$A$22:A81,C27)&gt;0,C27=""),"",
OR("3x3 MBLD"=C27,"3x3 FMC"=C27)=TRUE,"",
D27=$E$4,$I$6,D27=$K$4,$O$6,D27=$Q$4,$U$6,D27=$W$4,$AA$6,
TRUE,$U$2)</f>
        <v/>
      </c>
      <c r="R27" s="50" t="str">
        <f>IFERROR(__xludf.DUMMYFUNCTION("IF(C27="""","""",IFERROR(FILTER(Info!$B$22:B81,Info!$A$22:A81=C27)+M27,""?""))"),"")</f>
        <v/>
      </c>
      <c r="S27" s="51" t="str">
        <f>IFS(OR(COUNTIF(Info!$A$22:A81,C27)&gt;0,C27=""),"",
AND(H27="",I27=""),J27,
TRUE,"?")</f>
        <v/>
      </c>
      <c r="T27" s="52" t="str">
        <f>IFS(OR(COUNTIF(Info!$A$22:A81,C27)&gt;0,C27=""),"",
AND(L27&lt;&gt;0,OR(R27="?",R27="")),"Fyll i R-kolumnen",
OR(C27="3x3 FMC",C27="3x3 MBLD"),R27,
AND(L27&lt;&gt;0,OR(S27="?",S27="")),"Fyll i S-kolumnen",
OR(COUNTIF(Info!$A$22:A81,C27)&gt;0,C27=""),"",
TRUE,Y27*R27/L27)</f>
        <v/>
      </c>
      <c r="U27" s="52"/>
      <c r="V27" s="53" t="str">
        <f>IFS(OR(COUNTIF(Info!$A$22:A81,C27)&gt;0,C27=""),"",
OR("3x3 MBLD"=C27,"3x3 FMC"=C27)=TRUE,"",
TRUE,MROUND((J27/N27),0.01))</f>
        <v/>
      </c>
      <c r="W27" s="54" t="str">
        <f>IFS(OR(COUNTIF(Info!$A$22:A81,C27)&gt;0,C27=""),"",
TRUE,L27/N27)</f>
        <v/>
      </c>
      <c r="X27" s="55" t="str">
        <f>IFS(OR(COUNTIF(Info!$A$22:A81,C27)&gt;0,C27=""),"",
OR("3x3 MBLD"=C27,"3x3 FMC"=C27)=TRUE,"",
OR(C27="4x4 BLD",C27="5x5 BLD",C27="4x4 / 5x5 BLD",AND(C27="3x3 BLD",H27&lt;&gt;""))=TRUE,MIN(V27,P27),
TRUE,MIN(P27,V27,MROUND(((V27*2/3)+((Y27-1.625)/2)),0.01)))</f>
        <v/>
      </c>
      <c r="Y27" s="56" t="str">
        <f>IFERROR(__xludf.DUMMYFUNCTION("IFS(OR(COUNTIF(Info!$A$22:A81,C27)&gt;0,C27=""""),"""",
FILTER(Info!$F$2:F81, Info!$A$2:A81 = C27) = ""Yes"",H27/AA27,
""3x3 FMC""=C27,Info!$B$9,""3x3 MBLD""=C27,Info!$B$18,
AND(E27=1,I27="""",H27="""",Q27=""No"",G27&gt;SUMIF(Info!$A$2:A81,C27,Info!$B$2:B81)*1."&amp;"5),
MIN(SUMIF(Info!$A$2:A81,C27,Info!$B$2:B81)*1.1,SUMIF(Info!$A$2:A81,C27,Info!$B$2:B81)*(1.15-(0.15*(SUMIF(Info!$A$2:A81,C27,Info!$B$2:B81)*1.5)/G27))),
AND(E27=1,I27="""",H27="""",Q27=""Yes"",G27&gt;SUMIF(Info!$A$2:A81,C27,Info!$C$2:C81)*1.5),
MIN(SUMIF(I"&amp;"nfo!$A$2:A81,C27,Info!$C$2:C81)*1.1,SUMIF(Info!$A$2:A81,C27,Info!$C$2:C81)*(1.15-(0.15*(SUMIF(Info!$A$2:A81,C27,Info!$C$2:C81)*1.5)/G27))),
Q27=""No"",SUMIF(Info!$A$2:A81,C27,Info!$B$2:B81),
Q27=""Yes"",SUMIF(Info!$A$2:A81,C27,Info!$C$2:C81))"),"")</f>
        <v/>
      </c>
      <c r="Z27" s="57" t="str">
        <f>IFS(OR(COUNTIF(Info!$A$22:A81,C27)&gt;0,C27=""),"",
AND(OR("3x3 FMC"=C27,"3x3 MBLD"=C27),I27&lt;&gt;""),1,
AND(OR(H27&lt;&gt;"",I27&lt;&gt;""),F27="Avg of 5"),2,
F27="Avg of 5",AA27,
AND(OR(H27&lt;&gt;"",I27&lt;&gt;""),F27="Mean of 3",C27="6x6 / 7x7"),2,
AND(OR(H27&lt;&gt;"",I27&lt;&gt;""),F27="Mean of 3"),1,
F27="Mean of 3",AA27,
AND(OR(H27&lt;&gt;"",I27&lt;&gt;""),F27="Best of 3",C27="4x4 / 5x5 BLD"),2,
AND(OR(H27&lt;&gt;"",I27&lt;&gt;""),F27="Best of 3"),1,
F27="Best of 2",AA27,
F27="Best of 1",AA27)</f>
        <v/>
      </c>
      <c r="AA27" s="57" t="str">
        <f>IFS(OR(COUNTIF(Info!$A$22:A81,C27)&gt;0,C27=""),"",
AND(OR("3x3 MBLD"=C27,"3x3 FMC"=C27),F27="Best of 1"=TRUE),1,
AND(OR("3x3 MBLD"=C27,"3x3 FMC"=C27),F27="Best of 2"=TRUE),2,
AND(OR("3x3 MBLD"=C27,"3x3 FMC"=C27),OR(F27="Best of 3",F27="Mean of 3")=TRUE),3,
AND(F27="Mean of 3",C27="6x6 / 7x7"),6,
AND(F27="Best of 3",C27="4x4 / 5x5 BLD"),6,
F27="Avg of 5",5,F27="Mean of 3",3,F27="Best of 3",3,F27="Best of 2",2,F27="Best of 1",1)</f>
        <v/>
      </c>
      <c r="AB27" s="58"/>
    </row>
    <row r="28">
      <c r="A28" s="59" t="s">
        <v>28</v>
      </c>
      <c r="B28" s="59"/>
      <c r="C28" s="60"/>
      <c r="D28" s="61"/>
      <c r="E28" s="6"/>
      <c r="F28" s="62"/>
      <c r="G28" s="63"/>
      <c r="H28" s="63"/>
      <c r="I28" s="63"/>
      <c r="J28" s="63"/>
      <c r="K28" s="63"/>
      <c r="L28" s="64"/>
      <c r="M28" s="63"/>
      <c r="N28" s="63"/>
      <c r="O28" s="63"/>
      <c r="P28" s="63"/>
      <c r="Q28" s="63"/>
      <c r="R28" s="64" t="str">
        <f>$L$28</f>
        <v/>
      </c>
      <c r="S28" s="63"/>
      <c r="T28" s="63"/>
      <c r="U28" s="63"/>
      <c r="V28" s="63"/>
      <c r="W28" s="63"/>
      <c r="X28" s="63"/>
      <c r="Y28" s="63"/>
      <c r="Z28" s="63"/>
      <c r="AA28" s="63"/>
      <c r="AB28" s="64"/>
    </row>
    <row r="29">
      <c r="A29" s="29">
        <v>9.0</v>
      </c>
      <c r="B29" s="29">
        <v>0.0</v>
      </c>
      <c r="C29" s="65">
        <v>44563.0</v>
      </c>
      <c r="D29" s="66" t="str">
        <f>$E$2</f>
        <v>Stora salen</v>
      </c>
      <c r="E29" s="67"/>
      <c r="F29" s="29"/>
      <c r="G29" s="68"/>
      <c r="H29" s="68"/>
      <c r="I29" s="68"/>
      <c r="J29" s="68"/>
      <c r="K29" s="68"/>
      <c r="L29" s="69">
        <f>IFERROR(__xludf.DUMMYFUNCTION("IF($O$2=""No"",1440-($A$6*60+$B$6)-SUM($L$7:indirect(""L""&amp;row()-2))+($A$29*60+$B$29),
1440-($A$6*60+$B$6)-SUM(FILTER($L$7:indirect(""L""&amp;row()-2),REGEXMATCH($D$7:indirect(""D""&amp;row()-2),$E$2)))+($A$29*60+$B$29))"),1380.0)</f>
        <v>1380</v>
      </c>
      <c r="M29" s="68"/>
      <c r="N29" s="68"/>
      <c r="O29" s="68"/>
      <c r="P29" s="68"/>
      <c r="Q29" s="68"/>
      <c r="R29" s="69">
        <f>$L$29</f>
        <v>1380</v>
      </c>
      <c r="S29" s="68"/>
      <c r="T29" s="68"/>
      <c r="U29" s="68"/>
      <c r="V29" s="68"/>
      <c r="W29" s="68"/>
      <c r="X29" s="68"/>
      <c r="Y29" s="68"/>
      <c r="Z29" s="68"/>
      <c r="AA29" s="68"/>
      <c r="AB29" s="69"/>
    </row>
    <row r="30">
      <c r="A30" s="33" t="s">
        <v>33</v>
      </c>
      <c r="B30" s="33" t="s">
        <v>34</v>
      </c>
      <c r="C30" s="19" t="s">
        <v>35</v>
      </c>
      <c r="D30" s="20" t="s">
        <v>36</v>
      </c>
      <c r="E30" s="35" t="s">
        <v>37</v>
      </c>
      <c r="F30" s="20" t="s">
        <v>38</v>
      </c>
      <c r="G30" s="20" t="s">
        <v>39</v>
      </c>
      <c r="H30" s="20" t="s">
        <v>40</v>
      </c>
      <c r="I30" s="35" t="s">
        <v>41</v>
      </c>
      <c r="J30" s="35" t="s">
        <v>42</v>
      </c>
      <c r="K30" s="20" t="s">
        <v>59</v>
      </c>
      <c r="L30" s="33" t="s">
        <v>44</v>
      </c>
      <c r="M30" s="17" t="s">
        <v>45</v>
      </c>
      <c r="N30" s="17" t="s">
        <v>46</v>
      </c>
      <c r="O30" s="17" t="s">
        <v>47</v>
      </c>
      <c r="P30" s="17" t="s">
        <v>48</v>
      </c>
      <c r="Q30" s="17" t="s">
        <v>32</v>
      </c>
      <c r="R30" s="36" t="s">
        <v>49</v>
      </c>
      <c r="S30" s="36"/>
      <c r="T30" s="37" t="s">
        <v>51</v>
      </c>
      <c r="U30" s="37"/>
      <c r="V30" s="18" t="s">
        <v>53</v>
      </c>
      <c r="W30" s="38" t="s">
        <v>54</v>
      </c>
      <c r="X30" s="18" t="s">
        <v>55</v>
      </c>
      <c r="Y30" s="39" t="s">
        <v>60</v>
      </c>
      <c r="Z30" s="39" t="s">
        <v>57</v>
      </c>
      <c r="AA30" s="39" t="s">
        <v>58</v>
      </c>
      <c r="AB30" s="70"/>
    </row>
    <row r="31">
      <c r="A31" s="40">
        <f>IFERROR(__xludf.DUMMYFUNCTION("IFS(indirect(""A""&amp;row()-1)=""Start"",TIME(indirect(""A""&amp;row()-2),indirect(""B""&amp;row()-2),0),
$O$2=""No"",TIME(0,($A$6*60+$B$6)+CEILING(SUM($L$7:indirect(""L""&amp;row()-1)),5),0),
D31=$E$2,TIME(0,($A$6*60+$B$6)+CEILING(SUM(IFERROR(FILTER($L$7:indirect(""L"""&amp;"&amp;row()-1),REGEXMATCH($D$7:indirect(""D""&amp;row()-1),$E$2)),0)),5),0),
TRUE,""=time(hh;mm;ss)"")"),0.375)</f>
        <v>0.375</v>
      </c>
      <c r="B31" s="41">
        <f>IFERROR(__xludf.DUMMYFUNCTION("IFS($O$2=""No"",TIME(0,($A$6*60+$B$6)+CEILING(SUM($L$7:indirect(""L""&amp;row())),5),0),
D31=$E$2,TIME(0,($A$6*60+$B$6)+CEILING(SUM(FILTER($L$7:indirect(""L""&amp;row()),REGEXMATCH($D$7:indirect(""D""&amp;row()),$E$2))),5),0),
A31=""=time(hh;mm;ss)"",CONCATENATE(""Sk"&amp;"riv tid i A""&amp;row()),
AND(A31&lt;&gt;"""",A31&lt;&gt;""=time(hh;mm;ss)""),A31+TIME(0,CEILING(indirect(""L""&amp;row()),5),0))"),0.375)</f>
        <v>0.375</v>
      </c>
      <c r="C31" s="42"/>
      <c r="D31" s="43" t="str">
        <f t="shared" ref="D31:D50" si="3">IFS($M$2=1,$E$2,
AND($M$2&gt;1,OR(C31="4x4 BLD",C31="5x5 BLD",C31="3x3 MBLD",C31="4x4 / 5x5 BLD")),$E$4,
$M$2&gt;1,$E$2)</f>
        <v>Stora salen</v>
      </c>
      <c r="E31" s="43" t="str">
        <f>IFERROR(__xludf.DUMMYFUNCTION("IFS(COUNTIF(Info!$A$22:A81,C31)&gt;0,"""",
AND(OR(""3x3 FMC""=C31,""3x3 MBLD""=C31),COUNTIF($C$7:indirect(""C""&amp;row()),indirect(""C""&amp;row()))&gt;=13),""E - Error"",
AND(OR(""3x3 FMC""=C31,""3x3 MBLD""=C31),COUNTIF($C$7:indirect(""C""&amp;row()),indirect(""C""&amp;row()"&amp;"))=12),""Final - A3"",
AND(OR(""3x3 FMC""=C31,""3x3 MBLD""=C31),COUNTIF($C$7:indirect(""C""&amp;row()),indirect(""C""&amp;row()))=11),""Final - A2"",
AND(OR(""3x3 FMC""=C31,""3x3 MBLD""=C31),COUNTIF($C$7:indirect(""C""&amp;row()),indirect(""C""&amp;row()))=10),""Final - "&amp;"A1"",
AND(OR(""3x3 FMC""=C31,""3x3 MBLD""=C31),COUNTIF($C$7:indirect(""C""&amp;row()),indirect(""C""&amp;row()))=9,
COUNTIF($C$7:$C$61,indirect(""C""&amp;row()))&gt;9),""R3 - A3"",
AND(OR(""3x3 FMC""=C31,""3x3 MBLD""=C31),COUNTIF($C$7:indirect(""C""&amp;row()),indirect(""C"&amp;"""&amp;row()))=9,
COUNTIF($C$7:$C$61,indirect(""C""&amp;row()))&lt;=9),""Final - A3"",
AND(OR(""3x3 FMC""=C31,""3x3 MBLD""=C31),COUNTIF($C$7:indirect(""C""&amp;row()),indirect(""C""&amp;row()))=8,
COUNTIF($C$7:$C$61,indirect(""C""&amp;row()))&gt;9),""R3 - A2"",
AND(OR(""3x3 FMC""="&amp;"C31,""3x3 MBLD""=C31),COUNTIF($C$7:indirect(""C""&amp;row()),indirect(""C""&amp;row()))=8,
COUNTIF($C$7:$C$61,indirect(""C""&amp;row()))&lt;=9),""Final - A2"",
AND(OR(""3x3 FMC""=C31,""3x3 MBLD""=C31),COUNTIF($C$7:indirect(""C""&amp;row()),indirect(""C""&amp;row()))=7,
COUNTIF("&amp;"$C$7:$C$61,indirect(""C""&amp;row()))&gt;9),""R3 - A1"",
AND(OR(""3x3 FMC""=C31,""3x3 MBLD""=C31),COUNTIF($C$7:indirect(""C""&amp;row()),indirect(""C""&amp;row()))=7,
COUNTIF($C$7:$C$61,indirect(""C""&amp;row()))&lt;=9),""Final - A1"",
AND(OR(""3x3 FMC""=C31,""3x3 MBLD""=C31),"&amp;"COUNTIF($C$7:indirect(""C""&amp;row()),indirect(""C""&amp;row()))=6,
COUNTIF($C$7:$C$61,indirect(""C""&amp;row()))&gt;6),""R2 - A3"",
AND(OR(""3x3 FMC""=C31,""3x3 MBLD""=C31),COUNTIF($C$7:indirect(""C""&amp;row()),indirect(""C""&amp;row()))=6,
COUNTIF($C$7:$C$61,indirect(""C""&amp;"&amp;"row()))&lt;=6),""Final - A3"",
AND(OR(""3x3 FMC""=C31,""3x3 MBLD""=C31),COUNTIF($C$7:indirect(""C""&amp;row()),indirect(""C""&amp;row()))=5,
COUNTIF($C$7:$C$61,indirect(""C""&amp;row()))&gt;6),""R2 - A2"",
AND(OR(""3x3 FMC""=C31,""3x3 MBLD""=C31),COUNTIF($C$7:indirect(""C"&amp;"""&amp;row()),indirect(""C""&amp;row()))=5,
COUNTIF($C$7:$C$61,indirect(""C""&amp;row()))&lt;=6),""Final - A2"",
AND(OR(""3x3 FMC""=C31,""3x3 MBLD""=C31),COUNTIF($C$7:indirect(""C""&amp;row()),indirect(""C""&amp;row()))=4,
COUNTIF($C$7:$C$61,indirect(""C""&amp;row()))&gt;6),""R2 - A1"&amp;""",
AND(OR(""3x3 FMC""=C31,""3x3 MBLD""=C31),COUNTIF($C$7:indirect(""C""&amp;row()),indirect(""C""&amp;row()))=4,
COUNTIF($C$7:$C$61,indirect(""C""&amp;row()))&lt;=6),""Final - A1"",
AND(OR(""3x3 FMC""=C31,""3x3 MBLD""=C31),COUNTIF($C$7:indirect(""C""&amp;row()),indirect("""&amp;"C""&amp;row()))=3),""R1 - A3"",
AND(OR(""3x3 FMC""=C31,""3x3 MBLD""=C31),COUNTIF($C$7:indirect(""C""&amp;row()),indirect(""C""&amp;row()))=2),""R1 - A2"",
AND(OR(""3x3 FMC""=C31,""3x3 MBLD""=C31),COUNTIF($C$7:indirect(""C""&amp;row()),indirect(""C""&amp;row()))=1),""R1 -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C31),ROUNDUP((FILTER(Info!$H$2:H81,Info!$A$2:A81=C31)/FILTER(Info!$H$2:H81,Info!$A$2:A81=$K$2))*$I$2)&gt;99),3,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C31),ROUNDUP((FILTER(Info!$H$2:H81,Info!$A$2:A81=C31)/FILTER(Info!$H$2:H81,Info!$A$2:A81=$K$2))*$I$2)&gt;15),2,
AND(COUNTIF($C$7:indirect(""C""&amp;row()),indirect(""C""&amp;row()))=2,COUNTIF($C$7:$C$61,indirect(""C""&amp;row()))=COUNTIF($C$7:indirect("""&amp;"C""&amp;row()),indirect(""C""&amp;row()))),""Final"",
COUNTIF($C$7:indirect(""C""&amp;row()),indirect(""C""&amp;row()))=1,1,
COUNTIF($C$7:indirect(""C""&amp;row()),indirect(""C""&amp;row()))=0,"""")"),"")</f>
        <v/>
      </c>
      <c r="F31" s="44" t="str">
        <f>IFERROR(__xludf.DUMMYFUNCTION("IFS(C31="""","""",
AND(C31=""3x3 FMC"",MOD(COUNTIF($C$7:indirect(""C""&amp;row()),indirect(""C""&amp;row())),3)=0),""Mean of 3"",
AND(C31=""3x3 MBLD"",MOD(COUNTIF($C$7:indirect(""C""&amp;row()),indirect(""C""&amp;row())),3)=0),""Best of 3"",
AND(C31=""3x3 FMC"",MOD(COUNT"&amp;"IF($C$7:indirect(""C""&amp;row()),indirect(""C""&amp;row())),3)=2,
COUNTIF($C$7:$C$61,indirect(""C""&amp;row()))&lt;=COUNTIF($C$7:indirect(""C""&amp;row()),indirect(""C""&amp;row()))),""Best of 2"",
AND(C31=""3x3 FMC"",MOD(COUNTIF($C$7:indirect(""C""&amp;row()),indirect(""C""&amp;row()"&amp;")),3)=2,
COUNTIF($C$7:$C$61,indirect(""C""&amp;row()))&gt;COUNTIF($C$7:indirect(""C""&amp;row()),indirect(""C""&amp;row()))),""Mean of 3"",
AND(C31=""3x3 MBLD"",MOD(COUNTIF($C$7:indirect(""C""&amp;row()),indirect(""C""&amp;row())),3)=2,
COUNTIF($C$7:$C$61,indirect(""C""&amp;row()))"&amp;"&lt;=COUNTIF($C$7:indirect(""C""&amp;row()),indirect(""C""&amp;row()))),""Best of 2"",
AND(C31=""3x3 MBLD"",MOD(COUNTIF($C$7:indirect(""C""&amp;row()),indirect(""C""&amp;row())),3)=2,
COUNTIF($C$7:$C$61,indirect(""C""&amp;row()))&gt;COUNTIF($C$7:indirect(""C""&amp;row()),indirect(""C"&amp;"""&amp;row()))),""Best of 3"",
AND(C31=""3x3 FMC"",MOD(COUNTIF($C$7:indirect(""C""&amp;row()),indirect(""C""&amp;row())),3)=1,
COUNTIF($C$7:$C$61,indirect(""C""&amp;row()))&lt;=COUNTIF($C$7:indirect(""C""&amp;row()),indirect(""C""&amp;row()))),""Best of 1"",
AND(C31=""3x3 FMC"",MOD"&amp;"(COUNTIF($C$7:indirect(""C""&amp;row()),indirect(""C""&amp;row())),3)=1,
COUNTIF($C$7:$C$61,indirect(""C""&amp;row()))=COUNTIF($C$7:indirect(""C""&amp;row()),indirect(""C""&amp;row()))+1),""Best of 2"",
AND(C31=""3x3 FMC"",MOD(COUNTIF($C$7:indirect(""C""&amp;row()),indirect(""C"&amp;"""&amp;row())),3)=1,
COUNTIF($C$7:$C$61,indirect(""C""&amp;row()))&gt;COUNTIF($C$7:indirect(""C""&amp;row()),indirect(""C""&amp;row()))),""Mean of 3"",
AND(C31=""3x3 MBLD"",MOD(COUNTIF($C$7:indirect(""C""&amp;row()),indirect(""C""&amp;row())),3)=1,
COUNTIF($C$7:$C$61,indirect(""C"""&amp;"&amp;row()))&lt;=COUNTIF($C$7:indirect(""C""&amp;row()),indirect(""C""&amp;row()))),""Best of 1"",
AND(C31=""3x3 MBLD"",MOD(COUNTIF($C$7:indirect(""C""&amp;row()),indirect(""C""&amp;row())),3)=1,
COUNTIF($C$7:$C$61,indirect(""C""&amp;row()))=COUNTIF($C$7:indirect(""C""&amp;row()),indir"&amp;"ect(""C""&amp;row()))+1),""Best of 2"",
AND(C31=""3x3 MBLD"",MOD(COUNTIF($C$7:indirect(""C""&amp;row()),indirect(""C""&amp;row())),3)=1,
COUNTIF($C$7:$C$61,indirect(""C""&amp;row()))&gt;COUNTIF($C$7:indirect(""C""&amp;row()),indirect(""C""&amp;row()))),""Best of 3"",
TRUE,(IFERROR("&amp;"FILTER(Info!$D$2:D81, Info!$A$2:A81 = C31), """")))"),"")</f>
        <v/>
      </c>
      <c r="G31" s="45" t="str">
        <f>IFERROR(__xludf.DUMMYFUNCTION("IFS(OR(COUNTIF(Info!$A$22:A81,C31)&gt;0,C31=""""),"""",
OR(""3x3 MBLD""=C31,""3x3 FMC""=C31),60,
AND(E31=1,FILTER(Info!$F$2:F81, Info!$A$2:A81 = C31) = ""No""),FILTER(Info!$P$2:P81, Info!$A$2:A81 = C31),
AND(E31=2,FILTER(Info!$F$2:F81, Info!$A$2:A81 = C31) ="&amp;" ""No""),FILTER(Info!$Q$2:Q81, Info!$A$2:A81 = C31),
AND(E31=3,FILTER(Info!$F$2:F81, Info!$A$2:A81 = C31) = ""No""),FILTER(Info!$R$2:R81, Info!$A$2:A81 = C31),
AND(E31=""Final"",FILTER(Info!$F$2:F81, Info!$A$2:A81 = C31) = ""No""),FILTER(Info!$S$2:S81, In"&amp;"fo!$A$2:A81 = C31),
FILTER(Info!$F$2:F81, Info!$A$2:A81 = C31) = ""Yes"","""")"),"")</f>
        <v/>
      </c>
      <c r="H31" s="45" t="str">
        <f>IFERROR(__xludf.DUMMYFUNCTION("IFS(OR(COUNTIF(Info!$A$22:A81,C31)&gt;0,C31=""""),"""",
OR(""3x3 MBLD""=C31,""3x3 FMC""=C31)=TRUE,"""",
FILTER(Info!$F$2:F81, Info!$A$2:A81 = C31) = ""Yes"",FILTER(Info!$O$2:O81, Info!$A$2:A81 = C31),
FILTER(Info!$F$2:F81, Info!$A$2:A81 = C31) = ""No"",IF(G3"&amp;"1="""",FILTER(Info!$O$2:O81, Info!$A$2:A81 = C31),""""))"),"")</f>
        <v/>
      </c>
      <c r="I31" s="45" t="str">
        <f>IFERROR(__xludf.DUMMYFUNCTION("IFS(OR(COUNTIF(Info!$A$22:A81,C31)&gt;0,C31="""",H31&lt;&gt;""""),"""",
AND(E31&lt;&gt;1,E31&lt;&gt;""R1 - A1"",E31&lt;&gt;""R1 - A2"",E31&lt;&gt;""R1 - A3""),"""",
FILTER(Info!$E$2:E81, Info!$A$2:A81 = C31) = ""Yes"",IF(H31="""",FILTER(Info!$L$2:L81, Info!$A$2:A81 = C31),""""),
FILTER(I"&amp;"nfo!$E$2:E81, Info!$A$2:A81 = C31) = ""No"","""")"),"")</f>
        <v/>
      </c>
      <c r="J31" s="45" t="str">
        <f>IFERROR(__xludf.DUMMYFUNCTION("IFS(OR(COUNTIF(Info!$A$22:A81,C31)&gt;0,C31="""",""3x3 MBLD""=C31,""3x3 FMC""=C31),"""",
AND(E31=1,FILTER(Info!$H$2:H81,Info!$A$2:A81 = C31)&lt;=FILTER(Info!$H$2:H81,Info!$A$2:A81=$K$2)),
ROUNDUP((FILTER(Info!$H$2:H81,Info!$A$2:A81 = C31)/FILTER(Info!$H$2:H81,I"&amp;"nfo!$A$2:A81=$K$2))*$I$2),
AND(E31=1,FILTER(Info!$H$2:H81,Info!$A$2:A81 = C31)&gt;FILTER(Info!$H$2:H81,Info!$A$2:A81=$K$2)),""K2 - Error"",
AND(E31=2,FILTER($J$7:indirect(""J""&amp;row()-1),$C$7:indirect(""C""&amp;row()-1)=C31)&lt;=7),""J - Error"",
E31=2,FLOOR(FILTER("&amp;"$J$7:indirect(""J""&amp;row()-1),$C$7:indirect(""C""&amp;row()-1)=C31)*Info!$T$32),
AND(E31=3,FILTER($J$7:indirect(""J""&amp;row()-1),$C$7:indirect(""C""&amp;row()-1)=C31)&lt;=15),""J - Error"",
E31=3,FLOOR(Info!$T$32*FLOOR(FILTER($J$7:indirect(""J""&amp;row()-1),$C$7:indirect("&amp;"""C""&amp;row()-1)=C31)*Info!$T$32)),
AND(E31=""Final"",COUNTIF($C$7:$C$61,C31)=2,FILTER($J$7:indirect(""J""&amp;row()-1),$C$7:indirect(""C""&amp;row()-1)=C31)&lt;=7),""J - Error"",
AND(E31=""Final"",COUNTIF($C$7:$C$61,C31)=2),
MIN(P31,FLOOR(FILTER($J$7:indirect(""J""&amp;r"&amp;"ow()-1),$C$7:indirect(""C""&amp;row()-1)=C31)*Info!$T$32)),
AND(E31=""Final"",COUNTIF($C$7:$C$61,C31)=3,FILTER($J$7:indirect(""J""&amp;row()-1),$C$7:indirect(""C""&amp;row()-1)=C31)&lt;=15),""J - Error"",
AND(E31=""Final"",COUNTIF($C$7:$C$61,C31)=3),
MIN(P31,FLOOR(Info!"&amp;"$T$32*FLOOR(FILTER($J$7:indirect(""J""&amp;row()-1),$C$7:indirect(""C""&amp;row()-1)=C31)*Info!$T$32))),
AND(E31=""Final"",COUNTIF($C$7:$C$61,C31)&gt;=4,FILTER($J$7:indirect(""J""&amp;row()-1),$C$7:indirect(""C""&amp;row()-1)=C31)&lt;=99),""J - Error"",
AND(E31=""Final"",COUNT"&amp;"IF($C$7:$C$61,C31)&gt;=4),
MIN(P31,FLOOR(Info!$T$32*FLOOR(Info!$T$32*FLOOR(FILTER($J$7:indirect(""J""&amp;row()-1),$C$7:indirect(""C""&amp;row()-1)=C31)*Info!$T$32)))))"),"")</f>
        <v/>
      </c>
      <c r="K31" s="46" t="str">
        <f>IFERROR(__xludf.DUMMYFUNCTION("IFS(AND(indirect(""D""&amp;row()+2)&lt;&gt;$E$2,indirect(""D""&amp;row()+1)=""""),CONCATENATE(""Tom rad! Kopiera hela rad ""&amp;row()&amp;"" dit""),
AND(indirect(""D""&amp;row()-1)&lt;&gt;""Rum"",indirect(""D""&amp;row()-1)=""""),CONCATENATE(""Tom rad! Kopiera hela rad ""&amp;row()&amp;"" dit""),
"&amp;"C31="""","""",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OR(AND(D31&lt;&gt;$E$2,D31&lt;&gt;$E$4,D31&lt;&gt;$K$4,D31&lt;&gt;$Q$4),D31="&amp;"""""),CONCATENATE(""Rum: ""&amp;D31&amp;"" finns ej, byt i D""&amp;row()),
AND(indirect(""D""&amp;row()-1)=""Rum"",C31=""""),CONCATENATE(""För att börja: skriv i cell C""&amp;row()),
AND(C31=""Paus"",M31&lt;=0),CONCATENATE(""Skriv pausens längd i M""&amp;row()),
OR(COUNTIF(Info!$A$"&amp;"22:A81,C31)&gt;0,C31=""""),"""",
AND(D31&lt;&gt;$E$2,$O$2=""Yes"",A31=""=time(hh;mm;ss)""),CONCATENATE(""Skriv starttid för ""&amp;C31&amp;"" i A""&amp;row()),
E31=""E - Error"",CONCATENATE(""För många ""&amp;C31&amp;"" rundor!""),
AND(C31&lt;&gt;""3x3 FMC"",C31&lt;&gt;""3x3 MBLD"",E31&lt;&gt;1,E31&lt;&gt;"&amp;"""Final"",IFERROR(FILTER($E$7:indirect(""E""&amp;row()-1),
$E$7:indirect(""E""&amp;row()-1)=E31-1,$C$7:indirect(""C""&amp;row()-1)=C31))=FALSE),CONCATENATE(""Kan ej vara R""&amp;E31&amp;"", saknar R""&amp;(E31-1)),
AND(indirect(""E""&amp;row()-1)&lt;&gt;""Omgång"",IFERROR(FILTER($E$7:indi"&amp;"rect(""E""&amp;row()-1),
$E$7:indirect(""E""&amp;row()-1)=E31,$C$7:indirect(""C""&amp;row()-1)=C31)=E31)=TRUE),CONCATENATE(""Runda ""&amp;E31&amp;"" i ""&amp;C31&amp;"" finns redan""),
AND(C31&lt;&gt;""3x3 BLD"",C31&lt;&gt;""4x4 BLD"",C31&lt;&gt;""5x5 BLD"",C31&lt;&gt;""4x4 / 5x5 BLD"",OR(E31=2,E31=3,E31="&amp;"""Final""),H31&lt;&gt;""""),CONCATENATE(E31&amp;""-rundor brukar ej ha c.t.l.""),
AND(OR(E31=2,E31=3,E31=""Final""),I31&lt;&gt;""""),CONCATENATE(E31&amp;""-rundor brukar ej ha cutoff""),
AND(OR(C31=""3x3 FMC"",C31=""3x3 MBLD""),OR(E31=1,E31=2,E31=3,E31=""Final"")),CONCATENAT"&amp;"E(C31&amp;""s omgång är Rx - Ax""),
AND(C31&lt;&gt;""3x3 MBLD"",C31&lt;&gt;""3x3 FMC"",FILTER(Info!$D$2:D81, Info!$A$2:A81 = C31)&lt;&gt;F31),CONCATENATE(C31&amp;"" måste ha formatet ""&amp;FILTER(Info!$D$2:D81, Info!$A$2:A81 = C31)),
AND(C31=""3x3 MBLD"",OR(F31=""Avg of 5"",F31=""Mea"&amp;"n of 3"")),CONCATENATE(""Ogiltigt format för ""&amp;C31),
AND(C31=""3x3 FMC"",OR(F31=""Avg of 5"",F31=""Best of 3"")),CONCATENATE(""Ogiltigt format för ""&amp;C31),
AND(OR(F31=""Best of 1"",F31=""Best of 2"",F31=""Best of 3""),I31&lt;&gt;""""),CONCATENATE(F31&amp;""-rundor"&amp;" får ej ha cutoff""),
AND(OR(C31=""3x3 FMC"",C31=""3x3 MBLD""),G31&lt;&gt;60),CONCATENATE(C31&amp;"" måste ha time limit: 60""),
AND(OR(C31=""3x3 FMC"",C31=""3x3 MBLD""),H31&lt;&gt;""""),CONCATENATE(C31&amp;"" kan inte ha c.t.l.""),
AND(G31&lt;&gt;"""",H31&lt;&gt;""""),""Välj time limit"&amp;" ELLER c.t.l"",
AND(C31=""6x6 / 7x7"",G31="""",H31=""""),""Sätt time limit (x / y) eller c.t.l (z)"",
AND(G31="""",H31=""""),""Sätt en time limit eller c.t.l"",
AND(OR(C31=""6x6 / 7x7"",C31=""4x4 / 5x5 BLD""),G31&lt;&gt;"""",REGEXMATCH(TO_TEXT(G31),"" / "")=FAL"&amp;"SE),CONCATENATE(""Time limit måste vara x / y""),
AND(H31&lt;&gt;"""",I31&lt;&gt;""""),CONCATENATE(C31&amp;"" brukar ej ha cutoff OCH c.t.l""),
AND(E31=1,H31="""",I31="""",OR(FILTER(Info!$E$2:E81, Info!$A$2:A81 = C31) = ""Yes"",FILTER(Info!$F$2:F81, Info!$A$2:A81 = C31) "&amp;"= ""Yes""),OR(F31=""Avg of 5"",F31=""Mean of 3"")),CONCATENATE(C31&amp;"" bör ha cutoff eller c.t.l""),
AND(C31=""6x6 / 7x7"",I31&lt;&gt;"""",REGEXMATCH(TO_TEXT(I31),"" / "")=FALSE),CONCATENATE(""Cutoff måste vara x / y""),
AND(H31&lt;&gt;"""",ISNUMBER(H31)=FALSE),""C.t."&amp;"l. måste vara positivt tal (x)"",
AND(C31&lt;&gt;""6x6 / 7x7"",I31&lt;&gt;"""",ISNUMBER(I31)=FALSE),""Cutoff måste vara positivt tal (x)"",
AND(H31&lt;&gt;"""",FILTER(Info!$E$2:E81, Info!$A$2:A81 = C31) = ""No"",FILTER(Info!$F$2:F81, Info!$A$2:A81 = C31) = ""No""),CONCATEN"&amp;"ATE(C31&amp;"" brukar inte ha c.t.l.""),
AND(I31&lt;&gt;"""",FILTER(Info!$E$2:E81, Info!$A$2:A81 = C31) = ""No"",FILTER(Info!$F$2:F81, Info!$A$2:A81 = C31) = ""No""),CONCATENATE(C31&amp;"" brukar inte ha cutoff""),
AND(H31="""",FILTER(Info!$F$2:F81, Info!$A$2:A81 = C31"&amp;") = ""Yes""),CONCATENATE(C31&amp;"" brukar ha c.t.l.""),
AND(C31&lt;&gt;""6x6 / 7x7"",C31&lt;&gt;""4x4 / 5x5 BLD"",G31&lt;&gt;"""",ISNUMBER(G31)=FALSE),""Time limit måste vara positivt tal (x)"",
J31=""J - Error"",CONCATENATE(""För få deltagare i R1 för ""&amp;COUNTIF($C$7:$C$61,i"&amp;"ndirect(""C""&amp;row()))&amp;"" rundor""),
J31=""K2 - Error"",CONCATENATE(C31&amp;"" är mer populär - byt i K2!""),
AND(C31&lt;&gt;""6x6 / 7x7"",C31&lt;&gt;""4x4 / 5x5 BLD"",G31&lt;&gt;"""",I31&lt;&gt;"""",G31&lt;=I31),""Time limit måste vara &gt; cutoff"",
AND(C31&lt;&gt;""6x6 / 7x7"",C31&lt;&gt;""4x4 / 5x"&amp;"5 BLD"",H31&lt;&gt;"""",I31&lt;&gt;"""",H31&lt;=I31),""C.t.l. måste vara &gt; cutoff"",
AND(C31&lt;&gt;""3x3 FMC"",C31&lt;&gt;""3x3 MBLD"",J31=""""),CONCATENATE(""Fyll i antal deltagare i J""&amp;row()),
AND(C31="""",OR(E31&lt;&gt;"""",F31&lt;&gt;"""",G31&lt;&gt;"""",H31&lt;&gt;"""",I31&lt;&gt;"""",J31&lt;&gt;"""")),""Skriv"&amp;" ALLTID gren / aktivitet först"",
AND(I31="""",H31="""",J31&lt;&gt;""""),J31,
OR(""3x3 FMC""=C31,""3x3 MBLD""=C31),J31,
AND(I31&lt;&gt;"""",""6x6 / 7x7""=C31),
IFS(ArrayFormula(SUM(IFERROR(SPLIT(I31,"" / ""))))&lt;(Info!$J$6+Info!$J$7)*2/3,CONCATENATE(""Höj helst cutoff"&amp;"s i ""&amp;C31),
ArrayFormula(SUM(IFERROR(SPLIT(I31,"" / ""))))&lt;=(Info!$J$6+Info!$J$7),ROUNDUP(J31*Info!$J$22),
ArrayFormula(SUM(IFERROR(SPLIT(I31,"" / ""))))&lt;=Info!$J$6+Info!$J$7,ROUNDUP(J31*Info!$K$22),
ArrayFormula(SUM(IFERROR(SPLIT(I31,"" / ""))))&lt;=Info!$"&amp;"K$6+Info!$K$7,ROUNDUP(J31*Info!L$22),
ArrayFormula(SUM(IFERROR(SPLIT(I31,"" / ""))))&lt;=Info!$L$6+Info!$L$7,ROUNDUP(J31*Info!$M$22),
ArrayFormula(SUM(IFERROR(SPLIT(I31,"" / ""))))&lt;=Info!$M$6+Info!$M$7,ROUNDUP(J31*Info!$N$22),
ArrayFormula(SUM(IFERROR(SPLIT("&amp;"I31,"" / ""))))&lt;=(Info!$N$6+Info!$N$7)*3/2,ROUNDUP(J31*Info!$J$26),
ArrayFormula(SUM(IFERROR(SPLIT(I31,"" / ""))))&gt;(Info!$N$6+Info!$N$7)*3/2,CONCATENATE(""Sänk helst cutoffs i ""&amp;C31)),
AND(I31&lt;&gt;"""",FILTER(Info!$E$2:E81, Info!$A$2:A81 = C31) = ""Yes""),
"&amp;"IFS(I31&lt;FILTER(Info!$J$2:J81, Info!$A$2:A81 = C31)*2/3,CONCATENATE(""Höj helst cutoff i ""&amp;C31),
I31&lt;=FILTER(Info!$J$2:J81, Info!$A$2:A81 = C31),ROUNDUP(J31*Info!$J$22),
I31&lt;=FILTER(Info!$K$2:K81, Info!$A$2:A81 = C31),ROUNDUP(J31*Info!$K$22),
I31&lt;=FILTER("&amp;"Info!$L$2:L81, Info!$A$2:A81 = C31),ROUNDUP(J31*Info!L$22),
I31&lt;=FILTER(Info!$M$2:M81, Info!$A$2:A81 = C31),ROUNDUP(J31*Info!$M$22),
I31&lt;=FILTER(Info!$N$2:N81, Info!$A$2:A81 = C31),ROUNDUP(J31*Info!$N$22),
I31&lt;=FILTER(Info!$N$2:N81, Info!$A$2:A81 = C31)*3"&amp;"/2,ROUNDUP(J31*Info!$J$26),
I31&gt;FILTER(Info!$N$2:N81, Info!$A$2:A81 = C31)*3/2,CONCATENATE(""Sänk helst cutoff i ""&amp;C31)),
AND(H31&lt;&gt;"""",""6x6 / 7x7""=C31),
IFS(H31/3&lt;=(Info!$J$6+Info!$J$7)*2/3,""Höj helst cumulative time limit"",
H31/3&lt;=Info!$J$6+Info!$J"&amp;"$7,ROUNDUP(J31*Info!$J$24),
H31/3&lt;=Info!$K$6+Info!$K$7,ROUNDUP(J31*Info!$K$24),
H31/3&lt;=Info!$L$6+Info!$L$7,ROUNDUP(J31*Info!L$24),
H31/3&lt;=Info!$M$6+Info!$M$7,ROUNDUP(J31*Info!$M$24),
H31/3&lt;=Info!$N$6+Info!$N$7,ROUNDUP(J31*Info!$N$24),
H31/3&lt;=(Info!$N$6+In"&amp;"fo!$N$7)*3/2,ROUNDUP(J31*Info!$L$26),
H31/3&gt;(Info!$J$6+Info!$J$7)*3/2,""Sänk helst cumulative time limit""),
AND(H31&lt;&gt;"""",FILTER(Info!$F$2:F81, Info!$A$2:A81 = C31) = ""Yes""),
IFS(H31&lt;=FILTER(Info!$J$2:J81, Info!$A$2:A81 = C31)*2/3,CONCATENATE(""Höj hel"&amp;"st c.t.l. i ""&amp;C31),
H31&lt;=FILTER(Info!$J$2:J81, Info!$A$2:A81 = C31),ROUNDUP(J31*Info!$J$24),
H31&lt;=FILTER(Info!$K$2:K81, Info!$A$2:A81 = C31),ROUNDUP(J31*Info!$K$24),
H31&lt;=FILTER(Info!$L$2:L81, Info!$A$2:A81 = C31),ROUNDUP(J31*Info!L$24),
H31&lt;=FILTER(Info"&amp;"!$M$2:M81, Info!$A$2:A81 = C31),ROUNDUP(J31*Info!$M$24),
H31&lt;=FILTER(Info!$N$2:N81, Info!$A$2:A81 = C31),ROUNDUP(J31*Info!$N$24),
H31&lt;=FILTER(Info!$N$2:N81, Info!$A$2:A81 = C31)*3/2,ROUNDUP(J31*Info!$L$26),
H31&gt;FILTER(Info!$N$2:N81, Info!$A$2:A81 = C31)*3"&amp;"/2,CONCATENATE(""Sänk helst c.t.l. i ""&amp;C31)),
AND(H31&lt;&gt;"""",FILTER(Info!$F$2:F81, Info!$A$2:A81 = C31) = ""No""),
IFS(H31/AA31&lt;=FILTER(Info!$J$2:J81, Info!$A$2:A81 = C31)*2/3,CONCATENATE(""Höj helst c.t.l. i ""&amp;C31),
H31/AA31&lt;=FILTER(Info!$J$2:J81, Info!"&amp;"$A$2:A81 = C31),ROUNDUP(J31*Info!$J$24),
H31/AA31&lt;=FILTER(Info!$K$2:K81, Info!$A$2:A81 = C31),ROUNDUP(J31*Info!$K$24),
H31/AA31&lt;=FILTER(Info!$L$2:L81, Info!$A$2:A81 = C31),ROUNDUP(J31*Info!L$24),
H31/AA31&lt;=FILTER(Info!$M$2:M81, Info!$A$2:A81 = C31),ROUNDU"&amp;"P(J31*Info!$M$24),
H31/AA31&lt;=FILTER(Info!$N$2:N81, Info!$A$2:A81 = C31),ROUNDUP(J31*Info!$N$24),
H31/AA31&lt;=FILTER(Info!$N$2:N81, Info!$A$2:A81 = C31)*3/2,ROUNDUP(J31*Info!$L$26),
H31/AA31&gt;FILTER(Info!$N$2:N81, Info!$A$2:A81 = C31)*3/2,CONCATENATE(""Sänk h"&amp;"elst c.t.l. i ""&amp;C31)),
AND(I31="""",H31&lt;&gt;"""",J31&lt;&gt;""""),ROUNDUP(J31*Info!$T$29),
AND(I31&lt;&gt;"""",H31="""",J31&lt;&gt;""""),ROUNDUP(J31*Info!$T$26))"),"")</f>
        <v/>
      </c>
      <c r="L31" s="47">
        <f>IFERROR(__xludf.DUMMYFUNCTION("IFS(C31="""",0,
C31=""3x3 FMC"",Info!$B$9*N31+M31, C31=""3x3 MBLD"",Info!$B$18*N31+M31,
COUNTIF(Info!$A$22:A81,C31)&gt;0,FILTER(Info!$B$22:B81,Info!$A$22:A81=C31)+M31,
AND(C31&lt;&gt;"""",E31=""""),CONCATENATE(""Fyll i E""&amp;row()),
AND(C31&lt;&gt;"""",E31&lt;&gt;"""",E31&lt;&gt;1,E3"&amp;"1&lt;&gt;2,E31&lt;&gt;3,E31&lt;&gt;""Final""),CONCATENATE(""Fel format på E""&amp;row()),
K31=CONCATENATE(""Runda ""&amp;E31&amp;"" i ""&amp;C31&amp;"" finns redan""),CONCATENATE(""Fel i E""&amp;row()),
AND(C31&lt;&gt;"""",F31=""""),CONCATENATE(""Fyll i F""&amp;row()),
K31=CONCATENATE(C31&amp;"" måste ha forma"&amp;"tet ""&amp;FILTER(Info!$D$2:D81, Info!$A$2:A81 = C31)),CONCATENATE(""Fel format på F""&amp;row()),
AND(C31&lt;&gt;"""",D31=1,H31="""",FILTER(Info!$F$2:F81, Info!$A$2:A81 = C31) = ""Yes""),CONCATENATE(""Fyll i H""&amp;row()),
AND(C31&lt;&gt;"""",D31=1,I31="""",FILTER(Info!$E$2:E8"&amp;"1, Info!$A$2:A81 = C31) = ""Yes""),CONCATENATE(""Fyll i I""&amp;row()),
AND(C31&lt;&gt;"""",J31=""""),CONCATENATE(""Fyll i J""&amp;row()),
AND(C31&lt;&gt;"""",K31="""",OR(H31&lt;&gt;"""",I31&lt;&gt;"""")),CONCATENATE(""Fyll i K""&amp;row()),
AND(C31&lt;&gt;"""",K31=""""),CONCATENATE(""Skriv samma"&amp;" i K""&amp;row()&amp;"" som i J""&amp;row()),
AND(OR(C31=""4x4 BLD"",C31=""5x5 BLD"",C31=""4x4 / 5x5 BLD"")=TRUE,V31&lt;=P31),
MROUND(H31*(Info!$T$20-((Info!$T$20-1)/2)*(1-V31/P31))*(1+((J31/K31)-1)*(1-Info!$J$24))*N31+(Info!$T$11/2)+(N31*Info!$T$11)+(N31*Info!$T$14*(O3"&amp;"1-1)),0.01)+M31,
AND(OR(C31=""4x4 BLD"",C31=""5x5 BLD"",C31=""4x4 / 5x5 BLD"")=TRUE,V31&gt;P31),
MROUND((((J31*Z31+K31*(AA31-Z31))*(H31*Info!$T$20/AA31))/X31)*(1+((J31/K31)-1)*(1-Info!$J$24))*(1+(X31-Info!$T$8)/100)+(Info!$T$11/2)+(N31*Info!$T$11)+(N31*Info!"&amp;"$T$14*(O31-1)),0.01)+M31,
AND(C31=""3x3 BLD"",V31&lt;=P31),
MROUND(H31*(Info!$T$23-((Info!$T$23-1)/2)*(1-V31/P31))*(1+((J31/K31)-1)*(1-Info!$J$24))*N31+(Info!$T$11/2)+(N31*Info!$T$11)+(N31*Info!$T$14*(O31-1)),0.01)+M31,
AND(C31=""3x3 BLD"",V31&gt;P31),
MROUND(("&amp;"((J31*Z31+K31*(AA31-Z31))*(H31*Info!$T$23/AA31))/X31)*(1+((J31/K31)-1)*(1-Info!$J$24))*(1+(X31-Info!$T$8)/100)+(Info!$T$11/2)+(N31*Info!$T$11)+(N31*Info!$T$14*(O31-1)),0.01)+M31,
E31=1,MROUND((((J31*Z31+K31*(AA31-Z31))*Y31)/X31)*(1+(X31-Info!$T$8)/100)+(N"&amp;"31*Info!$T$11)+(N31*Info!$T$14*(O31-1)),0.01)+M31,
AND(E31=""Final"",N31=1,FILTER(Info!$G$2:$G$20,Info!$A$2:$A$20=C31)=""Mycket svår""),
MROUND((((J31*Z31+K31*(AA31-Z31))*(Y31*Info!$T$38))/X31)*(1+(X31-Info!$T$8)/100)+(N31*Info!$T$11)+(N31*Info!$T$14*(O31"&amp;"-1)),0.01)+M31,
AND(E31=""Final"",N31=1,FILTER(Info!$G$2:$G$20,Info!$A$2:$A$20=C31)=""Svår""),
MROUND((((J31*Z31+K31*(AA31-Z31))*(Y31*Info!$T$35))/X31)*(1+(X31-Info!$T$8)/100)+(N31*Info!$T$11)+(N31*Info!$T$14*(O31-1)),0.01)+M31,
E31=""Final"",MROUND((((J3"&amp;"1*Z31+K31*(AA31-Z31))*(Y31*Info!$T$5))/X31)*(1+(X31-Info!$T$8)/100)+(N31*Info!$T$11)+(N31*Info!$T$14*(O31-1)),0.01)+M31,
OR(E31=2,E31=3),MROUND((((J31*Z31+K31*(AA31-Z31))*(Y31*Info!$T$2))/X31)*(1+(X31-Info!$T$8)/100)+(N31*Info!$T$11)+(N31*Info!$T$14*(O31-"&amp;"1)),0.01)+M31)"),0.0)</f>
        <v>0</v>
      </c>
      <c r="M31" s="48">
        <f t="shared" ref="M31:M50" si="4">$W$2</f>
        <v>0</v>
      </c>
      <c r="N31" s="48" t="str">
        <f>IFS(OR(COUNTIF(Info!$A$22:A81,C31)&gt;0,C31=""),"",
OR(C31="4x4 BLD",C31="5x5 BLD",C31="3x3 MBLD",C31="3x3 FMC",C31="4x4 / 5x5 BLD"),1,
AND(E31="Final",Q31="Yes",MAX(1,ROUNDUP(J31/P31))&gt;1),MAX(2,ROUNDUP(J31/P31)),
AND(E31="Final",Q31="No",MAX(1,ROUNDUP(J31/((P31*2)+2.625-Y31*1.5)))&gt;1),MAX(2,ROUNDUP(J31/((P31*2)+2.625-Y31*1.5))),
E31="Final",1,
Q31="Yes",MAX(2,ROUNDUP(J31/P31)),
TRUE,MAX(2,ROUNDUP(J31/((P31*2)+2.625-Y31*1.5))))</f>
        <v/>
      </c>
      <c r="O31" s="48" t="str">
        <f>IFS(OR(COUNTIF(Info!$A$22:A81,C31)&gt;0,C31=""),"",
OR("3x3 MBLD"=C31,"3x3 FMC"=C31)=TRUE,"",
D31=$E$4,$G$6,D31=$K$4,$M$6,D31=$Q$4,$S$6,D31=$W$4,$Y$6,
TRUE,$S$2)</f>
        <v/>
      </c>
      <c r="P31" s="48" t="str">
        <f>IFS(OR(COUNTIF(Info!$A$22:A81,C31)&gt;0,C31=""),"",
OR("3x3 MBLD"=C31,"3x3 FMC"=C31)=TRUE,"",
D31=$E$4,$E$6,D31=$K$4,$K$6,D31=$Q$4,$Q$6,D31=$W$4,$W$6,
TRUE,$Q$2)</f>
        <v/>
      </c>
      <c r="Q31" s="49" t="str">
        <f>IFS(OR(COUNTIF(Info!$A$22:A81,C31)&gt;0,C31=""),"",
OR("3x3 MBLD"=C31,"3x3 FMC"=C31)=TRUE,"",
D31=$E$4,$I$6,D31=$K$4,$O$6,D31=$Q$4,$U$6,D31=$W$4,$AA$6,
TRUE,$U$2)</f>
        <v/>
      </c>
      <c r="R31" s="50" t="str">
        <f>IFERROR(__xludf.DUMMYFUNCTION("IF(C31="""","""",IFERROR(FILTER(Info!$B$22:B81,Info!$A$22:A81=C31)+M31,""?""))"),"")</f>
        <v/>
      </c>
      <c r="S31" s="51" t="str">
        <f>IFS(OR(COUNTIF(Info!$A$22:A81,C31)&gt;0,C31=""),"",
AND(H31="",I31=""),J31,
TRUE,"?")</f>
        <v/>
      </c>
      <c r="T31" s="52" t="str">
        <f>IFS(OR(COUNTIF(Info!$A$22:A81,C31)&gt;0,C31=""),"",
AND(L31&lt;&gt;0,OR(R31="?",R31="")),"Fyll i R-kolumnen",
OR(C31="3x3 FMC",C31="3x3 MBLD"),R31,
AND(L31&lt;&gt;0,OR(S31="?",S31="")),"Fyll i S-kolumnen",
OR(COUNTIF(Info!$A$22:A81,C31)&gt;0,C31=""),"",
TRUE,Y31*R31/L31)</f>
        <v/>
      </c>
      <c r="U31" s="52"/>
      <c r="V31" s="53" t="str">
        <f>IFS(OR(COUNTIF(Info!$A$22:A81,C31)&gt;0,C31=""),"",
OR("3x3 MBLD"=C31,"3x3 FMC"=C31)=TRUE,"",
TRUE,MROUND((J31/N31),0.01))</f>
        <v/>
      </c>
      <c r="W31" s="54" t="str">
        <f>IFS(OR(COUNTIF(Info!$A$22:A81,C31)&gt;0,C31=""),"",
TRUE,L31/N31)</f>
        <v/>
      </c>
      <c r="X31" s="55" t="str">
        <f>IFS(OR(COUNTIF(Info!$A$22:A81,C31)&gt;0,C31=""),"",
OR("3x3 MBLD"=C31,"3x3 FMC"=C31)=TRUE,"",
OR(C31="4x4 BLD",C31="5x5 BLD",C31="4x4 / 5x5 BLD",AND(C31="3x3 BLD",H31&lt;&gt;""))=TRUE,MIN(V31,P31),
TRUE,MIN(P31,V31,MROUND(((V31*2/3)+((Y31-1.625)/2)),0.01)))</f>
        <v/>
      </c>
      <c r="Y31" s="56" t="str">
        <f>IFERROR(__xludf.DUMMYFUNCTION("IFS(OR(COUNTIF(Info!$A$22:A81,C31)&gt;0,C31=""""),"""",
FILTER(Info!$F$2:F81, Info!$A$2:A81 = C31) = ""Yes"",H31/AA31,
""3x3 FMC""=C31,Info!$B$9,""3x3 MBLD""=C31,Info!$B$18,
AND(E31=1,I31="""",H31="""",Q31=""No"",G31&gt;SUMIF(Info!$A$2:A81,C31,Info!$B$2:B81)*1."&amp;"5),
MIN(SUMIF(Info!$A$2:A81,C31,Info!$B$2:B81)*1.1,SUMIF(Info!$A$2:A81,C31,Info!$B$2:B81)*(1.15-(0.15*(SUMIF(Info!$A$2:A81,C31,Info!$B$2:B81)*1.5)/G31))),
AND(E31=1,I31="""",H31="""",Q31=""Yes"",G31&gt;SUMIF(Info!$A$2:A81,C31,Info!$C$2:C81)*1.5),
MIN(SUMIF(I"&amp;"nfo!$A$2:A81,C31,Info!$C$2:C81)*1.1,SUMIF(Info!$A$2:A81,C31,Info!$C$2:C81)*(1.15-(0.15*(SUMIF(Info!$A$2:A81,C31,Info!$C$2:C81)*1.5)/G31))),
Q31=""No"",SUMIF(Info!$A$2:A81,C31,Info!$B$2:B81),
Q31=""Yes"",SUMIF(Info!$A$2:A81,C31,Info!$C$2:C81))"),"")</f>
        <v/>
      </c>
      <c r="Z31" s="57" t="str">
        <f>IFS(OR(COUNTIF(Info!$A$22:A81,C31)&gt;0,C31=""),"",
AND(OR("3x3 FMC"=C31,"3x3 MBLD"=C31),I31&lt;&gt;""),1,
AND(OR(H31&lt;&gt;"",I31&lt;&gt;""),F31="Avg of 5"),2,
F31="Avg of 5",AA31,
AND(OR(H31&lt;&gt;"",I31&lt;&gt;""),F31="Mean of 3",C31="6x6 / 7x7"),2,
AND(OR(H31&lt;&gt;"",I31&lt;&gt;""),F31="Mean of 3"),1,
F31="Mean of 3",AA31,
AND(OR(H31&lt;&gt;"",I31&lt;&gt;""),F31="Best of 3",C31="4x4 / 5x5 BLD"),2,
AND(OR(H31&lt;&gt;"",I31&lt;&gt;""),F31="Best of 3"),1,
F31="Best of 2",AA31,
F31="Best of 1",AA31)</f>
        <v/>
      </c>
      <c r="AA31" s="57" t="str">
        <f>IFS(OR(COUNTIF(Info!$A$22:A81,C31)&gt;0,C31=""),"",
AND(OR("3x3 MBLD"=C31,"3x3 FMC"=C31),F31="Best of 1"=TRUE),1,
AND(OR("3x3 MBLD"=C31,"3x3 FMC"=C31),F31="Best of 2"=TRUE),2,
AND(OR("3x3 MBLD"=C31,"3x3 FMC"=C31),OR(F31="Best of 3",F31="Mean of 3")=TRUE),3,
AND(F31="Mean of 3",C31="6x6 / 7x7"),6,
AND(F31="Best of 3",C31="4x4 / 5x5 BLD"),6,
F31="Avg of 5",5,F31="Mean of 3",3,F31="Best of 3",3,F31="Best of 2",2,F31="Best of 1",1)</f>
        <v/>
      </c>
      <c r="AB31" s="58"/>
    </row>
    <row r="32">
      <c r="A32" s="40">
        <f>IFERROR(__xludf.DUMMYFUNCTION("IFS(indirect(""A""&amp;row()-1)=""Start"",TIME(indirect(""A""&amp;row()-2),indirect(""B""&amp;row()-2),0),
$O$2=""No"",TIME(0,($A$6*60+$B$6)+CEILING(SUM($L$7:indirect(""L""&amp;row()-1)),5),0),
D32=$E$2,TIME(0,($A$6*60+$B$6)+CEILING(SUM(IFERROR(FILTER($L$7:indirect(""L"""&amp;"&amp;row()-1),REGEXMATCH($D$7:indirect(""D""&amp;row()-1),$E$2)),0)),5),0),
TRUE,""=time(hh;mm;ss)"")"),0.375)</f>
        <v>0.375</v>
      </c>
      <c r="B32" s="41">
        <f>IFERROR(__xludf.DUMMYFUNCTION("IFS($O$2=""No"",TIME(0,($A$6*60+$B$6)+CEILING(SUM($L$7:indirect(""L""&amp;row())),5),0),
D32=$E$2,TIME(0,($A$6*60+$B$6)+CEILING(SUM(FILTER($L$7:indirect(""L""&amp;row()),REGEXMATCH($D$7:indirect(""D""&amp;row()),$E$2))),5),0),
A32=""=time(hh;mm;ss)"",CONCATENATE(""Sk"&amp;"riv tid i A""&amp;row()),
AND(A32&lt;&gt;"""",A32&lt;&gt;""=time(hh;mm;ss)""),A32+TIME(0,CEILING(indirect(""L""&amp;row()),5),0))"),0.375)</f>
        <v>0.375</v>
      </c>
      <c r="C32" s="42"/>
      <c r="D32" s="43" t="str">
        <f t="shared" si="3"/>
        <v>Stora salen</v>
      </c>
      <c r="E32" s="43" t="str">
        <f>IFERROR(__xludf.DUMMYFUNCTION("IFS(COUNTIF(Info!$A$22:A81,C32)&gt;0,"""",
AND(OR(""3x3 FMC""=C32,""3x3 MBLD""=C32),COUNTIF($C$7:indirect(""C""&amp;row()),indirect(""C""&amp;row()))&gt;=13),""E - Error"",
AND(OR(""3x3 FMC""=C32,""3x3 MBLD""=C32),COUNTIF($C$7:indirect(""C""&amp;row()),indirect(""C""&amp;row()"&amp;"))=12),""Final - A3"",
AND(OR(""3x3 FMC""=C32,""3x3 MBLD""=C32),COUNTIF($C$7:indirect(""C""&amp;row()),indirect(""C""&amp;row()))=11),""Final - A2"",
AND(OR(""3x3 FMC""=C32,""3x3 MBLD""=C32),COUNTIF($C$7:indirect(""C""&amp;row()),indirect(""C""&amp;row()))=10),""Final - "&amp;"A1"",
AND(OR(""3x3 FMC""=C32,""3x3 MBLD""=C32),COUNTIF($C$7:indirect(""C""&amp;row()),indirect(""C""&amp;row()))=9,
COUNTIF($C$7:$C$61,indirect(""C""&amp;row()))&gt;9),""R3 - A3"",
AND(OR(""3x3 FMC""=C32,""3x3 MBLD""=C32),COUNTIF($C$7:indirect(""C""&amp;row()),indirect(""C"&amp;"""&amp;row()))=9,
COUNTIF($C$7:$C$61,indirect(""C""&amp;row()))&lt;=9),""Final - A3"",
AND(OR(""3x3 FMC""=C32,""3x3 MBLD""=C32),COUNTIF($C$7:indirect(""C""&amp;row()),indirect(""C""&amp;row()))=8,
COUNTIF($C$7:$C$61,indirect(""C""&amp;row()))&gt;9),""R3 - A2"",
AND(OR(""3x3 FMC""="&amp;"C32,""3x3 MBLD""=C32),COUNTIF($C$7:indirect(""C""&amp;row()),indirect(""C""&amp;row()))=8,
COUNTIF($C$7:$C$61,indirect(""C""&amp;row()))&lt;=9),""Final - A2"",
AND(OR(""3x3 FMC""=C32,""3x3 MBLD""=C32),COUNTIF($C$7:indirect(""C""&amp;row()),indirect(""C""&amp;row()))=7,
COUNTIF("&amp;"$C$7:$C$61,indirect(""C""&amp;row()))&gt;9),""R3 - A1"",
AND(OR(""3x3 FMC""=C32,""3x3 MBLD""=C32),COUNTIF($C$7:indirect(""C""&amp;row()),indirect(""C""&amp;row()))=7,
COUNTIF($C$7:$C$61,indirect(""C""&amp;row()))&lt;=9),""Final - A1"",
AND(OR(""3x3 FMC""=C32,""3x3 MBLD""=C32),"&amp;"COUNTIF($C$7:indirect(""C""&amp;row()),indirect(""C""&amp;row()))=6,
COUNTIF($C$7:$C$61,indirect(""C""&amp;row()))&gt;6),""R2 - A3"",
AND(OR(""3x3 FMC""=C32,""3x3 MBLD""=C32),COUNTIF($C$7:indirect(""C""&amp;row()),indirect(""C""&amp;row()))=6,
COUNTIF($C$7:$C$61,indirect(""C""&amp;"&amp;"row()))&lt;=6),""Final - A3"",
AND(OR(""3x3 FMC""=C32,""3x3 MBLD""=C32),COUNTIF($C$7:indirect(""C""&amp;row()),indirect(""C""&amp;row()))=5,
COUNTIF($C$7:$C$61,indirect(""C""&amp;row()))&gt;6),""R2 - A2"",
AND(OR(""3x3 FMC""=C32,""3x3 MBLD""=C32),COUNTIF($C$7:indirect(""C"&amp;"""&amp;row()),indirect(""C""&amp;row()))=5,
COUNTIF($C$7:$C$61,indirect(""C""&amp;row()))&lt;=6),""Final - A2"",
AND(OR(""3x3 FMC""=C32,""3x3 MBLD""=C32),COUNTIF($C$7:indirect(""C""&amp;row()),indirect(""C""&amp;row()))=4,
COUNTIF($C$7:$C$61,indirect(""C""&amp;row()))&gt;6),""R2 - A1"&amp;""",
AND(OR(""3x3 FMC""=C32,""3x3 MBLD""=C32),COUNTIF($C$7:indirect(""C""&amp;row()),indirect(""C""&amp;row()))=4,
COUNTIF($C$7:$C$61,indirect(""C""&amp;row()))&lt;=6),""Final - A1"",
AND(OR(""3x3 FMC""=C32,""3x3 MBLD""=C32),COUNTIF($C$7:indirect(""C""&amp;row()),indirect("""&amp;"C""&amp;row()))=3),""R1 - A3"",
AND(OR(""3x3 FMC""=C32,""3x3 MBLD""=C32),COUNTIF($C$7:indirect(""C""&amp;row()),indirect(""C""&amp;row()))=2),""R1 - A2"",
AND(OR(""3x3 FMC""=C32,""3x3 MBLD""=C32),COUNTIF($C$7:indirect(""C""&amp;row()),indirect(""C""&amp;row()))=1),""R1 -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C32),ROUNDUP((FILTER(Info!$H$2:H81,Info!$A$2:A81=C32)/FILTER(Info!$H$2:H81,Info!$A$2:A81=$K$2))*$I$2)&gt;99),3,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C32),ROUNDUP((FILTER(Info!$H$2:H81,Info!$A$2:A81=C32)/FILTER(Info!$H$2:H81,Info!$A$2:A81=$K$2))*$I$2)&gt;15),2,
AND(COUNTIF($C$7:indirect(""C""&amp;row()),indirect(""C""&amp;row()))=2,COUNTIF($C$7:$C$61,indirect(""C""&amp;row()))=COUNTIF($C$7:indirect("""&amp;"C""&amp;row()),indirect(""C""&amp;row()))),""Final"",
COUNTIF($C$7:indirect(""C""&amp;row()),indirect(""C""&amp;row()))=1,1,
COUNTIF($C$7:indirect(""C""&amp;row()),indirect(""C""&amp;row()))=0,"""")"),"")</f>
        <v/>
      </c>
      <c r="F32" s="44" t="str">
        <f>IFERROR(__xludf.DUMMYFUNCTION("IFS(C32="""","""",
AND(C32=""3x3 FMC"",MOD(COUNTIF($C$7:indirect(""C""&amp;row()),indirect(""C""&amp;row())),3)=0),""Mean of 3"",
AND(C32=""3x3 MBLD"",MOD(COUNTIF($C$7:indirect(""C""&amp;row()),indirect(""C""&amp;row())),3)=0),""Best of 3"",
AND(C32=""3x3 FMC"",MOD(COUNT"&amp;"IF($C$7:indirect(""C""&amp;row()),indirect(""C""&amp;row())),3)=2,
COUNTIF($C$7:$C$61,indirect(""C""&amp;row()))&lt;=COUNTIF($C$7:indirect(""C""&amp;row()),indirect(""C""&amp;row()))),""Best of 2"",
AND(C32=""3x3 FMC"",MOD(COUNTIF($C$7:indirect(""C""&amp;row()),indirect(""C""&amp;row()"&amp;")),3)=2,
COUNTIF($C$7:$C$61,indirect(""C""&amp;row()))&gt;COUNTIF($C$7:indirect(""C""&amp;row()),indirect(""C""&amp;row()))),""Mean of 3"",
AND(C32=""3x3 MBLD"",MOD(COUNTIF($C$7:indirect(""C""&amp;row()),indirect(""C""&amp;row())),3)=2,
COUNTIF($C$7:$C$61,indirect(""C""&amp;row()))"&amp;"&lt;=COUNTIF($C$7:indirect(""C""&amp;row()),indirect(""C""&amp;row()))),""Best of 2"",
AND(C32=""3x3 MBLD"",MOD(COUNTIF($C$7:indirect(""C""&amp;row()),indirect(""C""&amp;row())),3)=2,
COUNTIF($C$7:$C$61,indirect(""C""&amp;row()))&gt;COUNTIF($C$7:indirect(""C""&amp;row()),indirect(""C"&amp;"""&amp;row()))),""Best of 3"",
AND(C32=""3x3 FMC"",MOD(COUNTIF($C$7:indirect(""C""&amp;row()),indirect(""C""&amp;row())),3)=1,
COUNTIF($C$7:$C$61,indirect(""C""&amp;row()))&lt;=COUNTIF($C$7:indirect(""C""&amp;row()),indirect(""C""&amp;row()))),""Best of 1"",
AND(C32=""3x3 FMC"",MOD"&amp;"(COUNTIF($C$7:indirect(""C""&amp;row()),indirect(""C""&amp;row())),3)=1,
COUNTIF($C$7:$C$61,indirect(""C""&amp;row()))=COUNTIF($C$7:indirect(""C""&amp;row()),indirect(""C""&amp;row()))+1),""Best of 2"",
AND(C32=""3x3 FMC"",MOD(COUNTIF($C$7:indirect(""C""&amp;row()),indirect(""C"&amp;"""&amp;row())),3)=1,
COUNTIF($C$7:$C$61,indirect(""C""&amp;row()))&gt;COUNTIF($C$7:indirect(""C""&amp;row()),indirect(""C""&amp;row()))),""Mean of 3"",
AND(C32=""3x3 MBLD"",MOD(COUNTIF($C$7:indirect(""C""&amp;row()),indirect(""C""&amp;row())),3)=1,
COUNTIF($C$7:$C$61,indirect(""C"""&amp;"&amp;row()))&lt;=COUNTIF($C$7:indirect(""C""&amp;row()),indirect(""C""&amp;row()))),""Best of 1"",
AND(C32=""3x3 MBLD"",MOD(COUNTIF($C$7:indirect(""C""&amp;row()),indirect(""C""&amp;row())),3)=1,
COUNTIF($C$7:$C$61,indirect(""C""&amp;row()))=COUNTIF($C$7:indirect(""C""&amp;row()),indir"&amp;"ect(""C""&amp;row()))+1),""Best of 2"",
AND(C32=""3x3 MBLD"",MOD(COUNTIF($C$7:indirect(""C""&amp;row()),indirect(""C""&amp;row())),3)=1,
COUNTIF($C$7:$C$61,indirect(""C""&amp;row()))&gt;COUNTIF($C$7:indirect(""C""&amp;row()),indirect(""C""&amp;row()))),""Best of 3"",
TRUE,(IFERROR("&amp;"FILTER(Info!$D$2:D81, Info!$A$2:A81 = C32), """")))"),"")</f>
        <v/>
      </c>
      <c r="G32" s="45" t="str">
        <f>IFERROR(__xludf.DUMMYFUNCTION("IFS(OR(COUNTIF(Info!$A$22:A81,C32)&gt;0,C32=""""),"""",
OR(""3x3 MBLD""=C32,""3x3 FMC""=C32),60,
AND(E32=1,FILTER(Info!$F$2:F81, Info!$A$2:A81 = C32) = ""No""),FILTER(Info!$P$2:P81, Info!$A$2:A81 = C32),
AND(E32=2,FILTER(Info!$F$2:F81, Info!$A$2:A81 = C32) ="&amp;" ""No""),FILTER(Info!$Q$2:Q81, Info!$A$2:A81 = C32),
AND(E32=3,FILTER(Info!$F$2:F81, Info!$A$2:A81 = C32) = ""No""),FILTER(Info!$R$2:R81, Info!$A$2:A81 = C32),
AND(E32=""Final"",FILTER(Info!$F$2:F81, Info!$A$2:A81 = C32) = ""No""),FILTER(Info!$S$2:S81, In"&amp;"fo!$A$2:A81 = C32),
FILTER(Info!$F$2:F81, Info!$A$2:A81 = C32) = ""Yes"","""")"),"")</f>
        <v/>
      </c>
      <c r="H32" s="45" t="str">
        <f>IFERROR(__xludf.DUMMYFUNCTION("IFS(OR(COUNTIF(Info!$A$22:A81,C32)&gt;0,C32=""""),"""",
OR(""3x3 MBLD""=C32,""3x3 FMC""=C32)=TRUE,"""",
FILTER(Info!$F$2:F81, Info!$A$2:A81 = C32) = ""Yes"",FILTER(Info!$O$2:O81, Info!$A$2:A81 = C32),
FILTER(Info!$F$2:F81, Info!$A$2:A81 = C32) = ""No"",IF(G3"&amp;"2="""",FILTER(Info!$O$2:O81, Info!$A$2:A81 = C32),""""))"),"")</f>
        <v/>
      </c>
      <c r="I32" s="45" t="str">
        <f>IFERROR(__xludf.DUMMYFUNCTION("IFS(OR(COUNTIF(Info!$A$22:A81,C32)&gt;0,C32="""",H32&lt;&gt;""""),"""",
AND(E32&lt;&gt;1,E32&lt;&gt;""R1 - A1"",E32&lt;&gt;""R1 - A2"",E32&lt;&gt;""R1 - A3""),"""",
FILTER(Info!$E$2:E81, Info!$A$2:A81 = C32) = ""Yes"",IF(H32="""",FILTER(Info!$L$2:L81, Info!$A$2:A81 = C32),""""),
FILTER(I"&amp;"nfo!$E$2:E81, Info!$A$2:A81 = C32) = ""No"","""")"),"")</f>
        <v/>
      </c>
      <c r="J32" s="45" t="str">
        <f>IFERROR(__xludf.DUMMYFUNCTION("IFS(OR(COUNTIF(Info!$A$22:A81,C32)&gt;0,C32="""",""3x3 MBLD""=C32,""3x3 FMC""=C32),"""",
AND(E32=1,FILTER(Info!$H$2:H81,Info!$A$2:A81 = C32)&lt;=FILTER(Info!$H$2:H81,Info!$A$2:A81=$K$2)),
ROUNDUP((FILTER(Info!$H$2:H81,Info!$A$2:A81 = C32)/FILTER(Info!$H$2:H81,I"&amp;"nfo!$A$2:A81=$K$2))*$I$2),
AND(E32=1,FILTER(Info!$H$2:H81,Info!$A$2:A81 = C32)&gt;FILTER(Info!$H$2:H81,Info!$A$2:A81=$K$2)),""K2 - Error"",
AND(E32=2,FILTER($J$7:indirect(""J""&amp;row()-1),$C$7:indirect(""C""&amp;row()-1)=C32)&lt;=7),""J - Error"",
E32=2,FLOOR(FILTER("&amp;"$J$7:indirect(""J""&amp;row()-1),$C$7:indirect(""C""&amp;row()-1)=C32)*Info!$T$32),
AND(E32=3,FILTER($J$7:indirect(""J""&amp;row()-1),$C$7:indirect(""C""&amp;row()-1)=C32)&lt;=15),""J - Error"",
E32=3,FLOOR(Info!$T$32*FLOOR(FILTER($J$7:indirect(""J""&amp;row()-1),$C$7:indirect("&amp;"""C""&amp;row()-1)=C32)*Info!$T$32)),
AND(E32=""Final"",COUNTIF($C$7:$C$61,C32)=2,FILTER($J$7:indirect(""J""&amp;row()-1),$C$7:indirect(""C""&amp;row()-1)=C32)&lt;=7),""J - Error"",
AND(E32=""Final"",COUNTIF($C$7:$C$61,C32)=2),
MIN(P32,FLOOR(FILTER($J$7:indirect(""J""&amp;r"&amp;"ow()-1),$C$7:indirect(""C""&amp;row()-1)=C32)*Info!$T$32)),
AND(E32=""Final"",COUNTIF($C$7:$C$61,C32)=3,FILTER($J$7:indirect(""J""&amp;row()-1),$C$7:indirect(""C""&amp;row()-1)=C32)&lt;=15),""J - Error"",
AND(E32=""Final"",COUNTIF($C$7:$C$61,C32)=3),
MIN(P32,FLOOR(Info!"&amp;"$T$32*FLOOR(FILTER($J$7:indirect(""J""&amp;row()-1),$C$7:indirect(""C""&amp;row()-1)=C32)*Info!$T$32))),
AND(E32=""Final"",COUNTIF($C$7:$C$61,C32)&gt;=4,FILTER($J$7:indirect(""J""&amp;row()-1),$C$7:indirect(""C""&amp;row()-1)=C32)&lt;=99),""J - Error"",
AND(E32=""Final"",COUNT"&amp;"IF($C$7:$C$61,C32)&gt;=4),
MIN(P32,FLOOR(Info!$T$32*FLOOR(Info!$T$32*FLOOR(FILTER($J$7:indirect(""J""&amp;row()-1),$C$7:indirect(""C""&amp;row()-1)=C32)*Info!$T$32)))))"),"")</f>
        <v/>
      </c>
      <c r="K32" s="46" t="str">
        <f>IFERROR(__xludf.DUMMYFUNCTION("IFS(AND(indirect(""D""&amp;row()+2)&lt;&gt;$E$2,indirect(""D""&amp;row()+1)=""""),CONCATENATE(""Tom rad! Kopiera hela rad ""&amp;row()&amp;"" dit""),
AND(indirect(""D""&amp;row()-1)&lt;&gt;""Rum"",indirect(""D""&amp;row()-1)=""""),CONCATENATE(""Tom rad! Kopiera hela rad ""&amp;row()&amp;"" dit""),
"&amp;"C32="""","""",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OR(AND(D32&lt;&gt;$E$2,D32&lt;&gt;$E$4,D32&lt;&gt;$K$4,D32&lt;&gt;$Q$4),D32="&amp;"""""),CONCATENATE(""Rum: ""&amp;D32&amp;"" finns ej, byt i D""&amp;row()),
AND(indirect(""D""&amp;row()-1)=""Rum"",C32=""""),CONCATENATE(""För att börja: skriv i cell C""&amp;row()),
AND(C32=""Paus"",M32&lt;=0),CONCATENATE(""Skriv pausens längd i M""&amp;row()),
OR(COUNTIF(Info!$A$"&amp;"22:A81,C32)&gt;0,C32=""""),"""",
AND(D32&lt;&gt;$E$2,$O$2=""Yes"",A32=""=time(hh;mm;ss)""),CONCATENATE(""Skriv starttid för ""&amp;C32&amp;"" i A""&amp;row()),
E32=""E - Error"",CONCATENATE(""För många ""&amp;C32&amp;"" rundor!""),
AND(C32&lt;&gt;""3x3 FMC"",C32&lt;&gt;""3x3 MBLD"",E32&lt;&gt;1,E32&lt;&gt;"&amp;"""Final"",IFERROR(FILTER($E$7:indirect(""E""&amp;row()-1),
$E$7:indirect(""E""&amp;row()-1)=E32-1,$C$7:indirect(""C""&amp;row()-1)=C32))=FALSE),CONCATENATE(""Kan ej vara R""&amp;E32&amp;"", saknar R""&amp;(E32-1)),
AND(indirect(""E""&amp;row()-1)&lt;&gt;""Omgång"",IFERROR(FILTER($E$7:indi"&amp;"rect(""E""&amp;row()-1),
$E$7:indirect(""E""&amp;row()-1)=E32,$C$7:indirect(""C""&amp;row()-1)=C32)=E32)=TRUE),CONCATENATE(""Runda ""&amp;E32&amp;"" i ""&amp;C32&amp;"" finns redan""),
AND(C32&lt;&gt;""3x3 BLD"",C32&lt;&gt;""4x4 BLD"",C32&lt;&gt;""5x5 BLD"",C32&lt;&gt;""4x4 / 5x5 BLD"",OR(E32=2,E32=3,E32="&amp;"""Final""),H32&lt;&gt;""""),CONCATENATE(E32&amp;""-rundor brukar ej ha c.t.l.""),
AND(OR(E32=2,E32=3,E32=""Final""),I32&lt;&gt;""""),CONCATENATE(E32&amp;""-rundor brukar ej ha cutoff""),
AND(OR(C32=""3x3 FMC"",C32=""3x3 MBLD""),OR(E32=1,E32=2,E32=3,E32=""Final"")),CONCATENAT"&amp;"E(C32&amp;""s omgång är Rx - Ax""),
AND(C32&lt;&gt;""3x3 MBLD"",C32&lt;&gt;""3x3 FMC"",FILTER(Info!$D$2:D81, Info!$A$2:A81 = C32)&lt;&gt;F32),CONCATENATE(C32&amp;"" måste ha formatet ""&amp;FILTER(Info!$D$2:D81, Info!$A$2:A81 = C32)),
AND(C32=""3x3 MBLD"",OR(F32=""Avg of 5"",F32=""Mea"&amp;"n of 3"")),CONCATENATE(""Ogiltigt format för ""&amp;C32),
AND(C32=""3x3 FMC"",OR(F32=""Avg of 5"",F32=""Best of 3"")),CONCATENATE(""Ogiltigt format för ""&amp;C32),
AND(OR(F32=""Best of 1"",F32=""Best of 2"",F32=""Best of 3""),I32&lt;&gt;""""),CONCATENATE(F32&amp;""-rundor"&amp;" får ej ha cutoff""),
AND(OR(C32=""3x3 FMC"",C32=""3x3 MBLD""),G32&lt;&gt;60),CONCATENATE(C32&amp;"" måste ha time limit: 60""),
AND(OR(C32=""3x3 FMC"",C32=""3x3 MBLD""),H32&lt;&gt;""""),CONCATENATE(C32&amp;"" kan inte ha c.t.l.""),
AND(G32&lt;&gt;"""",H32&lt;&gt;""""),""Välj time limit"&amp;" ELLER c.t.l"",
AND(C32=""6x6 / 7x7"",G32="""",H32=""""),""Sätt time limit (x / y) eller c.t.l (z)"",
AND(G32="""",H32=""""),""Sätt en time limit eller c.t.l"",
AND(OR(C32=""6x6 / 7x7"",C32=""4x4 / 5x5 BLD""),G32&lt;&gt;"""",REGEXMATCH(TO_TEXT(G32),"" / "")=FAL"&amp;"SE),CONCATENATE(""Time limit måste vara x / y""),
AND(H32&lt;&gt;"""",I32&lt;&gt;""""),CONCATENATE(C32&amp;"" brukar ej ha cutoff OCH c.t.l""),
AND(E32=1,H32="""",I32="""",OR(FILTER(Info!$E$2:E81, Info!$A$2:A81 = C32) = ""Yes"",FILTER(Info!$F$2:F81, Info!$A$2:A81 = C32) "&amp;"= ""Yes""),OR(F32=""Avg of 5"",F32=""Mean of 3"")),CONCATENATE(C32&amp;"" bör ha cutoff eller c.t.l""),
AND(C32=""6x6 / 7x7"",I32&lt;&gt;"""",REGEXMATCH(TO_TEXT(I32),"" / "")=FALSE),CONCATENATE(""Cutoff måste vara x / y""),
AND(H32&lt;&gt;"""",ISNUMBER(H32)=FALSE),""C.t."&amp;"l. måste vara positivt tal (x)"",
AND(C32&lt;&gt;""6x6 / 7x7"",I32&lt;&gt;"""",ISNUMBER(I32)=FALSE),""Cutoff måste vara positivt tal (x)"",
AND(H32&lt;&gt;"""",FILTER(Info!$E$2:E81, Info!$A$2:A81 = C32) = ""No"",FILTER(Info!$F$2:F81, Info!$A$2:A81 = C32) = ""No""),CONCATEN"&amp;"ATE(C32&amp;"" brukar inte ha c.t.l.""),
AND(I32&lt;&gt;"""",FILTER(Info!$E$2:E81, Info!$A$2:A81 = C32) = ""No"",FILTER(Info!$F$2:F81, Info!$A$2:A81 = C32) = ""No""),CONCATENATE(C32&amp;"" brukar inte ha cutoff""),
AND(H32="""",FILTER(Info!$F$2:F81, Info!$A$2:A81 = C32"&amp;") = ""Yes""),CONCATENATE(C32&amp;"" brukar ha c.t.l.""),
AND(C32&lt;&gt;""6x6 / 7x7"",C32&lt;&gt;""4x4 / 5x5 BLD"",G32&lt;&gt;"""",ISNUMBER(G32)=FALSE),""Time limit måste vara positivt tal (x)"",
J32=""J - Error"",CONCATENATE(""För få deltagare i R1 för ""&amp;COUNTIF($C$7:$C$61,i"&amp;"ndirect(""C""&amp;row()))&amp;"" rundor""),
J32=""K2 - Error"",CONCATENATE(C32&amp;"" är mer populär - byt i K2!""),
AND(C32&lt;&gt;""6x6 / 7x7"",C32&lt;&gt;""4x4 / 5x5 BLD"",G32&lt;&gt;"""",I32&lt;&gt;"""",G32&lt;=I32),""Time limit måste vara &gt; cutoff"",
AND(C32&lt;&gt;""6x6 / 7x7"",C32&lt;&gt;""4x4 / 5x"&amp;"5 BLD"",H32&lt;&gt;"""",I32&lt;&gt;"""",H32&lt;=I32),""C.t.l. måste vara &gt; cutoff"",
AND(C32&lt;&gt;""3x3 FMC"",C32&lt;&gt;""3x3 MBLD"",J32=""""),CONCATENATE(""Fyll i antal deltagare i J""&amp;row()),
AND(C32="""",OR(E32&lt;&gt;"""",F32&lt;&gt;"""",G32&lt;&gt;"""",H32&lt;&gt;"""",I32&lt;&gt;"""",J32&lt;&gt;"""")),""Skriv"&amp;" ALLTID gren / aktivitet först"",
AND(I32="""",H32="""",J32&lt;&gt;""""),J32,
OR(""3x3 FMC""=C32,""3x3 MBLD""=C32),J32,
AND(I32&lt;&gt;"""",""6x6 / 7x7""=C32),
IFS(ArrayFormula(SUM(IFERROR(SPLIT(I32,"" / ""))))&lt;(Info!$J$6+Info!$J$7)*2/3,CONCATENATE(""Höj helst cutoff"&amp;"s i ""&amp;C32),
ArrayFormula(SUM(IFERROR(SPLIT(I32,"" / ""))))&lt;=(Info!$J$6+Info!$J$7),ROUNDUP(J32*Info!$J$22),
ArrayFormula(SUM(IFERROR(SPLIT(I32,"" / ""))))&lt;=Info!$J$6+Info!$J$7,ROUNDUP(J32*Info!$K$22),
ArrayFormula(SUM(IFERROR(SPLIT(I32,"" / ""))))&lt;=Info!$"&amp;"K$6+Info!$K$7,ROUNDUP(J32*Info!L$22),
ArrayFormula(SUM(IFERROR(SPLIT(I32,"" / ""))))&lt;=Info!$L$6+Info!$L$7,ROUNDUP(J32*Info!$M$22),
ArrayFormula(SUM(IFERROR(SPLIT(I32,"" / ""))))&lt;=Info!$M$6+Info!$M$7,ROUNDUP(J32*Info!$N$22),
ArrayFormula(SUM(IFERROR(SPLIT("&amp;"I32,"" / ""))))&lt;=(Info!$N$6+Info!$N$7)*3/2,ROUNDUP(J32*Info!$J$26),
ArrayFormula(SUM(IFERROR(SPLIT(I32,"" / ""))))&gt;(Info!$N$6+Info!$N$7)*3/2,CONCATENATE(""Sänk helst cutoffs i ""&amp;C32)),
AND(I32&lt;&gt;"""",FILTER(Info!$E$2:E81, Info!$A$2:A81 = C32) = ""Yes""),
"&amp;"IFS(I32&lt;FILTER(Info!$J$2:J81, Info!$A$2:A81 = C32)*2/3,CONCATENATE(""Höj helst cutoff i ""&amp;C32),
I32&lt;=FILTER(Info!$J$2:J81, Info!$A$2:A81 = C32),ROUNDUP(J32*Info!$J$22),
I32&lt;=FILTER(Info!$K$2:K81, Info!$A$2:A81 = C32),ROUNDUP(J32*Info!$K$22),
I32&lt;=FILTER("&amp;"Info!$L$2:L81, Info!$A$2:A81 = C32),ROUNDUP(J32*Info!L$22),
I32&lt;=FILTER(Info!$M$2:M81, Info!$A$2:A81 = C32),ROUNDUP(J32*Info!$M$22),
I32&lt;=FILTER(Info!$N$2:N81, Info!$A$2:A81 = C32),ROUNDUP(J32*Info!$N$22),
I32&lt;=FILTER(Info!$N$2:N81, Info!$A$2:A81 = C32)*3"&amp;"/2,ROUNDUP(J32*Info!$J$26),
I32&gt;FILTER(Info!$N$2:N81, Info!$A$2:A81 = C32)*3/2,CONCATENATE(""Sänk helst cutoff i ""&amp;C32)),
AND(H32&lt;&gt;"""",""6x6 / 7x7""=C32),
IFS(H32/3&lt;=(Info!$J$6+Info!$J$7)*2/3,""Höj helst cumulative time limit"",
H32/3&lt;=Info!$J$6+Info!$J"&amp;"$7,ROUNDUP(J32*Info!$J$24),
H32/3&lt;=Info!$K$6+Info!$K$7,ROUNDUP(J32*Info!$K$24),
H32/3&lt;=Info!$L$6+Info!$L$7,ROUNDUP(J32*Info!L$24),
H32/3&lt;=Info!$M$6+Info!$M$7,ROUNDUP(J32*Info!$M$24),
H32/3&lt;=Info!$N$6+Info!$N$7,ROUNDUP(J32*Info!$N$24),
H32/3&lt;=(Info!$N$6+In"&amp;"fo!$N$7)*3/2,ROUNDUP(J32*Info!$L$26),
H32/3&gt;(Info!$J$6+Info!$J$7)*3/2,""Sänk helst cumulative time limit""),
AND(H32&lt;&gt;"""",FILTER(Info!$F$2:F81, Info!$A$2:A81 = C32) = ""Yes""),
IFS(H32&lt;=FILTER(Info!$J$2:J81, Info!$A$2:A81 = C32)*2/3,CONCATENATE(""Höj hel"&amp;"st c.t.l. i ""&amp;C32),
H32&lt;=FILTER(Info!$J$2:J81, Info!$A$2:A81 = C32),ROUNDUP(J32*Info!$J$24),
H32&lt;=FILTER(Info!$K$2:K81, Info!$A$2:A81 = C32),ROUNDUP(J32*Info!$K$24),
H32&lt;=FILTER(Info!$L$2:L81, Info!$A$2:A81 = C32),ROUNDUP(J32*Info!L$24),
H32&lt;=FILTER(Info"&amp;"!$M$2:M81, Info!$A$2:A81 = C32),ROUNDUP(J32*Info!$M$24),
H32&lt;=FILTER(Info!$N$2:N81, Info!$A$2:A81 = C32),ROUNDUP(J32*Info!$N$24),
H32&lt;=FILTER(Info!$N$2:N81, Info!$A$2:A81 = C32)*3/2,ROUNDUP(J32*Info!$L$26),
H32&gt;FILTER(Info!$N$2:N81, Info!$A$2:A81 = C32)*3"&amp;"/2,CONCATENATE(""Sänk helst c.t.l. i ""&amp;C32)),
AND(H32&lt;&gt;"""",FILTER(Info!$F$2:F81, Info!$A$2:A81 = C32) = ""No""),
IFS(H32/AA32&lt;=FILTER(Info!$J$2:J81, Info!$A$2:A81 = C32)*2/3,CONCATENATE(""Höj helst c.t.l. i ""&amp;C32),
H32/AA32&lt;=FILTER(Info!$J$2:J81, Info!"&amp;"$A$2:A81 = C32),ROUNDUP(J32*Info!$J$24),
H32/AA32&lt;=FILTER(Info!$K$2:K81, Info!$A$2:A81 = C32),ROUNDUP(J32*Info!$K$24),
H32/AA32&lt;=FILTER(Info!$L$2:L81, Info!$A$2:A81 = C32),ROUNDUP(J32*Info!L$24),
H32/AA32&lt;=FILTER(Info!$M$2:M81, Info!$A$2:A81 = C32),ROUNDU"&amp;"P(J32*Info!$M$24),
H32/AA32&lt;=FILTER(Info!$N$2:N81, Info!$A$2:A81 = C32),ROUNDUP(J32*Info!$N$24),
H32/AA32&lt;=FILTER(Info!$N$2:N81, Info!$A$2:A81 = C32)*3/2,ROUNDUP(J32*Info!$L$26),
H32/AA32&gt;FILTER(Info!$N$2:N81, Info!$A$2:A81 = C32)*3/2,CONCATENATE(""Sänk h"&amp;"elst c.t.l. i ""&amp;C32)),
AND(I32="""",H32&lt;&gt;"""",J32&lt;&gt;""""),ROUNDUP(J32*Info!$T$29),
AND(I32&lt;&gt;"""",H32="""",J32&lt;&gt;""""),ROUNDUP(J32*Info!$T$26))"),"")</f>
        <v/>
      </c>
      <c r="L32" s="47">
        <f>IFERROR(__xludf.DUMMYFUNCTION("IFS(C32="""",0,
C32=""3x3 FMC"",Info!$B$9*N32+M32, C32=""3x3 MBLD"",Info!$B$18*N32+M32,
COUNTIF(Info!$A$22:A81,C32)&gt;0,FILTER(Info!$B$22:B81,Info!$A$22:A81=C32)+M32,
AND(C32&lt;&gt;"""",E32=""""),CONCATENATE(""Fyll i E""&amp;row()),
AND(C32&lt;&gt;"""",E32&lt;&gt;"""",E32&lt;&gt;1,E3"&amp;"2&lt;&gt;2,E32&lt;&gt;3,E32&lt;&gt;""Final""),CONCATENATE(""Fel format på E""&amp;row()),
K32=CONCATENATE(""Runda ""&amp;E32&amp;"" i ""&amp;C32&amp;"" finns redan""),CONCATENATE(""Fel i E""&amp;row()),
AND(C32&lt;&gt;"""",F32=""""),CONCATENATE(""Fyll i F""&amp;row()),
K32=CONCATENATE(C32&amp;"" måste ha forma"&amp;"tet ""&amp;FILTER(Info!$D$2:D81, Info!$A$2:A81 = C32)),CONCATENATE(""Fel format på F""&amp;row()),
AND(C32&lt;&gt;"""",D32=1,H32="""",FILTER(Info!$F$2:F81, Info!$A$2:A81 = C32) = ""Yes""),CONCATENATE(""Fyll i H""&amp;row()),
AND(C32&lt;&gt;"""",D32=1,I32="""",FILTER(Info!$E$2:E8"&amp;"1, Info!$A$2:A81 = C32) = ""Yes""),CONCATENATE(""Fyll i I""&amp;row()),
AND(C32&lt;&gt;"""",J32=""""),CONCATENATE(""Fyll i J""&amp;row()),
AND(C32&lt;&gt;"""",K32="""",OR(H32&lt;&gt;"""",I32&lt;&gt;"""")),CONCATENATE(""Fyll i K""&amp;row()),
AND(C32&lt;&gt;"""",K32=""""),CONCATENATE(""Skriv samma"&amp;" i K""&amp;row()&amp;"" som i J""&amp;row()),
AND(OR(C32=""4x4 BLD"",C32=""5x5 BLD"",C32=""4x4 / 5x5 BLD"")=TRUE,V32&lt;=P32),
MROUND(H32*(Info!$T$20-((Info!$T$20-1)/2)*(1-V32/P32))*(1+((J32/K32)-1)*(1-Info!$J$24))*N32+(Info!$T$11/2)+(N32*Info!$T$11)+(N32*Info!$T$14*(O3"&amp;"2-1)),0.01)+M32,
AND(OR(C32=""4x4 BLD"",C32=""5x5 BLD"",C32=""4x4 / 5x5 BLD"")=TRUE,V32&gt;P32),
MROUND((((J32*Z32+K32*(AA32-Z32))*(H32*Info!$T$20/AA32))/X32)*(1+((J32/K32)-1)*(1-Info!$J$24))*(1+(X32-Info!$T$8)/100)+(Info!$T$11/2)+(N32*Info!$T$11)+(N32*Info!"&amp;"$T$14*(O32-1)),0.01)+M32,
AND(C32=""3x3 BLD"",V32&lt;=P32),
MROUND(H32*(Info!$T$23-((Info!$T$23-1)/2)*(1-V32/P32))*(1+((J32/K32)-1)*(1-Info!$J$24))*N32+(Info!$T$11/2)+(N32*Info!$T$11)+(N32*Info!$T$14*(O32-1)),0.01)+M32,
AND(C32=""3x3 BLD"",V32&gt;P32),
MROUND(("&amp;"((J32*Z32+K32*(AA32-Z32))*(H32*Info!$T$23/AA32))/X32)*(1+((J32/K32)-1)*(1-Info!$J$24))*(1+(X32-Info!$T$8)/100)+(Info!$T$11/2)+(N32*Info!$T$11)+(N32*Info!$T$14*(O32-1)),0.01)+M32,
E32=1,MROUND((((J32*Z32+K32*(AA32-Z32))*Y32)/X32)*(1+(X32-Info!$T$8)/100)+(N"&amp;"32*Info!$T$11)+(N32*Info!$T$14*(O32-1)),0.01)+M32,
AND(E32=""Final"",N32=1,FILTER(Info!$G$2:$G$20,Info!$A$2:$A$20=C32)=""Mycket svår""),
MROUND((((J32*Z32+K32*(AA32-Z32))*(Y32*Info!$T$38))/X32)*(1+(X32-Info!$T$8)/100)+(N32*Info!$T$11)+(N32*Info!$T$14*(O32"&amp;"-1)),0.01)+M32,
AND(E32=""Final"",N32=1,FILTER(Info!$G$2:$G$20,Info!$A$2:$A$20=C32)=""Svår""),
MROUND((((J32*Z32+K32*(AA32-Z32))*(Y32*Info!$T$35))/X32)*(1+(X32-Info!$T$8)/100)+(N32*Info!$T$11)+(N32*Info!$T$14*(O32-1)),0.01)+M32,
E32=""Final"",MROUND((((J3"&amp;"2*Z32+K32*(AA32-Z32))*(Y32*Info!$T$5))/X32)*(1+(X32-Info!$T$8)/100)+(N32*Info!$T$11)+(N32*Info!$T$14*(O32-1)),0.01)+M32,
OR(E32=2,E32=3),MROUND((((J32*Z32+K32*(AA32-Z32))*(Y32*Info!$T$2))/X32)*(1+(X32-Info!$T$8)/100)+(N32*Info!$T$11)+(N32*Info!$T$14*(O32-"&amp;"1)),0.01)+M32)"),0.0)</f>
        <v>0</v>
      </c>
      <c r="M32" s="48">
        <f t="shared" si="4"/>
        <v>0</v>
      </c>
      <c r="N32" s="48" t="str">
        <f>IFS(OR(COUNTIF(Info!$A$22:A81,C32)&gt;0,C32=""),"",
OR(C32="4x4 BLD",C32="5x5 BLD",C32="3x3 MBLD",C32="3x3 FMC",C32="4x4 / 5x5 BLD"),1,
AND(E32="Final",Q32="Yes",MAX(1,ROUNDUP(J32/P32))&gt;1),MAX(2,ROUNDUP(J32/P32)),
AND(E32="Final",Q32="No",MAX(1,ROUNDUP(J32/((P32*2)+2.625-Y32*1.5)))&gt;1),MAX(2,ROUNDUP(J32/((P32*2)+2.625-Y32*1.5))),
E32="Final",1,
Q32="Yes",MAX(2,ROUNDUP(J32/P32)),
TRUE,MAX(2,ROUNDUP(J32/((P32*2)+2.625-Y32*1.5))))</f>
        <v/>
      </c>
      <c r="O32" s="48" t="str">
        <f>IFS(OR(COUNTIF(Info!$A$22:A81,C32)&gt;0,C32=""),"",
OR("3x3 MBLD"=C32,"3x3 FMC"=C32)=TRUE,"",
D32=$E$4,$G$6,D32=$K$4,$M$6,D32=$Q$4,$S$6,D32=$W$4,$Y$6,
TRUE,$S$2)</f>
        <v/>
      </c>
      <c r="P32" s="48" t="str">
        <f>IFS(OR(COUNTIF(Info!$A$22:A81,C32)&gt;0,C32=""),"",
OR("3x3 MBLD"=C32,"3x3 FMC"=C32)=TRUE,"",
D32=$E$4,$E$6,D32=$K$4,$K$6,D32=$Q$4,$Q$6,D32=$W$4,$W$6,
TRUE,$Q$2)</f>
        <v/>
      </c>
      <c r="Q32" s="49" t="str">
        <f>IFS(OR(COUNTIF(Info!$A$22:A81,C32)&gt;0,C32=""),"",
OR("3x3 MBLD"=C32,"3x3 FMC"=C32)=TRUE,"",
D32=$E$4,$I$6,D32=$K$4,$O$6,D32=$Q$4,$U$6,D32=$W$4,$AA$6,
TRUE,$U$2)</f>
        <v/>
      </c>
      <c r="R32" s="50" t="str">
        <f>IFERROR(__xludf.DUMMYFUNCTION("IF(C32="""","""",IFERROR(FILTER(Info!$B$22:B81,Info!$A$22:A81=C32)+M32,""?""))"),"")</f>
        <v/>
      </c>
      <c r="S32" s="51" t="str">
        <f>IFS(OR(COUNTIF(Info!$A$22:A81,C32)&gt;0,C32=""),"",
AND(H32="",I32=""),J32,
TRUE,"?")</f>
        <v/>
      </c>
      <c r="T32" s="52" t="str">
        <f>IFS(OR(COUNTIF(Info!$A$22:A81,C32)&gt;0,C32=""),"",
AND(L32&lt;&gt;0,OR(R32="?",R32="")),"Fyll i R-kolumnen",
OR(C32="3x3 FMC",C32="3x3 MBLD"),R32,
AND(L32&lt;&gt;0,OR(S32="?",S32="")),"Fyll i S-kolumnen",
OR(COUNTIF(Info!$A$22:A81,C32)&gt;0,C32=""),"",
TRUE,Y32*R32/L32)</f>
        <v/>
      </c>
      <c r="U32" s="52"/>
      <c r="V32" s="53" t="str">
        <f>IFS(OR(COUNTIF(Info!$A$22:A81,C32)&gt;0,C32=""),"",
OR("3x3 MBLD"=C32,"3x3 FMC"=C32)=TRUE,"",
TRUE,MROUND((J32/N32),0.01))</f>
        <v/>
      </c>
      <c r="W32" s="54" t="str">
        <f>IFS(OR(COUNTIF(Info!$A$22:A81,C32)&gt;0,C32=""),"",
TRUE,L32/N32)</f>
        <v/>
      </c>
      <c r="X32" s="55" t="str">
        <f>IFS(OR(COUNTIF(Info!$A$22:A81,C32)&gt;0,C32=""),"",
OR("3x3 MBLD"=C32,"3x3 FMC"=C32)=TRUE,"",
OR(C32="4x4 BLD",C32="5x5 BLD",C32="4x4 / 5x5 BLD",AND(C32="3x3 BLD",H32&lt;&gt;""))=TRUE,MIN(V32,P32),
TRUE,MIN(P32,V32,MROUND(((V32*2/3)+((Y32-1.625)/2)),0.01)))</f>
        <v/>
      </c>
      <c r="Y32" s="56" t="str">
        <f>IFERROR(__xludf.DUMMYFUNCTION("IFS(OR(COUNTIF(Info!$A$22:A81,C32)&gt;0,C32=""""),"""",
FILTER(Info!$F$2:F81, Info!$A$2:A81 = C32) = ""Yes"",H32/AA32,
""3x3 FMC""=C32,Info!$B$9,""3x3 MBLD""=C32,Info!$B$18,
AND(E32=1,I32="""",H32="""",Q32=""No"",G32&gt;SUMIF(Info!$A$2:A81,C32,Info!$B$2:B81)*1."&amp;"5),
MIN(SUMIF(Info!$A$2:A81,C32,Info!$B$2:B81)*1.1,SUMIF(Info!$A$2:A81,C32,Info!$B$2:B81)*(1.15-(0.15*(SUMIF(Info!$A$2:A81,C32,Info!$B$2:B81)*1.5)/G32))),
AND(E32=1,I32="""",H32="""",Q32=""Yes"",G32&gt;SUMIF(Info!$A$2:A81,C32,Info!$C$2:C81)*1.5),
MIN(SUMIF(I"&amp;"nfo!$A$2:A81,C32,Info!$C$2:C81)*1.1,SUMIF(Info!$A$2:A81,C32,Info!$C$2:C81)*(1.15-(0.15*(SUMIF(Info!$A$2:A81,C32,Info!$C$2:C81)*1.5)/G32))),
Q32=""No"",SUMIF(Info!$A$2:A81,C32,Info!$B$2:B81),
Q32=""Yes"",SUMIF(Info!$A$2:A81,C32,Info!$C$2:C81))"),"")</f>
        <v/>
      </c>
      <c r="Z32" s="57" t="str">
        <f>IFS(OR(COUNTIF(Info!$A$22:A81,C32)&gt;0,C32=""),"",
AND(OR("3x3 FMC"=C32,"3x3 MBLD"=C32),I32&lt;&gt;""),1,
AND(OR(H32&lt;&gt;"",I32&lt;&gt;""),F32="Avg of 5"),2,
F32="Avg of 5",AA32,
AND(OR(H32&lt;&gt;"",I32&lt;&gt;""),F32="Mean of 3",C32="6x6 / 7x7"),2,
AND(OR(H32&lt;&gt;"",I32&lt;&gt;""),F32="Mean of 3"),1,
F32="Mean of 3",AA32,
AND(OR(H32&lt;&gt;"",I32&lt;&gt;""),F32="Best of 3",C32="4x4 / 5x5 BLD"),2,
AND(OR(H32&lt;&gt;"",I32&lt;&gt;""),F32="Best of 3"),1,
F32="Best of 2",AA32,
F32="Best of 1",AA32)</f>
        <v/>
      </c>
      <c r="AA32" s="57" t="str">
        <f>IFS(OR(COUNTIF(Info!$A$22:A81,C32)&gt;0,C32=""),"",
AND(OR("3x3 MBLD"=C32,"3x3 FMC"=C32),F32="Best of 1"=TRUE),1,
AND(OR("3x3 MBLD"=C32,"3x3 FMC"=C32),F32="Best of 2"=TRUE),2,
AND(OR("3x3 MBLD"=C32,"3x3 FMC"=C32),OR(F32="Best of 3",F32="Mean of 3")=TRUE),3,
AND(F32="Mean of 3",C32="6x6 / 7x7"),6,
AND(F32="Best of 3",C32="4x4 / 5x5 BLD"),6,
F32="Avg of 5",5,F32="Mean of 3",3,F32="Best of 3",3,F32="Best of 2",2,F32="Best of 1",1)</f>
        <v/>
      </c>
      <c r="AB32" s="58"/>
    </row>
    <row r="33">
      <c r="A33" s="40">
        <f>IFERROR(__xludf.DUMMYFUNCTION("IFS(indirect(""A""&amp;row()-1)=""Start"",TIME(indirect(""A""&amp;row()-2),indirect(""B""&amp;row()-2),0),
$O$2=""No"",TIME(0,($A$6*60+$B$6)+CEILING(SUM($L$7:indirect(""L""&amp;row()-1)),5),0),
D33=$E$2,TIME(0,($A$6*60+$B$6)+CEILING(SUM(IFERROR(FILTER($L$7:indirect(""L"""&amp;"&amp;row()-1),REGEXMATCH($D$7:indirect(""D""&amp;row()-1),$E$2)),0)),5),0),
TRUE,""=time(hh;mm;ss)"")"),0.375)</f>
        <v>0.375</v>
      </c>
      <c r="B33" s="41">
        <f>IFERROR(__xludf.DUMMYFUNCTION("IFS($O$2=""No"",TIME(0,($A$6*60+$B$6)+CEILING(SUM($L$7:indirect(""L""&amp;row())),5),0),
D33=$E$2,TIME(0,($A$6*60+$B$6)+CEILING(SUM(FILTER($L$7:indirect(""L""&amp;row()),REGEXMATCH($D$7:indirect(""D""&amp;row()),$E$2))),5),0),
A33=""=time(hh;mm;ss)"",CONCATENATE(""Sk"&amp;"riv tid i A""&amp;row()),
AND(A33&lt;&gt;"""",A33&lt;&gt;""=time(hh;mm;ss)""),A33+TIME(0,CEILING(indirect(""L""&amp;row()),5),0))"),0.375)</f>
        <v>0.375</v>
      </c>
      <c r="C33" s="42"/>
      <c r="D33" s="43" t="str">
        <f t="shared" si="3"/>
        <v>Stora salen</v>
      </c>
      <c r="E33" s="43" t="str">
        <f>IFERROR(__xludf.DUMMYFUNCTION("IFS(COUNTIF(Info!$A$22:A81,C33)&gt;0,"""",
AND(OR(""3x3 FMC""=C33,""3x3 MBLD""=C33),COUNTIF($C$7:indirect(""C""&amp;row()),indirect(""C""&amp;row()))&gt;=13),""E - Error"",
AND(OR(""3x3 FMC""=C33,""3x3 MBLD""=C33),COUNTIF($C$7:indirect(""C""&amp;row()),indirect(""C""&amp;row()"&amp;"))=12),""Final - A3"",
AND(OR(""3x3 FMC""=C33,""3x3 MBLD""=C33),COUNTIF($C$7:indirect(""C""&amp;row()),indirect(""C""&amp;row()))=11),""Final - A2"",
AND(OR(""3x3 FMC""=C33,""3x3 MBLD""=C33),COUNTIF($C$7:indirect(""C""&amp;row()),indirect(""C""&amp;row()))=10),""Final - "&amp;"A1"",
AND(OR(""3x3 FMC""=C33,""3x3 MBLD""=C33),COUNTIF($C$7:indirect(""C""&amp;row()),indirect(""C""&amp;row()))=9,
COUNTIF($C$7:$C$61,indirect(""C""&amp;row()))&gt;9),""R3 - A3"",
AND(OR(""3x3 FMC""=C33,""3x3 MBLD""=C33),COUNTIF($C$7:indirect(""C""&amp;row()),indirect(""C"&amp;"""&amp;row()))=9,
COUNTIF($C$7:$C$61,indirect(""C""&amp;row()))&lt;=9),""Final - A3"",
AND(OR(""3x3 FMC""=C33,""3x3 MBLD""=C33),COUNTIF($C$7:indirect(""C""&amp;row()),indirect(""C""&amp;row()))=8,
COUNTIF($C$7:$C$61,indirect(""C""&amp;row()))&gt;9),""R3 - A2"",
AND(OR(""3x3 FMC""="&amp;"C33,""3x3 MBLD""=C33),COUNTIF($C$7:indirect(""C""&amp;row()),indirect(""C""&amp;row()))=8,
COUNTIF($C$7:$C$61,indirect(""C""&amp;row()))&lt;=9),""Final - A2"",
AND(OR(""3x3 FMC""=C33,""3x3 MBLD""=C33),COUNTIF($C$7:indirect(""C""&amp;row()),indirect(""C""&amp;row()))=7,
COUNTIF("&amp;"$C$7:$C$61,indirect(""C""&amp;row()))&gt;9),""R3 - A1"",
AND(OR(""3x3 FMC""=C33,""3x3 MBLD""=C33),COUNTIF($C$7:indirect(""C""&amp;row()),indirect(""C""&amp;row()))=7,
COUNTIF($C$7:$C$61,indirect(""C""&amp;row()))&lt;=9),""Final - A1"",
AND(OR(""3x3 FMC""=C33,""3x3 MBLD""=C33),"&amp;"COUNTIF($C$7:indirect(""C""&amp;row()),indirect(""C""&amp;row()))=6,
COUNTIF($C$7:$C$61,indirect(""C""&amp;row()))&gt;6),""R2 - A3"",
AND(OR(""3x3 FMC""=C33,""3x3 MBLD""=C33),COUNTIF($C$7:indirect(""C""&amp;row()),indirect(""C""&amp;row()))=6,
COUNTIF($C$7:$C$61,indirect(""C""&amp;"&amp;"row()))&lt;=6),""Final - A3"",
AND(OR(""3x3 FMC""=C33,""3x3 MBLD""=C33),COUNTIF($C$7:indirect(""C""&amp;row()),indirect(""C""&amp;row()))=5,
COUNTIF($C$7:$C$61,indirect(""C""&amp;row()))&gt;6),""R2 - A2"",
AND(OR(""3x3 FMC""=C33,""3x3 MBLD""=C33),COUNTIF($C$7:indirect(""C"&amp;"""&amp;row()),indirect(""C""&amp;row()))=5,
COUNTIF($C$7:$C$61,indirect(""C""&amp;row()))&lt;=6),""Final - A2"",
AND(OR(""3x3 FMC""=C33,""3x3 MBLD""=C33),COUNTIF($C$7:indirect(""C""&amp;row()),indirect(""C""&amp;row()))=4,
COUNTIF($C$7:$C$61,indirect(""C""&amp;row()))&gt;6),""R2 - A1"&amp;""",
AND(OR(""3x3 FMC""=C33,""3x3 MBLD""=C33),COUNTIF($C$7:indirect(""C""&amp;row()),indirect(""C""&amp;row()))=4,
COUNTIF($C$7:$C$61,indirect(""C""&amp;row()))&lt;=6),""Final - A1"",
AND(OR(""3x3 FMC""=C33,""3x3 MBLD""=C33),COUNTIF($C$7:indirect(""C""&amp;row()),indirect("""&amp;"C""&amp;row()))=3),""R1 - A3"",
AND(OR(""3x3 FMC""=C33,""3x3 MBLD""=C33),COUNTIF($C$7:indirect(""C""&amp;row()),indirect(""C""&amp;row()))=2),""R1 - A2"",
AND(OR(""3x3 FMC""=C33,""3x3 MBLD""=C33),COUNTIF($C$7:indirect(""C""&amp;row()),indirect(""C""&amp;row()))=1),""R1 -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C33),ROUNDUP((FILTER(Info!$H$2:H81,Info!$A$2:A81=C33)/FILTER(Info!$H$2:H81,Info!$A$2:A81=$K$2))*$I$2)&gt;99),3,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C33),ROUNDUP((FILTER(Info!$H$2:H81,Info!$A$2:A81=C33)/FILTER(Info!$H$2:H81,Info!$A$2:A81=$K$2))*$I$2)&gt;15),2,
AND(COUNTIF($C$7:indirect(""C""&amp;row()),indirect(""C""&amp;row()))=2,COUNTIF($C$7:$C$61,indirect(""C""&amp;row()))=COUNTIF($C$7:indirect("""&amp;"C""&amp;row()),indirect(""C""&amp;row()))),""Final"",
COUNTIF($C$7:indirect(""C""&amp;row()),indirect(""C""&amp;row()))=1,1,
COUNTIF($C$7:indirect(""C""&amp;row()),indirect(""C""&amp;row()))=0,"""")"),"")</f>
        <v/>
      </c>
      <c r="F33" s="44" t="str">
        <f>IFERROR(__xludf.DUMMYFUNCTION("IFS(C33="""","""",
AND(C33=""3x3 FMC"",MOD(COUNTIF($C$7:indirect(""C""&amp;row()),indirect(""C""&amp;row())),3)=0),""Mean of 3"",
AND(C33=""3x3 MBLD"",MOD(COUNTIF($C$7:indirect(""C""&amp;row()),indirect(""C""&amp;row())),3)=0),""Best of 3"",
AND(C33=""3x3 FMC"",MOD(COUNT"&amp;"IF($C$7:indirect(""C""&amp;row()),indirect(""C""&amp;row())),3)=2,
COUNTIF($C$7:$C$61,indirect(""C""&amp;row()))&lt;=COUNTIF($C$7:indirect(""C""&amp;row()),indirect(""C""&amp;row()))),""Best of 2"",
AND(C33=""3x3 FMC"",MOD(COUNTIF($C$7:indirect(""C""&amp;row()),indirect(""C""&amp;row()"&amp;")),3)=2,
COUNTIF($C$7:$C$61,indirect(""C""&amp;row()))&gt;COUNTIF($C$7:indirect(""C""&amp;row()),indirect(""C""&amp;row()))),""Mean of 3"",
AND(C33=""3x3 MBLD"",MOD(COUNTIF($C$7:indirect(""C""&amp;row()),indirect(""C""&amp;row())),3)=2,
COUNTIF($C$7:$C$61,indirect(""C""&amp;row()))"&amp;"&lt;=COUNTIF($C$7:indirect(""C""&amp;row()),indirect(""C""&amp;row()))),""Best of 2"",
AND(C33=""3x3 MBLD"",MOD(COUNTIF($C$7:indirect(""C""&amp;row()),indirect(""C""&amp;row())),3)=2,
COUNTIF($C$7:$C$61,indirect(""C""&amp;row()))&gt;COUNTIF($C$7:indirect(""C""&amp;row()),indirect(""C"&amp;"""&amp;row()))),""Best of 3"",
AND(C33=""3x3 FMC"",MOD(COUNTIF($C$7:indirect(""C""&amp;row()),indirect(""C""&amp;row())),3)=1,
COUNTIF($C$7:$C$61,indirect(""C""&amp;row()))&lt;=COUNTIF($C$7:indirect(""C""&amp;row()),indirect(""C""&amp;row()))),""Best of 1"",
AND(C33=""3x3 FMC"",MOD"&amp;"(COUNTIF($C$7:indirect(""C""&amp;row()),indirect(""C""&amp;row())),3)=1,
COUNTIF($C$7:$C$61,indirect(""C""&amp;row()))=COUNTIF($C$7:indirect(""C""&amp;row()),indirect(""C""&amp;row()))+1),""Best of 2"",
AND(C33=""3x3 FMC"",MOD(COUNTIF($C$7:indirect(""C""&amp;row()),indirect(""C"&amp;"""&amp;row())),3)=1,
COUNTIF($C$7:$C$61,indirect(""C""&amp;row()))&gt;COUNTIF($C$7:indirect(""C""&amp;row()),indirect(""C""&amp;row()))),""Mean of 3"",
AND(C33=""3x3 MBLD"",MOD(COUNTIF($C$7:indirect(""C""&amp;row()),indirect(""C""&amp;row())),3)=1,
COUNTIF($C$7:$C$61,indirect(""C"""&amp;"&amp;row()))&lt;=COUNTIF($C$7:indirect(""C""&amp;row()),indirect(""C""&amp;row()))),""Best of 1"",
AND(C33=""3x3 MBLD"",MOD(COUNTIF($C$7:indirect(""C""&amp;row()),indirect(""C""&amp;row())),3)=1,
COUNTIF($C$7:$C$61,indirect(""C""&amp;row()))=COUNTIF($C$7:indirect(""C""&amp;row()),indir"&amp;"ect(""C""&amp;row()))+1),""Best of 2"",
AND(C33=""3x3 MBLD"",MOD(COUNTIF($C$7:indirect(""C""&amp;row()),indirect(""C""&amp;row())),3)=1,
COUNTIF($C$7:$C$61,indirect(""C""&amp;row()))&gt;COUNTIF($C$7:indirect(""C""&amp;row()),indirect(""C""&amp;row()))),""Best of 3"",
TRUE,(IFERROR("&amp;"FILTER(Info!$D$2:D81, Info!$A$2:A81 = C33), """")))"),"")</f>
        <v/>
      </c>
      <c r="G33" s="45" t="str">
        <f>IFERROR(__xludf.DUMMYFUNCTION("IFS(OR(COUNTIF(Info!$A$22:A81,C33)&gt;0,C33=""""),"""",
OR(""3x3 MBLD""=C33,""3x3 FMC""=C33),60,
AND(E33=1,FILTER(Info!$F$2:F81, Info!$A$2:A81 = C33) = ""No""),FILTER(Info!$P$2:P81, Info!$A$2:A81 = C33),
AND(E33=2,FILTER(Info!$F$2:F81, Info!$A$2:A81 = C33) ="&amp;" ""No""),FILTER(Info!$Q$2:Q81, Info!$A$2:A81 = C33),
AND(E33=3,FILTER(Info!$F$2:F81, Info!$A$2:A81 = C33) = ""No""),FILTER(Info!$R$2:R81, Info!$A$2:A81 = C33),
AND(E33=""Final"",FILTER(Info!$F$2:F81, Info!$A$2:A81 = C33) = ""No""),FILTER(Info!$S$2:S81, In"&amp;"fo!$A$2:A81 = C33),
FILTER(Info!$F$2:F81, Info!$A$2:A81 = C33) = ""Yes"","""")"),"")</f>
        <v/>
      </c>
      <c r="H33" s="45" t="str">
        <f>IFERROR(__xludf.DUMMYFUNCTION("IFS(OR(COUNTIF(Info!$A$22:A81,C33)&gt;0,C33=""""),"""",
OR(""3x3 MBLD""=C33,""3x3 FMC""=C33)=TRUE,"""",
FILTER(Info!$F$2:F81, Info!$A$2:A81 = C33) = ""Yes"",FILTER(Info!$O$2:O81, Info!$A$2:A81 = C33),
FILTER(Info!$F$2:F81, Info!$A$2:A81 = C33) = ""No"",IF(G3"&amp;"3="""",FILTER(Info!$O$2:O81, Info!$A$2:A81 = C33),""""))"),"")</f>
        <v/>
      </c>
      <c r="I33" s="45" t="str">
        <f>IFERROR(__xludf.DUMMYFUNCTION("IFS(OR(COUNTIF(Info!$A$22:A81,C33)&gt;0,C33="""",H33&lt;&gt;""""),"""",
AND(E33&lt;&gt;1,E33&lt;&gt;""R1 - A1"",E33&lt;&gt;""R1 - A2"",E33&lt;&gt;""R1 - A3""),"""",
FILTER(Info!$E$2:E81, Info!$A$2:A81 = C33) = ""Yes"",IF(H33="""",FILTER(Info!$L$2:L81, Info!$A$2:A81 = C33),""""),
FILTER(I"&amp;"nfo!$E$2:E81, Info!$A$2:A81 = C33) = ""No"","""")"),"")</f>
        <v/>
      </c>
      <c r="J33" s="45" t="str">
        <f>IFERROR(__xludf.DUMMYFUNCTION("IFS(OR(COUNTIF(Info!$A$22:A81,C33)&gt;0,C33="""",""3x3 MBLD""=C33,""3x3 FMC""=C33),"""",
AND(E33=1,FILTER(Info!$H$2:H81,Info!$A$2:A81 = C33)&lt;=FILTER(Info!$H$2:H81,Info!$A$2:A81=$K$2)),
ROUNDUP((FILTER(Info!$H$2:H81,Info!$A$2:A81 = C33)/FILTER(Info!$H$2:H81,I"&amp;"nfo!$A$2:A81=$K$2))*$I$2),
AND(E33=1,FILTER(Info!$H$2:H81,Info!$A$2:A81 = C33)&gt;FILTER(Info!$H$2:H81,Info!$A$2:A81=$K$2)),""K2 - Error"",
AND(E33=2,FILTER($J$7:indirect(""J""&amp;row()-1),$C$7:indirect(""C""&amp;row()-1)=C33)&lt;=7),""J - Error"",
E33=2,FLOOR(FILTER("&amp;"$J$7:indirect(""J""&amp;row()-1),$C$7:indirect(""C""&amp;row()-1)=C33)*Info!$T$32),
AND(E33=3,FILTER($J$7:indirect(""J""&amp;row()-1),$C$7:indirect(""C""&amp;row()-1)=C33)&lt;=15),""J - Error"",
E33=3,FLOOR(Info!$T$32*FLOOR(FILTER($J$7:indirect(""J""&amp;row()-1),$C$7:indirect("&amp;"""C""&amp;row()-1)=C33)*Info!$T$32)),
AND(E33=""Final"",COUNTIF($C$7:$C$61,C33)=2,FILTER($J$7:indirect(""J""&amp;row()-1),$C$7:indirect(""C""&amp;row()-1)=C33)&lt;=7),""J - Error"",
AND(E33=""Final"",COUNTIF($C$7:$C$61,C33)=2),
MIN(P33,FLOOR(FILTER($J$7:indirect(""J""&amp;r"&amp;"ow()-1),$C$7:indirect(""C""&amp;row()-1)=C33)*Info!$T$32)),
AND(E33=""Final"",COUNTIF($C$7:$C$61,C33)=3,FILTER($J$7:indirect(""J""&amp;row()-1),$C$7:indirect(""C""&amp;row()-1)=C33)&lt;=15),""J - Error"",
AND(E33=""Final"",COUNTIF($C$7:$C$61,C33)=3),
MIN(P33,FLOOR(Info!"&amp;"$T$32*FLOOR(FILTER($J$7:indirect(""J""&amp;row()-1),$C$7:indirect(""C""&amp;row()-1)=C33)*Info!$T$32))),
AND(E33=""Final"",COUNTIF($C$7:$C$61,C33)&gt;=4,FILTER($J$7:indirect(""J""&amp;row()-1),$C$7:indirect(""C""&amp;row()-1)=C33)&lt;=99),""J - Error"",
AND(E33=""Final"",COUNT"&amp;"IF($C$7:$C$61,C33)&gt;=4),
MIN(P33,FLOOR(Info!$T$32*FLOOR(Info!$T$32*FLOOR(FILTER($J$7:indirect(""J""&amp;row()-1),$C$7:indirect(""C""&amp;row()-1)=C33)*Info!$T$32)))))"),"")</f>
        <v/>
      </c>
      <c r="K33" s="46" t="str">
        <f>IFERROR(__xludf.DUMMYFUNCTION("IFS(AND(indirect(""D""&amp;row()+2)&lt;&gt;$E$2,indirect(""D""&amp;row()+1)=""""),CONCATENATE(""Tom rad! Kopiera hela rad ""&amp;row()&amp;"" dit""),
AND(indirect(""D""&amp;row()-1)&lt;&gt;""Rum"",indirect(""D""&amp;row()-1)=""""),CONCATENATE(""Tom rad! Kopiera hela rad ""&amp;row()&amp;"" dit""),
"&amp;"C33="""","""",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OR(AND(D33&lt;&gt;$E$2,D33&lt;&gt;$E$4,D33&lt;&gt;$K$4,D33&lt;&gt;$Q$4),D33="&amp;"""""),CONCATENATE(""Rum: ""&amp;D33&amp;"" finns ej, byt i D""&amp;row()),
AND(indirect(""D""&amp;row()-1)=""Rum"",C33=""""),CONCATENATE(""För att börja: skriv i cell C""&amp;row()),
AND(C33=""Paus"",M33&lt;=0),CONCATENATE(""Skriv pausens längd i M""&amp;row()),
OR(COUNTIF(Info!$A$"&amp;"22:A81,C33)&gt;0,C33=""""),"""",
AND(D33&lt;&gt;$E$2,$O$2=""Yes"",A33=""=time(hh;mm;ss)""),CONCATENATE(""Skriv starttid för ""&amp;C33&amp;"" i A""&amp;row()),
E33=""E - Error"",CONCATENATE(""För många ""&amp;C33&amp;"" rundor!""),
AND(C33&lt;&gt;""3x3 FMC"",C33&lt;&gt;""3x3 MBLD"",E33&lt;&gt;1,E33&lt;&gt;"&amp;"""Final"",IFERROR(FILTER($E$7:indirect(""E""&amp;row()-1),
$E$7:indirect(""E""&amp;row()-1)=E33-1,$C$7:indirect(""C""&amp;row()-1)=C33))=FALSE),CONCATENATE(""Kan ej vara R""&amp;E33&amp;"", saknar R""&amp;(E33-1)),
AND(indirect(""E""&amp;row()-1)&lt;&gt;""Omgång"",IFERROR(FILTER($E$7:indi"&amp;"rect(""E""&amp;row()-1),
$E$7:indirect(""E""&amp;row()-1)=E33,$C$7:indirect(""C""&amp;row()-1)=C33)=E33)=TRUE),CONCATENATE(""Runda ""&amp;E33&amp;"" i ""&amp;C33&amp;"" finns redan""),
AND(C33&lt;&gt;""3x3 BLD"",C33&lt;&gt;""4x4 BLD"",C33&lt;&gt;""5x5 BLD"",C33&lt;&gt;""4x4 / 5x5 BLD"",OR(E33=2,E33=3,E33="&amp;"""Final""),H33&lt;&gt;""""),CONCATENATE(E33&amp;""-rundor brukar ej ha c.t.l.""),
AND(OR(E33=2,E33=3,E33=""Final""),I33&lt;&gt;""""),CONCATENATE(E33&amp;""-rundor brukar ej ha cutoff""),
AND(OR(C33=""3x3 FMC"",C33=""3x3 MBLD""),OR(E33=1,E33=2,E33=3,E33=""Final"")),CONCATENAT"&amp;"E(C33&amp;""s omgång är Rx - Ax""),
AND(C33&lt;&gt;""3x3 MBLD"",C33&lt;&gt;""3x3 FMC"",FILTER(Info!$D$2:D81, Info!$A$2:A81 = C33)&lt;&gt;F33),CONCATENATE(C33&amp;"" måste ha formatet ""&amp;FILTER(Info!$D$2:D81, Info!$A$2:A81 = C33)),
AND(C33=""3x3 MBLD"",OR(F33=""Avg of 5"",F33=""Mea"&amp;"n of 3"")),CONCATENATE(""Ogiltigt format för ""&amp;C33),
AND(C33=""3x3 FMC"",OR(F33=""Avg of 5"",F33=""Best of 3"")),CONCATENATE(""Ogiltigt format för ""&amp;C33),
AND(OR(F33=""Best of 1"",F33=""Best of 2"",F33=""Best of 3""),I33&lt;&gt;""""),CONCATENATE(F33&amp;""-rundor"&amp;" får ej ha cutoff""),
AND(OR(C33=""3x3 FMC"",C33=""3x3 MBLD""),G33&lt;&gt;60),CONCATENATE(C33&amp;"" måste ha time limit: 60""),
AND(OR(C33=""3x3 FMC"",C33=""3x3 MBLD""),H33&lt;&gt;""""),CONCATENATE(C33&amp;"" kan inte ha c.t.l.""),
AND(G33&lt;&gt;"""",H33&lt;&gt;""""),""Välj time limit"&amp;" ELLER c.t.l"",
AND(C33=""6x6 / 7x7"",G33="""",H33=""""),""Sätt time limit (x / y) eller c.t.l (z)"",
AND(G33="""",H33=""""),""Sätt en time limit eller c.t.l"",
AND(OR(C33=""6x6 / 7x7"",C33=""4x4 / 5x5 BLD""),G33&lt;&gt;"""",REGEXMATCH(TO_TEXT(G33),"" / "")=FAL"&amp;"SE),CONCATENATE(""Time limit måste vara x / y""),
AND(H33&lt;&gt;"""",I33&lt;&gt;""""),CONCATENATE(C33&amp;"" brukar ej ha cutoff OCH c.t.l""),
AND(E33=1,H33="""",I33="""",OR(FILTER(Info!$E$2:E81, Info!$A$2:A81 = C33) = ""Yes"",FILTER(Info!$F$2:F81, Info!$A$2:A81 = C33) "&amp;"= ""Yes""),OR(F33=""Avg of 5"",F33=""Mean of 3"")),CONCATENATE(C33&amp;"" bör ha cutoff eller c.t.l""),
AND(C33=""6x6 / 7x7"",I33&lt;&gt;"""",REGEXMATCH(TO_TEXT(I33),"" / "")=FALSE),CONCATENATE(""Cutoff måste vara x / y""),
AND(H33&lt;&gt;"""",ISNUMBER(H33)=FALSE),""C.t."&amp;"l. måste vara positivt tal (x)"",
AND(C33&lt;&gt;""6x6 / 7x7"",I33&lt;&gt;"""",ISNUMBER(I33)=FALSE),""Cutoff måste vara positivt tal (x)"",
AND(H33&lt;&gt;"""",FILTER(Info!$E$2:E81, Info!$A$2:A81 = C33) = ""No"",FILTER(Info!$F$2:F81, Info!$A$2:A81 = C33) = ""No""),CONCATEN"&amp;"ATE(C33&amp;"" brukar inte ha c.t.l.""),
AND(I33&lt;&gt;"""",FILTER(Info!$E$2:E81, Info!$A$2:A81 = C33) = ""No"",FILTER(Info!$F$2:F81, Info!$A$2:A81 = C33) = ""No""),CONCATENATE(C33&amp;"" brukar inte ha cutoff""),
AND(H33="""",FILTER(Info!$F$2:F81, Info!$A$2:A81 = C33"&amp;") = ""Yes""),CONCATENATE(C33&amp;"" brukar ha c.t.l.""),
AND(C33&lt;&gt;""6x6 / 7x7"",C33&lt;&gt;""4x4 / 5x5 BLD"",G33&lt;&gt;"""",ISNUMBER(G33)=FALSE),""Time limit måste vara positivt tal (x)"",
J33=""J - Error"",CONCATENATE(""För få deltagare i R1 för ""&amp;COUNTIF($C$7:$C$61,i"&amp;"ndirect(""C""&amp;row()))&amp;"" rundor""),
J33=""K2 - Error"",CONCATENATE(C33&amp;"" är mer populär - byt i K2!""),
AND(C33&lt;&gt;""6x6 / 7x7"",C33&lt;&gt;""4x4 / 5x5 BLD"",G33&lt;&gt;"""",I33&lt;&gt;"""",G33&lt;=I33),""Time limit måste vara &gt; cutoff"",
AND(C33&lt;&gt;""6x6 / 7x7"",C33&lt;&gt;""4x4 / 5x"&amp;"5 BLD"",H33&lt;&gt;"""",I33&lt;&gt;"""",H33&lt;=I33),""C.t.l. måste vara &gt; cutoff"",
AND(C33&lt;&gt;""3x3 FMC"",C33&lt;&gt;""3x3 MBLD"",J33=""""),CONCATENATE(""Fyll i antal deltagare i J""&amp;row()),
AND(C33="""",OR(E33&lt;&gt;"""",F33&lt;&gt;"""",G33&lt;&gt;"""",H33&lt;&gt;"""",I33&lt;&gt;"""",J33&lt;&gt;"""")),""Skriv"&amp;" ALLTID gren / aktivitet först"",
AND(I33="""",H33="""",J33&lt;&gt;""""),J33,
OR(""3x3 FMC""=C33,""3x3 MBLD""=C33),J33,
AND(I33&lt;&gt;"""",""6x6 / 7x7""=C33),
IFS(ArrayFormula(SUM(IFERROR(SPLIT(I33,"" / ""))))&lt;(Info!$J$6+Info!$J$7)*2/3,CONCATENATE(""Höj helst cutoff"&amp;"s i ""&amp;C33),
ArrayFormula(SUM(IFERROR(SPLIT(I33,"" / ""))))&lt;=(Info!$J$6+Info!$J$7),ROUNDUP(J33*Info!$J$22),
ArrayFormula(SUM(IFERROR(SPLIT(I33,"" / ""))))&lt;=Info!$J$6+Info!$J$7,ROUNDUP(J33*Info!$K$22),
ArrayFormula(SUM(IFERROR(SPLIT(I33,"" / ""))))&lt;=Info!$"&amp;"K$6+Info!$K$7,ROUNDUP(J33*Info!L$22),
ArrayFormula(SUM(IFERROR(SPLIT(I33,"" / ""))))&lt;=Info!$L$6+Info!$L$7,ROUNDUP(J33*Info!$M$22),
ArrayFormula(SUM(IFERROR(SPLIT(I33,"" / ""))))&lt;=Info!$M$6+Info!$M$7,ROUNDUP(J33*Info!$N$22),
ArrayFormula(SUM(IFERROR(SPLIT("&amp;"I33,"" / ""))))&lt;=(Info!$N$6+Info!$N$7)*3/2,ROUNDUP(J33*Info!$J$26),
ArrayFormula(SUM(IFERROR(SPLIT(I33,"" / ""))))&gt;(Info!$N$6+Info!$N$7)*3/2,CONCATENATE(""Sänk helst cutoffs i ""&amp;C33)),
AND(I33&lt;&gt;"""",FILTER(Info!$E$2:E81, Info!$A$2:A81 = C33) = ""Yes""),
"&amp;"IFS(I33&lt;FILTER(Info!$J$2:J81, Info!$A$2:A81 = C33)*2/3,CONCATENATE(""Höj helst cutoff i ""&amp;C33),
I33&lt;=FILTER(Info!$J$2:J81, Info!$A$2:A81 = C33),ROUNDUP(J33*Info!$J$22),
I33&lt;=FILTER(Info!$K$2:K81, Info!$A$2:A81 = C33),ROUNDUP(J33*Info!$K$22),
I33&lt;=FILTER("&amp;"Info!$L$2:L81, Info!$A$2:A81 = C33),ROUNDUP(J33*Info!L$22),
I33&lt;=FILTER(Info!$M$2:M81, Info!$A$2:A81 = C33),ROUNDUP(J33*Info!$M$22),
I33&lt;=FILTER(Info!$N$2:N81, Info!$A$2:A81 = C33),ROUNDUP(J33*Info!$N$22),
I33&lt;=FILTER(Info!$N$2:N81, Info!$A$2:A81 = C33)*3"&amp;"/2,ROUNDUP(J33*Info!$J$26),
I33&gt;FILTER(Info!$N$2:N81, Info!$A$2:A81 = C33)*3/2,CONCATENATE(""Sänk helst cutoff i ""&amp;C33)),
AND(H33&lt;&gt;"""",""6x6 / 7x7""=C33),
IFS(H33/3&lt;=(Info!$J$6+Info!$J$7)*2/3,""Höj helst cumulative time limit"",
H33/3&lt;=Info!$J$6+Info!$J"&amp;"$7,ROUNDUP(J33*Info!$J$24),
H33/3&lt;=Info!$K$6+Info!$K$7,ROUNDUP(J33*Info!$K$24),
H33/3&lt;=Info!$L$6+Info!$L$7,ROUNDUP(J33*Info!L$24),
H33/3&lt;=Info!$M$6+Info!$M$7,ROUNDUP(J33*Info!$M$24),
H33/3&lt;=Info!$N$6+Info!$N$7,ROUNDUP(J33*Info!$N$24),
H33/3&lt;=(Info!$N$6+In"&amp;"fo!$N$7)*3/2,ROUNDUP(J33*Info!$L$26),
H33/3&gt;(Info!$J$6+Info!$J$7)*3/2,""Sänk helst cumulative time limit""),
AND(H33&lt;&gt;"""",FILTER(Info!$F$2:F81, Info!$A$2:A81 = C33) = ""Yes""),
IFS(H33&lt;=FILTER(Info!$J$2:J81, Info!$A$2:A81 = C33)*2/3,CONCATENATE(""Höj hel"&amp;"st c.t.l. i ""&amp;C33),
H33&lt;=FILTER(Info!$J$2:J81, Info!$A$2:A81 = C33),ROUNDUP(J33*Info!$J$24),
H33&lt;=FILTER(Info!$K$2:K81, Info!$A$2:A81 = C33),ROUNDUP(J33*Info!$K$24),
H33&lt;=FILTER(Info!$L$2:L81, Info!$A$2:A81 = C33),ROUNDUP(J33*Info!L$24),
H33&lt;=FILTER(Info"&amp;"!$M$2:M81, Info!$A$2:A81 = C33),ROUNDUP(J33*Info!$M$24),
H33&lt;=FILTER(Info!$N$2:N81, Info!$A$2:A81 = C33),ROUNDUP(J33*Info!$N$24),
H33&lt;=FILTER(Info!$N$2:N81, Info!$A$2:A81 = C33)*3/2,ROUNDUP(J33*Info!$L$26),
H33&gt;FILTER(Info!$N$2:N81, Info!$A$2:A81 = C33)*3"&amp;"/2,CONCATENATE(""Sänk helst c.t.l. i ""&amp;C33)),
AND(H33&lt;&gt;"""",FILTER(Info!$F$2:F81, Info!$A$2:A81 = C33) = ""No""),
IFS(H33/AA33&lt;=FILTER(Info!$J$2:J81, Info!$A$2:A81 = C33)*2/3,CONCATENATE(""Höj helst c.t.l. i ""&amp;C33),
H33/AA33&lt;=FILTER(Info!$J$2:J81, Info!"&amp;"$A$2:A81 = C33),ROUNDUP(J33*Info!$J$24),
H33/AA33&lt;=FILTER(Info!$K$2:K81, Info!$A$2:A81 = C33),ROUNDUP(J33*Info!$K$24),
H33/AA33&lt;=FILTER(Info!$L$2:L81, Info!$A$2:A81 = C33),ROUNDUP(J33*Info!L$24),
H33/AA33&lt;=FILTER(Info!$M$2:M81, Info!$A$2:A81 = C33),ROUNDU"&amp;"P(J33*Info!$M$24),
H33/AA33&lt;=FILTER(Info!$N$2:N81, Info!$A$2:A81 = C33),ROUNDUP(J33*Info!$N$24),
H33/AA33&lt;=FILTER(Info!$N$2:N81, Info!$A$2:A81 = C33)*3/2,ROUNDUP(J33*Info!$L$26),
H33/AA33&gt;FILTER(Info!$N$2:N81, Info!$A$2:A81 = C33)*3/2,CONCATENATE(""Sänk h"&amp;"elst c.t.l. i ""&amp;C33)),
AND(I33="""",H33&lt;&gt;"""",J33&lt;&gt;""""),ROUNDUP(J33*Info!$T$29),
AND(I33&lt;&gt;"""",H33="""",J33&lt;&gt;""""),ROUNDUP(J33*Info!$T$26))"),"")</f>
        <v/>
      </c>
      <c r="L33" s="47">
        <f>IFERROR(__xludf.DUMMYFUNCTION("IFS(C33="""",0,
C33=""3x3 FMC"",Info!$B$9*N33+M33, C33=""3x3 MBLD"",Info!$B$18*N33+M33,
COUNTIF(Info!$A$22:A81,C33)&gt;0,FILTER(Info!$B$22:B81,Info!$A$22:A81=C33)+M33,
AND(C33&lt;&gt;"""",E33=""""),CONCATENATE(""Fyll i E""&amp;row()),
AND(C33&lt;&gt;"""",E33&lt;&gt;"""",E33&lt;&gt;1,E3"&amp;"3&lt;&gt;2,E33&lt;&gt;3,E33&lt;&gt;""Final""),CONCATENATE(""Fel format på E""&amp;row()),
K33=CONCATENATE(""Runda ""&amp;E33&amp;"" i ""&amp;C33&amp;"" finns redan""),CONCATENATE(""Fel i E""&amp;row()),
AND(C33&lt;&gt;"""",F33=""""),CONCATENATE(""Fyll i F""&amp;row()),
K33=CONCATENATE(C33&amp;"" måste ha forma"&amp;"tet ""&amp;FILTER(Info!$D$2:D81, Info!$A$2:A81 = C33)),CONCATENATE(""Fel format på F""&amp;row()),
AND(C33&lt;&gt;"""",D33=1,H33="""",FILTER(Info!$F$2:F81, Info!$A$2:A81 = C33) = ""Yes""),CONCATENATE(""Fyll i H""&amp;row()),
AND(C33&lt;&gt;"""",D33=1,I33="""",FILTER(Info!$E$2:E8"&amp;"1, Info!$A$2:A81 = C33) = ""Yes""),CONCATENATE(""Fyll i I""&amp;row()),
AND(C33&lt;&gt;"""",J33=""""),CONCATENATE(""Fyll i J""&amp;row()),
AND(C33&lt;&gt;"""",K33="""",OR(H33&lt;&gt;"""",I33&lt;&gt;"""")),CONCATENATE(""Fyll i K""&amp;row()),
AND(C33&lt;&gt;"""",K33=""""),CONCATENATE(""Skriv samma"&amp;" i K""&amp;row()&amp;"" som i J""&amp;row()),
AND(OR(C33=""4x4 BLD"",C33=""5x5 BLD"",C33=""4x4 / 5x5 BLD"")=TRUE,V33&lt;=P33),
MROUND(H33*(Info!$T$20-((Info!$T$20-1)/2)*(1-V33/P33))*(1+((J33/K33)-1)*(1-Info!$J$24))*N33+(Info!$T$11/2)+(N33*Info!$T$11)+(N33*Info!$T$14*(O3"&amp;"3-1)),0.01)+M33,
AND(OR(C33=""4x4 BLD"",C33=""5x5 BLD"",C33=""4x4 / 5x5 BLD"")=TRUE,V33&gt;P33),
MROUND((((J33*Z33+K33*(AA33-Z33))*(H33*Info!$T$20/AA33))/X33)*(1+((J33/K33)-1)*(1-Info!$J$24))*(1+(X33-Info!$T$8)/100)+(Info!$T$11/2)+(N33*Info!$T$11)+(N33*Info!"&amp;"$T$14*(O33-1)),0.01)+M33,
AND(C33=""3x3 BLD"",V33&lt;=P33),
MROUND(H33*(Info!$T$23-((Info!$T$23-1)/2)*(1-V33/P33))*(1+((J33/K33)-1)*(1-Info!$J$24))*N33+(Info!$T$11/2)+(N33*Info!$T$11)+(N33*Info!$T$14*(O33-1)),0.01)+M33,
AND(C33=""3x3 BLD"",V33&gt;P33),
MROUND(("&amp;"((J33*Z33+K33*(AA33-Z33))*(H33*Info!$T$23/AA33))/X33)*(1+((J33/K33)-1)*(1-Info!$J$24))*(1+(X33-Info!$T$8)/100)+(Info!$T$11/2)+(N33*Info!$T$11)+(N33*Info!$T$14*(O33-1)),0.01)+M33,
E33=1,MROUND((((J33*Z33+K33*(AA33-Z33))*Y33)/X33)*(1+(X33-Info!$T$8)/100)+(N"&amp;"33*Info!$T$11)+(N33*Info!$T$14*(O33-1)),0.01)+M33,
AND(E33=""Final"",N33=1,FILTER(Info!$G$2:$G$20,Info!$A$2:$A$20=C33)=""Mycket svår""),
MROUND((((J33*Z33+K33*(AA33-Z33))*(Y33*Info!$T$38))/X33)*(1+(X33-Info!$T$8)/100)+(N33*Info!$T$11)+(N33*Info!$T$14*(O33"&amp;"-1)),0.01)+M33,
AND(E33=""Final"",N33=1,FILTER(Info!$G$2:$G$20,Info!$A$2:$A$20=C33)=""Svår""),
MROUND((((J33*Z33+K33*(AA33-Z33))*(Y33*Info!$T$35))/X33)*(1+(X33-Info!$T$8)/100)+(N33*Info!$T$11)+(N33*Info!$T$14*(O33-1)),0.01)+M33,
E33=""Final"",MROUND((((J3"&amp;"3*Z33+K33*(AA33-Z33))*(Y33*Info!$T$5))/X33)*(1+(X33-Info!$T$8)/100)+(N33*Info!$T$11)+(N33*Info!$T$14*(O33-1)),0.01)+M33,
OR(E33=2,E33=3),MROUND((((J33*Z33+K33*(AA33-Z33))*(Y33*Info!$T$2))/X33)*(1+(X33-Info!$T$8)/100)+(N33*Info!$T$11)+(N33*Info!$T$14*(O33-"&amp;"1)),0.01)+M33)"),0.0)</f>
        <v>0</v>
      </c>
      <c r="M33" s="48">
        <f t="shared" si="4"/>
        <v>0</v>
      </c>
      <c r="N33" s="48" t="str">
        <f>IFS(OR(COUNTIF(Info!$A$22:A81,C33)&gt;0,C33=""),"",
OR(C33="4x4 BLD",C33="5x5 BLD",C33="3x3 MBLD",C33="3x3 FMC",C33="4x4 / 5x5 BLD"),1,
AND(E33="Final",Q33="Yes",MAX(1,ROUNDUP(J33/P33))&gt;1),MAX(2,ROUNDUP(J33/P33)),
AND(E33="Final",Q33="No",MAX(1,ROUNDUP(J33/((P33*2)+2.625-Y33*1.5)))&gt;1),MAX(2,ROUNDUP(J33/((P33*2)+2.625-Y33*1.5))),
E33="Final",1,
Q33="Yes",MAX(2,ROUNDUP(J33/P33)),
TRUE,MAX(2,ROUNDUP(J33/((P33*2)+2.625-Y33*1.5))))</f>
        <v/>
      </c>
      <c r="O33" s="48" t="str">
        <f>IFS(OR(COUNTIF(Info!$A$22:A81,C33)&gt;0,C33=""),"",
OR("3x3 MBLD"=C33,"3x3 FMC"=C33)=TRUE,"",
D33=$E$4,$G$6,D33=$K$4,$M$6,D33=$Q$4,$S$6,D33=$W$4,$Y$6,
TRUE,$S$2)</f>
        <v/>
      </c>
      <c r="P33" s="48" t="str">
        <f>IFS(OR(COUNTIF(Info!$A$22:A81,C33)&gt;0,C33=""),"",
OR("3x3 MBLD"=C33,"3x3 FMC"=C33)=TRUE,"",
D33=$E$4,$E$6,D33=$K$4,$K$6,D33=$Q$4,$Q$6,D33=$W$4,$W$6,
TRUE,$Q$2)</f>
        <v/>
      </c>
      <c r="Q33" s="49" t="str">
        <f>IFS(OR(COUNTIF(Info!$A$22:A81,C33)&gt;0,C33=""),"",
OR("3x3 MBLD"=C33,"3x3 FMC"=C33)=TRUE,"",
D33=$E$4,$I$6,D33=$K$4,$O$6,D33=$Q$4,$U$6,D33=$W$4,$AA$6,
TRUE,$U$2)</f>
        <v/>
      </c>
      <c r="R33" s="50" t="str">
        <f>IFERROR(__xludf.DUMMYFUNCTION("IF(C33="""","""",IFERROR(FILTER(Info!$B$22:B81,Info!$A$22:A81=C33)+M33,""?""))"),"")</f>
        <v/>
      </c>
      <c r="S33" s="51" t="str">
        <f>IFS(OR(COUNTIF(Info!$A$22:A81,C33)&gt;0,C33=""),"",
AND(H33="",I33=""),J33,
TRUE,"?")</f>
        <v/>
      </c>
      <c r="T33" s="52" t="str">
        <f>IFS(OR(COUNTIF(Info!$A$22:A81,C33)&gt;0,C33=""),"",
AND(L33&lt;&gt;0,OR(R33="?",R33="")),"Fyll i R-kolumnen",
OR(C33="3x3 FMC",C33="3x3 MBLD"),R33,
AND(L33&lt;&gt;0,OR(S33="?",S33="")),"Fyll i S-kolumnen",
OR(COUNTIF(Info!$A$22:A81,C33)&gt;0,C33=""),"",
TRUE,Y33*R33/L33)</f>
        <v/>
      </c>
      <c r="U33" s="52"/>
      <c r="V33" s="53" t="str">
        <f>IFS(OR(COUNTIF(Info!$A$22:A81,C33)&gt;0,C33=""),"",
OR("3x3 MBLD"=C33,"3x3 FMC"=C33)=TRUE,"",
TRUE,MROUND((J33/N33),0.01))</f>
        <v/>
      </c>
      <c r="W33" s="54" t="str">
        <f>IFS(OR(COUNTIF(Info!$A$22:A81,C33)&gt;0,C33=""),"",
TRUE,L33/N33)</f>
        <v/>
      </c>
      <c r="X33" s="55" t="str">
        <f>IFS(OR(COUNTIF(Info!$A$22:A81,C33)&gt;0,C33=""),"",
OR("3x3 MBLD"=C33,"3x3 FMC"=C33)=TRUE,"",
OR(C33="4x4 BLD",C33="5x5 BLD",C33="4x4 / 5x5 BLD",AND(C33="3x3 BLD",H33&lt;&gt;""))=TRUE,MIN(V33,P33),
TRUE,MIN(P33,V33,MROUND(((V33*2/3)+((Y33-1.625)/2)),0.01)))</f>
        <v/>
      </c>
      <c r="Y33" s="56" t="str">
        <f>IFERROR(__xludf.DUMMYFUNCTION("IFS(OR(COUNTIF(Info!$A$22:A81,C33)&gt;0,C33=""""),"""",
FILTER(Info!$F$2:F81, Info!$A$2:A81 = C33) = ""Yes"",H33/AA33,
""3x3 FMC""=C33,Info!$B$9,""3x3 MBLD""=C33,Info!$B$18,
AND(E33=1,I33="""",H33="""",Q33=""No"",G33&gt;SUMIF(Info!$A$2:A81,C33,Info!$B$2:B81)*1."&amp;"5),
MIN(SUMIF(Info!$A$2:A81,C33,Info!$B$2:B81)*1.1,SUMIF(Info!$A$2:A81,C33,Info!$B$2:B81)*(1.15-(0.15*(SUMIF(Info!$A$2:A81,C33,Info!$B$2:B81)*1.5)/G33))),
AND(E33=1,I33="""",H33="""",Q33=""Yes"",G33&gt;SUMIF(Info!$A$2:A81,C33,Info!$C$2:C81)*1.5),
MIN(SUMIF(I"&amp;"nfo!$A$2:A81,C33,Info!$C$2:C81)*1.1,SUMIF(Info!$A$2:A81,C33,Info!$C$2:C81)*(1.15-(0.15*(SUMIF(Info!$A$2:A81,C33,Info!$C$2:C81)*1.5)/G33))),
Q33=""No"",SUMIF(Info!$A$2:A81,C33,Info!$B$2:B81),
Q33=""Yes"",SUMIF(Info!$A$2:A81,C33,Info!$C$2:C81))"),"")</f>
        <v/>
      </c>
      <c r="Z33" s="57" t="str">
        <f>IFS(OR(COUNTIF(Info!$A$22:A81,C33)&gt;0,C33=""),"",
AND(OR("3x3 FMC"=C33,"3x3 MBLD"=C33),I33&lt;&gt;""),1,
AND(OR(H33&lt;&gt;"",I33&lt;&gt;""),F33="Avg of 5"),2,
F33="Avg of 5",AA33,
AND(OR(H33&lt;&gt;"",I33&lt;&gt;""),F33="Mean of 3",C33="6x6 / 7x7"),2,
AND(OR(H33&lt;&gt;"",I33&lt;&gt;""),F33="Mean of 3"),1,
F33="Mean of 3",AA33,
AND(OR(H33&lt;&gt;"",I33&lt;&gt;""),F33="Best of 3",C33="4x4 / 5x5 BLD"),2,
AND(OR(H33&lt;&gt;"",I33&lt;&gt;""),F33="Best of 3"),1,
F33="Best of 2",AA33,
F33="Best of 1",AA33)</f>
        <v/>
      </c>
      <c r="AA33" s="57" t="str">
        <f>IFS(OR(COUNTIF(Info!$A$22:A81,C33)&gt;0,C33=""),"",
AND(OR("3x3 MBLD"=C33,"3x3 FMC"=C33),F33="Best of 1"=TRUE),1,
AND(OR("3x3 MBLD"=C33,"3x3 FMC"=C33),F33="Best of 2"=TRUE),2,
AND(OR("3x3 MBLD"=C33,"3x3 FMC"=C33),OR(F33="Best of 3",F33="Mean of 3")=TRUE),3,
AND(F33="Mean of 3",C33="6x6 / 7x7"),6,
AND(F33="Best of 3",C33="4x4 / 5x5 BLD"),6,
F33="Avg of 5",5,F33="Mean of 3",3,F33="Best of 3",3,F33="Best of 2",2,F33="Best of 1",1)</f>
        <v/>
      </c>
      <c r="AB33" s="58"/>
    </row>
    <row r="34">
      <c r="A34" s="40">
        <f>IFERROR(__xludf.DUMMYFUNCTION("IFS(indirect(""A""&amp;row()-1)=""Start"",TIME(indirect(""A""&amp;row()-2),indirect(""B""&amp;row()-2),0),
$O$2=""No"",TIME(0,($A$6*60+$B$6)+CEILING(SUM($L$7:indirect(""L""&amp;row()-1)),5),0),
D34=$E$2,TIME(0,($A$6*60+$B$6)+CEILING(SUM(IFERROR(FILTER($L$7:indirect(""L"""&amp;"&amp;row()-1),REGEXMATCH($D$7:indirect(""D""&amp;row()-1),$E$2)),0)),5),0),
TRUE,""=time(hh;mm;ss)"")"),0.375)</f>
        <v>0.375</v>
      </c>
      <c r="B34" s="41">
        <f>IFERROR(__xludf.DUMMYFUNCTION("IFS($O$2=""No"",TIME(0,($A$6*60+$B$6)+CEILING(SUM($L$7:indirect(""L""&amp;row())),5),0),
D34=$E$2,TIME(0,($A$6*60+$B$6)+CEILING(SUM(FILTER($L$7:indirect(""L""&amp;row()),REGEXMATCH($D$7:indirect(""D""&amp;row()),$E$2))),5),0),
A34=""=time(hh;mm;ss)"",CONCATENATE(""Sk"&amp;"riv tid i A""&amp;row()),
AND(A34&lt;&gt;"""",A34&lt;&gt;""=time(hh;mm;ss)""),A34+TIME(0,CEILING(indirect(""L""&amp;row()),5),0))"),0.375)</f>
        <v>0.375</v>
      </c>
      <c r="C34" s="42"/>
      <c r="D34" s="43" t="str">
        <f t="shared" si="3"/>
        <v>Stora salen</v>
      </c>
      <c r="E34" s="43" t="str">
        <f>IFERROR(__xludf.DUMMYFUNCTION("IFS(COUNTIF(Info!$A$22:A81,C34)&gt;0,"""",
AND(OR(""3x3 FMC""=C34,""3x3 MBLD""=C34),COUNTIF($C$7:indirect(""C""&amp;row()),indirect(""C""&amp;row()))&gt;=13),""E - Error"",
AND(OR(""3x3 FMC""=C34,""3x3 MBLD""=C34),COUNTIF($C$7:indirect(""C""&amp;row()),indirect(""C""&amp;row()"&amp;"))=12),""Final - A3"",
AND(OR(""3x3 FMC""=C34,""3x3 MBLD""=C34),COUNTIF($C$7:indirect(""C""&amp;row()),indirect(""C""&amp;row()))=11),""Final - A2"",
AND(OR(""3x3 FMC""=C34,""3x3 MBLD""=C34),COUNTIF($C$7:indirect(""C""&amp;row()),indirect(""C""&amp;row()))=10),""Final - "&amp;"A1"",
AND(OR(""3x3 FMC""=C34,""3x3 MBLD""=C34),COUNTIF($C$7:indirect(""C""&amp;row()),indirect(""C""&amp;row()))=9,
COUNTIF($C$7:$C$61,indirect(""C""&amp;row()))&gt;9),""R3 - A3"",
AND(OR(""3x3 FMC""=C34,""3x3 MBLD""=C34),COUNTIF($C$7:indirect(""C""&amp;row()),indirect(""C"&amp;"""&amp;row()))=9,
COUNTIF($C$7:$C$61,indirect(""C""&amp;row()))&lt;=9),""Final - A3"",
AND(OR(""3x3 FMC""=C34,""3x3 MBLD""=C34),COUNTIF($C$7:indirect(""C""&amp;row()),indirect(""C""&amp;row()))=8,
COUNTIF($C$7:$C$61,indirect(""C""&amp;row()))&gt;9),""R3 - A2"",
AND(OR(""3x3 FMC""="&amp;"C34,""3x3 MBLD""=C34),COUNTIF($C$7:indirect(""C""&amp;row()),indirect(""C""&amp;row()))=8,
COUNTIF($C$7:$C$61,indirect(""C""&amp;row()))&lt;=9),""Final - A2"",
AND(OR(""3x3 FMC""=C34,""3x3 MBLD""=C34),COUNTIF($C$7:indirect(""C""&amp;row()),indirect(""C""&amp;row()))=7,
COUNTIF("&amp;"$C$7:$C$61,indirect(""C""&amp;row()))&gt;9),""R3 - A1"",
AND(OR(""3x3 FMC""=C34,""3x3 MBLD""=C34),COUNTIF($C$7:indirect(""C""&amp;row()),indirect(""C""&amp;row()))=7,
COUNTIF($C$7:$C$61,indirect(""C""&amp;row()))&lt;=9),""Final - A1"",
AND(OR(""3x3 FMC""=C34,""3x3 MBLD""=C34),"&amp;"COUNTIF($C$7:indirect(""C""&amp;row()),indirect(""C""&amp;row()))=6,
COUNTIF($C$7:$C$61,indirect(""C""&amp;row()))&gt;6),""R2 - A3"",
AND(OR(""3x3 FMC""=C34,""3x3 MBLD""=C34),COUNTIF($C$7:indirect(""C""&amp;row()),indirect(""C""&amp;row()))=6,
COUNTIF($C$7:$C$61,indirect(""C""&amp;"&amp;"row()))&lt;=6),""Final - A3"",
AND(OR(""3x3 FMC""=C34,""3x3 MBLD""=C34),COUNTIF($C$7:indirect(""C""&amp;row()),indirect(""C""&amp;row()))=5,
COUNTIF($C$7:$C$61,indirect(""C""&amp;row()))&gt;6),""R2 - A2"",
AND(OR(""3x3 FMC""=C34,""3x3 MBLD""=C34),COUNTIF($C$7:indirect(""C"&amp;"""&amp;row()),indirect(""C""&amp;row()))=5,
COUNTIF($C$7:$C$61,indirect(""C""&amp;row()))&lt;=6),""Final - A2"",
AND(OR(""3x3 FMC""=C34,""3x3 MBLD""=C34),COUNTIF($C$7:indirect(""C""&amp;row()),indirect(""C""&amp;row()))=4,
COUNTIF($C$7:$C$61,indirect(""C""&amp;row()))&gt;6),""R2 - A1"&amp;""",
AND(OR(""3x3 FMC""=C34,""3x3 MBLD""=C34),COUNTIF($C$7:indirect(""C""&amp;row()),indirect(""C""&amp;row()))=4,
COUNTIF($C$7:$C$61,indirect(""C""&amp;row()))&lt;=6),""Final - A1"",
AND(OR(""3x3 FMC""=C34,""3x3 MBLD""=C34),COUNTIF($C$7:indirect(""C""&amp;row()),indirect("""&amp;"C""&amp;row()))=3),""R1 - A3"",
AND(OR(""3x3 FMC""=C34,""3x3 MBLD""=C34),COUNTIF($C$7:indirect(""C""&amp;row()),indirect(""C""&amp;row()))=2),""R1 - A2"",
AND(OR(""3x3 FMC""=C34,""3x3 MBLD""=C34),COUNTIF($C$7:indirect(""C""&amp;row()),indirect(""C""&amp;row()))=1),""R1 -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C34),ROUNDUP((FILTER(Info!$H$2:H81,Info!$A$2:A81=C34)/FILTER(Info!$H$2:H81,Info!$A$2:A81=$K$2))*$I$2)&gt;99),3,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C34),ROUNDUP((FILTER(Info!$H$2:H81,Info!$A$2:A81=C34)/FILTER(Info!$H$2:H81,Info!$A$2:A81=$K$2))*$I$2)&gt;15),2,
AND(COUNTIF($C$7:indirect(""C""&amp;row()),indirect(""C""&amp;row()))=2,COUNTIF($C$7:$C$61,indirect(""C""&amp;row()))=COUNTIF($C$7:indirect("""&amp;"C""&amp;row()),indirect(""C""&amp;row()))),""Final"",
COUNTIF($C$7:indirect(""C""&amp;row()),indirect(""C""&amp;row()))=1,1,
COUNTIF($C$7:indirect(""C""&amp;row()),indirect(""C""&amp;row()))=0,"""")"),"")</f>
        <v/>
      </c>
      <c r="F34" s="44" t="str">
        <f>IFERROR(__xludf.DUMMYFUNCTION("IFS(C34="""","""",
AND(C34=""3x3 FMC"",MOD(COUNTIF($C$7:indirect(""C""&amp;row()),indirect(""C""&amp;row())),3)=0),""Mean of 3"",
AND(C34=""3x3 MBLD"",MOD(COUNTIF($C$7:indirect(""C""&amp;row()),indirect(""C""&amp;row())),3)=0),""Best of 3"",
AND(C34=""3x3 FMC"",MOD(COUNT"&amp;"IF($C$7:indirect(""C""&amp;row()),indirect(""C""&amp;row())),3)=2,
COUNTIF($C$7:$C$61,indirect(""C""&amp;row()))&lt;=COUNTIF($C$7:indirect(""C""&amp;row()),indirect(""C""&amp;row()))),""Best of 2"",
AND(C34=""3x3 FMC"",MOD(COUNTIF($C$7:indirect(""C""&amp;row()),indirect(""C""&amp;row()"&amp;")),3)=2,
COUNTIF($C$7:$C$61,indirect(""C""&amp;row()))&gt;COUNTIF($C$7:indirect(""C""&amp;row()),indirect(""C""&amp;row()))),""Mean of 3"",
AND(C34=""3x3 MBLD"",MOD(COUNTIF($C$7:indirect(""C""&amp;row()),indirect(""C""&amp;row())),3)=2,
COUNTIF($C$7:$C$61,indirect(""C""&amp;row()))"&amp;"&lt;=COUNTIF($C$7:indirect(""C""&amp;row()),indirect(""C""&amp;row()))),""Best of 2"",
AND(C34=""3x3 MBLD"",MOD(COUNTIF($C$7:indirect(""C""&amp;row()),indirect(""C""&amp;row())),3)=2,
COUNTIF($C$7:$C$61,indirect(""C""&amp;row()))&gt;COUNTIF($C$7:indirect(""C""&amp;row()),indirect(""C"&amp;"""&amp;row()))),""Best of 3"",
AND(C34=""3x3 FMC"",MOD(COUNTIF($C$7:indirect(""C""&amp;row()),indirect(""C""&amp;row())),3)=1,
COUNTIF($C$7:$C$61,indirect(""C""&amp;row()))&lt;=COUNTIF($C$7:indirect(""C""&amp;row()),indirect(""C""&amp;row()))),""Best of 1"",
AND(C34=""3x3 FMC"",MOD"&amp;"(COUNTIF($C$7:indirect(""C""&amp;row()),indirect(""C""&amp;row())),3)=1,
COUNTIF($C$7:$C$61,indirect(""C""&amp;row()))=COUNTIF($C$7:indirect(""C""&amp;row()),indirect(""C""&amp;row()))+1),""Best of 2"",
AND(C34=""3x3 FMC"",MOD(COUNTIF($C$7:indirect(""C""&amp;row()),indirect(""C"&amp;"""&amp;row())),3)=1,
COUNTIF($C$7:$C$61,indirect(""C""&amp;row()))&gt;COUNTIF($C$7:indirect(""C""&amp;row()),indirect(""C""&amp;row()))),""Mean of 3"",
AND(C34=""3x3 MBLD"",MOD(COUNTIF($C$7:indirect(""C""&amp;row()),indirect(""C""&amp;row())),3)=1,
COUNTIF($C$7:$C$61,indirect(""C"""&amp;"&amp;row()))&lt;=COUNTIF($C$7:indirect(""C""&amp;row()),indirect(""C""&amp;row()))),""Best of 1"",
AND(C34=""3x3 MBLD"",MOD(COUNTIF($C$7:indirect(""C""&amp;row()),indirect(""C""&amp;row())),3)=1,
COUNTIF($C$7:$C$61,indirect(""C""&amp;row()))=COUNTIF($C$7:indirect(""C""&amp;row()),indir"&amp;"ect(""C""&amp;row()))+1),""Best of 2"",
AND(C34=""3x3 MBLD"",MOD(COUNTIF($C$7:indirect(""C""&amp;row()),indirect(""C""&amp;row())),3)=1,
COUNTIF($C$7:$C$61,indirect(""C""&amp;row()))&gt;COUNTIF($C$7:indirect(""C""&amp;row()),indirect(""C""&amp;row()))),""Best of 3"",
TRUE,(IFERROR("&amp;"FILTER(Info!$D$2:D81, Info!$A$2:A81 = C34), """")))"),"")</f>
        <v/>
      </c>
      <c r="G34" s="45" t="str">
        <f>IFERROR(__xludf.DUMMYFUNCTION("IFS(OR(COUNTIF(Info!$A$22:A81,C34)&gt;0,C34=""""),"""",
OR(""3x3 MBLD""=C34,""3x3 FMC""=C34),60,
AND(E34=1,FILTER(Info!$F$2:F81, Info!$A$2:A81 = C34) = ""No""),FILTER(Info!$P$2:P81, Info!$A$2:A81 = C34),
AND(E34=2,FILTER(Info!$F$2:F81, Info!$A$2:A81 = C34) ="&amp;" ""No""),FILTER(Info!$Q$2:Q81, Info!$A$2:A81 = C34),
AND(E34=3,FILTER(Info!$F$2:F81, Info!$A$2:A81 = C34) = ""No""),FILTER(Info!$R$2:R81, Info!$A$2:A81 = C34),
AND(E34=""Final"",FILTER(Info!$F$2:F81, Info!$A$2:A81 = C34) = ""No""),FILTER(Info!$S$2:S81, In"&amp;"fo!$A$2:A81 = C34),
FILTER(Info!$F$2:F81, Info!$A$2:A81 = C34) = ""Yes"","""")"),"")</f>
        <v/>
      </c>
      <c r="H34" s="45" t="str">
        <f>IFERROR(__xludf.DUMMYFUNCTION("IFS(OR(COUNTIF(Info!$A$22:A81,C34)&gt;0,C34=""""),"""",
OR(""3x3 MBLD""=C34,""3x3 FMC""=C34)=TRUE,"""",
FILTER(Info!$F$2:F81, Info!$A$2:A81 = C34) = ""Yes"",FILTER(Info!$O$2:O81, Info!$A$2:A81 = C34),
FILTER(Info!$F$2:F81, Info!$A$2:A81 = C34) = ""No"",IF(G3"&amp;"4="""",FILTER(Info!$O$2:O81, Info!$A$2:A81 = C34),""""))"),"")</f>
        <v/>
      </c>
      <c r="I34" s="45" t="str">
        <f>IFERROR(__xludf.DUMMYFUNCTION("IFS(OR(COUNTIF(Info!$A$22:A81,C34)&gt;0,C34="""",H34&lt;&gt;""""),"""",
AND(E34&lt;&gt;1,E34&lt;&gt;""R1 - A1"",E34&lt;&gt;""R1 - A2"",E34&lt;&gt;""R1 - A3""),"""",
FILTER(Info!$E$2:E81, Info!$A$2:A81 = C34) = ""Yes"",IF(H34="""",FILTER(Info!$L$2:L81, Info!$A$2:A81 = C34),""""),
FILTER(I"&amp;"nfo!$E$2:E81, Info!$A$2:A81 = C34) = ""No"","""")"),"")</f>
        <v/>
      </c>
      <c r="J34" s="45" t="str">
        <f>IFERROR(__xludf.DUMMYFUNCTION("IFS(OR(COUNTIF(Info!$A$22:A81,C34)&gt;0,C34="""",""3x3 MBLD""=C34,""3x3 FMC""=C34),"""",
AND(E34=1,FILTER(Info!$H$2:H81,Info!$A$2:A81 = C34)&lt;=FILTER(Info!$H$2:H81,Info!$A$2:A81=$K$2)),
ROUNDUP((FILTER(Info!$H$2:H81,Info!$A$2:A81 = C34)/FILTER(Info!$H$2:H81,I"&amp;"nfo!$A$2:A81=$K$2))*$I$2),
AND(E34=1,FILTER(Info!$H$2:H81,Info!$A$2:A81 = C34)&gt;FILTER(Info!$H$2:H81,Info!$A$2:A81=$K$2)),""K2 - Error"",
AND(E34=2,FILTER($J$7:indirect(""J""&amp;row()-1),$C$7:indirect(""C""&amp;row()-1)=C34)&lt;=7),""J - Error"",
E34=2,FLOOR(FILTER("&amp;"$J$7:indirect(""J""&amp;row()-1),$C$7:indirect(""C""&amp;row()-1)=C34)*Info!$T$32),
AND(E34=3,FILTER($J$7:indirect(""J""&amp;row()-1),$C$7:indirect(""C""&amp;row()-1)=C34)&lt;=15),""J - Error"",
E34=3,FLOOR(Info!$T$32*FLOOR(FILTER($J$7:indirect(""J""&amp;row()-1),$C$7:indirect("&amp;"""C""&amp;row()-1)=C34)*Info!$T$32)),
AND(E34=""Final"",COUNTIF($C$7:$C$61,C34)=2,FILTER($J$7:indirect(""J""&amp;row()-1),$C$7:indirect(""C""&amp;row()-1)=C34)&lt;=7),""J - Error"",
AND(E34=""Final"",COUNTIF($C$7:$C$61,C34)=2),
MIN(P34,FLOOR(FILTER($J$7:indirect(""J""&amp;r"&amp;"ow()-1),$C$7:indirect(""C""&amp;row()-1)=C34)*Info!$T$32)),
AND(E34=""Final"",COUNTIF($C$7:$C$61,C34)=3,FILTER($J$7:indirect(""J""&amp;row()-1),$C$7:indirect(""C""&amp;row()-1)=C34)&lt;=15),""J - Error"",
AND(E34=""Final"",COUNTIF($C$7:$C$61,C34)=3),
MIN(P34,FLOOR(Info!"&amp;"$T$32*FLOOR(FILTER($J$7:indirect(""J""&amp;row()-1),$C$7:indirect(""C""&amp;row()-1)=C34)*Info!$T$32))),
AND(E34=""Final"",COUNTIF($C$7:$C$61,C34)&gt;=4,FILTER($J$7:indirect(""J""&amp;row()-1),$C$7:indirect(""C""&amp;row()-1)=C34)&lt;=99),""J - Error"",
AND(E34=""Final"",COUNT"&amp;"IF($C$7:$C$61,C34)&gt;=4),
MIN(P34,FLOOR(Info!$T$32*FLOOR(Info!$T$32*FLOOR(FILTER($J$7:indirect(""J""&amp;row()-1),$C$7:indirect(""C""&amp;row()-1)=C34)*Info!$T$32)))))"),"")</f>
        <v/>
      </c>
      <c r="K34" s="46" t="str">
        <f>IFERROR(__xludf.DUMMYFUNCTION("IFS(AND(indirect(""D""&amp;row()+2)&lt;&gt;$E$2,indirect(""D""&amp;row()+1)=""""),CONCATENATE(""Tom rad! Kopiera hela rad ""&amp;row()&amp;"" dit""),
AND(indirect(""D""&amp;row()-1)&lt;&gt;""Rum"",indirect(""D""&amp;row()-1)=""""),CONCATENATE(""Tom rad! Kopiera hela rad ""&amp;row()&amp;"" dit""),
"&amp;"C34="""","""",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OR(AND(D34&lt;&gt;$E$2,D34&lt;&gt;$E$4,D34&lt;&gt;$K$4,D34&lt;&gt;$Q$4),D34="&amp;"""""),CONCATENATE(""Rum: ""&amp;D34&amp;"" finns ej, byt i D""&amp;row()),
AND(indirect(""D""&amp;row()-1)=""Rum"",C34=""""),CONCATENATE(""För att börja: skriv i cell C""&amp;row()),
AND(C34=""Paus"",M34&lt;=0),CONCATENATE(""Skriv pausens längd i M""&amp;row()),
OR(COUNTIF(Info!$A$"&amp;"22:A81,C34)&gt;0,C34=""""),"""",
AND(D34&lt;&gt;$E$2,$O$2=""Yes"",A34=""=time(hh;mm;ss)""),CONCATENATE(""Skriv starttid för ""&amp;C34&amp;"" i A""&amp;row()),
E34=""E - Error"",CONCATENATE(""För många ""&amp;C34&amp;"" rundor!""),
AND(C34&lt;&gt;""3x3 FMC"",C34&lt;&gt;""3x3 MBLD"",E34&lt;&gt;1,E34&lt;&gt;"&amp;"""Final"",IFERROR(FILTER($E$7:indirect(""E""&amp;row()-1),
$E$7:indirect(""E""&amp;row()-1)=E34-1,$C$7:indirect(""C""&amp;row()-1)=C34))=FALSE),CONCATENATE(""Kan ej vara R""&amp;E34&amp;"", saknar R""&amp;(E34-1)),
AND(indirect(""E""&amp;row()-1)&lt;&gt;""Omgång"",IFERROR(FILTER($E$7:indi"&amp;"rect(""E""&amp;row()-1),
$E$7:indirect(""E""&amp;row()-1)=E34,$C$7:indirect(""C""&amp;row()-1)=C34)=E34)=TRUE),CONCATENATE(""Runda ""&amp;E34&amp;"" i ""&amp;C34&amp;"" finns redan""),
AND(C34&lt;&gt;""3x3 BLD"",C34&lt;&gt;""4x4 BLD"",C34&lt;&gt;""5x5 BLD"",C34&lt;&gt;""4x4 / 5x5 BLD"",OR(E34=2,E34=3,E34="&amp;"""Final""),H34&lt;&gt;""""),CONCATENATE(E34&amp;""-rundor brukar ej ha c.t.l.""),
AND(OR(E34=2,E34=3,E34=""Final""),I34&lt;&gt;""""),CONCATENATE(E34&amp;""-rundor brukar ej ha cutoff""),
AND(OR(C34=""3x3 FMC"",C34=""3x3 MBLD""),OR(E34=1,E34=2,E34=3,E34=""Final"")),CONCATENAT"&amp;"E(C34&amp;""s omgång är Rx - Ax""),
AND(C34&lt;&gt;""3x3 MBLD"",C34&lt;&gt;""3x3 FMC"",FILTER(Info!$D$2:D81, Info!$A$2:A81 = C34)&lt;&gt;F34),CONCATENATE(C34&amp;"" måste ha formatet ""&amp;FILTER(Info!$D$2:D81, Info!$A$2:A81 = C34)),
AND(C34=""3x3 MBLD"",OR(F34=""Avg of 5"",F34=""Mea"&amp;"n of 3"")),CONCATENATE(""Ogiltigt format för ""&amp;C34),
AND(C34=""3x3 FMC"",OR(F34=""Avg of 5"",F34=""Best of 3"")),CONCATENATE(""Ogiltigt format för ""&amp;C34),
AND(OR(F34=""Best of 1"",F34=""Best of 2"",F34=""Best of 3""),I34&lt;&gt;""""),CONCATENATE(F34&amp;""-rundor"&amp;" får ej ha cutoff""),
AND(OR(C34=""3x3 FMC"",C34=""3x3 MBLD""),G34&lt;&gt;60),CONCATENATE(C34&amp;"" måste ha time limit: 60""),
AND(OR(C34=""3x3 FMC"",C34=""3x3 MBLD""),H34&lt;&gt;""""),CONCATENATE(C34&amp;"" kan inte ha c.t.l.""),
AND(G34&lt;&gt;"""",H34&lt;&gt;""""),""Välj time limit"&amp;" ELLER c.t.l"",
AND(C34=""6x6 / 7x7"",G34="""",H34=""""),""Sätt time limit (x / y) eller c.t.l (z)"",
AND(G34="""",H34=""""),""Sätt en time limit eller c.t.l"",
AND(OR(C34=""6x6 / 7x7"",C34=""4x4 / 5x5 BLD""),G34&lt;&gt;"""",REGEXMATCH(TO_TEXT(G34),"" / "")=FAL"&amp;"SE),CONCATENATE(""Time limit måste vara x / y""),
AND(H34&lt;&gt;"""",I34&lt;&gt;""""),CONCATENATE(C34&amp;"" brukar ej ha cutoff OCH c.t.l""),
AND(E34=1,H34="""",I34="""",OR(FILTER(Info!$E$2:E81, Info!$A$2:A81 = C34) = ""Yes"",FILTER(Info!$F$2:F81, Info!$A$2:A81 = C34) "&amp;"= ""Yes""),OR(F34=""Avg of 5"",F34=""Mean of 3"")),CONCATENATE(C34&amp;"" bör ha cutoff eller c.t.l""),
AND(C34=""6x6 / 7x7"",I34&lt;&gt;"""",REGEXMATCH(TO_TEXT(I34),"" / "")=FALSE),CONCATENATE(""Cutoff måste vara x / y""),
AND(H34&lt;&gt;"""",ISNUMBER(H34)=FALSE),""C.t."&amp;"l. måste vara positivt tal (x)"",
AND(C34&lt;&gt;""6x6 / 7x7"",I34&lt;&gt;"""",ISNUMBER(I34)=FALSE),""Cutoff måste vara positivt tal (x)"",
AND(H34&lt;&gt;"""",FILTER(Info!$E$2:E81, Info!$A$2:A81 = C34) = ""No"",FILTER(Info!$F$2:F81, Info!$A$2:A81 = C34) = ""No""),CONCATEN"&amp;"ATE(C34&amp;"" brukar inte ha c.t.l.""),
AND(I34&lt;&gt;"""",FILTER(Info!$E$2:E81, Info!$A$2:A81 = C34) = ""No"",FILTER(Info!$F$2:F81, Info!$A$2:A81 = C34) = ""No""),CONCATENATE(C34&amp;"" brukar inte ha cutoff""),
AND(H34="""",FILTER(Info!$F$2:F81, Info!$A$2:A81 = C34"&amp;") = ""Yes""),CONCATENATE(C34&amp;"" brukar ha c.t.l.""),
AND(C34&lt;&gt;""6x6 / 7x7"",C34&lt;&gt;""4x4 / 5x5 BLD"",G34&lt;&gt;"""",ISNUMBER(G34)=FALSE),""Time limit måste vara positivt tal (x)"",
J34=""J - Error"",CONCATENATE(""För få deltagare i R1 för ""&amp;COUNTIF($C$7:$C$61,i"&amp;"ndirect(""C""&amp;row()))&amp;"" rundor""),
J34=""K2 - Error"",CONCATENATE(C34&amp;"" är mer populär - byt i K2!""),
AND(C34&lt;&gt;""6x6 / 7x7"",C34&lt;&gt;""4x4 / 5x5 BLD"",G34&lt;&gt;"""",I34&lt;&gt;"""",G34&lt;=I34),""Time limit måste vara &gt; cutoff"",
AND(C34&lt;&gt;""6x6 / 7x7"",C34&lt;&gt;""4x4 / 5x"&amp;"5 BLD"",H34&lt;&gt;"""",I34&lt;&gt;"""",H34&lt;=I34),""C.t.l. måste vara &gt; cutoff"",
AND(C34&lt;&gt;""3x3 FMC"",C34&lt;&gt;""3x3 MBLD"",J34=""""),CONCATENATE(""Fyll i antal deltagare i J""&amp;row()),
AND(C34="""",OR(E34&lt;&gt;"""",F34&lt;&gt;"""",G34&lt;&gt;"""",H34&lt;&gt;"""",I34&lt;&gt;"""",J34&lt;&gt;"""")),""Skriv"&amp;" ALLTID gren / aktivitet först"",
AND(I34="""",H34="""",J34&lt;&gt;""""),J34,
OR(""3x3 FMC""=C34,""3x3 MBLD""=C34),J34,
AND(I34&lt;&gt;"""",""6x6 / 7x7""=C34),
IFS(ArrayFormula(SUM(IFERROR(SPLIT(I34,"" / ""))))&lt;(Info!$J$6+Info!$J$7)*2/3,CONCATENATE(""Höj helst cutoff"&amp;"s i ""&amp;C34),
ArrayFormula(SUM(IFERROR(SPLIT(I34,"" / ""))))&lt;=(Info!$J$6+Info!$J$7),ROUNDUP(J34*Info!$J$22),
ArrayFormula(SUM(IFERROR(SPLIT(I34,"" / ""))))&lt;=Info!$J$6+Info!$J$7,ROUNDUP(J34*Info!$K$22),
ArrayFormula(SUM(IFERROR(SPLIT(I34,"" / ""))))&lt;=Info!$"&amp;"K$6+Info!$K$7,ROUNDUP(J34*Info!L$22),
ArrayFormula(SUM(IFERROR(SPLIT(I34,"" / ""))))&lt;=Info!$L$6+Info!$L$7,ROUNDUP(J34*Info!$M$22),
ArrayFormula(SUM(IFERROR(SPLIT(I34,"" / ""))))&lt;=Info!$M$6+Info!$M$7,ROUNDUP(J34*Info!$N$22),
ArrayFormula(SUM(IFERROR(SPLIT("&amp;"I34,"" / ""))))&lt;=(Info!$N$6+Info!$N$7)*3/2,ROUNDUP(J34*Info!$J$26),
ArrayFormula(SUM(IFERROR(SPLIT(I34,"" / ""))))&gt;(Info!$N$6+Info!$N$7)*3/2,CONCATENATE(""Sänk helst cutoffs i ""&amp;C34)),
AND(I34&lt;&gt;"""",FILTER(Info!$E$2:E81, Info!$A$2:A81 = C34) = ""Yes""),
"&amp;"IFS(I34&lt;FILTER(Info!$J$2:J81, Info!$A$2:A81 = C34)*2/3,CONCATENATE(""Höj helst cutoff i ""&amp;C34),
I34&lt;=FILTER(Info!$J$2:J81, Info!$A$2:A81 = C34),ROUNDUP(J34*Info!$J$22),
I34&lt;=FILTER(Info!$K$2:K81, Info!$A$2:A81 = C34),ROUNDUP(J34*Info!$K$22),
I34&lt;=FILTER("&amp;"Info!$L$2:L81, Info!$A$2:A81 = C34),ROUNDUP(J34*Info!L$22),
I34&lt;=FILTER(Info!$M$2:M81, Info!$A$2:A81 = C34),ROUNDUP(J34*Info!$M$22),
I34&lt;=FILTER(Info!$N$2:N81, Info!$A$2:A81 = C34),ROUNDUP(J34*Info!$N$22),
I34&lt;=FILTER(Info!$N$2:N81, Info!$A$2:A81 = C34)*3"&amp;"/2,ROUNDUP(J34*Info!$J$26),
I34&gt;FILTER(Info!$N$2:N81, Info!$A$2:A81 = C34)*3/2,CONCATENATE(""Sänk helst cutoff i ""&amp;C34)),
AND(H34&lt;&gt;"""",""6x6 / 7x7""=C34),
IFS(H34/3&lt;=(Info!$J$6+Info!$J$7)*2/3,""Höj helst cumulative time limit"",
H34/3&lt;=Info!$J$6+Info!$J"&amp;"$7,ROUNDUP(J34*Info!$J$24),
H34/3&lt;=Info!$K$6+Info!$K$7,ROUNDUP(J34*Info!$K$24),
H34/3&lt;=Info!$L$6+Info!$L$7,ROUNDUP(J34*Info!L$24),
H34/3&lt;=Info!$M$6+Info!$M$7,ROUNDUP(J34*Info!$M$24),
H34/3&lt;=Info!$N$6+Info!$N$7,ROUNDUP(J34*Info!$N$24),
H34/3&lt;=(Info!$N$6+In"&amp;"fo!$N$7)*3/2,ROUNDUP(J34*Info!$L$26),
H34/3&gt;(Info!$J$6+Info!$J$7)*3/2,""Sänk helst cumulative time limit""),
AND(H34&lt;&gt;"""",FILTER(Info!$F$2:F81, Info!$A$2:A81 = C34) = ""Yes""),
IFS(H34&lt;=FILTER(Info!$J$2:J81, Info!$A$2:A81 = C34)*2/3,CONCATENATE(""Höj hel"&amp;"st c.t.l. i ""&amp;C34),
H34&lt;=FILTER(Info!$J$2:J81, Info!$A$2:A81 = C34),ROUNDUP(J34*Info!$J$24),
H34&lt;=FILTER(Info!$K$2:K81, Info!$A$2:A81 = C34),ROUNDUP(J34*Info!$K$24),
H34&lt;=FILTER(Info!$L$2:L81, Info!$A$2:A81 = C34),ROUNDUP(J34*Info!L$24),
H34&lt;=FILTER(Info"&amp;"!$M$2:M81, Info!$A$2:A81 = C34),ROUNDUP(J34*Info!$M$24),
H34&lt;=FILTER(Info!$N$2:N81, Info!$A$2:A81 = C34),ROUNDUP(J34*Info!$N$24),
H34&lt;=FILTER(Info!$N$2:N81, Info!$A$2:A81 = C34)*3/2,ROUNDUP(J34*Info!$L$26),
H34&gt;FILTER(Info!$N$2:N81, Info!$A$2:A81 = C34)*3"&amp;"/2,CONCATENATE(""Sänk helst c.t.l. i ""&amp;C34)),
AND(H34&lt;&gt;"""",FILTER(Info!$F$2:F81, Info!$A$2:A81 = C34) = ""No""),
IFS(H34/AA34&lt;=FILTER(Info!$J$2:J81, Info!$A$2:A81 = C34)*2/3,CONCATENATE(""Höj helst c.t.l. i ""&amp;C34),
H34/AA34&lt;=FILTER(Info!$J$2:J81, Info!"&amp;"$A$2:A81 = C34),ROUNDUP(J34*Info!$J$24),
H34/AA34&lt;=FILTER(Info!$K$2:K81, Info!$A$2:A81 = C34),ROUNDUP(J34*Info!$K$24),
H34/AA34&lt;=FILTER(Info!$L$2:L81, Info!$A$2:A81 = C34),ROUNDUP(J34*Info!L$24),
H34/AA34&lt;=FILTER(Info!$M$2:M81, Info!$A$2:A81 = C34),ROUNDU"&amp;"P(J34*Info!$M$24),
H34/AA34&lt;=FILTER(Info!$N$2:N81, Info!$A$2:A81 = C34),ROUNDUP(J34*Info!$N$24),
H34/AA34&lt;=FILTER(Info!$N$2:N81, Info!$A$2:A81 = C34)*3/2,ROUNDUP(J34*Info!$L$26),
H34/AA34&gt;FILTER(Info!$N$2:N81, Info!$A$2:A81 = C34)*3/2,CONCATENATE(""Sänk h"&amp;"elst c.t.l. i ""&amp;C34)),
AND(I34="""",H34&lt;&gt;"""",J34&lt;&gt;""""),ROUNDUP(J34*Info!$T$29),
AND(I34&lt;&gt;"""",H34="""",J34&lt;&gt;""""),ROUNDUP(J34*Info!$T$26))"),"")</f>
        <v/>
      </c>
      <c r="L34" s="47">
        <f>IFERROR(__xludf.DUMMYFUNCTION("IFS(C34="""",0,
C34=""3x3 FMC"",Info!$B$9*N34+M34, C34=""3x3 MBLD"",Info!$B$18*N34+M34,
COUNTIF(Info!$A$22:A81,C34)&gt;0,FILTER(Info!$B$22:B81,Info!$A$22:A81=C34)+M34,
AND(C34&lt;&gt;"""",E34=""""),CONCATENATE(""Fyll i E""&amp;row()),
AND(C34&lt;&gt;"""",E34&lt;&gt;"""",E34&lt;&gt;1,E3"&amp;"4&lt;&gt;2,E34&lt;&gt;3,E34&lt;&gt;""Final""),CONCATENATE(""Fel format på E""&amp;row()),
K34=CONCATENATE(""Runda ""&amp;E34&amp;"" i ""&amp;C34&amp;"" finns redan""),CONCATENATE(""Fel i E""&amp;row()),
AND(C34&lt;&gt;"""",F34=""""),CONCATENATE(""Fyll i F""&amp;row()),
K34=CONCATENATE(C34&amp;"" måste ha forma"&amp;"tet ""&amp;FILTER(Info!$D$2:D81, Info!$A$2:A81 = C34)),CONCATENATE(""Fel format på F""&amp;row()),
AND(C34&lt;&gt;"""",D34=1,H34="""",FILTER(Info!$F$2:F81, Info!$A$2:A81 = C34) = ""Yes""),CONCATENATE(""Fyll i H""&amp;row()),
AND(C34&lt;&gt;"""",D34=1,I34="""",FILTER(Info!$E$2:E8"&amp;"1, Info!$A$2:A81 = C34) = ""Yes""),CONCATENATE(""Fyll i I""&amp;row()),
AND(C34&lt;&gt;"""",J34=""""),CONCATENATE(""Fyll i J""&amp;row()),
AND(C34&lt;&gt;"""",K34="""",OR(H34&lt;&gt;"""",I34&lt;&gt;"""")),CONCATENATE(""Fyll i K""&amp;row()),
AND(C34&lt;&gt;"""",K34=""""),CONCATENATE(""Skriv samma"&amp;" i K""&amp;row()&amp;"" som i J""&amp;row()),
AND(OR(C34=""4x4 BLD"",C34=""5x5 BLD"",C34=""4x4 / 5x5 BLD"")=TRUE,V34&lt;=P34),
MROUND(H34*(Info!$T$20-((Info!$T$20-1)/2)*(1-V34/P34))*(1+((J34/K34)-1)*(1-Info!$J$24))*N34+(Info!$T$11/2)+(N34*Info!$T$11)+(N34*Info!$T$14*(O3"&amp;"4-1)),0.01)+M34,
AND(OR(C34=""4x4 BLD"",C34=""5x5 BLD"",C34=""4x4 / 5x5 BLD"")=TRUE,V34&gt;P34),
MROUND((((J34*Z34+K34*(AA34-Z34))*(H34*Info!$T$20/AA34))/X34)*(1+((J34/K34)-1)*(1-Info!$J$24))*(1+(X34-Info!$T$8)/100)+(Info!$T$11/2)+(N34*Info!$T$11)+(N34*Info!"&amp;"$T$14*(O34-1)),0.01)+M34,
AND(C34=""3x3 BLD"",V34&lt;=P34),
MROUND(H34*(Info!$T$23-((Info!$T$23-1)/2)*(1-V34/P34))*(1+((J34/K34)-1)*(1-Info!$J$24))*N34+(Info!$T$11/2)+(N34*Info!$T$11)+(N34*Info!$T$14*(O34-1)),0.01)+M34,
AND(C34=""3x3 BLD"",V34&gt;P34),
MROUND(("&amp;"((J34*Z34+K34*(AA34-Z34))*(H34*Info!$T$23/AA34))/X34)*(1+((J34/K34)-1)*(1-Info!$J$24))*(1+(X34-Info!$T$8)/100)+(Info!$T$11/2)+(N34*Info!$T$11)+(N34*Info!$T$14*(O34-1)),0.01)+M34,
E34=1,MROUND((((J34*Z34+K34*(AA34-Z34))*Y34)/X34)*(1+(X34-Info!$T$8)/100)+(N"&amp;"34*Info!$T$11)+(N34*Info!$T$14*(O34-1)),0.01)+M34,
AND(E34=""Final"",N34=1,FILTER(Info!$G$2:$G$20,Info!$A$2:$A$20=C34)=""Mycket svår""),
MROUND((((J34*Z34+K34*(AA34-Z34))*(Y34*Info!$T$38))/X34)*(1+(X34-Info!$T$8)/100)+(N34*Info!$T$11)+(N34*Info!$T$14*(O34"&amp;"-1)),0.01)+M34,
AND(E34=""Final"",N34=1,FILTER(Info!$G$2:$G$20,Info!$A$2:$A$20=C34)=""Svår""),
MROUND((((J34*Z34+K34*(AA34-Z34))*(Y34*Info!$T$35))/X34)*(1+(X34-Info!$T$8)/100)+(N34*Info!$T$11)+(N34*Info!$T$14*(O34-1)),0.01)+M34,
E34=""Final"",MROUND((((J3"&amp;"4*Z34+K34*(AA34-Z34))*(Y34*Info!$T$5))/X34)*(1+(X34-Info!$T$8)/100)+(N34*Info!$T$11)+(N34*Info!$T$14*(O34-1)),0.01)+M34,
OR(E34=2,E34=3),MROUND((((J34*Z34+K34*(AA34-Z34))*(Y34*Info!$T$2))/X34)*(1+(X34-Info!$T$8)/100)+(N34*Info!$T$11)+(N34*Info!$T$14*(O34-"&amp;"1)),0.01)+M34)"),0.0)</f>
        <v>0</v>
      </c>
      <c r="M34" s="48">
        <f t="shared" si="4"/>
        <v>0</v>
      </c>
      <c r="N34" s="48" t="str">
        <f>IFS(OR(COUNTIF(Info!$A$22:A81,C34)&gt;0,C34=""),"",
OR(C34="4x4 BLD",C34="5x5 BLD",C34="3x3 MBLD",C34="3x3 FMC",C34="4x4 / 5x5 BLD"),1,
AND(E34="Final",Q34="Yes",MAX(1,ROUNDUP(J34/P34))&gt;1),MAX(2,ROUNDUP(J34/P34)),
AND(E34="Final",Q34="No",MAX(1,ROUNDUP(J34/((P34*2)+2.625-Y34*1.5)))&gt;1),MAX(2,ROUNDUP(J34/((P34*2)+2.625-Y34*1.5))),
E34="Final",1,
Q34="Yes",MAX(2,ROUNDUP(J34/P34)),
TRUE,MAX(2,ROUNDUP(J34/((P34*2)+2.625-Y34*1.5))))</f>
        <v/>
      </c>
      <c r="O34" s="48" t="str">
        <f>IFS(OR(COUNTIF(Info!$A$22:A81,C34)&gt;0,C34=""),"",
OR("3x3 MBLD"=C34,"3x3 FMC"=C34)=TRUE,"",
D34=$E$4,$G$6,D34=$K$4,$M$6,D34=$Q$4,$S$6,D34=$W$4,$Y$6,
TRUE,$S$2)</f>
        <v/>
      </c>
      <c r="P34" s="48" t="str">
        <f>IFS(OR(COUNTIF(Info!$A$22:A81,C34)&gt;0,C34=""),"",
OR("3x3 MBLD"=C34,"3x3 FMC"=C34)=TRUE,"",
D34=$E$4,$E$6,D34=$K$4,$K$6,D34=$Q$4,$Q$6,D34=$W$4,$W$6,
TRUE,$Q$2)</f>
        <v/>
      </c>
      <c r="Q34" s="49" t="str">
        <f>IFS(OR(COUNTIF(Info!$A$22:A81,C34)&gt;0,C34=""),"",
OR("3x3 MBLD"=C34,"3x3 FMC"=C34)=TRUE,"",
D34=$E$4,$I$6,D34=$K$4,$O$6,D34=$Q$4,$U$6,D34=$W$4,$AA$6,
TRUE,$U$2)</f>
        <v/>
      </c>
      <c r="R34" s="50" t="str">
        <f>IFERROR(__xludf.DUMMYFUNCTION("IF(C34="""","""",IFERROR(FILTER(Info!$B$22:B81,Info!$A$22:A81=C34)+M34,""?""))"),"")</f>
        <v/>
      </c>
      <c r="S34" s="51" t="str">
        <f>IFS(OR(COUNTIF(Info!$A$22:A81,C34)&gt;0,C34=""),"",
AND(H34="",I34=""),J34,
TRUE,"?")</f>
        <v/>
      </c>
      <c r="T34" s="52" t="str">
        <f>IFS(OR(COUNTIF(Info!$A$22:A81,C34)&gt;0,C34=""),"",
AND(L34&lt;&gt;0,OR(R34="?",R34="")),"Fyll i R-kolumnen",
OR(C34="3x3 FMC",C34="3x3 MBLD"),R34,
AND(L34&lt;&gt;0,OR(S34="?",S34="")),"Fyll i S-kolumnen",
OR(COUNTIF(Info!$A$22:A81,C34)&gt;0,C34=""),"",
TRUE,Y34*R34/L34)</f>
        <v/>
      </c>
      <c r="U34" s="52"/>
      <c r="V34" s="53" t="str">
        <f>IFS(OR(COUNTIF(Info!$A$22:A81,C34)&gt;0,C34=""),"",
OR("3x3 MBLD"=C34,"3x3 FMC"=C34)=TRUE,"",
TRUE,MROUND((J34/N34),0.01))</f>
        <v/>
      </c>
      <c r="W34" s="54" t="str">
        <f>IFS(OR(COUNTIF(Info!$A$22:A81,C34)&gt;0,C34=""),"",
TRUE,L34/N34)</f>
        <v/>
      </c>
      <c r="X34" s="55" t="str">
        <f>IFS(OR(COUNTIF(Info!$A$22:A81,C34)&gt;0,C34=""),"",
OR("3x3 MBLD"=C34,"3x3 FMC"=C34)=TRUE,"",
OR(C34="4x4 BLD",C34="5x5 BLD",C34="4x4 / 5x5 BLD",AND(C34="3x3 BLD",H34&lt;&gt;""))=TRUE,MIN(V34,P34),
TRUE,MIN(P34,V34,MROUND(((V34*2/3)+((Y34-1.625)/2)),0.01)))</f>
        <v/>
      </c>
      <c r="Y34" s="56" t="str">
        <f>IFERROR(__xludf.DUMMYFUNCTION("IFS(OR(COUNTIF(Info!$A$22:A81,C34)&gt;0,C34=""""),"""",
FILTER(Info!$F$2:F81, Info!$A$2:A81 = C34) = ""Yes"",H34/AA34,
""3x3 FMC""=C34,Info!$B$9,""3x3 MBLD""=C34,Info!$B$18,
AND(E34=1,I34="""",H34="""",Q34=""No"",G34&gt;SUMIF(Info!$A$2:A81,C34,Info!$B$2:B81)*1."&amp;"5),
MIN(SUMIF(Info!$A$2:A81,C34,Info!$B$2:B81)*1.1,SUMIF(Info!$A$2:A81,C34,Info!$B$2:B81)*(1.15-(0.15*(SUMIF(Info!$A$2:A81,C34,Info!$B$2:B81)*1.5)/G34))),
AND(E34=1,I34="""",H34="""",Q34=""Yes"",G34&gt;SUMIF(Info!$A$2:A81,C34,Info!$C$2:C81)*1.5),
MIN(SUMIF(I"&amp;"nfo!$A$2:A81,C34,Info!$C$2:C81)*1.1,SUMIF(Info!$A$2:A81,C34,Info!$C$2:C81)*(1.15-(0.15*(SUMIF(Info!$A$2:A81,C34,Info!$C$2:C81)*1.5)/G34))),
Q34=""No"",SUMIF(Info!$A$2:A81,C34,Info!$B$2:B81),
Q34=""Yes"",SUMIF(Info!$A$2:A81,C34,Info!$C$2:C81))"),"")</f>
        <v/>
      </c>
      <c r="Z34" s="57" t="str">
        <f>IFS(OR(COUNTIF(Info!$A$22:A81,C34)&gt;0,C34=""),"",
AND(OR("3x3 FMC"=C34,"3x3 MBLD"=C34),I34&lt;&gt;""),1,
AND(OR(H34&lt;&gt;"",I34&lt;&gt;""),F34="Avg of 5"),2,
F34="Avg of 5",AA34,
AND(OR(H34&lt;&gt;"",I34&lt;&gt;""),F34="Mean of 3",C34="6x6 / 7x7"),2,
AND(OR(H34&lt;&gt;"",I34&lt;&gt;""),F34="Mean of 3"),1,
F34="Mean of 3",AA34,
AND(OR(H34&lt;&gt;"",I34&lt;&gt;""),F34="Best of 3",C34="4x4 / 5x5 BLD"),2,
AND(OR(H34&lt;&gt;"",I34&lt;&gt;""),F34="Best of 3"),1,
F34="Best of 2",AA34,
F34="Best of 1",AA34)</f>
        <v/>
      </c>
      <c r="AA34" s="57" t="str">
        <f>IFS(OR(COUNTIF(Info!$A$22:A81,C34)&gt;0,C34=""),"",
AND(OR("3x3 MBLD"=C34,"3x3 FMC"=C34),F34="Best of 1"=TRUE),1,
AND(OR("3x3 MBLD"=C34,"3x3 FMC"=C34),F34="Best of 2"=TRUE),2,
AND(OR("3x3 MBLD"=C34,"3x3 FMC"=C34),OR(F34="Best of 3",F34="Mean of 3")=TRUE),3,
AND(F34="Mean of 3",C34="6x6 / 7x7"),6,
AND(F34="Best of 3",C34="4x4 / 5x5 BLD"),6,
F34="Avg of 5",5,F34="Mean of 3",3,F34="Best of 3",3,F34="Best of 2",2,F34="Best of 1",1)</f>
        <v/>
      </c>
      <c r="AB34" s="58"/>
    </row>
    <row r="35">
      <c r="A35" s="40">
        <f>IFERROR(__xludf.DUMMYFUNCTION("IFS(indirect(""A""&amp;row()-1)=""Start"",TIME(indirect(""A""&amp;row()-2),indirect(""B""&amp;row()-2),0),
$O$2=""No"",TIME(0,($A$6*60+$B$6)+CEILING(SUM($L$7:indirect(""L""&amp;row()-1)),5),0),
D35=$E$2,TIME(0,($A$6*60+$B$6)+CEILING(SUM(IFERROR(FILTER($L$7:indirect(""L"""&amp;"&amp;row()-1),REGEXMATCH($D$7:indirect(""D""&amp;row()-1),$E$2)),0)),5),0),
TRUE,""=time(hh;mm;ss)"")"),0.375)</f>
        <v>0.375</v>
      </c>
      <c r="B35" s="41">
        <f>IFERROR(__xludf.DUMMYFUNCTION("IFS($O$2=""No"",TIME(0,($A$6*60+$B$6)+CEILING(SUM($L$7:indirect(""L""&amp;row())),5),0),
D35=$E$2,TIME(0,($A$6*60+$B$6)+CEILING(SUM(FILTER($L$7:indirect(""L""&amp;row()),REGEXMATCH($D$7:indirect(""D""&amp;row()),$E$2))),5),0),
A35=""=time(hh;mm;ss)"",CONCATENATE(""Sk"&amp;"riv tid i A""&amp;row()),
AND(A35&lt;&gt;"""",A35&lt;&gt;""=time(hh;mm;ss)""),A35+TIME(0,CEILING(indirect(""L""&amp;row()),5),0))"),0.375)</f>
        <v>0.375</v>
      </c>
      <c r="C35" s="42"/>
      <c r="D35" s="43" t="str">
        <f t="shared" si="3"/>
        <v>Stora salen</v>
      </c>
      <c r="E35" s="43" t="str">
        <f>IFERROR(__xludf.DUMMYFUNCTION("IFS(COUNTIF(Info!$A$22:A81,C35)&gt;0,"""",
AND(OR(""3x3 FMC""=C35,""3x3 MBLD""=C35),COUNTIF($C$7:indirect(""C""&amp;row()),indirect(""C""&amp;row()))&gt;=13),""E - Error"",
AND(OR(""3x3 FMC""=C35,""3x3 MBLD""=C35),COUNTIF($C$7:indirect(""C""&amp;row()),indirect(""C""&amp;row()"&amp;"))=12),""Final - A3"",
AND(OR(""3x3 FMC""=C35,""3x3 MBLD""=C35),COUNTIF($C$7:indirect(""C""&amp;row()),indirect(""C""&amp;row()))=11),""Final - A2"",
AND(OR(""3x3 FMC""=C35,""3x3 MBLD""=C35),COUNTIF($C$7:indirect(""C""&amp;row()),indirect(""C""&amp;row()))=10),""Final - "&amp;"A1"",
AND(OR(""3x3 FMC""=C35,""3x3 MBLD""=C35),COUNTIF($C$7:indirect(""C""&amp;row()),indirect(""C""&amp;row()))=9,
COUNTIF($C$7:$C$61,indirect(""C""&amp;row()))&gt;9),""R3 - A3"",
AND(OR(""3x3 FMC""=C35,""3x3 MBLD""=C35),COUNTIF($C$7:indirect(""C""&amp;row()),indirect(""C"&amp;"""&amp;row()))=9,
COUNTIF($C$7:$C$61,indirect(""C""&amp;row()))&lt;=9),""Final - A3"",
AND(OR(""3x3 FMC""=C35,""3x3 MBLD""=C35),COUNTIF($C$7:indirect(""C""&amp;row()),indirect(""C""&amp;row()))=8,
COUNTIF($C$7:$C$61,indirect(""C""&amp;row()))&gt;9),""R3 - A2"",
AND(OR(""3x3 FMC""="&amp;"C35,""3x3 MBLD""=C35),COUNTIF($C$7:indirect(""C""&amp;row()),indirect(""C""&amp;row()))=8,
COUNTIF($C$7:$C$61,indirect(""C""&amp;row()))&lt;=9),""Final - A2"",
AND(OR(""3x3 FMC""=C35,""3x3 MBLD""=C35),COUNTIF($C$7:indirect(""C""&amp;row()),indirect(""C""&amp;row()))=7,
COUNTIF("&amp;"$C$7:$C$61,indirect(""C""&amp;row()))&gt;9),""R3 - A1"",
AND(OR(""3x3 FMC""=C35,""3x3 MBLD""=C35),COUNTIF($C$7:indirect(""C""&amp;row()),indirect(""C""&amp;row()))=7,
COUNTIF($C$7:$C$61,indirect(""C""&amp;row()))&lt;=9),""Final - A1"",
AND(OR(""3x3 FMC""=C35,""3x3 MBLD""=C35),"&amp;"COUNTIF($C$7:indirect(""C""&amp;row()),indirect(""C""&amp;row()))=6,
COUNTIF($C$7:$C$61,indirect(""C""&amp;row()))&gt;6),""R2 - A3"",
AND(OR(""3x3 FMC""=C35,""3x3 MBLD""=C35),COUNTIF($C$7:indirect(""C""&amp;row()),indirect(""C""&amp;row()))=6,
COUNTIF($C$7:$C$61,indirect(""C""&amp;"&amp;"row()))&lt;=6),""Final - A3"",
AND(OR(""3x3 FMC""=C35,""3x3 MBLD""=C35),COUNTIF($C$7:indirect(""C""&amp;row()),indirect(""C""&amp;row()))=5,
COUNTIF($C$7:$C$61,indirect(""C""&amp;row()))&gt;6),""R2 - A2"",
AND(OR(""3x3 FMC""=C35,""3x3 MBLD""=C35),COUNTIF($C$7:indirect(""C"&amp;"""&amp;row()),indirect(""C""&amp;row()))=5,
COUNTIF($C$7:$C$61,indirect(""C""&amp;row()))&lt;=6),""Final - A2"",
AND(OR(""3x3 FMC""=C35,""3x3 MBLD""=C35),COUNTIF($C$7:indirect(""C""&amp;row()),indirect(""C""&amp;row()))=4,
COUNTIF($C$7:$C$61,indirect(""C""&amp;row()))&gt;6),""R2 - A1"&amp;""",
AND(OR(""3x3 FMC""=C35,""3x3 MBLD""=C35),COUNTIF($C$7:indirect(""C""&amp;row()),indirect(""C""&amp;row()))=4,
COUNTIF($C$7:$C$61,indirect(""C""&amp;row()))&lt;=6),""Final - A1"",
AND(OR(""3x3 FMC""=C35,""3x3 MBLD""=C35),COUNTIF($C$7:indirect(""C""&amp;row()),indirect("""&amp;"C""&amp;row()))=3),""R1 - A3"",
AND(OR(""3x3 FMC""=C35,""3x3 MBLD""=C35),COUNTIF($C$7:indirect(""C""&amp;row()),indirect(""C""&amp;row()))=2),""R1 - A2"",
AND(OR(""3x3 FMC""=C35,""3x3 MBLD""=C35),COUNTIF($C$7:indirect(""C""&amp;row()),indirect(""C""&amp;row()))=1),""R1 -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C35),ROUNDUP((FILTER(Info!$H$2:H81,Info!$A$2:A81=C35)/FILTER(Info!$H$2:H81,Info!$A$2:A81=$K$2))*$I$2)&gt;99),3,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C35),ROUNDUP((FILTER(Info!$H$2:H81,Info!$A$2:A81=C35)/FILTER(Info!$H$2:H81,Info!$A$2:A81=$K$2))*$I$2)&gt;15),2,
AND(COUNTIF($C$7:indirect(""C""&amp;row()),indirect(""C""&amp;row()))=2,COUNTIF($C$7:$C$61,indirect(""C""&amp;row()))=COUNTIF($C$7:indirect("""&amp;"C""&amp;row()),indirect(""C""&amp;row()))),""Final"",
COUNTIF($C$7:indirect(""C""&amp;row()),indirect(""C""&amp;row()))=1,1,
COUNTIF($C$7:indirect(""C""&amp;row()),indirect(""C""&amp;row()))=0,"""")"),"")</f>
        <v/>
      </c>
      <c r="F35" s="44" t="str">
        <f>IFERROR(__xludf.DUMMYFUNCTION("IFS(C35="""","""",
AND(C35=""3x3 FMC"",MOD(COUNTIF($C$7:indirect(""C""&amp;row()),indirect(""C""&amp;row())),3)=0),""Mean of 3"",
AND(C35=""3x3 MBLD"",MOD(COUNTIF($C$7:indirect(""C""&amp;row()),indirect(""C""&amp;row())),3)=0),""Best of 3"",
AND(C35=""3x3 FMC"",MOD(COUNT"&amp;"IF($C$7:indirect(""C""&amp;row()),indirect(""C""&amp;row())),3)=2,
COUNTIF($C$7:$C$61,indirect(""C""&amp;row()))&lt;=COUNTIF($C$7:indirect(""C""&amp;row()),indirect(""C""&amp;row()))),""Best of 2"",
AND(C35=""3x3 FMC"",MOD(COUNTIF($C$7:indirect(""C""&amp;row()),indirect(""C""&amp;row()"&amp;")),3)=2,
COUNTIF($C$7:$C$61,indirect(""C""&amp;row()))&gt;COUNTIF($C$7:indirect(""C""&amp;row()),indirect(""C""&amp;row()))),""Mean of 3"",
AND(C35=""3x3 MBLD"",MOD(COUNTIF($C$7:indirect(""C""&amp;row()),indirect(""C""&amp;row())),3)=2,
COUNTIF($C$7:$C$61,indirect(""C""&amp;row()))"&amp;"&lt;=COUNTIF($C$7:indirect(""C""&amp;row()),indirect(""C""&amp;row()))),""Best of 2"",
AND(C35=""3x3 MBLD"",MOD(COUNTIF($C$7:indirect(""C""&amp;row()),indirect(""C""&amp;row())),3)=2,
COUNTIF($C$7:$C$61,indirect(""C""&amp;row()))&gt;COUNTIF($C$7:indirect(""C""&amp;row()),indirect(""C"&amp;"""&amp;row()))),""Best of 3"",
AND(C35=""3x3 FMC"",MOD(COUNTIF($C$7:indirect(""C""&amp;row()),indirect(""C""&amp;row())),3)=1,
COUNTIF($C$7:$C$61,indirect(""C""&amp;row()))&lt;=COUNTIF($C$7:indirect(""C""&amp;row()),indirect(""C""&amp;row()))),""Best of 1"",
AND(C35=""3x3 FMC"",MOD"&amp;"(COUNTIF($C$7:indirect(""C""&amp;row()),indirect(""C""&amp;row())),3)=1,
COUNTIF($C$7:$C$61,indirect(""C""&amp;row()))=COUNTIF($C$7:indirect(""C""&amp;row()),indirect(""C""&amp;row()))+1),""Best of 2"",
AND(C35=""3x3 FMC"",MOD(COUNTIF($C$7:indirect(""C""&amp;row()),indirect(""C"&amp;"""&amp;row())),3)=1,
COUNTIF($C$7:$C$61,indirect(""C""&amp;row()))&gt;COUNTIF($C$7:indirect(""C""&amp;row()),indirect(""C""&amp;row()))),""Mean of 3"",
AND(C35=""3x3 MBLD"",MOD(COUNTIF($C$7:indirect(""C""&amp;row()),indirect(""C""&amp;row())),3)=1,
COUNTIF($C$7:$C$61,indirect(""C"""&amp;"&amp;row()))&lt;=COUNTIF($C$7:indirect(""C""&amp;row()),indirect(""C""&amp;row()))),""Best of 1"",
AND(C35=""3x3 MBLD"",MOD(COUNTIF($C$7:indirect(""C""&amp;row()),indirect(""C""&amp;row())),3)=1,
COUNTIF($C$7:$C$61,indirect(""C""&amp;row()))=COUNTIF($C$7:indirect(""C""&amp;row()),indir"&amp;"ect(""C""&amp;row()))+1),""Best of 2"",
AND(C35=""3x3 MBLD"",MOD(COUNTIF($C$7:indirect(""C""&amp;row()),indirect(""C""&amp;row())),3)=1,
COUNTIF($C$7:$C$61,indirect(""C""&amp;row()))&gt;COUNTIF($C$7:indirect(""C""&amp;row()),indirect(""C""&amp;row()))),""Best of 3"",
TRUE,(IFERROR("&amp;"FILTER(Info!$D$2:D81, Info!$A$2:A81 = C35), """")))"),"")</f>
        <v/>
      </c>
      <c r="G35" s="45" t="str">
        <f>IFERROR(__xludf.DUMMYFUNCTION("IFS(OR(COUNTIF(Info!$A$22:A81,C35)&gt;0,C35=""""),"""",
OR(""3x3 MBLD""=C35,""3x3 FMC""=C35),60,
AND(E35=1,FILTER(Info!$F$2:F81, Info!$A$2:A81 = C35) = ""No""),FILTER(Info!$P$2:P81, Info!$A$2:A81 = C35),
AND(E35=2,FILTER(Info!$F$2:F81, Info!$A$2:A81 = C35) ="&amp;" ""No""),FILTER(Info!$Q$2:Q81, Info!$A$2:A81 = C35),
AND(E35=3,FILTER(Info!$F$2:F81, Info!$A$2:A81 = C35) = ""No""),FILTER(Info!$R$2:R81, Info!$A$2:A81 = C35),
AND(E35=""Final"",FILTER(Info!$F$2:F81, Info!$A$2:A81 = C35) = ""No""),FILTER(Info!$S$2:S81, In"&amp;"fo!$A$2:A81 = C35),
FILTER(Info!$F$2:F81, Info!$A$2:A81 = C35) = ""Yes"","""")"),"")</f>
        <v/>
      </c>
      <c r="H35" s="45" t="str">
        <f>IFERROR(__xludf.DUMMYFUNCTION("IFS(OR(COUNTIF(Info!$A$22:A81,C35)&gt;0,C35=""""),"""",
OR(""3x3 MBLD""=C35,""3x3 FMC""=C35)=TRUE,"""",
FILTER(Info!$F$2:F81, Info!$A$2:A81 = C35) = ""Yes"",FILTER(Info!$O$2:O81, Info!$A$2:A81 = C35),
FILTER(Info!$F$2:F81, Info!$A$2:A81 = C35) = ""No"",IF(G3"&amp;"5="""",FILTER(Info!$O$2:O81, Info!$A$2:A81 = C35),""""))"),"")</f>
        <v/>
      </c>
      <c r="I35" s="45" t="str">
        <f>IFERROR(__xludf.DUMMYFUNCTION("IFS(OR(COUNTIF(Info!$A$22:A81,C35)&gt;0,C35="""",H35&lt;&gt;""""),"""",
AND(E35&lt;&gt;1,E35&lt;&gt;""R1 - A1"",E35&lt;&gt;""R1 - A2"",E35&lt;&gt;""R1 - A3""),"""",
FILTER(Info!$E$2:E81, Info!$A$2:A81 = C35) = ""Yes"",IF(H35="""",FILTER(Info!$L$2:L81, Info!$A$2:A81 = C35),""""),
FILTER(I"&amp;"nfo!$E$2:E81, Info!$A$2:A81 = C35) = ""No"","""")"),"")</f>
        <v/>
      </c>
      <c r="J35" s="45" t="str">
        <f>IFERROR(__xludf.DUMMYFUNCTION("IFS(OR(COUNTIF(Info!$A$22:A81,C35)&gt;0,C35="""",""3x3 MBLD""=C35,""3x3 FMC""=C35),"""",
AND(E35=1,FILTER(Info!$H$2:H81,Info!$A$2:A81 = C35)&lt;=FILTER(Info!$H$2:H81,Info!$A$2:A81=$K$2)),
ROUNDUP((FILTER(Info!$H$2:H81,Info!$A$2:A81 = C35)/FILTER(Info!$H$2:H81,I"&amp;"nfo!$A$2:A81=$K$2))*$I$2),
AND(E35=1,FILTER(Info!$H$2:H81,Info!$A$2:A81 = C35)&gt;FILTER(Info!$H$2:H81,Info!$A$2:A81=$K$2)),""K2 - Error"",
AND(E35=2,FILTER($J$7:indirect(""J""&amp;row()-1),$C$7:indirect(""C""&amp;row()-1)=C35)&lt;=7),""J - Error"",
E35=2,FLOOR(FILTER("&amp;"$J$7:indirect(""J""&amp;row()-1),$C$7:indirect(""C""&amp;row()-1)=C35)*Info!$T$32),
AND(E35=3,FILTER($J$7:indirect(""J""&amp;row()-1),$C$7:indirect(""C""&amp;row()-1)=C35)&lt;=15),""J - Error"",
E35=3,FLOOR(Info!$T$32*FLOOR(FILTER($J$7:indirect(""J""&amp;row()-1),$C$7:indirect("&amp;"""C""&amp;row()-1)=C35)*Info!$T$32)),
AND(E35=""Final"",COUNTIF($C$7:$C$61,C35)=2,FILTER($J$7:indirect(""J""&amp;row()-1),$C$7:indirect(""C""&amp;row()-1)=C35)&lt;=7),""J - Error"",
AND(E35=""Final"",COUNTIF($C$7:$C$61,C35)=2),
MIN(P35,FLOOR(FILTER($J$7:indirect(""J""&amp;r"&amp;"ow()-1),$C$7:indirect(""C""&amp;row()-1)=C35)*Info!$T$32)),
AND(E35=""Final"",COUNTIF($C$7:$C$61,C35)=3,FILTER($J$7:indirect(""J""&amp;row()-1),$C$7:indirect(""C""&amp;row()-1)=C35)&lt;=15),""J - Error"",
AND(E35=""Final"",COUNTIF($C$7:$C$61,C35)=3),
MIN(P35,FLOOR(Info!"&amp;"$T$32*FLOOR(FILTER($J$7:indirect(""J""&amp;row()-1),$C$7:indirect(""C""&amp;row()-1)=C35)*Info!$T$32))),
AND(E35=""Final"",COUNTIF($C$7:$C$61,C35)&gt;=4,FILTER($J$7:indirect(""J""&amp;row()-1),$C$7:indirect(""C""&amp;row()-1)=C35)&lt;=99),""J - Error"",
AND(E35=""Final"",COUNT"&amp;"IF($C$7:$C$61,C35)&gt;=4),
MIN(P35,FLOOR(Info!$T$32*FLOOR(Info!$T$32*FLOOR(FILTER($J$7:indirect(""J""&amp;row()-1),$C$7:indirect(""C""&amp;row()-1)=C35)*Info!$T$32)))))"),"")</f>
        <v/>
      </c>
      <c r="K35" s="46" t="str">
        <f>IFERROR(__xludf.DUMMYFUNCTION("IFS(AND(indirect(""D""&amp;row()+2)&lt;&gt;$E$2,indirect(""D""&amp;row()+1)=""""),CONCATENATE(""Tom rad! Kopiera hela rad ""&amp;row()&amp;"" dit""),
AND(indirect(""D""&amp;row()-1)&lt;&gt;""Rum"",indirect(""D""&amp;row()-1)=""""),CONCATENATE(""Tom rad! Kopiera hela rad ""&amp;row()&amp;"" dit""),
"&amp;"C35="""","""",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OR(AND(D35&lt;&gt;$E$2,D35&lt;&gt;$E$4,D35&lt;&gt;$K$4,D35&lt;&gt;$Q$4),D35="&amp;"""""),CONCATENATE(""Rum: ""&amp;D35&amp;"" finns ej, byt i D""&amp;row()),
AND(indirect(""D""&amp;row()-1)=""Rum"",C35=""""),CONCATENATE(""För att börja: skriv i cell C""&amp;row()),
AND(C35=""Paus"",M35&lt;=0),CONCATENATE(""Skriv pausens längd i M""&amp;row()),
OR(COUNTIF(Info!$A$"&amp;"22:A81,C35)&gt;0,C35=""""),"""",
AND(D35&lt;&gt;$E$2,$O$2=""Yes"",A35=""=time(hh;mm;ss)""),CONCATENATE(""Skriv starttid för ""&amp;C35&amp;"" i A""&amp;row()),
E35=""E - Error"",CONCATENATE(""För många ""&amp;C35&amp;"" rundor!""),
AND(C35&lt;&gt;""3x3 FMC"",C35&lt;&gt;""3x3 MBLD"",E35&lt;&gt;1,E35&lt;&gt;"&amp;"""Final"",IFERROR(FILTER($E$7:indirect(""E""&amp;row()-1),
$E$7:indirect(""E""&amp;row()-1)=E35-1,$C$7:indirect(""C""&amp;row()-1)=C35))=FALSE),CONCATENATE(""Kan ej vara R""&amp;E35&amp;"", saknar R""&amp;(E35-1)),
AND(indirect(""E""&amp;row()-1)&lt;&gt;""Omgång"",IFERROR(FILTER($E$7:indi"&amp;"rect(""E""&amp;row()-1),
$E$7:indirect(""E""&amp;row()-1)=E35,$C$7:indirect(""C""&amp;row()-1)=C35)=E35)=TRUE),CONCATENATE(""Runda ""&amp;E35&amp;"" i ""&amp;C35&amp;"" finns redan""),
AND(C35&lt;&gt;""3x3 BLD"",C35&lt;&gt;""4x4 BLD"",C35&lt;&gt;""5x5 BLD"",C35&lt;&gt;""4x4 / 5x5 BLD"",OR(E35=2,E35=3,E35="&amp;"""Final""),H35&lt;&gt;""""),CONCATENATE(E35&amp;""-rundor brukar ej ha c.t.l.""),
AND(OR(E35=2,E35=3,E35=""Final""),I35&lt;&gt;""""),CONCATENATE(E35&amp;""-rundor brukar ej ha cutoff""),
AND(OR(C35=""3x3 FMC"",C35=""3x3 MBLD""),OR(E35=1,E35=2,E35=3,E35=""Final"")),CONCATENAT"&amp;"E(C35&amp;""s omgång är Rx - Ax""),
AND(C35&lt;&gt;""3x3 MBLD"",C35&lt;&gt;""3x3 FMC"",FILTER(Info!$D$2:D81, Info!$A$2:A81 = C35)&lt;&gt;F35),CONCATENATE(C35&amp;"" måste ha formatet ""&amp;FILTER(Info!$D$2:D81, Info!$A$2:A81 = C35)),
AND(C35=""3x3 MBLD"",OR(F35=""Avg of 5"",F35=""Mea"&amp;"n of 3"")),CONCATENATE(""Ogiltigt format för ""&amp;C35),
AND(C35=""3x3 FMC"",OR(F35=""Avg of 5"",F35=""Best of 3"")),CONCATENATE(""Ogiltigt format för ""&amp;C35),
AND(OR(F35=""Best of 1"",F35=""Best of 2"",F35=""Best of 3""),I35&lt;&gt;""""),CONCATENATE(F35&amp;""-rundor"&amp;" får ej ha cutoff""),
AND(OR(C35=""3x3 FMC"",C35=""3x3 MBLD""),G35&lt;&gt;60),CONCATENATE(C35&amp;"" måste ha time limit: 60""),
AND(OR(C35=""3x3 FMC"",C35=""3x3 MBLD""),H35&lt;&gt;""""),CONCATENATE(C35&amp;"" kan inte ha c.t.l.""),
AND(G35&lt;&gt;"""",H35&lt;&gt;""""),""Välj time limit"&amp;" ELLER c.t.l"",
AND(C35=""6x6 / 7x7"",G35="""",H35=""""),""Sätt time limit (x / y) eller c.t.l (z)"",
AND(G35="""",H35=""""),""Sätt en time limit eller c.t.l"",
AND(OR(C35=""6x6 / 7x7"",C35=""4x4 / 5x5 BLD""),G35&lt;&gt;"""",REGEXMATCH(TO_TEXT(G35),"" / "")=FAL"&amp;"SE),CONCATENATE(""Time limit måste vara x / y""),
AND(H35&lt;&gt;"""",I35&lt;&gt;""""),CONCATENATE(C35&amp;"" brukar ej ha cutoff OCH c.t.l""),
AND(E35=1,H35="""",I35="""",OR(FILTER(Info!$E$2:E81, Info!$A$2:A81 = C35) = ""Yes"",FILTER(Info!$F$2:F81, Info!$A$2:A81 = C35) "&amp;"= ""Yes""),OR(F35=""Avg of 5"",F35=""Mean of 3"")),CONCATENATE(C35&amp;"" bör ha cutoff eller c.t.l""),
AND(C35=""6x6 / 7x7"",I35&lt;&gt;"""",REGEXMATCH(TO_TEXT(I35),"" / "")=FALSE),CONCATENATE(""Cutoff måste vara x / y""),
AND(H35&lt;&gt;"""",ISNUMBER(H35)=FALSE),""C.t."&amp;"l. måste vara positivt tal (x)"",
AND(C35&lt;&gt;""6x6 / 7x7"",I35&lt;&gt;"""",ISNUMBER(I35)=FALSE),""Cutoff måste vara positivt tal (x)"",
AND(H35&lt;&gt;"""",FILTER(Info!$E$2:E81, Info!$A$2:A81 = C35) = ""No"",FILTER(Info!$F$2:F81, Info!$A$2:A81 = C35) = ""No""),CONCATEN"&amp;"ATE(C35&amp;"" brukar inte ha c.t.l.""),
AND(I35&lt;&gt;"""",FILTER(Info!$E$2:E81, Info!$A$2:A81 = C35) = ""No"",FILTER(Info!$F$2:F81, Info!$A$2:A81 = C35) = ""No""),CONCATENATE(C35&amp;"" brukar inte ha cutoff""),
AND(H35="""",FILTER(Info!$F$2:F81, Info!$A$2:A81 = C35"&amp;") = ""Yes""),CONCATENATE(C35&amp;"" brukar ha c.t.l.""),
AND(C35&lt;&gt;""6x6 / 7x7"",C35&lt;&gt;""4x4 / 5x5 BLD"",G35&lt;&gt;"""",ISNUMBER(G35)=FALSE),""Time limit måste vara positivt tal (x)"",
J35=""J - Error"",CONCATENATE(""För få deltagare i R1 för ""&amp;COUNTIF($C$7:$C$61,i"&amp;"ndirect(""C""&amp;row()))&amp;"" rundor""),
J35=""K2 - Error"",CONCATENATE(C35&amp;"" är mer populär - byt i K2!""),
AND(C35&lt;&gt;""6x6 / 7x7"",C35&lt;&gt;""4x4 / 5x5 BLD"",G35&lt;&gt;"""",I35&lt;&gt;"""",G35&lt;=I35),""Time limit måste vara &gt; cutoff"",
AND(C35&lt;&gt;""6x6 / 7x7"",C35&lt;&gt;""4x4 / 5x"&amp;"5 BLD"",H35&lt;&gt;"""",I35&lt;&gt;"""",H35&lt;=I35),""C.t.l. måste vara &gt; cutoff"",
AND(C35&lt;&gt;""3x3 FMC"",C35&lt;&gt;""3x3 MBLD"",J35=""""),CONCATENATE(""Fyll i antal deltagare i J""&amp;row()),
AND(C35="""",OR(E35&lt;&gt;"""",F35&lt;&gt;"""",G35&lt;&gt;"""",H35&lt;&gt;"""",I35&lt;&gt;"""",J35&lt;&gt;"""")),""Skriv"&amp;" ALLTID gren / aktivitet först"",
AND(I35="""",H35="""",J35&lt;&gt;""""),J35,
OR(""3x3 FMC""=C35,""3x3 MBLD""=C35),J35,
AND(I35&lt;&gt;"""",""6x6 / 7x7""=C35),
IFS(ArrayFormula(SUM(IFERROR(SPLIT(I35,"" / ""))))&lt;(Info!$J$6+Info!$J$7)*2/3,CONCATENATE(""Höj helst cutoff"&amp;"s i ""&amp;C35),
ArrayFormula(SUM(IFERROR(SPLIT(I35,"" / ""))))&lt;=(Info!$J$6+Info!$J$7),ROUNDUP(J35*Info!$J$22),
ArrayFormula(SUM(IFERROR(SPLIT(I35,"" / ""))))&lt;=Info!$J$6+Info!$J$7,ROUNDUP(J35*Info!$K$22),
ArrayFormula(SUM(IFERROR(SPLIT(I35,"" / ""))))&lt;=Info!$"&amp;"K$6+Info!$K$7,ROUNDUP(J35*Info!L$22),
ArrayFormula(SUM(IFERROR(SPLIT(I35,"" / ""))))&lt;=Info!$L$6+Info!$L$7,ROUNDUP(J35*Info!$M$22),
ArrayFormula(SUM(IFERROR(SPLIT(I35,"" / ""))))&lt;=Info!$M$6+Info!$M$7,ROUNDUP(J35*Info!$N$22),
ArrayFormula(SUM(IFERROR(SPLIT("&amp;"I35,"" / ""))))&lt;=(Info!$N$6+Info!$N$7)*3/2,ROUNDUP(J35*Info!$J$26),
ArrayFormula(SUM(IFERROR(SPLIT(I35,"" / ""))))&gt;(Info!$N$6+Info!$N$7)*3/2,CONCATENATE(""Sänk helst cutoffs i ""&amp;C35)),
AND(I35&lt;&gt;"""",FILTER(Info!$E$2:E81, Info!$A$2:A81 = C35) = ""Yes""),
"&amp;"IFS(I35&lt;FILTER(Info!$J$2:J81, Info!$A$2:A81 = C35)*2/3,CONCATENATE(""Höj helst cutoff i ""&amp;C35),
I35&lt;=FILTER(Info!$J$2:J81, Info!$A$2:A81 = C35),ROUNDUP(J35*Info!$J$22),
I35&lt;=FILTER(Info!$K$2:K81, Info!$A$2:A81 = C35),ROUNDUP(J35*Info!$K$22),
I35&lt;=FILTER("&amp;"Info!$L$2:L81, Info!$A$2:A81 = C35),ROUNDUP(J35*Info!L$22),
I35&lt;=FILTER(Info!$M$2:M81, Info!$A$2:A81 = C35),ROUNDUP(J35*Info!$M$22),
I35&lt;=FILTER(Info!$N$2:N81, Info!$A$2:A81 = C35),ROUNDUP(J35*Info!$N$22),
I35&lt;=FILTER(Info!$N$2:N81, Info!$A$2:A81 = C35)*3"&amp;"/2,ROUNDUP(J35*Info!$J$26),
I35&gt;FILTER(Info!$N$2:N81, Info!$A$2:A81 = C35)*3/2,CONCATENATE(""Sänk helst cutoff i ""&amp;C35)),
AND(H35&lt;&gt;"""",""6x6 / 7x7""=C35),
IFS(H35/3&lt;=(Info!$J$6+Info!$J$7)*2/3,""Höj helst cumulative time limit"",
H35/3&lt;=Info!$J$6+Info!$J"&amp;"$7,ROUNDUP(J35*Info!$J$24),
H35/3&lt;=Info!$K$6+Info!$K$7,ROUNDUP(J35*Info!$K$24),
H35/3&lt;=Info!$L$6+Info!$L$7,ROUNDUP(J35*Info!L$24),
H35/3&lt;=Info!$M$6+Info!$M$7,ROUNDUP(J35*Info!$M$24),
H35/3&lt;=Info!$N$6+Info!$N$7,ROUNDUP(J35*Info!$N$24),
H35/3&lt;=(Info!$N$6+In"&amp;"fo!$N$7)*3/2,ROUNDUP(J35*Info!$L$26),
H35/3&gt;(Info!$J$6+Info!$J$7)*3/2,""Sänk helst cumulative time limit""),
AND(H35&lt;&gt;"""",FILTER(Info!$F$2:F81, Info!$A$2:A81 = C35) = ""Yes""),
IFS(H35&lt;=FILTER(Info!$J$2:J81, Info!$A$2:A81 = C35)*2/3,CONCATENATE(""Höj hel"&amp;"st c.t.l. i ""&amp;C35),
H35&lt;=FILTER(Info!$J$2:J81, Info!$A$2:A81 = C35),ROUNDUP(J35*Info!$J$24),
H35&lt;=FILTER(Info!$K$2:K81, Info!$A$2:A81 = C35),ROUNDUP(J35*Info!$K$24),
H35&lt;=FILTER(Info!$L$2:L81, Info!$A$2:A81 = C35),ROUNDUP(J35*Info!L$24),
H35&lt;=FILTER(Info"&amp;"!$M$2:M81, Info!$A$2:A81 = C35),ROUNDUP(J35*Info!$M$24),
H35&lt;=FILTER(Info!$N$2:N81, Info!$A$2:A81 = C35),ROUNDUP(J35*Info!$N$24),
H35&lt;=FILTER(Info!$N$2:N81, Info!$A$2:A81 = C35)*3/2,ROUNDUP(J35*Info!$L$26),
H35&gt;FILTER(Info!$N$2:N81, Info!$A$2:A81 = C35)*3"&amp;"/2,CONCATENATE(""Sänk helst c.t.l. i ""&amp;C35)),
AND(H35&lt;&gt;"""",FILTER(Info!$F$2:F81, Info!$A$2:A81 = C35) = ""No""),
IFS(H35/AA35&lt;=FILTER(Info!$J$2:J81, Info!$A$2:A81 = C35)*2/3,CONCATENATE(""Höj helst c.t.l. i ""&amp;C35),
H35/AA35&lt;=FILTER(Info!$J$2:J81, Info!"&amp;"$A$2:A81 = C35),ROUNDUP(J35*Info!$J$24),
H35/AA35&lt;=FILTER(Info!$K$2:K81, Info!$A$2:A81 = C35),ROUNDUP(J35*Info!$K$24),
H35/AA35&lt;=FILTER(Info!$L$2:L81, Info!$A$2:A81 = C35),ROUNDUP(J35*Info!L$24),
H35/AA35&lt;=FILTER(Info!$M$2:M81, Info!$A$2:A81 = C35),ROUNDU"&amp;"P(J35*Info!$M$24),
H35/AA35&lt;=FILTER(Info!$N$2:N81, Info!$A$2:A81 = C35),ROUNDUP(J35*Info!$N$24),
H35/AA35&lt;=FILTER(Info!$N$2:N81, Info!$A$2:A81 = C35)*3/2,ROUNDUP(J35*Info!$L$26),
H35/AA35&gt;FILTER(Info!$N$2:N81, Info!$A$2:A81 = C35)*3/2,CONCATENATE(""Sänk h"&amp;"elst c.t.l. i ""&amp;C35)),
AND(I35="""",H35&lt;&gt;"""",J35&lt;&gt;""""),ROUNDUP(J35*Info!$T$29),
AND(I35&lt;&gt;"""",H35="""",J35&lt;&gt;""""),ROUNDUP(J35*Info!$T$26))"),"")</f>
        <v/>
      </c>
      <c r="L35" s="47">
        <f>IFERROR(__xludf.DUMMYFUNCTION("IFS(C35="""",0,
C35=""3x3 FMC"",Info!$B$9*N35+M35, C35=""3x3 MBLD"",Info!$B$18*N35+M35,
COUNTIF(Info!$A$22:A81,C35)&gt;0,FILTER(Info!$B$22:B81,Info!$A$22:A81=C35)+M35,
AND(C35&lt;&gt;"""",E35=""""),CONCATENATE(""Fyll i E""&amp;row()),
AND(C35&lt;&gt;"""",E35&lt;&gt;"""",E35&lt;&gt;1,E3"&amp;"5&lt;&gt;2,E35&lt;&gt;3,E35&lt;&gt;""Final""),CONCATENATE(""Fel format på E""&amp;row()),
K35=CONCATENATE(""Runda ""&amp;E35&amp;"" i ""&amp;C35&amp;"" finns redan""),CONCATENATE(""Fel i E""&amp;row()),
AND(C35&lt;&gt;"""",F35=""""),CONCATENATE(""Fyll i F""&amp;row()),
K35=CONCATENATE(C35&amp;"" måste ha forma"&amp;"tet ""&amp;FILTER(Info!$D$2:D81, Info!$A$2:A81 = C35)),CONCATENATE(""Fel format på F""&amp;row()),
AND(C35&lt;&gt;"""",D35=1,H35="""",FILTER(Info!$F$2:F81, Info!$A$2:A81 = C35) = ""Yes""),CONCATENATE(""Fyll i H""&amp;row()),
AND(C35&lt;&gt;"""",D35=1,I35="""",FILTER(Info!$E$2:E8"&amp;"1, Info!$A$2:A81 = C35) = ""Yes""),CONCATENATE(""Fyll i I""&amp;row()),
AND(C35&lt;&gt;"""",J35=""""),CONCATENATE(""Fyll i J""&amp;row()),
AND(C35&lt;&gt;"""",K35="""",OR(H35&lt;&gt;"""",I35&lt;&gt;"""")),CONCATENATE(""Fyll i K""&amp;row()),
AND(C35&lt;&gt;"""",K35=""""),CONCATENATE(""Skriv samma"&amp;" i K""&amp;row()&amp;"" som i J""&amp;row()),
AND(OR(C35=""4x4 BLD"",C35=""5x5 BLD"",C35=""4x4 / 5x5 BLD"")=TRUE,V35&lt;=P35),
MROUND(H35*(Info!$T$20-((Info!$T$20-1)/2)*(1-V35/P35))*(1+((J35/K35)-1)*(1-Info!$J$24))*N35+(Info!$T$11/2)+(N35*Info!$T$11)+(N35*Info!$T$14*(O3"&amp;"5-1)),0.01)+M35,
AND(OR(C35=""4x4 BLD"",C35=""5x5 BLD"",C35=""4x4 / 5x5 BLD"")=TRUE,V35&gt;P35),
MROUND((((J35*Z35+K35*(AA35-Z35))*(H35*Info!$T$20/AA35))/X35)*(1+((J35/K35)-1)*(1-Info!$J$24))*(1+(X35-Info!$T$8)/100)+(Info!$T$11/2)+(N35*Info!$T$11)+(N35*Info!"&amp;"$T$14*(O35-1)),0.01)+M35,
AND(C35=""3x3 BLD"",V35&lt;=P35),
MROUND(H35*(Info!$T$23-((Info!$T$23-1)/2)*(1-V35/P35))*(1+((J35/K35)-1)*(1-Info!$J$24))*N35+(Info!$T$11/2)+(N35*Info!$T$11)+(N35*Info!$T$14*(O35-1)),0.01)+M35,
AND(C35=""3x3 BLD"",V35&gt;P35),
MROUND(("&amp;"((J35*Z35+K35*(AA35-Z35))*(H35*Info!$T$23/AA35))/X35)*(1+((J35/K35)-1)*(1-Info!$J$24))*(1+(X35-Info!$T$8)/100)+(Info!$T$11/2)+(N35*Info!$T$11)+(N35*Info!$T$14*(O35-1)),0.01)+M35,
E35=1,MROUND((((J35*Z35+K35*(AA35-Z35))*Y35)/X35)*(1+(X35-Info!$T$8)/100)+(N"&amp;"35*Info!$T$11)+(N35*Info!$T$14*(O35-1)),0.01)+M35,
AND(E35=""Final"",N35=1,FILTER(Info!$G$2:$G$20,Info!$A$2:$A$20=C35)=""Mycket svår""),
MROUND((((J35*Z35+K35*(AA35-Z35))*(Y35*Info!$T$38))/X35)*(1+(X35-Info!$T$8)/100)+(N35*Info!$T$11)+(N35*Info!$T$14*(O35"&amp;"-1)),0.01)+M35,
AND(E35=""Final"",N35=1,FILTER(Info!$G$2:$G$20,Info!$A$2:$A$20=C35)=""Svår""),
MROUND((((J35*Z35+K35*(AA35-Z35))*(Y35*Info!$T$35))/X35)*(1+(X35-Info!$T$8)/100)+(N35*Info!$T$11)+(N35*Info!$T$14*(O35-1)),0.01)+M35,
E35=""Final"",MROUND((((J3"&amp;"5*Z35+K35*(AA35-Z35))*(Y35*Info!$T$5))/X35)*(1+(X35-Info!$T$8)/100)+(N35*Info!$T$11)+(N35*Info!$T$14*(O35-1)),0.01)+M35,
OR(E35=2,E35=3),MROUND((((J35*Z35+K35*(AA35-Z35))*(Y35*Info!$T$2))/X35)*(1+(X35-Info!$T$8)/100)+(N35*Info!$T$11)+(N35*Info!$T$14*(O35-"&amp;"1)),0.01)+M35)"),0.0)</f>
        <v>0</v>
      </c>
      <c r="M35" s="48">
        <f t="shared" si="4"/>
        <v>0</v>
      </c>
      <c r="N35" s="48" t="str">
        <f>IFS(OR(COUNTIF(Info!$A$22:A81,C35)&gt;0,C35=""),"",
OR(C35="4x4 BLD",C35="5x5 BLD",C35="3x3 MBLD",C35="3x3 FMC",C35="4x4 / 5x5 BLD"),1,
AND(E35="Final",Q35="Yes",MAX(1,ROUNDUP(J35/P35))&gt;1),MAX(2,ROUNDUP(J35/P35)),
AND(E35="Final",Q35="No",MAX(1,ROUNDUP(J35/((P35*2)+2.625-Y35*1.5)))&gt;1),MAX(2,ROUNDUP(J35/((P35*2)+2.625-Y35*1.5))),
E35="Final",1,
Q35="Yes",MAX(2,ROUNDUP(J35/P35)),
TRUE,MAX(2,ROUNDUP(J35/((P35*2)+2.625-Y35*1.5))))</f>
        <v/>
      </c>
      <c r="O35" s="48" t="str">
        <f>IFS(OR(COUNTIF(Info!$A$22:A81,C35)&gt;0,C35=""),"",
OR("3x3 MBLD"=C35,"3x3 FMC"=C35)=TRUE,"",
D35=$E$4,$G$6,D35=$K$4,$M$6,D35=$Q$4,$S$6,D35=$W$4,$Y$6,
TRUE,$S$2)</f>
        <v/>
      </c>
      <c r="P35" s="48" t="str">
        <f>IFS(OR(COUNTIF(Info!$A$22:A81,C35)&gt;0,C35=""),"",
OR("3x3 MBLD"=C35,"3x3 FMC"=C35)=TRUE,"",
D35=$E$4,$E$6,D35=$K$4,$K$6,D35=$Q$4,$Q$6,D35=$W$4,$W$6,
TRUE,$Q$2)</f>
        <v/>
      </c>
      <c r="Q35" s="49" t="str">
        <f>IFS(OR(COUNTIF(Info!$A$22:A81,C35)&gt;0,C35=""),"",
OR("3x3 MBLD"=C35,"3x3 FMC"=C35)=TRUE,"",
D35=$E$4,$I$6,D35=$K$4,$O$6,D35=$Q$4,$U$6,D35=$W$4,$AA$6,
TRUE,$U$2)</f>
        <v/>
      </c>
      <c r="R35" s="50" t="str">
        <f>IFERROR(__xludf.DUMMYFUNCTION("IF(C35="""","""",IFERROR(FILTER(Info!$B$22:B81,Info!$A$22:A81=C35)+M35,""?""))"),"")</f>
        <v/>
      </c>
      <c r="S35" s="51" t="str">
        <f>IFS(OR(COUNTIF(Info!$A$22:A81,C35)&gt;0,C35=""),"",
AND(H35="",I35=""),J35,
TRUE,"?")</f>
        <v/>
      </c>
      <c r="T35" s="52" t="str">
        <f>IFS(OR(COUNTIF(Info!$A$22:A81,C35)&gt;0,C35=""),"",
AND(L35&lt;&gt;0,OR(R35="?",R35="")),"Fyll i R-kolumnen",
OR(C35="3x3 FMC",C35="3x3 MBLD"),R35,
AND(L35&lt;&gt;0,OR(S35="?",S35="")),"Fyll i S-kolumnen",
OR(COUNTIF(Info!$A$22:A81,C35)&gt;0,C35=""),"",
TRUE,Y35*R35/L35)</f>
        <v/>
      </c>
      <c r="U35" s="52"/>
      <c r="V35" s="53" t="str">
        <f>IFS(OR(COUNTIF(Info!$A$22:A81,C35)&gt;0,C35=""),"",
OR("3x3 MBLD"=C35,"3x3 FMC"=C35)=TRUE,"",
TRUE,MROUND((J35/N35),0.01))</f>
        <v/>
      </c>
      <c r="W35" s="54" t="str">
        <f>IFS(OR(COUNTIF(Info!$A$22:A81,C35)&gt;0,C35=""),"",
TRUE,L35/N35)</f>
        <v/>
      </c>
      <c r="X35" s="55" t="str">
        <f>IFS(OR(COUNTIF(Info!$A$22:A81,C35)&gt;0,C35=""),"",
OR("3x3 MBLD"=C35,"3x3 FMC"=C35)=TRUE,"",
OR(C35="4x4 BLD",C35="5x5 BLD",C35="4x4 / 5x5 BLD",AND(C35="3x3 BLD",H35&lt;&gt;""))=TRUE,MIN(V35,P35),
TRUE,MIN(P35,V35,MROUND(((V35*2/3)+((Y35-1.625)/2)),0.01)))</f>
        <v/>
      </c>
      <c r="Y35" s="56" t="str">
        <f>IFERROR(__xludf.DUMMYFUNCTION("IFS(OR(COUNTIF(Info!$A$22:A81,C35)&gt;0,C35=""""),"""",
FILTER(Info!$F$2:F81, Info!$A$2:A81 = C35) = ""Yes"",H35/AA35,
""3x3 FMC""=C35,Info!$B$9,""3x3 MBLD""=C35,Info!$B$18,
AND(E35=1,I35="""",H35="""",Q35=""No"",G35&gt;SUMIF(Info!$A$2:A81,C35,Info!$B$2:B81)*1."&amp;"5),
MIN(SUMIF(Info!$A$2:A81,C35,Info!$B$2:B81)*1.1,SUMIF(Info!$A$2:A81,C35,Info!$B$2:B81)*(1.15-(0.15*(SUMIF(Info!$A$2:A81,C35,Info!$B$2:B81)*1.5)/G35))),
AND(E35=1,I35="""",H35="""",Q35=""Yes"",G35&gt;SUMIF(Info!$A$2:A81,C35,Info!$C$2:C81)*1.5),
MIN(SUMIF(I"&amp;"nfo!$A$2:A81,C35,Info!$C$2:C81)*1.1,SUMIF(Info!$A$2:A81,C35,Info!$C$2:C81)*(1.15-(0.15*(SUMIF(Info!$A$2:A81,C35,Info!$C$2:C81)*1.5)/G35))),
Q35=""No"",SUMIF(Info!$A$2:A81,C35,Info!$B$2:B81),
Q35=""Yes"",SUMIF(Info!$A$2:A81,C35,Info!$C$2:C81))"),"")</f>
        <v/>
      </c>
      <c r="Z35" s="57" t="str">
        <f>IFS(OR(COUNTIF(Info!$A$22:A81,C35)&gt;0,C35=""),"",
AND(OR("3x3 FMC"=C35,"3x3 MBLD"=C35),I35&lt;&gt;""),1,
AND(OR(H35&lt;&gt;"",I35&lt;&gt;""),F35="Avg of 5"),2,
F35="Avg of 5",AA35,
AND(OR(H35&lt;&gt;"",I35&lt;&gt;""),F35="Mean of 3",C35="6x6 / 7x7"),2,
AND(OR(H35&lt;&gt;"",I35&lt;&gt;""),F35="Mean of 3"),1,
F35="Mean of 3",AA35,
AND(OR(H35&lt;&gt;"",I35&lt;&gt;""),F35="Best of 3",C35="4x4 / 5x5 BLD"),2,
AND(OR(H35&lt;&gt;"",I35&lt;&gt;""),F35="Best of 3"),1,
F35="Best of 2",AA35,
F35="Best of 1",AA35)</f>
        <v/>
      </c>
      <c r="AA35" s="57" t="str">
        <f>IFS(OR(COUNTIF(Info!$A$22:A81,C35)&gt;0,C35=""),"",
AND(OR("3x3 MBLD"=C35,"3x3 FMC"=C35),F35="Best of 1"=TRUE),1,
AND(OR("3x3 MBLD"=C35,"3x3 FMC"=C35),F35="Best of 2"=TRUE),2,
AND(OR("3x3 MBLD"=C35,"3x3 FMC"=C35),OR(F35="Best of 3",F35="Mean of 3")=TRUE),3,
AND(F35="Mean of 3",C35="6x6 / 7x7"),6,
AND(F35="Best of 3",C35="4x4 / 5x5 BLD"),6,
F35="Avg of 5",5,F35="Mean of 3",3,F35="Best of 3",3,F35="Best of 2",2,F35="Best of 1",1)</f>
        <v/>
      </c>
      <c r="AB35" s="58"/>
    </row>
    <row r="36">
      <c r="A36" s="40">
        <f>IFERROR(__xludf.DUMMYFUNCTION("IFS(indirect(""A""&amp;row()-1)=""Start"",TIME(indirect(""A""&amp;row()-2),indirect(""B""&amp;row()-2),0),
$O$2=""No"",TIME(0,($A$6*60+$B$6)+CEILING(SUM($L$7:indirect(""L""&amp;row()-1)),5),0),
D36=$E$2,TIME(0,($A$6*60+$B$6)+CEILING(SUM(IFERROR(FILTER($L$7:indirect(""L"""&amp;"&amp;row()-1),REGEXMATCH($D$7:indirect(""D""&amp;row()-1),$E$2)),0)),5),0),
TRUE,""=time(hh;mm;ss)"")"),0.375)</f>
        <v>0.375</v>
      </c>
      <c r="B36" s="41">
        <f>IFERROR(__xludf.DUMMYFUNCTION("IFS($O$2=""No"",TIME(0,($A$6*60+$B$6)+CEILING(SUM($L$7:indirect(""L""&amp;row())),5),0),
D36=$E$2,TIME(0,($A$6*60+$B$6)+CEILING(SUM(FILTER($L$7:indirect(""L""&amp;row()),REGEXMATCH($D$7:indirect(""D""&amp;row()),$E$2))),5),0),
A36=""=time(hh;mm;ss)"",CONCATENATE(""Sk"&amp;"riv tid i A""&amp;row()),
AND(A36&lt;&gt;"""",A36&lt;&gt;""=time(hh;mm;ss)""),A36+TIME(0,CEILING(indirect(""L""&amp;row()),5),0))"),0.375)</f>
        <v>0.375</v>
      </c>
      <c r="C36" s="42"/>
      <c r="D36" s="43" t="str">
        <f t="shared" si="3"/>
        <v>Stora salen</v>
      </c>
      <c r="E36" s="43" t="str">
        <f>IFERROR(__xludf.DUMMYFUNCTION("IFS(COUNTIF(Info!$A$22:A81,C36)&gt;0,"""",
AND(OR(""3x3 FMC""=C36,""3x3 MBLD""=C36),COUNTIF($C$7:indirect(""C""&amp;row()),indirect(""C""&amp;row()))&gt;=13),""E - Error"",
AND(OR(""3x3 FMC""=C36,""3x3 MBLD""=C36),COUNTIF($C$7:indirect(""C""&amp;row()),indirect(""C""&amp;row()"&amp;"))=12),""Final - A3"",
AND(OR(""3x3 FMC""=C36,""3x3 MBLD""=C36),COUNTIF($C$7:indirect(""C""&amp;row()),indirect(""C""&amp;row()))=11),""Final - A2"",
AND(OR(""3x3 FMC""=C36,""3x3 MBLD""=C36),COUNTIF($C$7:indirect(""C""&amp;row()),indirect(""C""&amp;row()))=10),""Final - "&amp;"A1"",
AND(OR(""3x3 FMC""=C36,""3x3 MBLD""=C36),COUNTIF($C$7:indirect(""C""&amp;row()),indirect(""C""&amp;row()))=9,
COUNTIF($C$7:$C$61,indirect(""C""&amp;row()))&gt;9),""R3 - A3"",
AND(OR(""3x3 FMC""=C36,""3x3 MBLD""=C36),COUNTIF($C$7:indirect(""C""&amp;row()),indirect(""C"&amp;"""&amp;row()))=9,
COUNTIF($C$7:$C$61,indirect(""C""&amp;row()))&lt;=9),""Final - A3"",
AND(OR(""3x3 FMC""=C36,""3x3 MBLD""=C36),COUNTIF($C$7:indirect(""C""&amp;row()),indirect(""C""&amp;row()))=8,
COUNTIF($C$7:$C$61,indirect(""C""&amp;row()))&gt;9),""R3 - A2"",
AND(OR(""3x3 FMC""="&amp;"C36,""3x3 MBLD""=C36),COUNTIF($C$7:indirect(""C""&amp;row()),indirect(""C""&amp;row()))=8,
COUNTIF($C$7:$C$61,indirect(""C""&amp;row()))&lt;=9),""Final - A2"",
AND(OR(""3x3 FMC""=C36,""3x3 MBLD""=C36),COUNTIF($C$7:indirect(""C""&amp;row()),indirect(""C""&amp;row()))=7,
COUNTIF("&amp;"$C$7:$C$61,indirect(""C""&amp;row()))&gt;9),""R3 - A1"",
AND(OR(""3x3 FMC""=C36,""3x3 MBLD""=C36),COUNTIF($C$7:indirect(""C""&amp;row()),indirect(""C""&amp;row()))=7,
COUNTIF($C$7:$C$61,indirect(""C""&amp;row()))&lt;=9),""Final - A1"",
AND(OR(""3x3 FMC""=C36,""3x3 MBLD""=C36),"&amp;"COUNTIF($C$7:indirect(""C""&amp;row()),indirect(""C""&amp;row()))=6,
COUNTIF($C$7:$C$61,indirect(""C""&amp;row()))&gt;6),""R2 - A3"",
AND(OR(""3x3 FMC""=C36,""3x3 MBLD""=C36),COUNTIF($C$7:indirect(""C""&amp;row()),indirect(""C""&amp;row()))=6,
COUNTIF($C$7:$C$61,indirect(""C""&amp;"&amp;"row()))&lt;=6),""Final - A3"",
AND(OR(""3x3 FMC""=C36,""3x3 MBLD""=C36),COUNTIF($C$7:indirect(""C""&amp;row()),indirect(""C""&amp;row()))=5,
COUNTIF($C$7:$C$61,indirect(""C""&amp;row()))&gt;6),""R2 - A2"",
AND(OR(""3x3 FMC""=C36,""3x3 MBLD""=C36),COUNTIF($C$7:indirect(""C"&amp;"""&amp;row()),indirect(""C""&amp;row()))=5,
COUNTIF($C$7:$C$61,indirect(""C""&amp;row()))&lt;=6),""Final - A2"",
AND(OR(""3x3 FMC""=C36,""3x3 MBLD""=C36),COUNTIF($C$7:indirect(""C""&amp;row()),indirect(""C""&amp;row()))=4,
COUNTIF($C$7:$C$61,indirect(""C""&amp;row()))&gt;6),""R2 - A1"&amp;""",
AND(OR(""3x3 FMC""=C36,""3x3 MBLD""=C36),COUNTIF($C$7:indirect(""C""&amp;row()),indirect(""C""&amp;row()))=4,
COUNTIF($C$7:$C$61,indirect(""C""&amp;row()))&lt;=6),""Final - A1"",
AND(OR(""3x3 FMC""=C36,""3x3 MBLD""=C36),COUNTIF($C$7:indirect(""C""&amp;row()),indirect("""&amp;"C""&amp;row()))=3),""R1 - A3"",
AND(OR(""3x3 FMC""=C36,""3x3 MBLD""=C36),COUNTIF($C$7:indirect(""C""&amp;row()),indirect(""C""&amp;row()))=2),""R1 - A2"",
AND(OR(""3x3 FMC""=C36,""3x3 MBLD""=C36),COUNTIF($C$7:indirect(""C""&amp;row()),indirect(""C""&amp;row()))=1),""R1 -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C36),ROUNDUP((FILTER(Info!$H$2:H81,Info!$A$2:A81=C36)/FILTER(Info!$H$2:H81,Info!$A$2:A81=$K$2))*$I$2)&gt;99),3,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C36),ROUNDUP((FILTER(Info!$H$2:H81,Info!$A$2:A81=C36)/FILTER(Info!$H$2:H81,Info!$A$2:A81=$K$2))*$I$2)&gt;15),2,
AND(COUNTIF($C$7:indirect(""C""&amp;row()),indirect(""C""&amp;row()))=2,COUNTIF($C$7:$C$61,indirect(""C""&amp;row()))=COUNTIF($C$7:indirect("""&amp;"C""&amp;row()),indirect(""C""&amp;row()))),""Final"",
COUNTIF($C$7:indirect(""C""&amp;row()),indirect(""C""&amp;row()))=1,1,
COUNTIF($C$7:indirect(""C""&amp;row()),indirect(""C""&amp;row()))=0,"""")"),"")</f>
        <v/>
      </c>
      <c r="F36" s="44" t="str">
        <f>IFERROR(__xludf.DUMMYFUNCTION("IFS(C36="""","""",
AND(C36=""3x3 FMC"",MOD(COUNTIF($C$7:indirect(""C""&amp;row()),indirect(""C""&amp;row())),3)=0),""Mean of 3"",
AND(C36=""3x3 MBLD"",MOD(COUNTIF($C$7:indirect(""C""&amp;row()),indirect(""C""&amp;row())),3)=0),""Best of 3"",
AND(C36=""3x3 FMC"",MOD(COUNT"&amp;"IF($C$7:indirect(""C""&amp;row()),indirect(""C""&amp;row())),3)=2,
COUNTIF($C$7:$C$61,indirect(""C""&amp;row()))&lt;=COUNTIF($C$7:indirect(""C""&amp;row()),indirect(""C""&amp;row()))),""Best of 2"",
AND(C36=""3x3 FMC"",MOD(COUNTIF($C$7:indirect(""C""&amp;row()),indirect(""C""&amp;row()"&amp;")),3)=2,
COUNTIF($C$7:$C$61,indirect(""C""&amp;row()))&gt;COUNTIF($C$7:indirect(""C""&amp;row()),indirect(""C""&amp;row()))),""Mean of 3"",
AND(C36=""3x3 MBLD"",MOD(COUNTIF($C$7:indirect(""C""&amp;row()),indirect(""C""&amp;row())),3)=2,
COUNTIF($C$7:$C$61,indirect(""C""&amp;row()))"&amp;"&lt;=COUNTIF($C$7:indirect(""C""&amp;row()),indirect(""C""&amp;row()))),""Best of 2"",
AND(C36=""3x3 MBLD"",MOD(COUNTIF($C$7:indirect(""C""&amp;row()),indirect(""C""&amp;row())),3)=2,
COUNTIF($C$7:$C$61,indirect(""C""&amp;row()))&gt;COUNTIF($C$7:indirect(""C""&amp;row()),indirect(""C"&amp;"""&amp;row()))),""Best of 3"",
AND(C36=""3x3 FMC"",MOD(COUNTIF($C$7:indirect(""C""&amp;row()),indirect(""C""&amp;row())),3)=1,
COUNTIF($C$7:$C$61,indirect(""C""&amp;row()))&lt;=COUNTIF($C$7:indirect(""C""&amp;row()),indirect(""C""&amp;row()))),""Best of 1"",
AND(C36=""3x3 FMC"",MOD"&amp;"(COUNTIF($C$7:indirect(""C""&amp;row()),indirect(""C""&amp;row())),3)=1,
COUNTIF($C$7:$C$61,indirect(""C""&amp;row()))=COUNTIF($C$7:indirect(""C""&amp;row()),indirect(""C""&amp;row()))+1),""Best of 2"",
AND(C36=""3x3 FMC"",MOD(COUNTIF($C$7:indirect(""C""&amp;row()),indirect(""C"&amp;"""&amp;row())),3)=1,
COUNTIF($C$7:$C$61,indirect(""C""&amp;row()))&gt;COUNTIF($C$7:indirect(""C""&amp;row()),indirect(""C""&amp;row()))),""Mean of 3"",
AND(C36=""3x3 MBLD"",MOD(COUNTIF($C$7:indirect(""C""&amp;row()),indirect(""C""&amp;row())),3)=1,
COUNTIF($C$7:$C$61,indirect(""C"""&amp;"&amp;row()))&lt;=COUNTIF($C$7:indirect(""C""&amp;row()),indirect(""C""&amp;row()))),""Best of 1"",
AND(C36=""3x3 MBLD"",MOD(COUNTIF($C$7:indirect(""C""&amp;row()),indirect(""C""&amp;row())),3)=1,
COUNTIF($C$7:$C$61,indirect(""C""&amp;row()))=COUNTIF($C$7:indirect(""C""&amp;row()),indir"&amp;"ect(""C""&amp;row()))+1),""Best of 2"",
AND(C36=""3x3 MBLD"",MOD(COUNTIF($C$7:indirect(""C""&amp;row()),indirect(""C""&amp;row())),3)=1,
COUNTIF($C$7:$C$61,indirect(""C""&amp;row()))&gt;COUNTIF($C$7:indirect(""C""&amp;row()),indirect(""C""&amp;row()))),""Best of 3"",
TRUE,(IFERROR("&amp;"FILTER(Info!$D$2:D81, Info!$A$2:A81 = C36), """")))"),"")</f>
        <v/>
      </c>
      <c r="G36" s="45" t="str">
        <f>IFERROR(__xludf.DUMMYFUNCTION("IFS(OR(COUNTIF(Info!$A$22:A81,C36)&gt;0,C36=""""),"""",
OR(""3x3 MBLD""=C36,""3x3 FMC""=C36),60,
AND(E36=1,FILTER(Info!$F$2:F81, Info!$A$2:A81 = C36) = ""No""),FILTER(Info!$P$2:P81, Info!$A$2:A81 = C36),
AND(E36=2,FILTER(Info!$F$2:F81, Info!$A$2:A81 = C36) ="&amp;" ""No""),FILTER(Info!$Q$2:Q81, Info!$A$2:A81 = C36),
AND(E36=3,FILTER(Info!$F$2:F81, Info!$A$2:A81 = C36) = ""No""),FILTER(Info!$R$2:R81, Info!$A$2:A81 = C36),
AND(E36=""Final"",FILTER(Info!$F$2:F81, Info!$A$2:A81 = C36) = ""No""),FILTER(Info!$S$2:S81, In"&amp;"fo!$A$2:A81 = C36),
FILTER(Info!$F$2:F81, Info!$A$2:A81 = C36) = ""Yes"","""")"),"")</f>
        <v/>
      </c>
      <c r="H36" s="45" t="str">
        <f>IFERROR(__xludf.DUMMYFUNCTION("IFS(OR(COUNTIF(Info!$A$22:A81,C36)&gt;0,C36=""""),"""",
OR(""3x3 MBLD""=C36,""3x3 FMC""=C36)=TRUE,"""",
FILTER(Info!$F$2:F81, Info!$A$2:A81 = C36) = ""Yes"",FILTER(Info!$O$2:O81, Info!$A$2:A81 = C36),
FILTER(Info!$F$2:F81, Info!$A$2:A81 = C36) = ""No"",IF(G3"&amp;"6="""",FILTER(Info!$O$2:O81, Info!$A$2:A81 = C36),""""))"),"")</f>
        <v/>
      </c>
      <c r="I36" s="45" t="str">
        <f>IFERROR(__xludf.DUMMYFUNCTION("IFS(OR(COUNTIF(Info!$A$22:A81,C36)&gt;0,C36="""",H36&lt;&gt;""""),"""",
AND(E36&lt;&gt;1,E36&lt;&gt;""R1 - A1"",E36&lt;&gt;""R1 - A2"",E36&lt;&gt;""R1 - A3""),"""",
FILTER(Info!$E$2:E81, Info!$A$2:A81 = C36) = ""Yes"",IF(H36="""",FILTER(Info!$L$2:L81, Info!$A$2:A81 = C36),""""),
FILTER(I"&amp;"nfo!$E$2:E81, Info!$A$2:A81 = C36) = ""No"","""")"),"")</f>
        <v/>
      </c>
      <c r="J36" s="45" t="str">
        <f>IFERROR(__xludf.DUMMYFUNCTION("IFS(OR(COUNTIF(Info!$A$22:A81,C36)&gt;0,C36="""",""3x3 MBLD""=C36,""3x3 FMC""=C36),"""",
AND(E36=1,FILTER(Info!$H$2:H81,Info!$A$2:A81 = C36)&lt;=FILTER(Info!$H$2:H81,Info!$A$2:A81=$K$2)),
ROUNDUP((FILTER(Info!$H$2:H81,Info!$A$2:A81 = C36)/FILTER(Info!$H$2:H81,I"&amp;"nfo!$A$2:A81=$K$2))*$I$2),
AND(E36=1,FILTER(Info!$H$2:H81,Info!$A$2:A81 = C36)&gt;FILTER(Info!$H$2:H81,Info!$A$2:A81=$K$2)),""K2 - Error"",
AND(E36=2,FILTER($J$7:indirect(""J""&amp;row()-1),$C$7:indirect(""C""&amp;row()-1)=C36)&lt;=7),""J - Error"",
E36=2,FLOOR(FILTER("&amp;"$J$7:indirect(""J""&amp;row()-1),$C$7:indirect(""C""&amp;row()-1)=C36)*Info!$T$32),
AND(E36=3,FILTER($J$7:indirect(""J""&amp;row()-1),$C$7:indirect(""C""&amp;row()-1)=C36)&lt;=15),""J - Error"",
E36=3,FLOOR(Info!$T$32*FLOOR(FILTER($J$7:indirect(""J""&amp;row()-1),$C$7:indirect("&amp;"""C""&amp;row()-1)=C36)*Info!$T$32)),
AND(E36=""Final"",COUNTIF($C$7:$C$61,C36)=2,FILTER($J$7:indirect(""J""&amp;row()-1),$C$7:indirect(""C""&amp;row()-1)=C36)&lt;=7),""J - Error"",
AND(E36=""Final"",COUNTIF($C$7:$C$61,C36)=2),
MIN(P36,FLOOR(FILTER($J$7:indirect(""J""&amp;r"&amp;"ow()-1),$C$7:indirect(""C""&amp;row()-1)=C36)*Info!$T$32)),
AND(E36=""Final"",COUNTIF($C$7:$C$61,C36)=3,FILTER($J$7:indirect(""J""&amp;row()-1),$C$7:indirect(""C""&amp;row()-1)=C36)&lt;=15),""J - Error"",
AND(E36=""Final"",COUNTIF($C$7:$C$61,C36)=3),
MIN(P36,FLOOR(Info!"&amp;"$T$32*FLOOR(FILTER($J$7:indirect(""J""&amp;row()-1),$C$7:indirect(""C""&amp;row()-1)=C36)*Info!$T$32))),
AND(E36=""Final"",COUNTIF($C$7:$C$61,C36)&gt;=4,FILTER($J$7:indirect(""J""&amp;row()-1),$C$7:indirect(""C""&amp;row()-1)=C36)&lt;=99),""J - Error"",
AND(E36=""Final"",COUNT"&amp;"IF($C$7:$C$61,C36)&gt;=4),
MIN(P36,FLOOR(Info!$T$32*FLOOR(Info!$T$32*FLOOR(FILTER($J$7:indirect(""J""&amp;row()-1),$C$7:indirect(""C""&amp;row()-1)=C36)*Info!$T$32)))))"),"")</f>
        <v/>
      </c>
      <c r="K36" s="46" t="str">
        <f>IFERROR(__xludf.DUMMYFUNCTION("IFS(AND(indirect(""D""&amp;row()+2)&lt;&gt;$E$2,indirect(""D""&amp;row()+1)=""""),CONCATENATE(""Tom rad! Kopiera hela rad ""&amp;row()&amp;"" dit""),
AND(indirect(""D""&amp;row()-1)&lt;&gt;""Rum"",indirect(""D""&amp;row()-1)=""""),CONCATENATE(""Tom rad! Kopiera hela rad ""&amp;row()&amp;"" dit""),
"&amp;"C36="""","""",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OR(AND(D36&lt;&gt;$E$2,D36&lt;&gt;$E$4,D36&lt;&gt;$K$4,D36&lt;&gt;$Q$4),D36="&amp;"""""),CONCATENATE(""Rum: ""&amp;D36&amp;"" finns ej, byt i D""&amp;row()),
AND(indirect(""D""&amp;row()-1)=""Rum"",C36=""""),CONCATENATE(""För att börja: skriv i cell C""&amp;row()),
AND(C36=""Paus"",M36&lt;=0),CONCATENATE(""Skriv pausens längd i M""&amp;row()),
OR(COUNTIF(Info!$A$"&amp;"22:A81,C36)&gt;0,C36=""""),"""",
AND(D36&lt;&gt;$E$2,$O$2=""Yes"",A36=""=time(hh;mm;ss)""),CONCATENATE(""Skriv starttid för ""&amp;C36&amp;"" i A""&amp;row()),
E36=""E - Error"",CONCATENATE(""För många ""&amp;C36&amp;"" rundor!""),
AND(C36&lt;&gt;""3x3 FMC"",C36&lt;&gt;""3x3 MBLD"",E36&lt;&gt;1,E36&lt;&gt;"&amp;"""Final"",IFERROR(FILTER($E$7:indirect(""E""&amp;row()-1),
$E$7:indirect(""E""&amp;row()-1)=E36-1,$C$7:indirect(""C""&amp;row()-1)=C36))=FALSE),CONCATENATE(""Kan ej vara R""&amp;E36&amp;"", saknar R""&amp;(E36-1)),
AND(indirect(""E""&amp;row()-1)&lt;&gt;""Omgång"",IFERROR(FILTER($E$7:indi"&amp;"rect(""E""&amp;row()-1),
$E$7:indirect(""E""&amp;row()-1)=E36,$C$7:indirect(""C""&amp;row()-1)=C36)=E36)=TRUE),CONCATENATE(""Runda ""&amp;E36&amp;"" i ""&amp;C36&amp;"" finns redan""),
AND(C36&lt;&gt;""3x3 BLD"",C36&lt;&gt;""4x4 BLD"",C36&lt;&gt;""5x5 BLD"",C36&lt;&gt;""4x4 / 5x5 BLD"",OR(E36=2,E36=3,E36="&amp;"""Final""),H36&lt;&gt;""""),CONCATENATE(E36&amp;""-rundor brukar ej ha c.t.l.""),
AND(OR(E36=2,E36=3,E36=""Final""),I36&lt;&gt;""""),CONCATENATE(E36&amp;""-rundor brukar ej ha cutoff""),
AND(OR(C36=""3x3 FMC"",C36=""3x3 MBLD""),OR(E36=1,E36=2,E36=3,E36=""Final"")),CONCATENAT"&amp;"E(C36&amp;""s omgång är Rx - Ax""),
AND(C36&lt;&gt;""3x3 MBLD"",C36&lt;&gt;""3x3 FMC"",FILTER(Info!$D$2:D81, Info!$A$2:A81 = C36)&lt;&gt;F36),CONCATENATE(C36&amp;"" måste ha formatet ""&amp;FILTER(Info!$D$2:D81, Info!$A$2:A81 = C36)),
AND(C36=""3x3 MBLD"",OR(F36=""Avg of 5"",F36=""Mea"&amp;"n of 3"")),CONCATENATE(""Ogiltigt format för ""&amp;C36),
AND(C36=""3x3 FMC"",OR(F36=""Avg of 5"",F36=""Best of 3"")),CONCATENATE(""Ogiltigt format för ""&amp;C36),
AND(OR(F36=""Best of 1"",F36=""Best of 2"",F36=""Best of 3""),I36&lt;&gt;""""),CONCATENATE(F36&amp;""-rundor"&amp;" får ej ha cutoff""),
AND(OR(C36=""3x3 FMC"",C36=""3x3 MBLD""),G36&lt;&gt;60),CONCATENATE(C36&amp;"" måste ha time limit: 60""),
AND(OR(C36=""3x3 FMC"",C36=""3x3 MBLD""),H36&lt;&gt;""""),CONCATENATE(C36&amp;"" kan inte ha c.t.l.""),
AND(G36&lt;&gt;"""",H36&lt;&gt;""""),""Välj time limit"&amp;" ELLER c.t.l"",
AND(C36=""6x6 / 7x7"",G36="""",H36=""""),""Sätt time limit (x / y) eller c.t.l (z)"",
AND(G36="""",H36=""""),""Sätt en time limit eller c.t.l"",
AND(OR(C36=""6x6 / 7x7"",C36=""4x4 / 5x5 BLD""),G36&lt;&gt;"""",REGEXMATCH(TO_TEXT(G36),"" / "")=FAL"&amp;"SE),CONCATENATE(""Time limit måste vara x / y""),
AND(H36&lt;&gt;"""",I36&lt;&gt;""""),CONCATENATE(C36&amp;"" brukar ej ha cutoff OCH c.t.l""),
AND(E36=1,H36="""",I36="""",OR(FILTER(Info!$E$2:E81, Info!$A$2:A81 = C36) = ""Yes"",FILTER(Info!$F$2:F81, Info!$A$2:A81 = C36) "&amp;"= ""Yes""),OR(F36=""Avg of 5"",F36=""Mean of 3"")),CONCATENATE(C36&amp;"" bör ha cutoff eller c.t.l""),
AND(C36=""6x6 / 7x7"",I36&lt;&gt;"""",REGEXMATCH(TO_TEXT(I36),"" / "")=FALSE),CONCATENATE(""Cutoff måste vara x / y""),
AND(H36&lt;&gt;"""",ISNUMBER(H36)=FALSE),""C.t."&amp;"l. måste vara positivt tal (x)"",
AND(C36&lt;&gt;""6x6 / 7x7"",I36&lt;&gt;"""",ISNUMBER(I36)=FALSE),""Cutoff måste vara positivt tal (x)"",
AND(H36&lt;&gt;"""",FILTER(Info!$E$2:E81, Info!$A$2:A81 = C36) = ""No"",FILTER(Info!$F$2:F81, Info!$A$2:A81 = C36) = ""No""),CONCATEN"&amp;"ATE(C36&amp;"" brukar inte ha c.t.l.""),
AND(I36&lt;&gt;"""",FILTER(Info!$E$2:E81, Info!$A$2:A81 = C36) = ""No"",FILTER(Info!$F$2:F81, Info!$A$2:A81 = C36) = ""No""),CONCATENATE(C36&amp;"" brukar inte ha cutoff""),
AND(H36="""",FILTER(Info!$F$2:F81, Info!$A$2:A81 = C36"&amp;") = ""Yes""),CONCATENATE(C36&amp;"" brukar ha c.t.l.""),
AND(C36&lt;&gt;""6x6 / 7x7"",C36&lt;&gt;""4x4 / 5x5 BLD"",G36&lt;&gt;"""",ISNUMBER(G36)=FALSE),""Time limit måste vara positivt tal (x)"",
J36=""J - Error"",CONCATENATE(""För få deltagare i R1 för ""&amp;COUNTIF($C$7:$C$61,i"&amp;"ndirect(""C""&amp;row()))&amp;"" rundor""),
J36=""K2 - Error"",CONCATENATE(C36&amp;"" är mer populär - byt i K2!""),
AND(C36&lt;&gt;""6x6 / 7x7"",C36&lt;&gt;""4x4 / 5x5 BLD"",G36&lt;&gt;"""",I36&lt;&gt;"""",G36&lt;=I36),""Time limit måste vara &gt; cutoff"",
AND(C36&lt;&gt;""6x6 / 7x7"",C36&lt;&gt;""4x4 / 5x"&amp;"5 BLD"",H36&lt;&gt;"""",I36&lt;&gt;"""",H36&lt;=I36),""C.t.l. måste vara &gt; cutoff"",
AND(C36&lt;&gt;""3x3 FMC"",C36&lt;&gt;""3x3 MBLD"",J36=""""),CONCATENATE(""Fyll i antal deltagare i J""&amp;row()),
AND(C36="""",OR(E36&lt;&gt;"""",F36&lt;&gt;"""",G36&lt;&gt;"""",H36&lt;&gt;"""",I36&lt;&gt;"""",J36&lt;&gt;"""")),""Skriv"&amp;" ALLTID gren / aktivitet först"",
AND(I36="""",H36="""",J36&lt;&gt;""""),J36,
OR(""3x3 FMC""=C36,""3x3 MBLD""=C36),J36,
AND(I36&lt;&gt;"""",""6x6 / 7x7""=C36),
IFS(ArrayFormula(SUM(IFERROR(SPLIT(I36,"" / ""))))&lt;(Info!$J$6+Info!$J$7)*2/3,CONCATENATE(""Höj helst cutoff"&amp;"s i ""&amp;C36),
ArrayFormula(SUM(IFERROR(SPLIT(I36,"" / ""))))&lt;=(Info!$J$6+Info!$J$7),ROUNDUP(J36*Info!$J$22),
ArrayFormula(SUM(IFERROR(SPLIT(I36,"" / ""))))&lt;=Info!$J$6+Info!$J$7,ROUNDUP(J36*Info!$K$22),
ArrayFormula(SUM(IFERROR(SPLIT(I36,"" / ""))))&lt;=Info!$"&amp;"K$6+Info!$K$7,ROUNDUP(J36*Info!L$22),
ArrayFormula(SUM(IFERROR(SPLIT(I36,"" / ""))))&lt;=Info!$L$6+Info!$L$7,ROUNDUP(J36*Info!$M$22),
ArrayFormula(SUM(IFERROR(SPLIT(I36,"" / ""))))&lt;=Info!$M$6+Info!$M$7,ROUNDUP(J36*Info!$N$22),
ArrayFormula(SUM(IFERROR(SPLIT("&amp;"I36,"" / ""))))&lt;=(Info!$N$6+Info!$N$7)*3/2,ROUNDUP(J36*Info!$J$26),
ArrayFormula(SUM(IFERROR(SPLIT(I36,"" / ""))))&gt;(Info!$N$6+Info!$N$7)*3/2,CONCATENATE(""Sänk helst cutoffs i ""&amp;C36)),
AND(I36&lt;&gt;"""",FILTER(Info!$E$2:E81, Info!$A$2:A81 = C36) = ""Yes""),
"&amp;"IFS(I36&lt;FILTER(Info!$J$2:J81, Info!$A$2:A81 = C36)*2/3,CONCATENATE(""Höj helst cutoff i ""&amp;C36),
I36&lt;=FILTER(Info!$J$2:J81, Info!$A$2:A81 = C36),ROUNDUP(J36*Info!$J$22),
I36&lt;=FILTER(Info!$K$2:K81, Info!$A$2:A81 = C36),ROUNDUP(J36*Info!$K$22),
I36&lt;=FILTER("&amp;"Info!$L$2:L81, Info!$A$2:A81 = C36),ROUNDUP(J36*Info!L$22),
I36&lt;=FILTER(Info!$M$2:M81, Info!$A$2:A81 = C36),ROUNDUP(J36*Info!$M$22),
I36&lt;=FILTER(Info!$N$2:N81, Info!$A$2:A81 = C36),ROUNDUP(J36*Info!$N$22),
I36&lt;=FILTER(Info!$N$2:N81, Info!$A$2:A81 = C36)*3"&amp;"/2,ROUNDUP(J36*Info!$J$26),
I36&gt;FILTER(Info!$N$2:N81, Info!$A$2:A81 = C36)*3/2,CONCATENATE(""Sänk helst cutoff i ""&amp;C36)),
AND(H36&lt;&gt;"""",""6x6 / 7x7""=C36),
IFS(H36/3&lt;=(Info!$J$6+Info!$J$7)*2/3,""Höj helst cumulative time limit"",
H36/3&lt;=Info!$J$6+Info!$J"&amp;"$7,ROUNDUP(J36*Info!$J$24),
H36/3&lt;=Info!$K$6+Info!$K$7,ROUNDUP(J36*Info!$K$24),
H36/3&lt;=Info!$L$6+Info!$L$7,ROUNDUP(J36*Info!L$24),
H36/3&lt;=Info!$M$6+Info!$M$7,ROUNDUP(J36*Info!$M$24),
H36/3&lt;=Info!$N$6+Info!$N$7,ROUNDUP(J36*Info!$N$24),
H36/3&lt;=(Info!$N$6+In"&amp;"fo!$N$7)*3/2,ROUNDUP(J36*Info!$L$26),
H36/3&gt;(Info!$J$6+Info!$J$7)*3/2,""Sänk helst cumulative time limit""),
AND(H36&lt;&gt;"""",FILTER(Info!$F$2:F81, Info!$A$2:A81 = C36) = ""Yes""),
IFS(H36&lt;=FILTER(Info!$J$2:J81, Info!$A$2:A81 = C36)*2/3,CONCATENATE(""Höj hel"&amp;"st c.t.l. i ""&amp;C36),
H36&lt;=FILTER(Info!$J$2:J81, Info!$A$2:A81 = C36),ROUNDUP(J36*Info!$J$24),
H36&lt;=FILTER(Info!$K$2:K81, Info!$A$2:A81 = C36),ROUNDUP(J36*Info!$K$24),
H36&lt;=FILTER(Info!$L$2:L81, Info!$A$2:A81 = C36),ROUNDUP(J36*Info!L$24),
H36&lt;=FILTER(Info"&amp;"!$M$2:M81, Info!$A$2:A81 = C36),ROUNDUP(J36*Info!$M$24),
H36&lt;=FILTER(Info!$N$2:N81, Info!$A$2:A81 = C36),ROUNDUP(J36*Info!$N$24),
H36&lt;=FILTER(Info!$N$2:N81, Info!$A$2:A81 = C36)*3/2,ROUNDUP(J36*Info!$L$26),
H36&gt;FILTER(Info!$N$2:N81, Info!$A$2:A81 = C36)*3"&amp;"/2,CONCATENATE(""Sänk helst c.t.l. i ""&amp;C36)),
AND(H36&lt;&gt;"""",FILTER(Info!$F$2:F81, Info!$A$2:A81 = C36) = ""No""),
IFS(H36/AA36&lt;=FILTER(Info!$J$2:J81, Info!$A$2:A81 = C36)*2/3,CONCATENATE(""Höj helst c.t.l. i ""&amp;C36),
H36/AA36&lt;=FILTER(Info!$J$2:J81, Info!"&amp;"$A$2:A81 = C36),ROUNDUP(J36*Info!$J$24),
H36/AA36&lt;=FILTER(Info!$K$2:K81, Info!$A$2:A81 = C36),ROUNDUP(J36*Info!$K$24),
H36/AA36&lt;=FILTER(Info!$L$2:L81, Info!$A$2:A81 = C36),ROUNDUP(J36*Info!L$24),
H36/AA36&lt;=FILTER(Info!$M$2:M81, Info!$A$2:A81 = C36),ROUNDU"&amp;"P(J36*Info!$M$24),
H36/AA36&lt;=FILTER(Info!$N$2:N81, Info!$A$2:A81 = C36),ROUNDUP(J36*Info!$N$24),
H36/AA36&lt;=FILTER(Info!$N$2:N81, Info!$A$2:A81 = C36)*3/2,ROUNDUP(J36*Info!$L$26),
H36/AA36&gt;FILTER(Info!$N$2:N81, Info!$A$2:A81 = C36)*3/2,CONCATENATE(""Sänk h"&amp;"elst c.t.l. i ""&amp;C36)),
AND(I36="""",H36&lt;&gt;"""",J36&lt;&gt;""""),ROUNDUP(J36*Info!$T$29),
AND(I36&lt;&gt;"""",H36="""",J36&lt;&gt;""""),ROUNDUP(J36*Info!$T$26))"),"")</f>
        <v/>
      </c>
      <c r="L36" s="47">
        <f>IFERROR(__xludf.DUMMYFUNCTION("IFS(C36="""",0,
C36=""3x3 FMC"",Info!$B$9*N36+M36, C36=""3x3 MBLD"",Info!$B$18*N36+M36,
COUNTIF(Info!$A$22:A81,C36)&gt;0,FILTER(Info!$B$22:B81,Info!$A$22:A81=C36)+M36,
AND(C36&lt;&gt;"""",E36=""""),CONCATENATE(""Fyll i E""&amp;row()),
AND(C36&lt;&gt;"""",E36&lt;&gt;"""",E36&lt;&gt;1,E3"&amp;"6&lt;&gt;2,E36&lt;&gt;3,E36&lt;&gt;""Final""),CONCATENATE(""Fel format på E""&amp;row()),
K36=CONCATENATE(""Runda ""&amp;E36&amp;"" i ""&amp;C36&amp;"" finns redan""),CONCATENATE(""Fel i E""&amp;row()),
AND(C36&lt;&gt;"""",F36=""""),CONCATENATE(""Fyll i F""&amp;row()),
K36=CONCATENATE(C36&amp;"" måste ha forma"&amp;"tet ""&amp;FILTER(Info!$D$2:D81, Info!$A$2:A81 = C36)),CONCATENATE(""Fel format på F""&amp;row()),
AND(C36&lt;&gt;"""",D36=1,H36="""",FILTER(Info!$F$2:F81, Info!$A$2:A81 = C36) = ""Yes""),CONCATENATE(""Fyll i H""&amp;row()),
AND(C36&lt;&gt;"""",D36=1,I36="""",FILTER(Info!$E$2:E8"&amp;"1, Info!$A$2:A81 = C36) = ""Yes""),CONCATENATE(""Fyll i I""&amp;row()),
AND(C36&lt;&gt;"""",J36=""""),CONCATENATE(""Fyll i J""&amp;row()),
AND(C36&lt;&gt;"""",K36="""",OR(H36&lt;&gt;"""",I36&lt;&gt;"""")),CONCATENATE(""Fyll i K""&amp;row()),
AND(C36&lt;&gt;"""",K36=""""),CONCATENATE(""Skriv samma"&amp;" i K""&amp;row()&amp;"" som i J""&amp;row()),
AND(OR(C36=""4x4 BLD"",C36=""5x5 BLD"",C36=""4x4 / 5x5 BLD"")=TRUE,V36&lt;=P36),
MROUND(H36*(Info!$T$20-((Info!$T$20-1)/2)*(1-V36/P36))*(1+((J36/K36)-1)*(1-Info!$J$24))*N36+(Info!$T$11/2)+(N36*Info!$T$11)+(N36*Info!$T$14*(O3"&amp;"6-1)),0.01)+M36,
AND(OR(C36=""4x4 BLD"",C36=""5x5 BLD"",C36=""4x4 / 5x5 BLD"")=TRUE,V36&gt;P36),
MROUND((((J36*Z36+K36*(AA36-Z36))*(H36*Info!$T$20/AA36))/X36)*(1+((J36/K36)-1)*(1-Info!$J$24))*(1+(X36-Info!$T$8)/100)+(Info!$T$11/2)+(N36*Info!$T$11)+(N36*Info!"&amp;"$T$14*(O36-1)),0.01)+M36,
AND(C36=""3x3 BLD"",V36&lt;=P36),
MROUND(H36*(Info!$T$23-((Info!$T$23-1)/2)*(1-V36/P36))*(1+((J36/K36)-1)*(1-Info!$J$24))*N36+(Info!$T$11/2)+(N36*Info!$T$11)+(N36*Info!$T$14*(O36-1)),0.01)+M36,
AND(C36=""3x3 BLD"",V36&gt;P36),
MROUND(("&amp;"((J36*Z36+K36*(AA36-Z36))*(H36*Info!$T$23/AA36))/X36)*(1+((J36/K36)-1)*(1-Info!$J$24))*(1+(X36-Info!$T$8)/100)+(Info!$T$11/2)+(N36*Info!$T$11)+(N36*Info!$T$14*(O36-1)),0.01)+M36,
E36=1,MROUND((((J36*Z36+K36*(AA36-Z36))*Y36)/X36)*(1+(X36-Info!$T$8)/100)+(N"&amp;"36*Info!$T$11)+(N36*Info!$T$14*(O36-1)),0.01)+M36,
AND(E36=""Final"",N36=1,FILTER(Info!$G$2:$G$20,Info!$A$2:$A$20=C36)=""Mycket svår""),
MROUND((((J36*Z36+K36*(AA36-Z36))*(Y36*Info!$T$38))/X36)*(1+(X36-Info!$T$8)/100)+(N36*Info!$T$11)+(N36*Info!$T$14*(O36"&amp;"-1)),0.01)+M36,
AND(E36=""Final"",N36=1,FILTER(Info!$G$2:$G$20,Info!$A$2:$A$20=C36)=""Svår""),
MROUND((((J36*Z36+K36*(AA36-Z36))*(Y36*Info!$T$35))/X36)*(1+(X36-Info!$T$8)/100)+(N36*Info!$T$11)+(N36*Info!$T$14*(O36-1)),0.01)+M36,
E36=""Final"",MROUND((((J3"&amp;"6*Z36+K36*(AA36-Z36))*(Y36*Info!$T$5))/X36)*(1+(X36-Info!$T$8)/100)+(N36*Info!$T$11)+(N36*Info!$T$14*(O36-1)),0.01)+M36,
OR(E36=2,E36=3),MROUND((((J36*Z36+K36*(AA36-Z36))*(Y36*Info!$T$2))/X36)*(1+(X36-Info!$T$8)/100)+(N36*Info!$T$11)+(N36*Info!$T$14*(O36-"&amp;"1)),0.01)+M36)"),0.0)</f>
        <v>0</v>
      </c>
      <c r="M36" s="48">
        <f t="shared" si="4"/>
        <v>0</v>
      </c>
      <c r="N36" s="48" t="str">
        <f>IFS(OR(COUNTIF(Info!$A$22:A81,C36)&gt;0,C36=""),"",
OR(C36="4x4 BLD",C36="5x5 BLD",C36="3x3 MBLD",C36="3x3 FMC",C36="4x4 / 5x5 BLD"),1,
AND(E36="Final",Q36="Yes",MAX(1,ROUNDUP(J36/P36))&gt;1),MAX(2,ROUNDUP(J36/P36)),
AND(E36="Final",Q36="No",MAX(1,ROUNDUP(J36/((P36*2)+2.625-Y36*1.5)))&gt;1),MAX(2,ROUNDUP(J36/((P36*2)+2.625-Y36*1.5))),
E36="Final",1,
Q36="Yes",MAX(2,ROUNDUP(J36/P36)),
TRUE,MAX(2,ROUNDUP(J36/((P36*2)+2.625-Y36*1.5))))</f>
        <v/>
      </c>
      <c r="O36" s="48" t="str">
        <f>IFS(OR(COUNTIF(Info!$A$22:A81,C36)&gt;0,C36=""),"",
OR("3x3 MBLD"=C36,"3x3 FMC"=C36)=TRUE,"",
D36=$E$4,$G$6,D36=$K$4,$M$6,D36=$Q$4,$S$6,D36=$W$4,$Y$6,
TRUE,$S$2)</f>
        <v/>
      </c>
      <c r="P36" s="48" t="str">
        <f>IFS(OR(COUNTIF(Info!$A$22:A81,C36)&gt;0,C36=""),"",
OR("3x3 MBLD"=C36,"3x3 FMC"=C36)=TRUE,"",
D36=$E$4,$E$6,D36=$K$4,$K$6,D36=$Q$4,$Q$6,D36=$W$4,$W$6,
TRUE,$Q$2)</f>
        <v/>
      </c>
      <c r="Q36" s="49" t="str">
        <f>IFS(OR(COUNTIF(Info!$A$22:A81,C36)&gt;0,C36=""),"",
OR("3x3 MBLD"=C36,"3x3 FMC"=C36)=TRUE,"",
D36=$E$4,$I$6,D36=$K$4,$O$6,D36=$Q$4,$U$6,D36=$W$4,$AA$6,
TRUE,$U$2)</f>
        <v/>
      </c>
      <c r="R36" s="50" t="str">
        <f>IFERROR(__xludf.DUMMYFUNCTION("IF(C36="""","""",IFERROR(FILTER(Info!$B$22:B81,Info!$A$22:A81=C36)+M36,""?""))"),"")</f>
        <v/>
      </c>
      <c r="S36" s="51" t="str">
        <f>IFS(OR(COUNTIF(Info!$A$22:A81,C36)&gt;0,C36=""),"",
AND(H36="",I36=""),J36,
TRUE,"?")</f>
        <v/>
      </c>
      <c r="T36" s="52" t="str">
        <f>IFS(OR(COUNTIF(Info!$A$22:A81,C36)&gt;0,C36=""),"",
AND(L36&lt;&gt;0,OR(R36="?",R36="")),"Fyll i R-kolumnen",
OR(C36="3x3 FMC",C36="3x3 MBLD"),R36,
AND(L36&lt;&gt;0,OR(S36="?",S36="")),"Fyll i S-kolumnen",
OR(COUNTIF(Info!$A$22:A81,C36)&gt;0,C36=""),"",
TRUE,Y36*R36/L36)</f>
        <v/>
      </c>
      <c r="U36" s="52"/>
      <c r="V36" s="53" t="str">
        <f>IFS(OR(COUNTIF(Info!$A$22:A81,C36)&gt;0,C36=""),"",
OR("3x3 MBLD"=C36,"3x3 FMC"=C36)=TRUE,"",
TRUE,MROUND((J36/N36),0.01))</f>
        <v/>
      </c>
      <c r="W36" s="54" t="str">
        <f>IFS(OR(COUNTIF(Info!$A$22:A81,C36)&gt;0,C36=""),"",
TRUE,L36/N36)</f>
        <v/>
      </c>
      <c r="X36" s="55" t="str">
        <f>IFS(OR(COUNTIF(Info!$A$22:A81,C36)&gt;0,C36=""),"",
OR("3x3 MBLD"=C36,"3x3 FMC"=C36)=TRUE,"",
OR(C36="4x4 BLD",C36="5x5 BLD",C36="4x4 / 5x5 BLD",AND(C36="3x3 BLD",H36&lt;&gt;""))=TRUE,MIN(V36,P36),
TRUE,MIN(P36,V36,MROUND(((V36*2/3)+((Y36-1.625)/2)),0.01)))</f>
        <v/>
      </c>
      <c r="Y36" s="56" t="str">
        <f>IFERROR(__xludf.DUMMYFUNCTION("IFS(OR(COUNTIF(Info!$A$22:A81,C36)&gt;0,C36=""""),"""",
FILTER(Info!$F$2:F81, Info!$A$2:A81 = C36) = ""Yes"",H36/AA36,
""3x3 FMC""=C36,Info!$B$9,""3x3 MBLD""=C36,Info!$B$18,
AND(E36=1,I36="""",H36="""",Q36=""No"",G36&gt;SUMIF(Info!$A$2:A81,C36,Info!$B$2:B81)*1."&amp;"5),
MIN(SUMIF(Info!$A$2:A81,C36,Info!$B$2:B81)*1.1,SUMIF(Info!$A$2:A81,C36,Info!$B$2:B81)*(1.15-(0.15*(SUMIF(Info!$A$2:A81,C36,Info!$B$2:B81)*1.5)/G36))),
AND(E36=1,I36="""",H36="""",Q36=""Yes"",G36&gt;SUMIF(Info!$A$2:A81,C36,Info!$C$2:C81)*1.5),
MIN(SUMIF(I"&amp;"nfo!$A$2:A81,C36,Info!$C$2:C81)*1.1,SUMIF(Info!$A$2:A81,C36,Info!$C$2:C81)*(1.15-(0.15*(SUMIF(Info!$A$2:A81,C36,Info!$C$2:C81)*1.5)/G36))),
Q36=""No"",SUMIF(Info!$A$2:A81,C36,Info!$B$2:B81),
Q36=""Yes"",SUMIF(Info!$A$2:A81,C36,Info!$C$2:C81))"),"")</f>
        <v/>
      </c>
      <c r="Z36" s="57" t="str">
        <f>IFS(OR(COUNTIF(Info!$A$22:A81,C36)&gt;0,C36=""),"",
AND(OR("3x3 FMC"=C36,"3x3 MBLD"=C36),I36&lt;&gt;""),1,
AND(OR(H36&lt;&gt;"",I36&lt;&gt;""),F36="Avg of 5"),2,
F36="Avg of 5",AA36,
AND(OR(H36&lt;&gt;"",I36&lt;&gt;""),F36="Mean of 3",C36="6x6 / 7x7"),2,
AND(OR(H36&lt;&gt;"",I36&lt;&gt;""),F36="Mean of 3"),1,
F36="Mean of 3",AA36,
AND(OR(H36&lt;&gt;"",I36&lt;&gt;""),F36="Best of 3",C36="4x4 / 5x5 BLD"),2,
AND(OR(H36&lt;&gt;"",I36&lt;&gt;""),F36="Best of 3"),1,
F36="Best of 2",AA36,
F36="Best of 1",AA36)</f>
        <v/>
      </c>
      <c r="AA36" s="57" t="str">
        <f>IFS(OR(COUNTIF(Info!$A$22:A81,C36)&gt;0,C36=""),"",
AND(OR("3x3 MBLD"=C36,"3x3 FMC"=C36),F36="Best of 1"=TRUE),1,
AND(OR("3x3 MBLD"=C36,"3x3 FMC"=C36),F36="Best of 2"=TRUE),2,
AND(OR("3x3 MBLD"=C36,"3x3 FMC"=C36),OR(F36="Best of 3",F36="Mean of 3")=TRUE),3,
AND(F36="Mean of 3",C36="6x6 / 7x7"),6,
AND(F36="Best of 3",C36="4x4 / 5x5 BLD"),6,
F36="Avg of 5",5,F36="Mean of 3",3,F36="Best of 3",3,F36="Best of 2",2,F36="Best of 1",1)</f>
        <v/>
      </c>
      <c r="AB36" s="58"/>
    </row>
    <row r="37">
      <c r="A37" s="40">
        <f>IFERROR(__xludf.DUMMYFUNCTION("IFS(indirect(""A""&amp;row()-1)=""Start"",TIME(indirect(""A""&amp;row()-2),indirect(""B""&amp;row()-2),0),
$O$2=""No"",TIME(0,($A$6*60+$B$6)+CEILING(SUM($L$7:indirect(""L""&amp;row()-1)),5),0),
D37=$E$2,TIME(0,($A$6*60+$B$6)+CEILING(SUM(IFERROR(FILTER($L$7:indirect(""L"""&amp;"&amp;row()-1),REGEXMATCH($D$7:indirect(""D""&amp;row()-1),$E$2)),0)),5),0),
TRUE,""=time(hh;mm;ss)"")"),0.375)</f>
        <v>0.375</v>
      </c>
      <c r="B37" s="41">
        <f>IFERROR(__xludf.DUMMYFUNCTION("IFS($O$2=""No"",TIME(0,($A$6*60+$B$6)+CEILING(SUM($L$7:indirect(""L""&amp;row())),5),0),
D37=$E$2,TIME(0,($A$6*60+$B$6)+CEILING(SUM(FILTER($L$7:indirect(""L""&amp;row()),REGEXMATCH($D$7:indirect(""D""&amp;row()),$E$2))),5),0),
A37=""=time(hh;mm;ss)"",CONCATENATE(""Sk"&amp;"riv tid i A""&amp;row()),
AND(A37&lt;&gt;"""",A37&lt;&gt;""=time(hh;mm;ss)""),A37+TIME(0,CEILING(indirect(""L""&amp;row()),5),0))"),0.375)</f>
        <v>0.375</v>
      </c>
      <c r="C37" s="42"/>
      <c r="D37" s="43" t="str">
        <f t="shared" si="3"/>
        <v>Stora salen</v>
      </c>
      <c r="E37" s="43" t="str">
        <f>IFERROR(__xludf.DUMMYFUNCTION("IFS(COUNTIF(Info!$A$22:A81,C37)&gt;0,"""",
AND(OR(""3x3 FMC""=C37,""3x3 MBLD""=C37),COUNTIF($C$7:indirect(""C""&amp;row()),indirect(""C""&amp;row()))&gt;=13),""E - Error"",
AND(OR(""3x3 FMC""=C37,""3x3 MBLD""=C37),COUNTIF($C$7:indirect(""C""&amp;row()),indirect(""C""&amp;row()"&amp;"))=12),""Final - A3"",
AND(OR(""3x3 FMC""=C37,""3x3 MBLD""=C37),COUNTIF($C$7:indirect(""C""&amp;row()),indirect(""C""&amp;row()))=11),""Final - A2"",
AND(OR(""3x3 FMC""=C37,""3x3 MBLD""=C37),COUNTIF($C$7:indirect(""C""&amp;row()),indirect(""C""&amp;row()))=10),""Final - "&amp;"A1"",
AND(OR(""3x3 FMC""=C37,""3x3 MBLD""=C37),COUNTIF($C$7:indirect(""C""&amp;row()),indirect(""C""&amp;row()))=9,
COUNTIF($C$7:$C$61,indirect(""C""&amp;row()))&gt;9),""R3 - A3"",
AND(OR(""3x3 FMC""=C37,""3x3 MBLD""=C37),COUNTIF($C$7:indirect(""C""&amp;row()),indirect(""C"&amp;"""&amp;row()))=9,
COUNTIF($C$7:$C$61,indirect(""C""&amp;row()))&lt;=9),""Final - A3"",
AND(OR(""3x3 FMC""=C37,""3x3 MBLD""=C37),COUNTIF($C$7:indirect(""C""&amp;row()),indirect(""C""&amp;row()))=8,
COUNTIF($C$7:$C$61,indirect(""C""&amp;row()))&gt;9),""R3 - A2"",
AND(OR(""3x3 FMC""="&amp;"C37,""3x3 MBLD""=C37),COUNTIF($C$7:indirect(""C""&amp;row()),indirect(""C""&amp;row()))=8,
COUNTIF($C$7:$C$61,indirect(""C""&amp;row()))&lt;=9),""Final - A2"",
AND(OR(""3x3 FMC""=C37,""3x3 MBLD""=C37),COUNTIF($C$7:indirect(""C""&amp;row()),indirect(""C""&amp;row()))=7,
COUNTIF("&amp;"$C$7:$C$61,indirect(""C""&amp;row()))&gt;9),""R3 - A1"",
AND(OR(""3x3 FMC""=C37,""3x3 MBLD""=C37),COUNTIF($C$7:indirect(""C""&amp;row()),indirect(""C""&amp;row()))=7,
COUNTIF($C$7:$C$61,indirect(""C""&amp;row()))&lt;=9),""Final - A1"",
AND(OR(""3x3 FMC""=C37,""3x3 MBLD""=C37),"&amp;"COUNTIF($C$7:indirect(""C""&amp;row()),indirect(""C""&amp;row()))=6,
COUNTIF($C$7:$C$61,indirect(""C""&amp;row()))&gt;6),""R2 - A3"",
AND(OR(""3x3 FMC""=C37,""3x3 MBLD""=C37),COUNTIF($C$7:indirect(""C""&amp;row()),indirect(""C""&amp;row()))=6,
COUNTIF($C$7:$C$61,indirect(""C""&amp;"&amp;"row()))&lt;=6),""Final - A3"",
AND(OR(""3x3 FMC""=C37,""3x3 MBLD""=C37),COUNTIF($C$7:indirect(""C""&amp;row()),indirect(""C""&amp;row()))=5,
COUNTIF($C$7:$C$61,indirect(""C""&amp;row()))&gt;6),""R2 - A2"",
AND(OR(""3x3 FMC""=C37,""3x3 MBLD""=C37),COUNTIF($C$7:indirect(""C"&amp;"""&amp;row()),indirect(""C""&amp;row()))=5,
COUNTIF($C$7:$C$61,indirect(""C""&amp;row()))&lt;=6),""Final - A2"",
AND(OR(""3x3 FMC""=C37,""3x3 MBLD""=C37),COUNTIF($C$7:indirect(""C""&amp;row()),indirect(""C""&amp;row()))=4,
COUNTIF($C$7:$C$61,indirect(""C""&amp;row()))&gt;6),""R2 - A1"&amp;""",
AND(OR(""3x3 FMC""=C37,""3x3 MBLD""=C37),COUNTIF($C$7:indirect(""C""&amp;row()),indirect(""C""&amp;row()))=4,
COUNTIF($C$7:$C$61,indirect(""C""&amp;row()))&lt;=6),""Final - A1"",
AND(OR(""3x3 FMC""=C37,""3x3 MBLD""=C37),COUNTIF($C$7:indirect(""C""&amp;row()),indirect("""&amp;"C""&amp;row()))=3),""R1 - A3"",
AND(OR(""3x3 FMC""=C37,""3x3 MBLD""=C37),COUNTIF($C$7:indirect(""C""&amp;row()),indirect(""C""&amp;row()))=2),""R1 - A2"",
AND(OR(""3x3 FMC""=C37,""3x3 MBLD""=C37),COUNTIF($C$7:indirect(""C""&amp;row()),indirect(""C""&amp;row()))=1),""R1 -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C37),ROUNDUP((FILTER(Info!$H$2:H81,Info!$A$2:A81=C37)/FILTER(Info!$H$2:H81,Info!$A$2:A81=$K$2))*$I$2)&gt;99),3,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C37),ROUNDUP((FILTER(Info!$H$2:H81,Info!$A$2:A81=C37)/FILTER(Info!$H$2:H81,Info!$A$2:A81=$K$2))*$I$2)&gt;15),2,
AND(COUNTIF($C$7:indirect(""C""&amp;row()),indirect(""C""&amp;row()))=2,COUNTIF($C$7:$C$61,indirect(""C""&amp;row()))=COUNTIF($C$7:indirect("""&amp;"C""&amp;row()),indirect(""C""&amp;row()))),""Final"",
COUNTIF($C$7:indirect(""C""&amp;row()),indirect(""C""&amp;row()))=1,1,
COUNTIF($C$7:indirect(""C""&amp;row()),indirect(""C""&amp;row()))=0,"""")"),"")</f>
        <v/>
      </c>
      <c r="F37" s="44" t="str">
        <f>IFERROR(__xludf.DUMMYFUNCTION("IFS(C37="""","""",
AND(C37=""3x3 FMC"",MOD(COUNTIF($C$7:indirect(""C""&amp;row()),indirect(""C""&amp;row())),3)=0),""Mean of 3"",
AND(C37=""3x3 MBLD"",MOD(COUNTIF($C$7:indirect(""C""&amp;row()),indirect(""C""&amp;row())),3)=0),""Best of 3"",
AND(C37=""3x3 FMC"",MOD(COUNT"&amp;"IF($C$7:indirect(""C""&amp;row()),indirect(""C""&amp;row())),3)=2,
COUNTIF($C$7:$C$61,indirect(""C""&amp;row()))&lt;=COUNTIF($C$7:indirect(""C""&amp;row()),indirect(""C""&amp;row()))),""Best of 2"",
AND(C37=""3x3 FMC"",MOD(COUNTIF($C$7:indirect(""C""&amp;row()),indirect(""C""&amp;row()"&amp;")),3)=2,
COUNTIF($C$7:$C$61,indirect(""C""&amp;row()))&gt;COUNTIF($C$7:indirect(""C""&amp;row()),indirect(""C""&amp;row()))),""Mean of 3"",
AND(C37=""3x3 MBLD"",MOD(COUNTIF($C$7:indirect(""C""&amp;row()),indirect(""C""&amp;row())),3)=2,
COUNTIF($C$7:$C$61,indirect(""C""&amp;row()))"&amp;"&lt;=COUNTIF($C$7:indirect(""C""&amp;row()),indirect(""C""&amp;row()))),""Best of 2"",
AND(C37=""3x3 MBLD"",MOD(COUNTIF($C$7:indirect(""C""&amp;row()),indirect(""C""&amp;row())),3)=2,
COUNTIF($C$7:$C$61,indirect(""C""&amp;row()))&gt;COUNTIF($C$7:indirect(""C""&amp;row()),indirect(""C"&amp;"""&amp;row()))),""Best of 3"",
AND(C37=""3x3 FMC"",MOD(COUNTIF($C$7:indirect(""C""&amp;row()),indirect(""C""&amp;row())),3)=1,
COUNTIF($C$7:$C$61,indirect(""C""&amp;row()))&lt;=COUNTIF($C$7:indirect(""C""&amp;row()),indirect(""C""&amp;row()))),""Best of 1"",
AND(C37=""3x3 FMC"",MOD"&amp;"(COUNTIF($C$7:indirect(""C""&amp;row()),indirect(""C""&amp;row())),3)=1,
COUNTIF($C$7:$C$61,indirect(""C""&amp;row()))=COUNTIF($C$7:indirect(""C""&amp;row()),indirect(""C""&amp;row()))+1),""Best of 2"",
AND(C37=""3x3 FMC"",MOD(COUNTIF($C$7:indirect(""C""&amp;row()),indirect(""C"&amp;"""&amp;row())),3)=1,
COUNTIF($C$7:$C$61,indirect(""C""&amp;row()))&gt;COUNTIF($C$7:indirect(""C""&amp;row()),indirect(""C""&amp;row()))),""Mean of 3"",
AND(C37=""3x3 MBLD"",MOD(COUNTIF($C$7:indirect(""C""&amp;row()),indirect(""C""&amp;row())),3)=1,
COUNTIF($C$7:$C$61,indirect(""C"""&amp;"&amp;row()))&lt;=COUNTIF($C$7:indirect(""C""&amp;row()),indirect(""C""&amp;row()))),""Best of 1"",
AND(C37=""3x3 MBLD"",MOD(COUNTIF($C$7:indirect(""C""&amp;row()),indirect(""C""&amp;row())),3)=1,
COUNTIF($C$7:$C$61,indirect(""C""&amp;row()))=COUNTIF($C$7:indirect(""C""&amp;row()),indir"&amp;"ect(""C""&amp;row()))+1),""Best of 2"",
AND(C37=""3x3 MBLD"",MOD(COUNTIF($C$7:indirect(""C""&amp;row()),indirect(""C""&amp;row())),3)=1,
COUNTIF($C$7:$C$61,indirect(""C""&amp;row()))&gt;COUNTIF($C$7:indirect(""C""&amp;row()),indirect(""C""&amp;row()))),""Best of 3"",
TRUE,(IFERROR("&amp;"FILTER(Info!$D$2:D81, Info!$A$2:A81 = C37), """")))"),"")</f>
        <v/>
      </c>
      <c r="G37" s="45" t="str">
        <f>IFERROR(__xludf.DUMMYFUNCTION("IFS(OR(COUNTIF(Info!$A$22:A81,C37)&gt;0,C37=""""),"""",
OR(""3x3 MBLD""=C37,""3x3 FMC""=C37),60,
AND(E37=1,FILTER(Info!$F$2:F81, Info!$A$2:A81 = C37) = ""No""),FILTER(Info!$P$2:P81, Info!$A$2:A81 = C37),
AND(E37=2,FILTER(Info!$F$2:F81, Info!$A$2:A81 = C37) ="&amp;" ""No""),FILTER(Info!$Q$2:Q81, Info!$A$2:A81 = C37),
AND(E37=3,FILTER(Info!$F$2:F81, Info!$A$2:A81 = C37) = ""No""),FILTER(Info!$R$2:R81, Info!$A$2:A81 = C37),
AND(E37=""Final"",FILTER(Info!$F$2:F81, Info!$A$2:A81 = C37) = ""No""),FILTER(Info!$S$2:S81, In"&amp;"fo!$A$2:A81 = C37),
FILTER(Info!$F$2:F81, Info!$A$2:A81 = C37) = ""Yes"","""")"),"")</f>
        <v/>
      </c>
      <c r="H37" s="45" t="str">
        <f>IFERROR(__xludf.DUMMYFUNCTION("IFS(OR(COUNTIF(Info!$A$22:A81,C37)&gt;0,C37=""""),"""",
OR(""3x3 MBLD""=C37,""3x3 FMC""=C37)=TRUE,"""",
FILTER(Info!$F$2:F81, Info!$A$2:A81 = C37) = ""Yes"",FILTER(Info!$O$2:O81, Info!$A$2:A81 = C37),
FILTER(Info!$F$2:F81, Info!$A$2:A81 = C37) = ""No"",IF(G3"&amp;"7="""",FILTER(Info!$O$2:O81, Info!$A$2:A81 = C37),""""))"),"")</f>
        <v/>
      </c>
      <c r="I37" s="45" t="str">
        <f>IFERROR(__xludf.DUMMYFUNCTION("IFS(OR(COUNTIF(Info!$A$22:A81,C37)&gt;0,C37="""",H37&lt;&gt;""""),"""",
AND(E37&lt;&gt;1,E37&lt;&gt;""R1 - A1"",E37&lt;&gt;""R1 - A2"",E37&lt;&gt;""R1 - A3""),"""",
FILTER(Info!$E$2:E81, Info!$A$2:A81 = C37) = ""Yes"",IF(H37="""",FILTER(Info!$L$2:L81, Info!$A$2:A81 = C37),""""),
FILTER(I"&amp;"nfo!$E$2:E81, Info!$A$2:A81 = C37) = ""No"","""")"),"")</f>
        <v/>
      </c>
      <c r="J37" s="45" t="str">
        <f>IFERROR(__xludf.DUMMYFUNCTION("IFS(OR(COUNTIF(Info!$A$22:A81,C37)&gt;0,C37="""",""3x3 MBLD""=C37,""3x3 FMC""=C37),"""",
AND(E37=1,FILTER(Info!$H$2:H81,Info!$A$2:A81 = C37)&lt;=FILTER(Info!$H$2:H81,Info!$A$2:A81=$K$2)),
ROUNDUP((FILTER(Info!$H$2:H81,Info!$A$2:A81 = C37)/FILTER(Info!$H$2:H81,I"&amp;"nfo!$A$2:A81=$K$2))*$I$2),
AND(E37=1,FILTER(Info!$H$2:H81,Info!$A$2:A81 = C37)&gt;FILTER(Info!$H$2:H81,Info!$A$2:A81=$K$2)),""K2 - Error"",
AND(E37=2,FILTER($J$7:indirect(""J""&amp;row()-1),$C$7:indirect(""C""&amp;row()-1)=C37)&lt;=7),""J - Error"",
E37=2,FLOOR(FILTER("&amp;"$J$7:indirect(""J""&amp;row()-1),$C$7:indirect(""C""&amp;row()-1)=C37)*Info!$T$32),
AND(E37=3,FILTER($J$7:indirect(""J""&amp;row()-1),$C$7:indirect(""C""&amp;row()-1)=C37)&lt;=15),""J - Error"",
E37=3,FLOOR(Info!$T$32*FLOOR(FILTER($J$7:indirect(""J""&amp;row()-1),$C$7:indirect("&amp;"""C""&amp;row()-1)=C37)*Info!$T$32)),
AND(E37=""Final"",COUNTIF($C$7:$C$61,C37)=2,FILTER($J$7:indirect(""J""&amp;row()-1),$C$7:indirect(""C""&amp;row()-1)=C37)&lt;=7),""J - Error"",
AND(E37=""Final"",COUNTIF($C$7:$C$61,C37)=2),
MIN(P37,FLOOR(FILTER($J$7:indirect(""J""&amp;r"&amp;"ow()-1),$C$7:indirect(""C""&amp;row()-1)=C37)*Info!$T$32)),
AND(E37=""Final"",COUNTIF($C$7:$C$61,C37)=3,FILTER($J$7:indirect(""J""&amp;row()-1),$C$7:indirect(""C""&amp;row()-1)=C37)&lt;=15),""J - Error"",
AND(E37=""Final"",COUNTIF($C$7:$C$61,C37)=3),
MIN(P37,FLOOR(Info!"&amp;"$T$32*FLOOR(FILTER($J$7:indirect(""J""&amp;row()-1),$C$7:indirect(""C""&amp;row()-1)=C37)*Info!$T$32))),
AND(E37=""Final"",COUNTIF($C$7:$C$61,C37)&gt;=4,FILTER($J$7:indirect(""J""&amp;row()-1),$C$7:indirect(""C""&amp;row()-1)=C37)&lt;=99),""J - Error"",
AND(E37=""Final"",COUNT"&amp;"IF($C$7:$C$61,C37)&gt;=4),
MIN(P37,FLOOR(Info!$T$32*FLOOR(Info!$T$32*FLOOR(FILTER($J$7:indirect(""J""&amp;row()-1),$C$7:indirect(""C""&amp;row()-1)=C37)*Info!$T$32)))))"),"")</f>
        <v/>
      </c>
      <c r="K37" s="46" t="str">
        <f>IFERROR(__xludf.DUMMYFUNCTION("IFS(AND(indirect(""D""&amp;row()+2)&lt;&gt;$E$2,indirect(""D""&amp;row()+1)=""""),CONCATENATE(""Tom rad! Kopiera hela rad ""&amp;row()&amp;"" dit""),
AND(indirect(""D""&amp;row()-1)&lt;&gt;""Rum"",indirect(""D""&amp;row()-1)=""""),CONCATENATE(""Tom rad! Kopiera hela rad ""&amp;row()&amp;"" dit""),
"&amp;"C37="""","""",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OR(AND(D37&lt;&gt;$E$2,D37&lt;&gt;$E$4,D37&lt;&gt;$K$4,D37&lt;&gt;$Q$4),D37="&amp;"""""),CONCATENATE(""Rum: ""&amp;D37&amp;"" finns ej, byt i D""&amp;row()),
AND(indirect(""D""&amp;row()-1)=""Rum"",C37=""""),CONCATENATE(""För att börja: skriv i cell C""&amp;row()),
AND(C37=""Paus"",M37&lt;=0),CONCATENATE(""Skriv pausens längd i M""&amp;row()),
OR(COUNTIF(Info!$A$"&amp;"22:A81,C37)&gt;0,C37=""""),"""",
AND(D37&lt;&gt;$E$2,$O$2=""Yes"",A37=""=time(hh;mm;ss)""),CONCATENATE(""Skriv starttid för ""&amp;C37&amp;"" i A""&amp;row()),
E37=""E - Error"",CONCATENATE(""För många ""&amp;C37&amp;"" rundor!""),
AND(C37&lt;&gt;""3x3 FMC"",C37&lt;&gt;""3x3 MBLD"",E37&lt;&gt;1,E37&lt;&gt;"&amp;"""Final"",IFERROR(FILTER($E$7:indirect(""E""&amp;row()-1),
$E$7:indirect(""E""&amp;row()-1)=E37-1,$C$7:indirect(""C""&amp;row()-1)=C37))=FALSE),CONCATENATE(""Kan ej vara R""&amp;E37&amp;"", saknar R""&amp;(E37-1)),
AND(indirect(""E""&amp;row()-1)&lt;&gt;""Omgång"",IFERROR(FILTER($E$7:indi"&amp;"rect(""E""&amp;row()-1),
$E$7:indirect(""E""&amp;row()-1)=E37,$C$7:indirect(""C""&amp;row()-1)=C37)=E37)=TRUE),CONCATENATE(""Runda ""&amp;E37&amp;"" i ""&amp;C37&amp;"" finns redan""),
AND(C37&lt;&gt;""3x3 BLD"",C37&lt;&gt;""4x4 BLD"",C37&lt;&gt;""5x5 BLD"",C37&lt;&gt;""4x4 / 5x5 BLD"",OR(E37=2,E37=3,E37="&amp;"""Final""),H37&lt;&gt;""""),CONCATENATE(E37&amp;""-rundor brukar ej ha c.t.l.""),
AND(OR(E37=2,E37=3,E37=""Final""),I37&lt;&gt;""""),CONCATENATE(E37&amp;""-rundor brukar ej ha cutoff""),
AND(OR(C37=""3x3 FMC"",C37=""3x3 MBLD""),OR(E37=1,E37=2,E37=3,E37=""Final"")),CONCATENAT"&amp;"E(C37&amp;""s omgång är Rx - Ax""),
AND(C37&lt;&gt;""3x3 MBLD"",C37&lt;&gt;""3x3 FMC"",FILTER(Info!$D$2:D81, Info!$A$2:A81 = C37)&lt;&gt;F37),CONCATENATE(C37&amp;"" måste ha formatet ""&amp;FILTER(Info!$D$2:D81, Info!$A$2:A81 = C37)),
AND(C37=""3x3 MBLD"",OR(F37=""Avg of 5"",F37=""Mea"&amp;"n of 3"")),CONCATENATE(""Ogiltigt format för ""&amp;C37),
AND(C37=""3x3 FMC"",OR(F37=""Avg of 5"",F37=""Best of 3"")),CONCATENATE(""Ogiltigt format för ""&amp;C37),
AND(OR(F37=""Best of 1"",F37=""Best of 2"",F37=""Best of 3""),I37&lt;&gt;""""),CONCATENATE(F37&amp;""-rundor"&amp;" får ej ha cutoff""),
AND(OR(C37=""3x3 FMC"",C37=""3x3 MBLD""),G37&lt;&gt;60),CONCATENATE(C37&amp;"" måste ha time limit: 60""),
AND(OR(C37=""3x3 FMC"",C37=""3x3 MBLD""),H37&lt;&gt;""""),CONCATENATE(C37&amp;"" kan inte ha c.t.l.""),
AND(G37&lt;&gt;"""",H37&lt;&gt;""""),""Välj time limit"&amp;" ELLER c.t.l"",
AND(C37=""6x6 / 7x7"",G37="""",H37=""""),""Sätt time limit (x / y) eller c.t.l (z)"",
AND(G37="""",H37=""""),""Sätt en time limit eller c.t.l"",
AND(OR(C37=""6x6 / 7x7"",C37=""4x4 / 5x5 BLD""),G37&lt;&gt;"""",REGEXMATCH(TO_TEXT(G37),"" / "")=FAL"&amp;"SE),CONCATENATE(""Time limit måste vara x / y""),
AND(H37&lt;&gt;"""",I37&lt;&gt;""""),CONCATENATE(C37&amp;"" brukar ej ha cutoff OCH c.t.l""),
AND(E37=1,H37="""",I37="""",OR(FILTER(Info!$E$2:E81, Info!$A$2:A81 = C37) = ""Yes"",FILTER(Info!$F$2:F81, Info!$A$2:A81 = C37) "&amp;"= ""Yes""),OR(F37=""Avg of 5"",F37=""Mean of 3"")),CONCATENATE(C37&amp;"" bör ha cutoff eller c.t.l""),
AND(C37=""6x6 / 7x7"",I37&lt;&gt;"""",REGEXMATCH(TO_TEXT(I37),"" / "")=FALSE),CONCATENATE(""Cutoff måste vara x / y""),
AND(H37&lt;&gt;"""",ISNUMBER(H37)=FALSE),""C.t."&amp;"l. måste vara positivt tal (x)"",
AND(C37&lt;&gt;""6x6 / 7x7"",I37&lt;&gt;"""",ISNUMBER(I37)=FALSE),""Cutoff måste vara positivt tal (x)"",
AND(H37&lt;&gt;"""",FILTER(Info!$E$2:E81, Info!$A$2:A81 = C37) = ""No"",FILTER(Info!$F$2:F81, Info!$A$2:A81 = C37) = ""No""),CONCATEN"&amp;"ATE(C37&amp;"" brukar inte ha c.t.l.""),
AND(I37&lt;&gt;"""",FILTER(Info!$E$2:E81, Info!$A$2:A81 = C37) = ""No"",FILTER(Info!$F$2:F81, Info!$A$2:A81 = C37) = ""No""),CONCATENATE(C37&amp;"" brukar inte ha cutoff""),
AND(H37="""",FILTER(Info!$F$2:F81, Info!$A$2:A81 = C37"&amp;") = ""Yes""),CONCATENATE(C37&amp;"" brukar ha c.t.l.""),
AND(C37&lt;&gt;""6x6 / 7x7"",C37&lt;&gt;""4x4 / 5x5 BLD"",G37&lt;&gt;"""",ISNUMBER(G37)=FALSE),""Time limit måste vara positivt tal (x)"",
J37=""J - Error"",CONCATENATE(""För få deltagare i R1 för ""&amp;COUNTIF($C$7:$C$61,i"&amp;"ndirect(""C""&amp;row()))&amp;"" rundor""),
J37=""K2 - Error"",CONCATENATE(C37&amp;"" är mer populär - byt i K2!""),
AND(C37&lt;&gt;""6x6 / 7x7"",C37&lt;&gt;""4x4 / 5x5 BLD"",G37&lt;&gt;"""",I37&lt;&gt;"""",G37&lt;=I37),""Time limit måste vara &gt; cutoff"",
AND(C37&lt;&gt;""6x6 / 7x7"",C37&lt;&gt;""4x4 / 5x"&amp;"5 BLD"",H37&lt;&gt;"""",I37&lt;&gt;"""",H37&lt;=I37),""C.t.l. måste vara &gt; cutoff"",
AND(C37&lt;&gt;""3x3 FMC"",C37&lt;&gt;""3x3 MBLD"",J37=""""),CONCATENATE(""Fyll i antal deltagare i J""&amp;row()),
AND(C37="""",OR(E37&lt;&gt;"""",F37&lt;&gt;"""",G37&lt;&gt;"""",H37&lt;&gt;"""",I37&lt;&gt;"""",J37&lt;&gt;"""")),""Skriv"&amp;" ALLTID gren / aktivitet först"",
AND(I37="""",H37="""",J37&lt;&gt;""""),J37,
OR(""3x3 FMC""=C37,""3x3 MBLD""=C37),J37,
AND(I37&lt;&gt;"""",""6x6 / 7x7""=C37),
IFS(ArrayFormula(SUM(IFERROR(SPLIT(I37,"" / ""))))&lt;(Info!$J$6+Info!$J$7)*2/3,CONCATENATE(""Höj helst cutoff"&amp;"s i ""&amp;C37),
ArrayFormula(SUM(IFERROR(SPLIT(I37,"" / ""))))&lt;=(Info!$J$6+Info!$J$7),ROUNDUP(J37*Info!$J$22),
ArrayFormula(SUM(IFERROR(SPLIT(I37,"" / ""))))&lt;=Info!$J$6+Info!$J$7,ROUNDUP(J37*Info!$K$22),
ArrayFormula(SUM(IFERROR(SPLIT(I37,"" / ""))))&lt;=Info!$"&amp;"K$6+Info!$K$7,ROUNDUP(J37*Info!L$22),
ArrayFormula(SUM(IFERROR(SPLIT(I37,"" / ""))))&lt;=Info!$L$6+Info!$L$7,ROUNDUP(J37*Info!$M$22),
ArrayFormula(SUM(IFERROR(SPLIT(I37,"" / ""))))&lt;=Info!$M$6+Info!$M$7,ROUNDUP(J37*Info!$N$22),
ArrayFormula(SUM(IFERROR(SPLIT("&amp;"I37,"" / ""))))&lt;=(Info!$N$6+Info!$N$7)*3/2,ROUNDUP(J37*Info!$J$26),
ArrayFormula(SUM(IFERROR(SPLIT(I37,"" / ""))))&gt;(Info!$N$6+Info!$N$7)*3/2,CONCATENATE(""Sänk helst cutoffs i ""&amp;C37)),
AND(I37&lt;&gt;"""",FILTER(Info!$E$2:E81, Info!$A$2:A81 = C37) = ""Yes""),
"&amp;"IFS(I37&lt;FILTER(Info!$J$2:J81, Info!$A$2:A81 = C37)*2/3,CONCATENATE(""Höj helst cutoff i ""&amp;C37),
I37&lt;=FILTER(Info!$J$2:J81, Info!$A$2:A81 = C37),ROUNDUP(J37*Info!$J$22),
I37&lt;=FILTER(Info!$K$2:K81, Info!$A$2:A81 = C37),ROUNDUP(J37*Info!$K$22),
I37&lt;=FILTER("&amp;"Info!$L$2:L81, Info!$A$2:A81 = C37),ROUNDUP(J37*Info!L$22),
I37&lt;=FILTER(Info!$M$2:M81, Info!$A$2:A81 = C37),ROUNDUP(J37*Info!$M$22),
I37&lt;=FILTER(Info!$N$2:N81, Info!$A$2:A81 = C37),ROUNDUP(J37*Info!$N$22),
I37&lt;=FILTER(Info!$N$2:N81, Info!$A$2:A81 = C37)*3"&amp;"/2,ROUNDUP(J37*Info!$J$26),
I37&gt;FILTER(Info!$N$2:N81, Info!$A$2:A81 = C37)*3/2,CONCATENATE(""Sänk helst cutoff i ""&amp;C37)),
AND(H37&lt;&gt;"""",""6x6 / 7x7""=C37),
IFS(H37/3&lt;=(Info!$J$6+Info!$J$7)*2/3,""Höj helst cumulative time limit"",
H37/3&lt;=Info!$J$6+Info!$J"&amp;"$7,ROUNDUP(J37*Info!$J$24),
H37/3&lt;=Info!$K$6+Info!$K$7,ROUNDUP(J37*Info!$K$24),
H37/3&lt;=Info!$L$6+Info!$L$7,ROUNDUP(J37*Info!L$24),
H37/3&lt;=Info!$M$6+Info!$M$7,ROUNDUP(J37*Info!$M$24),
H37/3&lt;=Info!$N$6+Info!$N$7,ROUNDUP(J37*Info!$N$24),
H37/3&lt;=(Info!$N$6+In"&amp;"fo!$N$7)*3/2,ROUNDUP(J37*Info!$L$26),
H37/3&gt;(Info!$J$6+Info!$J$7)*3/2,""Sänk helst cumulative time limit""),
AND(H37&lt;&gt;"""",FILTER(Info!$F$2:F81, Info!$A$2:A81 = C37) = ""Yes""),
IFS(H37&lt;=FILTER(Info!$J$2:J81, Info!$A$2:A81 = C37)*2/3,CONCATENATE(""Höj hel"&amp;"st c.t.l. i ""&amp;C37),
H37&lt;=FILTER(Info!$J$2:J81, Info!$A$2:A81 = C37),ROUNDUP(J37*Info!$J$24),
H37&lt;=FILTER(Info!$K$2:K81, Info!$A$2:A81 = C37),ROUNDUP(J37*Info!$K$24),
H37&lt;=FILTER(Info!$L$2:L81, Info!$A$2:A81 = C37),ROUNDUP(J37*Info!L$24),
H37&lt;=FILTER(Info"&amp;"!$M$2:M81, Info!$A$2:A81 = C37),ROUNDUP(J37*Info!$M$24),
H37&lt;=FILTER(Info!$N$2:N81, Info!$A$2:A81 = C37),ROUNDUP(J37*Info!$N$24),
H37&lt;=FILTER(Info!$N$2:N81, Info!$A$2:A81 = C37)*3/2,ROUNDUP(J37*Info!$L$26),
H37&gt;FILTER(Info!$N$2:N81, Info!$A$2:A81 = C37)*3"&amp;"/2,CONCATENATE(""Sänk helst c.t.l. i ""&amp;C37)),
AND(H37&lt;&gt;"""",FILTER(Info!$F$2:F81, Info!$A$2:A81 = C37) = ""No""),
IFS(H37/AA37&lt;=FILTER(Info!$J$2:J81, Info!$A$2:A81 = C37)*2/3,CONCATENATE(""Höj helst c.t.l. i ""&amp;C37),
H37/AA37&lt;=FILTER(Info!$J$2:J81, Info!"&amp;"$A$2:A81 = C37),ROUNDUP(J37*Info!$J$24),
H37/AA37&lt;=FILTER(Info!$K$2:K81, Info!$A$2:A81 = C37),ROUNDUP(J37*Info!$K$24),
H37/AA37&lt;=FILTER(Info!$L$2:L81, Info!$A$2:A81 = C37),ROUNDUP(J37*Info!L$24),
H37/AA37&lt;=FILTER(Info!$M$2:M81, Info!$A$2:A81 = C37),ROUNDU"&amp;"P(J37*Info!$M$24),
H37/AA37&lt;=FILTER(Info!$N$2:N81, Info!$A$2:A81 = C37),ROUNDUP(J37*Info!$N$24),
H37/AA37&lt;=FILTER(Info!$N$2:N81, Info!$A$2:A81 = C37)*3/2,ROUNDUP(J37*Info!$L$26),
H37/AA37&gt;FILTER(Info!$N$2:N81, Info!$A$2:A81 = C37)*3/2,CONCATENATE(""Sänk h"&amp;"elst c.t.l. i ""&amp;C37)),
AND(I37="""",H37&lt;&gt;"""",J37&lt;&gt;""""),ROUNDUP(J37*Info!$T$29),
AND(I37&lt;&gt;"""",H37="""",J37&lt;&gt;""""),ROUNDUP(J37*Info!$T$26))"),"")</f>
        <v/>
      </c>
      <c r="L37" s="47">
        <f>IFERROR(__xludf.DUMMYFUNCTION("IFS(C37="""",0,
C37=""3x3 FMC"",Info!$B$9*N37+M37, C37=""3x3 MBLD"",Info!$B$18*N37+M37,
COUNTIF(Info!$A$22:A81,C37)&gt;0,FILTER(Info!$B$22:B81,Info!$A$22:A81=C37)+M37,
AND(C37&lt;&gt;"""",E37=""""),CONCATENATE(""Fyll i E""&amp;row()),
AND(C37&lt;&gt;"""",E37&lt;&gt;"""",E37&lt;&gt;1,E3"&amp;"7&lt;&gt;2,E37&lt;&gt;3,E37&lt;&gt;""Final""),CONCATENATE(""Fel format på E""&amp;row()),
K37=CONCATENATE(""Runda ""&amp;E37&amp;"" i ""&amp;C37&amp;"" finns redan""),CONCATENATE(""Fel i E""&amp;row()),
AND(C37&lt;&gt;"""",F37=""""),CONCATENATE(""Fyll i F""&amp;row()),
K37=CONCATENATE(C37&amp;"" måste ha forma"&amp;"tet ""&amp;FILTER(Info!$D$2:D81, Info!$A$2:A81 = C37)),CONCATENATE(""Fel format på F""&amp;row()),
AND(C37&lt;&gt;"""",D37=1,H37="""",FILTER(Info!$F$2:F81, Info!$A$2:A81 = C37) = ""Yes""),CONCATENATE(""Fyll i H""&amp;row()),
AND(C37&lt;&gt;"""",D37=1,I37="""",FILTER(Info!$E$2:E8"&amp;"1, Info!$A$2:A81 = C37) = ""Yes""),CONCATENATE(""Fyll i I""&amp;row()),
AND(C37&lt;&gt;"""",J37=""""),CONCATENATE(""Fyll i J""&amp;row()),
AND(C37&lt;&gt;"""",K37="""",OR(H37&lt;&gt;"""",I37&lt;&gt;"""")),CONCATENATE(""Fyll i K""&amp;row()),
AND(C37&lt;&gt;"""",K37=""""),CONCATENATE(""Skriv samma"&amp;" i K""&amp;row()&amp;"" som i J""&amp;row()),
AND(OR(C37=""4x4 BLD"",C37=""5x5 BLD"",C37=""4x4 / 5x5 BLD"")=TRUE,V37&lt;=P37),
MROUND(H37*(Info!$T$20-((Info!$T$20-1)/2)*(1-V37/P37))*(1+((J37/K37)-1)*(1-Info!$J$24))*N37+(Info!$T$11/2)+(N37*Info!$T$11)+(N37*Info!$T$14*(O3"&amp;"7-1)),0.01)+M37,
AND(OR(C37=""4x4 BLD"",C37=""5x5 BLD"",C37=""4x4 / 5x5 BLD"")=TRUE,V37&gt;P37),
MROUND((((J37*Z37+K37*(AA37-Z37))*(H37*Info!$T$20/AA37))/X37)*(1+((J37/K37)-1)*(1-Info!$J$24))*(1+(X37-Info!$T$8)/100)+(Info!$T$11/2)+(N37*Info!$T$11)+(N37*Info!"&amp;"$T$14*(O37-1)),0.01)+M37,
AND(C37=""3x3 BLD"",V37&lt;=P37),
MROUND(H37*(Info!$T$23-((Info!$T$23-1)/2)*(1-V37/P37))*(1+((J37/K37)-1)*(1-Info!$J$24))*N37+(Info!$T$11/2)+(N37*Info!$T$11)+(N37*Info!$T$14*(O37-1)),0.01)+M37,
AND(C37=""3x3 BLD"",V37&gt;P37),
MROUND(("&amp;"((J37*Z37+K37*(AA37-Z37))*(H37*Info!$T$23/AA37))/X37)*(1+((J37/K37)-1)*(1-Info!$J$24))*(1+(X37-Info!$T$8)/100)+(Info!$T$11/2)+(N37*Info!$T$11)+(N37*Info!$T$14*(O37-1)),0.01)+M37,
E37=1,MROUND((((J37*Z37+K37*(AA37-Z37))*Y37)/X37)*(1+(X37-Info!$T$8)/100)+(N"&amp;"37*Info!$T$11)+(N37*Info!$T$14*(O37-1)),0.01)+M37,
AND(E37=""Final"",N37=1,FILTER(Info!$G$2:$G$20,Info!$A$2:$A$20=C37)=""Mycket svår""),
MROUND((((J37*Z37+K37*(AA37-Z37))*(Y37*Info!$T$38))/X37)*(1+(X37-Info!$T$8)/100)+(N37*Info!$T$11)+(N37*Info!$T$14*(O37"&amp;"-1)),0.01)+M37,
AND(E37=""Final"",N37=1,FILTER(Info!$G$2:$G$20,Info!$A$2:$A$20=C37)=""Svår""),
MROUND((((J37*Z37+K37*(AA37-Z37))*(Y37*Info!$T$35))/X37)*(1+(X37-Info!$T$8)/100)+(N37*Info!$T$11)+(N37*Info!$T$14*(O37-1)),0.01)+M37,
E37=""Final"",MROUND((((J3"&amp;"7*Z37+K37*(AA37-Z37))*(Y37*Info!$T$5))/X37)*(1+(X37-Info!$T$8)/100)+(N37*Info!$T$11)+(N37*Info!$T$14*(O37-1)),0.01)+M37,
OR(E37=2,E37=3),MROUND((((J37*Z37+K37*(AA37-Z37))*(Y37*Info!$T$2))/X37)*(1+(X37-Info!$T$8)/100)+(N37*Info!$T$11)+(N37*Info!$T$14*(O37-"&amp;"1)),0.01)+M37)"),0.0)</f>
        <v>0</v>
      </c>
      <c r="M37" s="48">
        <f t="shared" si="4"/>
        <v>0</v>
      </c>
      <c r="N37" s="48" t="str">
        <f>IFS(OR(COUNTIF(Info!$A$22:A81,C37)&gt;0,C37=""),"",
OR(C37="4x4 BLD",C37="5x5 BLD",C37="3x3 MBLD",C37="3x3 FMC",C37="4x4 / 5x5 BLD"),1,
AND(E37="Final",Q37="Yes",MAX(1,ROUNDUP(J37/P37))&gt;1),MAX(2,ROUNDUP(J37/P37)),
AND(E37="Final",Q37="No",MAX(1,ROUNDUP(J37/((P37*2)+2.625-Y37*1.5)))&gt;1),MAX(2,ROUNDUP(J37/((P37*2)+2.625-Y37*1.5))),
E37="Final",1,
Q37="Yes",MAX(2,ROUNDUP(J37/P37)),
TRUE,MAX(2,ROUNDUP(J37/((P37*2)+2.625-Y37*1.5))))</f>
        <v/>
      </c>
      <c r="O37" s="48" t="str">
        <f>IFS(OR(COUNTIF(Info!$A$22:A81,C37)&gt;0,C37=""),"",
OR("3x3 MBLD"=C37,"3x3 FMC"=C37)=TRUE,"",
D37=$E$4,$G$6,D37=$K$4,$M$6,D37=$Q$4,$S$6,D37=$W$4,$Y$6,
TRUE,$S$2)</f>
        <v/>
      </c>
      <c r="P37" s="48" t="str">
        <f>IFS(OR(COUNTIF(Info!$A$22:A81,C37)&gt;0,C37=""),"",
OR("3x3 MBLD"=C37,"3x3 FMC"=C37)=TRUE,"",
D37=$E$4,$E$6,D37=$K$4,$K$6,D37=$Q$4,$Q$6,D37=$W$4,$W$6,
TRUE,$Q$2)</f>
        <v/>
      </c>
      <c r="Q37" s="49" t="str">
        <f>IFS(OR(COUNTIF(Info!$A$22:A81,C37)&gt;0,C37=""),"",
OR("3x3 MBLD"=C37,"3x3 FMC"=C37)=TRUE,"",
D37=$E$4,$I$6,D37=$K$4,$O$6,D37=$Q$4,$U$6,D37=$W$4,$AA$6,
TRUE,$U$2)</f>
        <v/>
      </c>
      <c r="R37" s="50" t="str">
        <f>IFERROR(__xludf.DUMMYFUNCTION("IF(C37="""","""",IFERROR(FILTER(Info!$B$22:B81,Info!$A$22:A81=C37)+M37,""?""))"),"")</f>
        <v/>
      </c>
      <c r="S37" s="51" t="str">
        <f>IFS(OR(COUNTIF(Info!$A$22:A81,C37)&gt;0,C37=""),"",
AND(H37="",I37=""),J37,
TRUE,"?")</f>
        <v/>
      </c>
      <c r="T37" s="52" t="str">
        <f>IFS(OR(COUNTIF(Info!$A$22:A81,C37)&gt;0,C37=""),"",
AND(L37&lt;&gt;0,OR(R37="?",R37="")),"Fyll i R-kolumnen",
OR(C37="3x3 FMC",C37="3x3 MBLD"),R37,
AND(L37&lt;&gt;0,OR(S37="?",S37="")),"Fyll i S-kolumnen",
OR(COUNTIF(Info!$A$22:A81,C37)&gt;0,C37=""),"",
TRUE,Y37*R37/L37)</f>
        <v/>
      </c>
      <c r="U37" s="52"/>
      <c r="V37" s="53" t="str">
        <f>IFS(OR(COUNTIF(Info!$A$22:A81,C37)&gt;0,C37=""),"",
OR("3x3 MBLD"=C37,"3x3 FMC"=C37)=TRUE,"",
TRUE,MROUND((J37/N37),0.01))</f>
        <v/>
      </c>
      <c r="W37" s="54" t="str">
        <f>IFS(OR(COUNTIF(Info!$A$22:A81,C37)&gt;0,C37=""),"",
TRUE,L37/N37)</f>
        <v/>
      </c>
      <c r="X37" s="55" t="str">
        <f>IFS(OR(COUNTIF(Info!$A$22:A81,C37)&gt;0,C37=""),"",
OR("3x3 MBLD"=C37,"3x3 FMC"=C37)=TRUE,"",
OR(C37="4x4 BLD",C37="5x5 BLD",C37="4x4 / 5x5 BLD",AND(C37="3x3 BLD",H37&lt;&gt;""))=TRUE,MIN(V37,P37),
TRUE,MIN(P37,V37,MROUND(((V37*2/3)+((Y37-1.625)/2)),0.01)))</f>
        <v/>
      </c>
      <c r="Y37" s="56" t="str">
        <f>IFERROR(__xludf.DUMMYFUNCTION("IFS(OR(COUNTIF(Info!$A$22:A81,C37)&gt;0,C37=""""),"""",
FILTER(Info!$F$2:F81, Info!$A$2:A81 = C37) = ""Yes"",H37/AA37,
""3x3 FMC""=C37,Info!$B$9,""3x3 MBLD""=C37,Info!$B$18,
AND(E37=1,I37="""",H37="""",Q37=""No"",G37&gt;SUMIF(Info!$A$2:A81,C37,Info!$B$2:B81)*1."&amp;"5),
MIN(SUMIF(Info!$A$2:A81,C37,Info!$B$2:B81)*1.1,SUMIF(Info!$A$2:A81,C37,Info!$B$2:B81)*(1.15-(0.15*(SUMIF(Info!$A$2:A81,C37,Info!$B$2:B81)*1.5)/G37))),
AND(E37=1,I37="""",H37="""",Q37=""Yes"",G37&gt;SUMIF(Info!$A$2:A81,C37,Info!$C$2:C81)*1.5),
MIN(SUMIF(I"&amp;"nfo!$A$2:A81,C37,Info!$C$2:C81)*1.1,SUMIF(Info!$A$2:A81,C37,Info!$C$2:C81)*(1.15-(0.15*(SUMIF(Info!$A$2:A81,C37,Info!$C$2:C81)*1.5)/G37))),
Q37=""No"",SUMIF(Info!$A$2:A81,C37,Info!$B$2:B81),
Q37=""Yes"",SUMIF(Info!$A$2:A81,C37,Info!$C$2:C81))"),"")</f>
        <v/>
      </c>
      <c r="Z37" s="57" t="str">
        <f>IFS(OR(COUNTIF(Info!$A$22:A81,C37)&gt;0,C37=""),"",
AND(OR("3x3 FMC"=C37,"3x3 MBLD"=C37),I37&lt;&gt;""),1,
AND(OR(H37&lt;&gt;"",I37&lt;&gt;""),F37="Avg of 5"),2,
F37="Avg of 5",AA37,
AND(OR(H37&lt;&gt;"",I37&lt;&gt;""),F37="Mean of 3",C37="6x6 / 7x7"),2,
AND(OR(H37&lt;&gt;"",I37&lt;&gt;""),F37="Mean of 3"),1,
F37="Mean of 3",AA37,
AND(OR(H37&lt;&gt;"",I37&lt;&gt;""),F37="Best of 3",C37="4x4 / 5x5 BLD"),2,
AND(OR(H37&lt;&gt;"",I37&lt;&gt;""),F37="Best of 3"),1,
F37="Best of 2",AA37,
F37="Best of 1",AA37)</f>
        <v/>
      </c>
      <c r="AA37" s="57" t="str">
        <f>IFS(OR(COUNTIF(Info!$A$22:A81,C37)&gt;0,C37=""),"",
AND(OR("3x3 MBLD"=C37,"3x3 FMC"=C37),F37="Best of 1"=TRUE),1,
AND(OR("3x3 MBLD"=C37,"3x3 FMC"=C37),F37="Best of 2"=TRUE),2,
AND(OR("3x3 MBLD"=C37,"3x3 FMC"=C37),OR(F37="Best of 3",F37="Mean of 3")=TRUE),3,
AND(F37="Mean of 3",C37="6x6 / 7x7"),6,
AND(F37="Best of 3",C37="4x4 / 5x5 BLD"),6,
F37="Avg of 5",5,F37="Mean of 3",3,F37="Best of 3",3,F37="Best of 2",2,F37="Best of 1",1)</f>
        <v/>
      </c>
      <c r="AB37" s="58"/>
    </row>
    <row r="38">
      <c r="A38" s="40">
        <f>IFERROR(__xludf.DUMMYFUNCTION("IFS(indirect(""A""&amp;row()-1)=""Start"",TIME(indirect(""A""&amp;row()-2),indirect(""B""&amp;row()-2),0),
$O$2=""No"",TIME(0,($A$6*60+$B$6)+CEILING(SUM($L$7:indirect(""L""&amp;row()-1)),5),0),
D38=$E$2,TIME(0,($A$6*60+$B$6)+CEILING(SUM(IFERROR(FILTER($L$7:indirect(""L"""&amp;"&amp;row()-1),REGEXMATCH($D$7:indirect(""D""&amp;row()-1),$E$2)),0)),5),0),
TRUE,""=time(hh;mm;ss)"")"),0.375)</f>
        <v>0.375</v>
      </c>
      <c r="B38" s="41">
        <f>IFERROR(__xludf.DUMMYFUNCTION("IFS($O$2=""No"",TIME(0,($A$6*60+$B$6)+CEILING(SUM($L$7:indirect(""L""&amp;row())),5),0),
D38=$E$2,TIME(0,($A$6*60+$B$6)+CEILING(SUM(FILTER($L$7:indirect(""L""&amp;row()),REGEXMATCH($D$7:indirect(""D""&amp;row()),$E$2))),5),0),
A38=""=time(hh;mm;ss)"",CONCATENATE(""Sk"&amp;"riv tid i A""&amp;row()),
AND(A38&lt;&gt;"""",A38&lt;&gt;""=time(hh;mm;ss)""),A38+TIME(0,CEILING(indirect(""L""&amp;row()),5),0))"),0.375)</f>
        <v>0.375</v>
      </c>
      <c r="C38" s="42"/>
      <c r="D38" s="43" t="str">
        <f t="shared" si="3"/>
        <v>Stora salen</v>
      </c>
      <c r="E38" s="43" t="str">
        <f>IFERROR(__xludf.DUMMYFUNCTION("IFS(COUNTIF(Info!$A$22:A81,C38)&gt;0,"""",
AND(OR(""3x3 FMC""=C38,""3x3 MBLD""=C38),COUNTIF($C$7:indirect(""C""&amp;row()),indirect(""C""&amp;row()))&gt;=13),""E - Error"",
AND(OR(""3x3 FMC""=C38,""3x3 MBLD""=C38),COUNTIF($C$7:indirect(""C""&amp;row()),indirect(""C""&amp;row()"&amp;"))=12),""Final - A3"",
AND(OR(""3x3 FMC""=C38,""3x3 MBLD""=C38),COUNTIF($C$7:indirect(""C""&amp;row()),indirect(""C""&amp;row()))=11),""Final - A2"",
AND(OR(""3x3 FMC""=C38,""3x3 MBLD""=C38),COUNTIF($C$7:indirect(""C""&amp;row()),indirect(""C""&amp;row()))=10),""Final - "&amp;"A1"",
AND(OR(""3x3 FMC""=C38,""3x3 MBLD""=C38),COUNTIF($C$7:indirect(""C""&amp;row()),indirect(""C""&amp;row()))=9,
COUNTIF($C$7:$C$61,indirect(""C""&amp;row()))&gt;9),""R3 - A3"",
AND(OR(""3x3 FMC""=C38,""3x3 MBLD""=C38),COUNTIF($C$7:indirect(""C""&amp;row()),indirect(""C"&amp;"""&amp;row()))=9,
COUNTIF($C$7:$C$61,indirect(""C""&amp;row()))&lt;=9),""Final - A3"",
AND(OR(""3x3 FMC""=C38,""3x3 MBLD""=C38),COUNTIF($C$7:indirect(""C""&amp;row()),indirect(""C""&amp;row()))=8,
COUNTIF($C$7:$C$61,indirect(""C""&amp;row()))&gt;9),""R3 - A2"",
AND(OR(""3x3 FMC""="&amp;"C38,""3x3 MBLD""=C38),COUNTIF($C$7:indirect(""C""&amp;row()),indirect(""C""&amp;row()))=8,
COUNTIF($C$7:$C$61,indirect(""C""&amp;row()))&lt;=9),""Final - A2"",
AND(OR(""3x3 FMC""=C38,""3x3 MBLD""=C38),COUNTIF($C$7:indirect(""C""&amp;row()),indirect(""C""&amp;row()))=7,
COUNTIF("&amp;"$C$7:$C$61,indirect(""C""&amp;row()))&gt;9),""R3 - A1"",
AND(OR(""3x3 FMC""=C38,""3x3 MBLD""=C38),COUNTIF($C$7:indirect(""C""&amp;row()),indirect(""C""&amp;row()))=7,
COUNTIF($C$7:$C$61,indirect(""C""&amp;row()))&lt;=9),""Final - A1"",
AND(OR(""3x3 FMC""=C38,""3x3 MBLD""=C38),"&amp;"COUNTIF($C$7:indirect(""C""&amp;row()),indirect(""C""&amp;row()))=6,
COUNTIF($C$7:$C$61,indirect(""C""&amp;row()))&gt;6),""R2 - A3"",
AND(OR(""3x3 FMC""=C38,""3x3 MBLD""=C38),COUNTIF($C$7:indirect(""C""&amp;row()),indirect(""C""&amp;row()))=6,
COUNTIF($C$7:$C$61,indirect(""C""&amp;"&amp;"row()))&lt;=6),""Final - A3"",
AND(OR(""3x3 FMC""=C38,""3x3 MBLD""=C38),COUNTIF($C$7:indirect(""C""&amp;row()),indirect(""C""&amp;row()))=5,
COUNTIF($C$7:$C$61,indirect(""C""&amp;row()))&gt;6),""R2 - A2"",
AND(OR(""3x3 FMC""=C38,""3x3 MBLD""=C38),COUNTIF($C$7:indirect(""C"&amp;"""&amp;row()),indirect(""C""&amp;row()))=5,
COUNTIF($C$7:$C$61,indirect(""C""&amp;row()))&lt;=6),""Final - A2"",
AND(OR(""3x3 FMC""=C38,""3x3 MBLD""=C38),COUNTIF($C$7:indirect(""C""&amp;row()),indirect(""C""&amp;row()))=4,
COUNTIF($C$7:$C$61,indirect(""C""&amp;row()))&gt;6),""R2 - A1"&amp;""",
AND(OR(""3x3 FMC""=C38,""3x3 MBLD""=C38),COUNTIF($C$7:indirect(""C""&amp;row()),indirect(""C""&amp;row()))=4,
COUNTIF($C$7:$C$61,indirect(""C""&amp;row()))&lt;=6),""Final - A1"",
AND(OR(""3x3 FMC""=C38,""3x3 MBLD""=C38),COUNTIF($C$7:indirect(""C""&amp;row()),indirect("""&amp;"C""&amp;row()))=3),""R1 - A3"",
AND(OR(""3x3 FMC""=C38,""3x3 MBLD""=C38),COUNTIF($C$7:indirect(""C""&amp;row()),indirect(""C""&amp;row()))=2),""R1 - A2"",
AND(OR(""3x3 FMC""=C38,""3x3 MBLD""=C38),COUNTIF($C$7:indirect(""C""&amp;row()),indirect(""C""&amp;row()))=1),""R1 -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C38),ROUNDUP((FILTER(Info!$H$2:H81,Info!$A$2:A81=C38)/FILTER(Info!$H$2:H81,Info!$A$2:A81=$K$2))*$I$2)&gt;99),3,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C38),ROUNDUP((FILTER(Info!$H$2:H81,Info!$A$2:A81=C38)/FILTER(Info!$H$2:H81,Info!$A$2:A81=$K$2))*$I$2)&gt;15),2,
AND(COUNTIF($C$7:indirect(""C""&amp;row()),indirect(""C""&amp;row()))=2,COUNTIF($C$7:$C$61,indirect(""C""&amp;row()))=COUNTIF($C$7:indirect("""&amp;"C""&amp;row()),indirect(""C""&amp;row()))),""Final"",
COUNTIF($C$7:indirect(""C""&amp;row()),indirect(""C""&amp;row()))=1,1,
COUNTIF($C$7:indirect(""C""&amp;row()),indirect(""C""&amp;row()))=0,"""")"),"")</f>
        <v/>
      </c>
      <c r="F38" s="44" t="str">
        <f>IFERROR(__xludf.DUMMYFUNCTION("IFS(C38="""","""",
AND(C38=""3x3 FMC"",MOD(COUNTIF($C$7:indirect(""C""&amp;row()),indirect(""C""&amp;row())),3)=0),""Mean of 3"",
AND(C38=""3x3 MBLD"",MOD(COUNTIF($C$7:indirect(""C""&amp;row()),indirect(""C""&amp;row())),3)=0),""Best of 3"",
AND(C38=""3x3 FMC"",MOD(COUNT"&amp;"IF($C$7:indirect(""C""&amp;row()),indirect(""C""&amp;row())),3)=2,
COUNTIF($C$7:$C$61,indirect(""C""&amp;row()))&lt;=COUNTIF($C$7:indirect(""C""&amp;row()),indirect(""C""&amp;row()))),""Best of 2"",
AND(C38=""3x3 FMC"",MOD(COUNTIF($C$7:indirect(""C""&amp;row()),indirect(""C""&amp;row()"&amp;")),3)=2,
COUNTIF($C$7:$C$61,indirect(""C""&amp;row()))&gt;COUNTIF($C$7:indirect(""C""&amp;row()),indirect(""C""&amp;row()))),""Mean of 3"",
AND(C38=""3x3 MBLD"",MOD(COUNTIF($C$7:indirect(""C""&amp;row()),indirect(""C""&amp;row())),3)=2,
COUNTIF($C$7:$C$61,indirect(""C""&amp;row()))"&amp;"&lt;=COUNTIF($C$7:indirect(""C""&amp;row()),indirect(""C""&amp;row()))),""Best of 2"",
AND(C38=""3x3 MBLD"",MOD(COUNTIF($C$7:indirect(""C""&amp;row()),indirect(""C""&amp;row())),3)=2,
COUNTIF($C$7:$C$61,indirect(""C""&amp;row()))&gt;COUNTIF($C$7:indirect(""C""&amp;row()),indirect(""C"&amp;"""&amp;row()))),""Best of 3"",
AND(C38=""3x3 FMC"",MOD(COUNTIF($C$7:indirect(""C""&amp;row()),indirect(""C""&amp;row())),3)=1,
COUNTIF($C$7:$C$61,indirect(""C""&amp;row()))&lt;=COUNTIF($C$7:indirect(""C""&amp;row()),indirect(""C""&amp;row()))),""Best of 1"",
AND(C38=""3x3 FMC"",MOD"&amp;"(COUNTIF($C$7:indirect(""C""&amp;row()),indirect(""C""&amp;row())),3)=1,
COUNTIF($C$7:$C$61,indirect(""C""&amp;row()))=COUNTIF($C$7:indirect(""C""&amp;row()),indirect(""C""&amp;row()))+1),""Best of 2"",
AND(C38=""3x3 FMC"",MOD(COUNTIF($C$7:indirect(""C""&amp;row()),indirect(""C"&amp;"""&amp;row())),3)=1,
COUNTIF($C$7:$C$61,indirect(""C""&amp;row()))&gt;COUNTIF($C$7:indirect(""C""&amp;row()),indirect(""C""&amp;row()))),""Mean of 3"",
AND(C38=""3x3 MBLD"",MOD(COUNTIF($C$7:indirect(""C""&amp;row()),indirect(""C""&amp;row())),3)=1,
COUNTIF($C$7:$C$61,indirect(""C"""&amp;"&amp;row()))&lt;=COUNTIF($C$7:indirect(""C""&amp;row()),indirect(""C""&amp;row()))),""Best of 1"",
AND(C38=""3x3 MBLD"",MOD(COUNTIF($C$7:indirect(""C""&amp;row()),indirect(""C""&amp;row())),3)=1,
COUNTIF($C$7:$C$61,indirect(""C""&amp;row()))=COUNTIF($C$7:indirect(""C""&amp;row()),indir"&amp;"ect(""C""&amp;row()))+1),""Best of 2"",
AND(C38=""3x3 MBLD"",MOD(COUNTIF($C$7:indirect(""C""&amp;row()),indirect(""C""&amp;row())),3)=1,
COUNTIF($C$7:$C$61,indirect(""C""&amp;row()))&gt;COUNTIF($C$7:indirect(""C""&amp;row()),indirect(""C""&amp;row()))),""Best of 3"",
TRUE,(IFERROR("&amp;"FILTER(Info!$D$2:D81, Info!$A$2:A81 = C38), """")))"),"")</f>
        <v/>
      </c>
      <c r="G38" s="45" t="str">
        <f>IFERROR(__xludf.DUMMYFUNCTION("IFS(OR(COUNTIF(Info!$A$22:A81,C38)&gt;0,C38=""""),"""",
OR(""3x3 MBLD""=C38,""3x3 FMC""=C38),60,
AND(E38=1,FILTER(Info!$F$2:F81, Info!$A$2:A81 = C38) = ""No""),FILTER(Info!$P$2:P81, Info!$A$2:A81 = C38),
AND(E38=2,FILTER(Info!$F$2:F81, Info!$A$2:A81 = C38) ="&amp;" ""No""),FILTER(Info!$Q$2:Q81, Info!$A$2:A81 = C38),
AND(E38=3,FILTER(Info!$F$2:F81, Info!$A$2:A81 = C38) = ""No""),FILTER(Info!$R$2:R81, Info!$A$2:A81 = C38),
AND(E38=""Final"",FILTER(Info!$F$2:F81, Info!$A$2:A81 = C38) = ""No""),FILTER(Info!$S$2:S81, In"&amp;"fo!$A$2:A81 = C38),
FILTER(Info!$F$2:F81, Info!$A$2:A81 = C38) = ""Yes"","""")"),"")</f>
        <v/>
      </c>
      <c r="H38" s="45" t="str">
        <f>IFERROR(__xludf.DUMMYFUNCTION("IFS(OR(COUNTIF(Info!$A$22:A81,C38)&gt;0,C38=""""),"""",
OR(""3x3 MBLD""=C38,""3x3 FMC""=C38)=TRUE,"""",
FILTER(Info!$F$2:F81, Info!$A$2:A81 = C38) = ""Yes"",FILTER(Info!$O$2:O81, Info!$A$2:A81 = C38),
FILTER(Info!$F$2:F81, Info!$A$2:A81 = C38) = ""No"",IF(G3"&amp;"8="""",FILTER(Info!$O$2:O81, Info!$A$2:A81 = C38),""""))"),"")</f>
        <v/>
      </c>
      <c r="I38" s="45" t="str">
        <f>IFERROR(__xludf.DUMMYFUNCTION("IFS(OR(COUNTIF(Info!$A$22:A81,C38)&gt;0,C38="""",H38&lt;&gt;""""),"""",
AND(E38&lt;&gt;1,E38&lt;&gt;""R1 - A1"",E38&lt;&gt;""R1 - A2"",E38&lt;&gt;""R1 - A3""),"""",
FILTER(Info!$E$2:E81, Info!$A$2:A81 = C38) = ""Yes"",IF(H38="""",FILTER(Info!$L$2:L81, Info!$A$2:A81 = C38),""""),
FILTER(I"&amp;"nfo!$E$2:E81, Info!$A$2:A81 = C38) = ""No"","""")"),"")</f>
        <v/>
      </c>
      <c r="J38" s="45" t="str">
        <f>IFERROR(__xludf.DUMMYFUNCTION("IFS(OR(COUNTIF(Info!$A$22:A81,C38)&gt;0,C38="""",""3x3 MBLD""=C38,""3x3 FMC""=C38),"""",
AND(E38=1,FILTER(Info!$H$2:H81,Info!$A$2:A81 = C38)&lt;=FILTER(Info!$H$2:H81,Info!$A$2:A81=$K$2)),
ROUNDUP((FILTER(Info!$H$2:H81,Info!$A$2:A81 = C38)/FILTER(Info!$H$2:H81,I"&amp;"nfo!$A$2:A81=$K$2))*$I$2),
AND(E38=1,FILTER(Info!$H$2:H81,Info!$A$2:A81 = C38)&gt;FILTER(Info!$H$2:H81,Info!$A$2:A81=$K$2)),""K2 - Error"",
AND(E38=2,FILTER($J$7:indirect(""J""&amp;row()-1),$C$7:indirect(""C""&amp;row()-1)=C38)&lt;=7),""J - Error"",
E38=2,FLOOR(FILTER("&amp;"$J$7:indirect(""J""&amp;row()-1),$C$7:indirect(""C""&amp;row()-1)=C38)*Info!$T$32),
AND(E38=3,FILTER($J$7:indirect(""J""&amp;row()-1),$C$7:indirect(""C""&amp;row()-1)=C38)&lt;=15),""J - Error"",
E38=3,FLOOR(Info!$T$32*FLOOR(FILTER($J$7:indirect(""J""&amp;row()-1),$C$7:indirect("&amp;"""C""&amp;row()-1)=C38)*Info!$T$32)),
AND(E38=""Final"",COUNTIF($C$7:$C$61,C38)=2,FILTER($J$7:indirect(""J""&amp;row()-1),$C$7:indirect(""C""&amp;row()-1)=C38)&lt;=7),""J - Error"",
AND(E38=""Final"",COUNTIF($C$7:$C$61,C38)=2),
MIN(P38,FLOOR(FILTER($J$7:indirect(""J""&amp;r"&amp;"ow()-1),$C$7:indirect(""C""&amp;row()-1)=C38)*Info!$T$32)),
AND(E38=""Final"",COUNTIF($C$7:$C$61,C38)=3,FILTER($J$7:indirect(""J""&amp;row()-1),$C$7:indirect(""C""&amp;row()-1)=C38)&lt;=15),""J - Error"",
AND(E38=""Final"",COUNTIF($C$7:$C$61,C38)=3),
MIN(P38,FLOOR(Info!"&amp;"$T$32*FLOOR(FILTER($J$7:indirect(""J""&amp;row()-1),$C$7:indirect(""C""&amp;row()-1)=C38)*Info!$T$32))),
AND(E38=""Final"",COUNTIF($C$7:$C$61,C38)&gt;=4,FILTER($J$7:indirect(""J""&amp;row()-1),$C$7:indirect(""C""&amp;row()-1)=C38)&lt;=99),""J - Error"",
AND(E38=""Final"",COUNT"&amp;"IF($C$7:$C$61,C38)&gt;=4),
MIN(P38,FLOOR(Info!$T$32*FLOOR(Info!$T$32*FLOOR(FILTER($J$7:indirect(""J""&amp;row()-1),$C$7:indirect(""C""&amp;row()-1)=C38)*Info!$T$32)))))"),"")</f>
        <v/>
      </c>
      <c r="K38" s="46" t="str">
        <f>IFERROR(__xludf.DUMMYFUNCTION("IFS(AND(indirect(""D""&amp;row()+2)&lt;&gt;$E$2,indirect(""D""&amp;row()+1)=""""),CONCATENATE(""Tom rad! Kopiera hela rad ""&amp;row()&amp;"" dit""),
AND(indirect(""D""&amp;row()-1)&lt;&gt;""Rum"",indirect(""D""&amp;row()-1)=""""),CONCATENATE(""Tom rad! Kopiera hela rad ""&amp;row()&amp;"" dit""),
"&amp;"C38="""","""",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OR(AND(D38&lt;&gt;$E$2,D38&lt;&gt;$E$4,D38&lt;&gt;$K$4,D38&lt;&gt;$Q$4),D38="&amp;"""""),CONCATENATE(""Rum: ""&amp;D38&amp;"" finns ej, byt i D""&amp;row()),
AND(indirect(""D""&amp;row()-1)=""Rum"",C38=""""),CONCATENATE(""För att börja: skriv i cell C""&amp;row()),
AND(C38=""Paus"",M38&lt;=0),CONCATENATE(""Skriv pausens längd i M""&amp;row()),
OR(COUNTIF(Info!$A$"&amp;"22:A81,C38)&gt;0,C38=""""),"""",
AND(D38&lt;&gt;$E$2,$O$2=""Yes"",A38=""=time(hh;mm;ss)""),CONCATENATE(""Skriv starttid för ""&amp;C38&amp;"" i A""&amp;row()),
E38=""E - Error"",CONCATENATE(""För många ""&amp;C38&amp;"" rundor!""),
AND(C38&lt;&gt;""3x3 FMC"",C38&lt;&gt;""3x3 MBLD"",E38&lt;&gt;1,E38&lt;&gt;"&amp;"""Final"",IFERROR(FILTER($E$7:indirect(""E""&amp;row()-1),
$E$7:indirect(""E""&amp;row()-1)=E38-1,$C$7:indirect(""C""&amp;row()-1)=C38))=FALSE),CONCATENATE(""Kan ej vara R""&amp;E38&amp;"", saknar R""&amp;(E38-1)),
AND(indirect(""E""&amp;row()-1)&lt;&gt;""Omgång"",IFERROR(FILTER($E$7:indi"&amp;"rect(""E""&amp;row()-1),
$E$7:indirect(""E""&amp;row()-1)=E38,$C$7:indirect(""C""&amp;row()-1)=C38)=E38)=TRUE),CONCATENATE(""Runda ""&amp;E38&amp;"" i ""&amp;C38&amp;"" finns redan""),
AND(C38&lt;&gt;""3x3 BLD"",C38&lt;&gt;""4x4 BLD"",C38&lt;&gt;""5x5 BLD"",C38&lt;&gt;""4x4 / 5x5 BLD"",OR(E38=2,E38=3,E38="&amp;"""Final""),H38&lt;&gt;""""),CONCATENATE(E38&amp;""-rundor brukar ej ha c.t.l.""),
AND(OR(E38=2,E38=3,E38=""Final""),I38&lt;&gt;""""),CONCATENATE(E38&amp;""-rundor brukar ej ha cutoff""),
AND(OR(C38=""3x3 FMC"",C38=""3x3 MBLD""),OR(E38=1,E38=2,E38=3,E38=""Final"")),CONCATENAT"&amp;"E(C38&amp;""s omgång är Rx - Ax""),
AND(C38&lt;&gt;""3x3 MBLD"",C38&lt;&gt;""3x3 FMC"",FILTER(Info!$D$2:D81, Info!$A$2:A81 = C38)&lt;&gt;F38),CONCATENATE(C38&amp;"" måste ha formatet ""&amp;FILTER(Info!$D$2:D81, Info!$A$2:A81 = C38)),
AND(C38=""3x3 MBLD"",OR(F38=""Avg of 5"",F38=""Mea"&amp;"n of 3"")),CONCATENATE(""Ogiltigt format för ""&amp;C38),
AND(C38=""3x3 FMC"",OR(F38=""Avg of 5"",F38=""Best of 3"")),CONCATENATE(""Ogiltigt format för ""&amp;C38),
AND(OR(F38=""Best of 1"",F38=""Best of 2"",F38=""Best of 3""),I38&lt;&gt;""""),CONCATENATE(F38&amp;""-rundor"&amp;" får ej ha cutoff""),
AND(OR(C38=""3x3 FMC"",C38=""3x3 MBLD""),G38&lt;&gt;60),CONCATENATE(C38&amp;"" måste ha time limit: 60""),
AND(OR(C38=""3x3 FMC"",C38=""3x3 MBLD""),H38&lt;&gt;""""),CONCATENATE(C38&amp;"" kan inte ha c.t.l.""),
AND(G38&lt;&gt;"""",H38&lt;&gt;""""),""Välj time limit"&amp;" ELLER c.t.l"",
AND(C38=""6x6 / 7x7"",G38="""",H38=""""),""Sätt time limit (x / y) eller c.t.l (z)"",
AND(G38="""",H38=""""),""Sätt en time limit eller c.t.l"",
AND(OR(C38=""6x6 / 7x7"",C38=""4x4 / 5x5 BLD""),G38&lt;&gt;"""",REGEXMATCH(TO_TEXT(G38),"" / "")=FAL"&amp;"SE),CONCATENATE(""Time limit måste vara x / y""),
AND(H38&lt;&gt;"""",I38&lt;&gt;""""),CONCATENATE(C38&amp;"" brukar ej ha cutoff OCH c.t.l""),
AND(E38=1,H38="""",I38="""",OR(FILTER(Info!$E$2:E81, Info!$A$2:A81 = C38) = ""Yes"",FILTER(Info!$F$2:F81, Info!$A$2:A81 = C38) "&amp;"= ""Yes""),OR(F38=""Avg of 5"",F38=""Mean of 3"")),CONCATENATE(C38&amp;"" bör ha cutoff eller c.t.l""),
AND(C38=""6x6 / 7x7"",I38&lt;&gt;"""",REGEXMATCH(TO_TEXT(I38),"" / "")=FALSE),CONCATENATE(""Cutoff måste vara x / y""),
AND(H38&lt;&gt;"""",ISNUMBER(H38)=FALSE),""C.t."&amp;"l. måste vara positivt tal (x)"",
AND(C38&lt;&gt;""6x6 / 7x7"",I38&lt;&gt;"""",ISNUMBER(I38)=FALSE),""Cutoff måste vara positivt tal (x)"",
AND(H38&lt;&gt;"""",FILTER(Info!$E$2:E81, Info!$A$2:A81 = C38) = ""No"",FILTER(Info!$F$2:F81, Info!$A$2:A81 = C38) = ""No""),CONCATEN"&amp;"ATE(C38&amp;"" brukar inte ha c.t.l.""),
AND(I38&lt;&gt;"""",FILTER(Info!$E$2:E81, Info!$A$2:A81 = C38) = ""No"",FILTER(Info!$F$2:F81, Info!$A$2:A81 = C38) = ""No""),CONCATENATE(C38&amp;"" brukar inte ha cutoff""),
AND(H38="""",FILTER(Info!$F$2:F81, Info!$A$2:A81 = C38"&amp;") = ""Yes""),CONCATENATE(C38&amp;"" brukar ha c.t.l.""),
AND(C38&lt;&gt;""6x6 / 7x7"",C38&lt;&gt;""4x4 / 5x5 BLD"",G38&lt;&gt;"""",ISNUMBER(G38)=FALSE),""Time limit måste vara positivt tal (x)"",
J38=""J - Error"",CONCATENATE(""För få deltagare i R1 för ""&amp;COUNTIF($C$7:$C$61,i"&amp;"ndirect(""C""&amp;row()))&amp;"" rundor""),
J38=""K2 - Error"",CONCATENATE(C38&amp;"" är mer populär - byt i K2!""),
AND(C38&lt;&gt;""6x6 / 7x7"",C38&lt;&gt;""4x4 / 5x5 BLD"",G38&lt;&gt;"""",I38&lt;&gt;"""",G38&lt;=I38),""Time limit måste vara &gt; cutoff"",
AND(C38&lt;&gt;""6x6 / 7x7"",C38&lt;&gt;""4x4 / 5x"&amp;"5 BLD"",H38&lt;&gt;"""",I38&lt;&gt;"""",H38&lt;=I38),""C.t.l. måste vara &gt; cutoff"",
AND(C38&lt;&gt;""3x3 FMC"",C38&lt;&gt;""3x3 MBLD"",J38=""""),CONCATENATE(""Fyll i antal deltagare i J""&amp;row()),
AND(C38="""",OR(E38&lt;&gt;"""",F38&lt;&gt;"""",G38&lt;&gt;"""",H38&lt;&gt;"""",I38&lt;&gt;"""",J38&lt;&gt;"""")),""Skriv"&amp;" ALLTID gren / aktivitet först"",
AND(I38="""",H38="""",J38&lt;&gt;""""),J38,
OR(""3x3 FMC""=C38,""3x3 MBLD""=C38),J38,
AND(I38&lt;&gt;"""",""6x6 / 7x7""=C38),
IFS(ArrayFormula(SUM(IFERROR(SPLIT(I38,"" / ""))))&lt;(Info!$J$6+Info!$J$7)*2/3,CONCATENATE(""Höj helst cutoff"&amp;"s i ""&amp;C38),
ArrayFormula(SUM(IFERROR(SPLIT(I38,"" / ""))))&lt;=(Info!$J$6+Info!$J$7),ROUNDUP(J38*Info!$J$22),
ArrayFormula(SUM(IFERROR(SPLIT(I38,"" / ""))))&lt;=Info!$J$6+Info!$J$7,ROUNDUP(J38*Info!$K$22),
ArrayFormula(SUM(IFERROR(SPLIT(I38,"" / ""))))&lt;=Info!$"&amp;"K$6+Info!$K$7,ROUNDUP(J38*Info!L$22),
ArrayFormula(SUM(IFERROR(SPLIT(I38,"" / ""))))&lt;=Info!$L$6+Info!$L$7,ROUNDUP(J38*Info!$M$22),
ArrayFormula(SUM(IFERROR(SPLIT(I38,"" / ""))))&lt;=Info!$M$6+Info!$M$7,ROUNDUP(J38*Info!$N$22),
ArrayFormula(SUM(IFERROR(SPLIT("&amp;"I38,"" / ""))))&lt;=(Info!$N$6+Info!$N$7)*3/2,ROUNDUP(J38*Info!$J$26),
ArrayFormula(SUM(IFERROR(SPLIT(I38,"" / ""))))&gt;(Info!$N$6+Info!$N$7)*3/2,CONCATENATE(""Sänk helst cutoffs i ""&amp;C38)),
AND(I38&lt;&gt;"""",FILTER(Info!$E$2:E81, Info!$A$2:A81 = C38) = ""Yes""),
"&amp;"IFS(I38&lt;FILTER(Info!$J$2:J81, Info!$A$2:A81 = C38)*2/3,CONCATENATE(""Höj helst cutoff i ""&amp;C38),
I38&lt;=FILTER(Info!$J$2:J81, Info!$A$2:A81 = C38),ROUNDUP(J38*Info!$J$22),
I38&lt;=FILTER(Info!$K$2:K81, Info!$A$2:A81 = C38),ROUNDUP(J38*Info!$K$22),
I38&lt;=FILTER("&amp;"Info!$L$2:L81, Info!$A$2:A81 = C38),ROUNDUP(J38*Info!L$22),
I38&lt;=FILTER(Info!$M$2:M81, Info!$A$2:A81 = C38),ROUNDUP(J38*Info!$M$22),
I38&lt;=FILTER(Info!$N$2:N81, Info!$A$2:A81 = C38),ROUNDUP(J38*Info!$N$22),
I38&lt;=FILTER(Info!$N$2:N81, Info!$A$2:A81 = C38)*3"&amp;"/2,ROUNDUP(J38*Info!$J$26),
I38&gt;FILTER(Info!$N$2:N81, Info!$A$2:A81 = C38)*3/2,CONCATENATE(""Sänk helst cutoff i ""&amp;C38)),
AND(H38&lt;&gt;"""",""6x6 / 7x7""=C38),
IFS(H38/3&lt;=(Info!$J$6+Info!$J$7)*2/3,""Höj helst cumulative time limit"",
H38/3&lt;=Info!$J$6+Info!$J"&amp;"$7,ROUNDUP(J38*Info!$J$24),
H38/3&lt;=Info!$K$6+Info!$K$7,ROUNDUP(J38*Info!$K$24),
H38/3&lt;=Info!$L$6+Info!$L$7,ROUNDUP(J38*Info!L$24),
H38/3&lt;=Info!$M$6+Info!$M$7,ROUNDUP(J38*Info!$M$24),
H38/3&lt;=Info!$N$6+Info!$N$7,ROUNDUP(J38*Info!$N$24),
H38/3&lt;=(Info!$N$6+In"&amp;"fo!$N$7)*3/2,ROUNDUP(J38*Info!$L$26),
H38/3&gt;(Info!$J$6+Info!$J$7)*3/2,""Sänk helst cumulative time limit""),
AND(H38&lt;&gt;"""",FILTER(Info!$F$2:F81, Info!$A$2:A81 = C38) = ""Yes""),
IFS(H38&lt;=FILTER(Info!$J$2:J81, Info!$A$2:A81 = C38)*2/3,CONCATENATE(""Höj hel"&amp;"st c.t.l. i ""&amp;C38),
H38&lt;=FILTER(Info!$J$2:J81, Info!$A$2:A81 = C38),ROUNDUP(J38*Info!$J$24),
H38&lt;=FILTER(Info!$K$2:K81, Info!$A$2:A81 = C38),ROUNDUP(J38*Info!$K$24),
H38&lt;=FILTER(Info!$L$2:L81, Info!$A$2:A81 = C38),ROUNDUP(J38*Info!L$24),
H38&lt;=FILTER(Info"&amp;"!$M$2:M81, Info!$A$2:A81 = C38),ROUNDUP(J38*Info!$M$24),
H38&lt;=FILTER(Info!$N$2:N81, Info!$A$2:A81 = C38),ROUNDUP(J38*Info!$N$24),
H38&lt;=FILTER(Info!$N$2:N81, Info!$A$2:A81 = C38)*3/2,ROUNDUP(J38*Info!$L$26),
H38&gt;FILTER(Info!$N$2:N81, Info!$A$2:A81 = C38)*3"&amp;"/2,CONCATENATE(""Sänk helst c.t.l. i ""&amp;C38)),
AND(H38&lt;&gt;"""",FILTER(Info!$F$2:F81, Info!$A$2:A81 = C38) = ""No""),
IFS(H38/AA38&lt;=FILTER(Info!$J$2:J81, Info!$A$2:A81 = C38)*2/3,CONCATENATE(""Höj helst c.t.l. i ""&amp;C38),
H38/AA38&lt;=FILTER(Info!$J$2:J81, Info!"&amp;"$A$2:A81 = C38),ROUNDUP(J38*Info!$J$24),
H38/AA38&lt;=FILTER(Info!$K$2:K81, Info!$A$2:A81 = C38),ROUNDUP(J38*Info!$K$24),
H38/AA38&lt;=FILTER(Info!$L$2:L81, Info!$A$2:A81 = C38),ROUNDUP(J38*Info!L$24),
H38/AA38&lt;=FILTER(Info!$M$2:M81, Info!$A$2:A81 = C38),ROUNDU"&amp;"P(J38*Info!$M$24),
H38/AA38&lt;=FILTER(Info!$N$2:N81, Info!$A$2:A81 = C38),ROUNDUP(J38*Info!$N$24),
H38/AA38&lt;=FILTER(Info!$N$2:N81, Info!$A$2:A81 = C38)*3/2,ROUNDUP(J38*Info!$L$26),
H38/AA38&gt;FILTER(Info!$N$2:N81, Info!$A$2:A81 = C38)*3/2,CONCATENATE(""Sänk h"&amp;"elst c.t.l. i ""&amp;C38)),
AND(I38="""",H38&lt;&gt;"""",J38&lt;&gt;""""),ROUNDUP(J38*Info!$T$29),
AND(I38&lt;&gt;"""",H38="""",J38&lt;&gt;""""),ROUNDUP(J38*Info!$T$26))"),"")</f>
        <v/>
      </c>
      <c r="L38" s="47">
        <f>IFERROR(__xludf.DUMMYFUNCTION("IFS(C38="""",0,
C38=""3x3 FMC"",Info!$B$9*N38+M38, C38=""3x3 MBLD"",Info!$B$18*N38+M38,
COUNTIF(Info!$A$22:A81,C38)&gt;0,FILTER(Info!$B$22:B81,Info!$A$22:A81=C38)+M38,
AND(C38&lt;&gt;"""",E38=""""),CONCATENATE(""Fyll i E""&amp;row()),
AND(C38&lt;&gt;"""",E38&lt;&gt;"""",E38&lt;&gt;1,E3"&amp;"8&lt;&gt;2,E38&lt;&gt;3,E38&lt;&gt;""Final""),CONCATENATE(""Fel format på E""&amp;row()),
K38=CONCATENATE(""Runda ""&amp;E38&amp;"" i ""&amp;C38&amp;"" finns redan""),CONCATENATE(""Fel i E""&amp;row()),
AND(C38&lt;&gt;"""",F38=""""),CONCATENATE(""Fyll i F""&amp;row()),
K38=CONCATENATE(C38&amp;"" måste ha forma"&amp;"tet ""&amp;FILTER(Info!$D$2:D81, Info!$A$2:A81 = C38)),CONCATENATE(""Fel format på F""&amp;row()),
AND(C38&lt;&gt;"""",D38=1,H38="""",FILTER(Info!$F$2:F81, Info!$A$2:A81 = C38) = ""Yes""),CONCATENATE(""Fyll i H""&amp;row()),
AND(C38&lt;&gt;"""",D38=1,I38="""",FILTER(Info!$E$2:E8"&amp;"1, Info!$A$2:A81 = C38) = ""Yes""),CONCATENATE(""Fyll i I""&amp;row()),
AND(C38&lt;&gt;"""",J38=""""),CONCATENATE(""Fyll i J""&amp;row()),
AND(C38&lt;&gt;"""",K38="""",OR(H38&lt;&gt;"""",I38&lt;&gt;"""")),CONCATENATE(""Fyll i K""&amp;row()),
AND(C38&lt;&gt;"""",K38=""""),CONCATENATE(""Skriv samma"&amp;" i K""&amp;row()&amp;"" som i J""&amp;row()),
AND(OR(C38=""4x4 BLD"",C38=""5x5 BLD"",C38=""4x4 / 5x5 BLD"")=TRUE,V38&lt;=P38),
MROUND(H38*(Info!$T$20-((Info!$T$20-1)/2)*(1-V38/P38))*(1+((J38/K38)-1)*(1-Info!$J$24))*N38+(Info!$T$11/2)+(N38*Info!$T$11)+(N38*Info!$T$14*(O3"&amp;"8-1)),0.01)+M38,
AND(OR(C38=""4x4 BLD"",C38=""5x5 BLD"",C38=""4x4 / 5x5 BLD"")=TRUE,V38&gt;P38),
MROUND((((J38*Z38+K38*(AA38-Z38))*(H38*Info!$T$20/AA38))/X38)*(1+((J38/K38)-1)*(1-Info!$J$24))*(1+(X38-Info!$T$8)/100)+(Info!$T$11/2)+(N38*Info!$T$11)+(N38*Info!"&amp;"$T$14*(O38-1)),0.01)+M38,
AND(C38=""3x3 BLD"",V38&lt;=P38),
MROUND(H38*(Info!$T$23-((Info!$T$23-1)/2)*(1-V38/P38))*(1+((J38/K38)-1)*(1-Info!$J$24))*N38+(Info!$T$11/2)+(N38*Info!$T$11)+(N38*Info!$T$14*(O38-1)),0.01)+M38,
AND(C38=""3x3 BLD"",V38&gt;P38),
MROUND(("&amp;"((J38*Z38+K38*(AA38-Z38))*(H38*Info!$T$23/AA38))/X38)*(1+((J38/K38)-1)*(1-Info!$J$24))*(1+(X38-Info!$T$8)/100)+(Info!$T$11/2)+(N38*Info!$T$11)+(N38*Info!$T$14*(O38-1)),0.01)+M38,
E38=1,MROUND((((J38*Z38+K38*(AA38-Z38))*Y38)/X38)*(1+(X38-Info!$T$8)/100)+(N"&amp;"38*Info!$T$11)+(N38*Info!$T$14*(O38-1)),0.01)+M38,
AND(E38=""Final"",N38=1,FILTER(Info!$G$2:$G$20,Info!$A$2:$A$20=C38)=""Mycket svår""),
MROUND((((J38*Z38+K38*(AA38-Z38))*(Y38*Info!$T$38))/X38)*(1+(X38-Info!$T$8)/100)+(N38*Info!$T$11)+(N38*Info!$T$14*(O38"&amp;"-1)),0.01)+M38,
AND(E38=""Final"",N38=1,FILTER(Info!$G$2:$G$20,Info!$A$2:$A$20=C38)=""Svår""),
MROUND((((J38*Z38+K38*(AA38-Z38))*(Y38*Info!$T$35))/X38)*(1+(X38-Info!$T$8)/100)+(N38*Info!$T$11)+(N38*Info!$T$14*(O38-1)),0.01)+M38,
E38=""Final"",MROUND((((J3"&amp;"8*Z38+K38*(AA38-Z38))*(Y38*Info!$T$5))/X38)*(1+(X38-Info!$T$8)/100)+(N38*Info!$T$11)+(N38*Info!$T$14*(O38-1)),0.01)+M38,
OR(E38=2,E38=3),MROUND((((J38*Z38+K38*(AA38-Z38))*(Y38*Info!$T$2))/X38)*(1+(X38-Info!$T$8)/100)+(N38*Info!$T$11)+(N38*Info!$T$14*(O38-"&amp;"1)),0.01)+M38)"),0.0)</f>
        <v>0</v>
      </c>
      <c r="M38" s="48">
        <f t="shared" si="4"/>
        <v>0</v>
      </c>
      <c r="N38" s="48" t="str">
        <f>IFS(OR(COUNTIF(Info!$A$22:A81,C38)&gt;0,C38=""),"",
OR(C38="4x4 BLD",C38="5x5 BLD",C38="3x3 MBLD",C38="3x3 FMC",C38="4x4 / 5x5 BLD"),1,
AND(E38="Final",Q38="Yes",MAX(1,ROUNDUP(J38/P38))&gt;1),MAX(2,ROUNDUP(J38/P38)),
AND(E38="Final",Q38="No",MAX(1,ROUNDUP(J38/((P38*2)+2.625-Y38*1.5)))&gt;1),MAX(2,ROUNDUP(J38/((P38*2)+2.625-Y38*1.5))),
E38="Final",1,
Q38="Yes",MAX(2,ROUNDUP(J38/P38)),
TRUE,MAX(2,ROUNDUP(J38/((P38*2)+2.625-Y38*1.5))))</f>
        <v/>
      </c>
      <c r="O38" s="48" t="str">
        <f>IFS(OR(COUNTIF(Info!$A$22:A81,C38)&gt;0,C38=""),"",
OR("3x3 MBLD"=C38,"3x3 FMC"=C38)=TRUE,"",
D38=$E$4,$G$6,D38=$K$4,$M$6,D38=$Q$4,$S$6,D38=$W$4,$Y$6,
TRUE,$S$2)</f>
        <v/>
      </c>
      <c r="P38" s="48" t="str">
        <f>IFS(OR(COUNTIF(Info!$A$22:A81,C38)&gt;0,C38=""),"",
OR("3x3 MBLD"=C38,"3x3 FMC"=C38)=TRUE,"",
D38=$E$4,$E$6,D38=$K$4,$K$6,D38=$Q$4,$Q$6,D38=$W$4,$W$6,
TRUE,$Q$2)</f>
        <v/>
      </c>
      <c r="Q38" s="49" t="str">
        <f>IFS(OR(COUNTIF(Info!$A$22:A81,C38)&gt;0,C38=""),"",
OR("3x3 MBLD"=C38,"3x3 FMC"=C38)=TRUE,"",
D38=$E$4,$I$6,D38=$K$4,$O$6,D38=$Q$4,$U$6,D38=$W$4,$AA$6,
TRUE,$U$2)</f>
        <v/>
      </c>
      <c r="R38" s="50" t="str">
        <f>IFERROR(__xludf.DUMMYFUNCTION("IF(C38="""","""",IFERROR(FILTER(Info!$B$22:B81,Info!$A$22:A81=C38)+M38,""?""))"),"")</f>
        <v/>
      </c>
      <c r="S38" s="51" t="str">
        <f>IFS(OR(COUNTIF(Info!$A$22:A81,C38)&gt;0,C38=""),"",
AND(H38="",I38=""),J38,
TRUE,"?")</f>
        <v/>
      </c>
      <c r="T38" s="52" t="str">
        <f>IFS(OR(COUNTIF(Info!$A$22:A81,C38)&gt;0,C38=""),"",
AND(L38&lt;&gt;0,OR(R38="?",R38="")),"Fyll i R-kolumnen",
OR(C38="3x3 FMC",C38="3x3 MBLD"),R38,
AND(L38&lt;&gt;0,OR(S38="?",S38="")),"Fyll i S-kolumnen",
OR(COUNTIF(Info!$A$22:A81,C38)&gt;0,C38=""),"",
TRUE,Y38*R38/L38)</f>
        <v/>
      </c>
      <c r="U38" s="52"/>
      <c r="V38" s="53" t="str">
        <f>IFS(OR(COUNTIF(Info!$A$22:A81,C38)&gt;0,C38=""),"",
OR("3x3 MBLD"=C38,"3x3 FMC"=C38)=TRUE,"",
TRUE,MROUND((J38/N38),0.01))</f>
        <v/>
      </c>
      <c r="W38" s="54" t="str">
        <f>IFS(OR(COUNTIF(Info!$A$22:A81,C38)&gt;0,C38=""),"",
TRUE,L38/N38)</f>
        <v/>
      </c>
      <c r="X38" s="55" t="str">
        <f>IFS(OR(COUNTIF(Info!$A$22:A81,C38)&gt;0,C38=""),"",
OR("3x3 MBLD"=C38,"3x3 FMC"=C38)=TRUE,"",
OR(C38="4x4 BLD",C38="5x5 BLD",C38="4x4 / 5x5 BLD",AND(C38="3x3 BLD",H38&lt;&gt;""))=TRUE,MIN(V38,P38),
TRUE,MIN(P38,V38,MROUND(((V38*2/3)+((Y38-1.625)/2)),0.01)))</f>
        <v/>
      </c>
      <c r="Y38" s="56" t="str">
        <f>IFERROR(__xludf.DUMMYFUNCTION("IFS(OR(COUNTIF(Info!$A$22:A81,C38)&gt;0,C38=""""),"""",
FILTER(Info!$F$2:F81, Info!$A$2:A81 = C38) = ""Yes"",H38/AA38,
""3x3 FMC""=C38,Info!$B$9,""3x3 MBLD""=C38,Info!$B$18,
AND(E38=1,I38="""",H38="""",Q38=""No"",G38&gt;SUMIF(Info!$A$2:A81,C38,Info!$B$2:B81)*1."&amp;"5),
MIN(SUMIF(Info!$A$2:A81,C38,Info!$B$2:B81)*1.1,SUMIF(Info!$A$2:A81,C38,Info!$B$2:B81)*(1.15-(0.15*(SUMIF(Info!$A$2:A81,C38,Info!$B$2:B81)*1.5)/G38))),
AND(E38=1,I38="""",H38="""",Q38=""Yes"",G38&gt;SUMIF(Info!$A$2:A81,C38,Info!$C$2:C81)*1.5),
MIN(SUMIF(I"&amp;"nfo!$A$2:A81,C38,Info!$C$2:C81)*1.1,SUMIF(Info!$A$2:A81,C38,Info!$C$2:C81)*(1.15-(0.15*(SUMIF(Info!$A$2:A81,C38,Info!$C$2:C81)*1.5)/G38))),
Q38=""No"",SUMIF(Info!$A$2:A81,C38,Info!$B$2:B81),
Q38=""Yes"",SUMIF(Info!$A$2:A81,C38,Info!$C$2:C81))"),"")</f>
        <v/>
      </c>
      <c r="Z38" s="57" t="str">
        <f>IFS(OR(COUNTIF(Info!$A$22:A81,C38)&gt;0,C38=""),"",
AND(OR("3x3 FMC"=C38,"3x3 MBLD"=C38),I38&lt;&gt;""),1,
AND(OR(H38&lt;&gt;"",I38&lt;&gt;""),F38="Avg of 5"),2,
F38="Avg of 5",AA38,
AND(OR(H38&lt;&gt;"",I38&lt;&gt;""),F38="Mean of 3",C38="6x6 / 7x7"),2,
AND(OR(H38&lt;&gt;"",I38&lt;&gt;""),F38="Mean of 3"),1,
F38="Mean of 3",AA38,
AND(OR(H38&lt;&gt;"",I38&lt;&gt;""),F38="Best of 3",C38="4x4 / 5x5 BLD"),2,
AND(OR(H38&lt;&gt;"",I38&lt;&gt;""),F38="Best of 3"),1,
F38="Best of 2",AA38,
F38="Best of 1",AA38)</f>
        <v/>
      </c>
      <c r="AA38" s="57" t="str">
        <f>IFS(OR(COUNTIF(Info!$A$22:A81,C38)&gt;0,C38=""),"",
AND(OR("3x3 MBLD"=C38,"3x3 FMC"=C38),F38="Best of 1"=TRUE),1,
AND(OR("3x3 MBLD"=C38,"3x3 FMC"=C38),F38="Best of 2"=TRUE),2,
AND(OR("3x3 MBLD"=C38,"3x3 FMC"=C38),OR(F38="Best of 3",F38="Mean of 3")=TRUE),3,
AND(F38="Mean of 3",C38="6x6 / 7x7"),6,
AND(F38="Best of 3",C38="4x4 / 5x5 BLD"),6,
F38="Avg of 5",5,F38="Mean of 3",3,F38="Best of 3",3,F38="Best of 2",2,F38="Best of 1",1)</f>
        <v/>
      </c>
      <c r="AB38" s="58"/>
    </row>
    <row r="39">
      <c r="A39" s="40">
        <f>IFERROR(__xludf.DUMMYFUNCTION("IFS(indirect(""A""&amp;row()-1)=""Start"",TIME(indirect(""A""&amp;row()-2),indirect(""B""&amp;row()-2),0),
$O$2=""No"",TIME(0,($A$6*60+$B$6)+CEILING(SUM($L$7:indirect(""L""&amp;row()-1)),5),0),
D39=$E$2,TIME(0,($A$6*60+$B$6)+CEILING(SUM(IFERROR(FILTER($L$7:indirect(""L"""&amp;"&amp;row()-1),REGEXMATCH($D$7:indirect(""D""&amp;row()-1),$E$2)),0)),5),0),
TRUE,""=time(hh;mm;ss)"")"),0.375)</f>
        <v>0.375</v>
      </c>
      <c r="B39" s="41">
        <f>IFERROR(__xludf.DUMMYFUNCTION("IFS($O$2=""No"",TIME(0,($A$6*60+$B$6)+CEILING(SUM($L$7:indirect(""L""&amp;row())),5),0),
D39=$E$2,TIME(0,($A$6*60+$B$6)+CEILING(SUM(FILTER($L$7:indirect(""L""&amp;row()),REGEXMATCH($D$7:indirect(""D""&amp;row()),$E$2))),5),0),
A39=""=time(hh;mm;ss)"",CONCATENATE(""Sk"&amp;"riv tid i A""&amp;row()),
AND(A39&lt;&gt;"""",A39&lt;&gt;""=time(hh;mm;ss)""),A39+TIME(0,CEILING(indirect(""L""&amp;row()),5),0))"),0.375)</f>
        <v>0.375</v>
      </c>
      <c r="C39" s="42"/>
      <c r="D39" s="43" t="str">
        <f t="shared" si="3"/>
        <v>Stora salen</v>
      </c>
      <c r="E39" s="43" t="str">
        <f>IFERROR(__xludf.DUMMYFUNCTION("IFS(COUNTIF(Info!$A$22:A81,C39)&gt;0,"""",
AND(OR(""3x3 FMC""=C39,""3x3 MBLD""=C39),COUNTIF($C$7:indirect(""C""&amp;row()),indirect(""C""&amp;row()))&gt;=13),""E - Error"",
AND(OR(""3x3 FMC""=C39,""3x3 MBLD""=C39),COUNTIF($C$7:indirect(""C""&amp;row()),indirect(""C""&amp;row()"&amp;"))=12),""Final - A3"",
AND(OR(""3x3 FMC""=C39,""3x3 MBLD""=C39),COUNTIF($C$7:indirect(""C""&amp;row()),indirect(""C""&amp;row()))=11),""Final - A2"",
AND(OR(""3x3 FMC""=C39,""3x3 MBLD""=C39),COUNTIF($C$7:indirect(""C""&amp;row()),indirect(""C""&amp;row()))=10),""Final - "&amp;"A1"",
AND(OR(""3x3 FMC""=C39,""3x3 MBLD""=C39),COUNTIF($C$7:indirect(""C""&amp;row()),indirect(""C""&amp;row()))=9,
COUNTIF($C$7:$C$61,indirect(""C""&amp;row()))&gt;9),""R3 - A3"",
AND(OR(""3x3 FMC""=C39,""3x3 MBLD""=C39),COUNTIF($C$7:indirect(""C""&amp;row()),indirect(""C"&amp;"""&amp;row()))=9,
COUNTIF($C$7:$C$61,indirect(""C""&amp;row()))&lt;=9),""Final - A3"",
AND(OR(""3x3 FMC""=C39,""3x3 MBLD""=C39),COUNTIF($C$7:indirect(""C""&amp;row()),indirect(""C""&amp;row()))=8,
COUNTIF($C$7:$C$61,indirect(""C""&amp;row()))&gt;9),""R3 - A2"",
AND(OR(""3x3 FMC""="&amp;"C39,""3x3 MBLD""=C39),COUNTIF($C$7:indirect(""C""&amp;row()),indirect(""C""&amp;row()))=8,
COUNTIF($C$7:$C$61,indirect(""C""&amp;row()))&lt;=9),""Final - A2"",
AND(OR(""3x3 FMC""=C39,""3x3 MBLD""=C39),COUNTIF($C$7:indirect(""C""&amp;row()),indirect(""C""&amp;row()))=7,
COUNTIF("&amp;"$C$7:$C$61,indirect(""C""&amp;row()))&gt;9),""R3 - A1"",
AND(OR(""3x3 FMC""=C39,""3x3 MBLD""=C39),COUNTIF($C$7:indirect(""C""&amp;row()),indirect(""C""&amp;row()))=7,
COUNTIF($C$7:$C$61,indirect(""C""&amp;row()))&lt;=9),""Final - A1"",
AND(OR(""3x3 FMC""=C39,""3x3 MBLD""=C39),"&amp;"COUNTIF($C$7:indirect(""C""&amp;row()),indirect(""C""&amp;row()))=6,
COUNTIF($C$7:$C$61,indirect(""C""&amp;row()))&gt;6),""R2 - A3"",
AND(OR(""3x3 FMC""=C39,""3x3 MBLD""=C39),COUNTIF($C$7:indirect(""C""&amp;row()),indirect(""C""&amp;row()))=6,
COUNTIF($C$7:$C$61,indirect(""C""&amp;"&amp;"row()))&lt;=6),""Final - A3"",
AND(OR(""3x3 FMC""=C39,""3x3 MBLD""=C39),COUNTIF($C$7:indirect(""C""&amp;row()),indirect(""C""&amp;row()))=5,
COUNTIF($C$7:$C$61,indirect(""C""&amp;row()))&gt;6),""R2 - A2"",
AND(OR(""3x3 FMC""=C39,""3x3 MBLD""=C39),COUNTIF($C$7:indirect(""C"&amp;"""&amp;row()),indirect(""C""&amp;row()))=5,
COUNTIF($C$7:$C$61,indirect(""C""&amp;row()))&lt;=6),""Final - A2"",
AND(OR(""3x3 FMC""=C39,""3x3 MBLD""=C39),COUNTIF($C$7:indirect(""C""&amp;row()),indirect(""C""&amp;row()))=4,
COUNTIF($C$7:$C$61,indirect(""C""&amp;row()))&gt;6),""R2 - A1"&amp;""",
AND(OR(""3x3 FMC""=C39,""3x3 MBLD""=C39),COUNTIF($C$7:indirect(""C""&amp;row()),indirect(""C""&amp;row()))=4,
COUNTIF($C$7:$C$61,indirect(""C""&amp;row()))&lt;=6),""Final - A1"",
AND(OR(""3x3 FMC""=C39,""3x3 MBLD""=C39),COUNTIF($C$7:indirect(""C""&amp;row()),indirect("""&amp;"C""&amp;row()))=3),""R1 - A3"",
AND(OR(""3x3 FMC""=C39,""3x3 MBLD""=C39),COUNTIF($C$7:indirect(""C""&amp;row()),indirect(""C""&amp;row()))=2),""R1 - A2"",
AND(OR(""3x3 FMC""=C39,""3x3 MBLD""=C39),COUNTIF($C$7:indirect(""C""&amp;row()),indirect(""C""&amp;row()))=1),""R1 -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C39),ROUNDUP((FILTER(Info!$H$2:H81,Info!$A$2:A81=C39)/FILTER(Info!$H$2:H81,Info!$A$2:A81=$K$2))*$I$2)&gt;99),3,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C39),ROUNDUP((FILTER(Info!$H$2:H81,Info!$A$2:A81=C39)/FILTER(Info!$H$2:H81,Info!$A$2:A81=$K$2))*$I$2)&gt;15),2,
AND(COUNTIF($C$7:indirect(""C""&amp;row()),indirect(""C""&amp;row()))=2,COUNTIF($C$7:$C$61,indirect(""C""&amp;row()))=COUNTIF($C$7:indirect("""&amp;"C""&amp;row()),indirect(""C""&amp;row()))),""Final"",
COUNTIF($C$7:indirect(""C""&amp;row()),indirect(""C""&amp;row()))=1,1,
COUNTIF($C$7:indirect(""C""&amp;row()),indirect(""C""&amp;row()))=0,"""")"),"")</f>
        <v/>
      </c>
      <c r="F39" s="44" t="str">
        <f>IFERROR(__xludf.DUMMYFUNCTION("IFS(C39="""","""",
AND(C39=""3x3 FMC"",MOD(COUNTIF($C$7:indirect(""C""&amp;row()),indirect(""C""&amp;row())),3)=0),""Mean of 3"",
AND(C39=""3x3 MBLD"",MOD(COUNTIF($C$7:indirect(""C""&amp;row()),indirect(""C""&amp;row())),3)=0),""Best of 3"",
AND(C39=""3x3 FMC"",MOD(COUNT"&amp;"IF($C$7:indirect(""C""&amp;row()),indirect(""C""&amp;row())),3)=2,
COUNTIF($C$7:$C$61,indirect(""C""&amp;row()))&lt;=COUNTIF($C$7:indirect(""C""&amp;row()),indirect(""C""&amp;row()))),""Best of 2"",
AND(C39=""3x3 FMC"",MOD(COUNTIF($C$7:indirect(""C""&amp;row()),indirect(""C""&amp;row()"&amp;")),3)=2,
COUNTIF($C$7:$C$61,indirect(""C""&amp;row()))&gt;COUNTIF($C$7:indirect(""C""&amp;row()),indirect(""C""&amp;row()))),""Mean of 3"",
AND(C39=""3x3 MBLD"",MOD(COUNTIF($C$7:indirect(""C""&amp;row()),indirect(""C""&amp;row())),3)=2,
COUNTIF($C$7:$C$61,indirect(""C""&amp;row()))"&amp;"&lt;=COUNTIF($C$7:indirect(""C""&amp;row()),indirect(""C""&amp;row()))),""Best of 2"",
AND(C39=""3x3 MBLD"",MOD(COUNTIF($C$7:indirect(""C""&amp;row()),indirect(""C""&amp;row())),3)=2,
COUNTIF($C$7:$C$61,indirect(""C""&amp;row()))&gt;COUNTIF($C$7:indirect(""C""&amp;row()),indirect(""C"&amp;"""&amp;row()))),""Best of 3"",
AND(C39=""3x3 FMC"",MOD(COUNTIF($C$7:indirect(""C""&amp;row()),indirect(""C""&amp;row())),3)=1,
COUNTIF($C$7:$C$61,indirect(""C""&amp;row()))&lt;=COUNTIF($C$7:indirect(""C""&amp;row()),indirect(""C""&amp;row()))),""Best of 1"",
AND(C39=""3x3 FMC"",MOD"&amp;"(COUNTIF($C$7:indirect(""C""&amp;row()),indirect(""C""&amp;row())),3)=1,
COUNTIF($C$7:$C$61,indirect(""C""&amp;row()))=COUNTIF($C$7:indirect(""C""&amp;row()),indirect(""C""&amp;row()))+1),""Best of 2"",
AND(C39=""3x3 FMC"",MOD(COUNTIF($C$7:indirect(""C""&amp;row()),indirect(""C"&amp;"""&amp;row())),3)=1,
COUNTIF($C$7:$C$61,indirect(""C""&amp;row()))&gt;COUNTIF($C$7:indirect(""C""&amp;row()),indirect(""C""&amp;row()))),""Mean of 3"",
AND(C39=""3x3 MBLD"",MOD(COUNTIF($C$7:indirect(""C""&amp;row()),indirect(""C""&amp;row())),3)=1,
COUNTIF($C$7:$C$61,indirect(""C"""&amp;"&amp;row()))&lt;=COUNTIF($C$7:indirect(""C""&amp;row()),indirect(""C""&amp;row()))),""Best of 1"",
AND(C39=""3x3 MBLD"",MOD(COUNTIF($C$7:indirect(""C""&amp;row()),indirect(""C""&amp;row())),3)=1,
COUNTIF($C$7:$C$61,indirect(""C""&amp;row()))=COUNTIF($C$7:indirect(""C""&amp;row()),indir"&amp;"ect(""C""&amp;row()))+1),""Best of 2"",
AND(C39=""3x3 MBLD"",MOD(COUNTIF($C$7:indirect(""C""&amp;row()),indirect(""C""&amp;row())),3)=1,
COUNTIF($C$7:$C$61,indirect(""C""&amp;row()))&gt;COUNTIF($C$7:indirect(""C""&amp;row()),indirect(""C""&amp;row()))),""Best of 3"",
TRUE,(IFERROR("&amp;"FILTER(Info!$D$2:D81, Info!$A$2:A81 = C39), """")))"),"")</f>
        <v/>
      </c>
      <c r="G39" s="45" t="str">
        <f>IFERROR(__xludf.DUMMYFUNCTION("IFS(OR(COUNTIF(Info!$A$22:A81,C39)&gt;0,C39=""""),"""",
OR(""3x3 MBLD""=C39,""3x3 FMC""=C39),60,
AND(E39=1,FILTER(Info!$F$2:F81, Info!$A$2:A81 = C39) = ""No""),FILTER(Info!$P$2:P81, Info!$A$2:A81 = C39),
AND(E39=2,FILTER(Info!$F$2:F81, Info!$A$2:A81 = C39) ="&amp;" ""No""),FILTER(Info!$Q$2:Q81, Info!$A$2:A81 = C39),
AND(E39=3,FILTER(Info!$F$2:F81, Info!$A$2:A81 = C39) = ""No""),FILTER(Info!$R$2:R81, Info!$A$2:A81 = C39),
AND(E39=""Final"",FILTER(Info!$F$2:F81, Info!$A$2:A81 = C39) = ""No""),FILTER(Info!$S$2:S81, In"&amp;"fo!$A$2:A81 = C39),
FILTER(Info!$F$2:F81, Info!$A$2:A81 = C39) = ""Yes"","""")"),"")</f>
        <v/>
      </c>
      <c r="H39" s="45" t="str">
        <f>IFERROR(__xludf.DUMMYFUNCTION("IFS(OR(COUNTIF(Info!$A$22:A81,C39)&gt;0,C39=""""),"""",
OR(""3x3 MBLD""=C39,""3x3 FMC""=C39)=TRUE,"""",
FILTER(Info!$F$2:F81, Info!$A$2:A81 = C39) = ""Yes"",FILTER(Info!$O$2:O81, Info!$A$2:A81 = C39),
FILTER(Info!$F$2:F81, Info!$A$2:A81 = C39) = ""No"",IF(G3"&amp;"9="""",FILTER(Info!$O$2:O81, Info!$A$2:A81 = C39),""""))"),"")</f>
        <v/>
      </c>
      <c r="I39" s="45" t="str">
        <f>IFERROR(__xludf.DUMMYFUNCTION("IFS(OR(COUNTIF(Info!$A$22:A81,C39)&gt;0,C39="""",H39&lt;&gt;""""),"""",
AND(E39&lt;&gt;1,E39&lt;&gt;""R1 - A1"",E39&lt;&gt;""R1 - A2"",E39&lt;&gt;""R1 - A3""),"""",
FILTER(Info!$E$2:E81, Info!$A$2:A81 = C39) = ""Yes"",IF(H39="""",FILTER(Info!$L$2:L81, Info!$A$2:A81 = C39),""""),
FILTER(I"&amp;"nfo!$E$2:E81, Info!$A$2:A81 = C39) = ""No"","""")"),"")</f>
        <v/>
      </c>
      <c r="J39" s="45" t="str">
        <f>IFERROR(__xludf.DUMMYFUNCTION("IFS(OR(COUNTIF(Info!$A$22:A81,C39)&gt;0,C39="""",""3x3 MBLD""=C39,""3x3 FMC""=C39),"""",
AND(E39=1,FILTER(Info!$H$2:H81,Info!$A$2:A81 = C39)&lt;=FILTER(Info!$H$2:H81,Info!$A$2:A81=$K$2)),
ROUNDUP((FILTER(Info!$H$2:H81,Info!$A$2:A81 = C39)/FILTER(Info!$H$2:H81,I"&amp;"nfo!$A$2:A81=$K$2))*$I$2),
AND(E39=1,FILTER(Info!$H$2:H81,Info!$A$2:A81 = C39)&gt;FILTER(Info!$H$2:H81,Info!$A$2:A81=$K$2)),""K2 - Error"",
AND(E39=2,FILTER($J$7:indirect(""J""&amp;row()-1),$C$7:indirect(""C""&amp;row()-1)=C39)&lt;=7),""J - Error"",
E39=2,FLOOR(FILTER("&amp;"$J$7:indirect(""J""&amp;row()-1),$C$7:indirect(""C""&amp;row()-1)=C39)*Info!$T$32),
AND(E39=3,FILTER($J$7:indirect(""J""&amp;row()-1),$C$7:indirect(""C""&amp;row()-1)=C39)&lt;=15),""J - Error"",
E39=3,FLOOR(Info!$T$32*FLOOR(FILTER($J$7:indirect(""J""&amp;row()-1),$C$7:indirect("&amp;"""C""&amp;row()-1)=C39)*Info!$T$32)),
AND(E39=""Final"",COUNTIF($C$7:$C$61,C39)=2,FILTER($J$7:indirect(""J""&amp;row()-1),$C$7:indirect(""C""&amp;row()-1)=C39)&lt;=7),""J - Error"",
AND(E39=""Final"",COUNTIF($C$7:$C$61,C39)=2),
MIN(P39,FLOOR(FILTER($J$7:indirect(""J""&amp;r"&amp;"ow()-1),$C$7:indirect(""C""&amp;row()-1)=C39)*Info!$T$32)),
AND(E39=""Final"",COUNTIF($C$7:$C$61,C39)=3,FILTER($J$7:indirect(""J""&amp;row()-1),$C$7:indirect(""C""&amp;row()-1)=C39)&lt;=15),""J - Error"",
AND(E39=""Final"",COUNTIF($C$7:$C$61,C39)=3),
MIN(P39,FLOOR(Info!"&amp;"$T$32*FLOOR(FILTER($J$7:indirect(""J""&amp;row()-1),$C$7:indirect(""C""&amp;row()-1)=C39)*Info!$T$32))),
AND(E39=""Final"",COUNTIF($C$7:$C$61,C39)&gt;=4,FILTER($J$7:indirect(""J""&amp;row()-1),$C$7:indirect(""C""&amp;row()-1)=C39)&lt;=99),""J - Error"",
AND(E39=""Final"",COUNT"&amp;"IF($C$7:$C$61,C39)&gt;=4),
MIN(P39,FLOOR(Info!$T$32*FLOOR(Info!$T$32*FLOOR(FILTER($J$7:indirect(""J""&amp;row()-1),$C$7:indirect(""C""&amp;row()-1)=C39)*Info!$T$32)))))"),"")</f>
        <v/>
      </c>
      <c r="K39" s="46" t="str">
        <f>IFERROR(__xludf.DUMMYFUNCTION("IFS(AND(indirect(""D""&amp;row()+2)&lt;&gt;$E$2,indirect(""D""&amp;row()+1)=""""),CONCATENATE(""Tom rad! Kopiera hela rad ""&amp;row()&amp;"" dit""),
AND(indirect(""D""&amp;row()-1)&lt;&gt;""Rum"",indirect(""D""&amp;row()-1)=""""),CONCATENATE(""Tom rad! Kopiera hela rad ""&amp;row()&amp;"" dit""),
"&amp;"C39="""","""",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OR(AND(D39&lt;&gt;$E$2,D39&lt;&gt;$E$4,D39&lt;&gt;$K$4,D39&lt;&gt;$Q$4),D39="&amp;"""""),CONCATENATE(""Rum: ""&amp;D39&amp;"" finns ej, byt i D""&amp;row()),
AND(indirect(""D""&amp;row()-1)=""Rum"",C39=""""),CONCATENATE(""För att börja: skriv i cell C""&amp;row()),
AND(C39=""Paus"",M39&lt;=0),CONCATENATE(""Skriv pausens längd i M""&amp;row()),
OR(COUNTIF(Info!$A$"&amp;"22:A81,C39)&gt;0,C39=""""),"""",
AND(D39&lt;&gt;$E$2,$O$2=""Yes"",A39=""=time(hh;mm;ss)""),CONCATENATE(""Skriv starttid för ""&amp;C39&amp;"" i A""&amp;row()),
E39=""E - Error"",CONCATENATE(""För många ""&amp;C39&amp;"" rundor!""),
AND(C39&lt;&gt;""3x3 FMC"",C39&lt;&gt;""3x3 MBLD"",E39&lt;&gt;1,E39&lt;&gt;"&amp;"""Final"",IFERROR(FILTER($E$7:indirect(""E""&amp;row()-1),
$E$7:indirect(""E""&amp;row()-1)=E39-1,$C$7:indirect(""C""&amp;row()-1)=C39))=FALSE),CONCATENATE(""Kan ej vara R""&amp;E39&amp;"", saknar R""&amp;(E39-1)),
AND(indirect(""E""&amp;row()-1)&lt;&gt;""Omgång"",IFERROR(FILTER($E$7:indi"&amp;"rect(""E""&amp;row()-1),
$E$7:indirect(""E""&amp;row()-1)=E39,$C$7:indirect(""C""&amp;row()-1)=C39)=E39)=TRUE),CONCATENATE(""Runda ""&amp;E39&amp;"" i ""&amp;C39&amp;"" finns redan""),
AND(C39&lt;&gt;""3x3 BLD"",C39&lt;&gt;""4x4 BLD"",C39&lt;&gt;""5x5 BLD"",C39&lt;&gt;""4x4 / 5x5 BLD"",OR(E39=2,E39=3,E39="&amp;"""Final""),H39&lt;&gt;""""),CONCATENATE(E39&amp;""-rundor brukar ej ha c.t.l.""),
AND(OR(E39=2,E39=3,E39=""Final""),I39&lt;&gt;""""),CONCATENATE(E39&amp;""-rundor brukar ej ha cutoff""),
AND(OR(C39=""3x3 FMC"",C39=""3x3 MBLD""),OR(E39=1,E39=2,E39=3,E39=""Final"")),CONCATENAT"&amp;"E(C39&amp;""s omgång är Rx - Ax""),
AND(C39&lt;&gt;""3x3 MBLD"",C39&lt;&gt;""3x3 FMC"",FILTER(Info!$D$2:D81, Info!$A$2:A81 = C39)&lt;&gt;F39),CONCATENATE(C39&amp;"" måste ha formatet ""&amp;FILTER(Info!$D$2:D81, Info!$A$2:A81 = C39)),
AND(C39=""3x3 MBLD"",OR(F39=""Avg of 5"",F39=""Mea"&amp;"n of 3"")),CONCATENATE(""Ogiltigt format för ""&amp;C39),
AND(C39=""3x3 FMC"",OR(F39=""Avg of 5"",F39=""Best of 3"")),CONCATENATE(""Ogiltigt format för ""&amp;C39),
AND(OR(F39=""Best of 1"",F39=""Best of 2"",F39=""Best of 3""),I39&lt;&gt;""""),CONCATENATE(F39&amp;""-rundor"&amp;" får ej ha cutoff""),
AND(OR(C39=""3x3 FMC"",C39=""3x3 MBLD""),G39&lt;&gt;60),CONCATENATE(C39&amp;"" måste ha time limit: 60""),
AND(OR(C39=""3x3 FMC"",C39=""3x3 MBLD""),H39&lt;&gt;""""),CONCATENATE(C39&amp;"" kan inte ha c.t.l.""),
AND(G39&lt;&gt;"""",H39&lt;&gt;""""),""Välj time limit"&amp;" ELLER c.t.l"",
AND(C39=""6x6 / 7x7"",G39="""",H39=""""),""Sätt time limit (x / y) eller c.t.l (z)"",
AND(G39="""",H39=""""),""Sätt en time limit eller c.t.l"",
AND(OR(C39=""6x6 / 7x7"",C39=""4x4 / 5x5 BLD""),G39&lt;&gt;"""",REGEXMATCH(TO_TEXT(G39),"" / "")=FAL"&amp;"SE),CONCATENATE(""Time limit måste vara x / y""),
AND(H39&lt;&gt;"""",I39&lt;&gt;""""),CONCATENATE(C39&amp;"" brukar ej ha cutoff OCH c.t.l""),
AND(E39=1,H39="""",I39="""",OR(FILTER(Info!$E$2:E81, Info!$A$2:A81 = C39) = ""Yes"",FILTER(Info!$F$2:F81, Info!$A$2:A81 = C39) "&amp;"= ""Yes""),OR(F39=""Avg of 5"",F39=""Mean of 3"")),CONCATENATE(C39&amp;"" bör ha cutoff eller c.t.l""),
AND(C39=""6x6 / 7x7"",I39&lt;&gt;"""",REGEXMATCH(TO_TEXT(I39),"" / "")=FALSE),CONCATENATE(""Cutoff måste vara x / y""),
AND(H39&lt;&gt;"""",ISNUMBER(H39)=FALSE),""C.t."&amp;"l. måste vara positivt tal (x)"",
AND(C39&lt;&gt;""6x6 / 7x7"",I39&lt;&gt;"""",ISNUMBER(I39)=FALSE),""Cutoff måste vara positivt tal (x)"",
AND(H39&lt;&gt;"""",FILTER(Info!$E$2:E81, Info!$A$2:A81 = C39) = ""No"",FILTER(Info!$F$2:F81, Info!$A$2:A81 = C39) = ""No""),CONCATEN"&amp;"ATE(C39&amp;"" brukar inte ha c.t.l.""),
AND(I39&lt;&gt;"""",FILTER(Info!$E$2:E81, Info!$A$2:A81 = C39) = ""No"",FILTER(Info!$F$2:F81, Info!$A$2:A81 = C39) = ""No""),CONCATENATE(C39&amp;"" brukar inte ha cutoff""),
AND(H39="""",FILTER(Info!$F$2:F81, Info!$A$2:A81 = C39"&amp;") = ""Yes""),CONCATENATE(C39&amp;"" brukar ha c.t.l.""),
AND(C39&lt;&gt;""6x6 / 7x7"",C39&lt;&gt;""4x4 / 5x5 BLD"",G39&lt;&gt;"""",ISNUMBER(G39)=FALSE),""Time limit måste vara positivt tal (x)"",
J39=""J - Error"",CONCATENATE(""För få deltagare i R1 för ""&amp;COUNTIF($C$7:$C$61,i"&amp;"ndirect(""C""&amp;row()))&amp;"" rundor""),
J39=""K2 - Error"",CONCATENATE(C39&amp;"" är mer populär - byt i K2!""),
AND(C39&lt;&gt;""6x6 / 7x7"",C39&lt;&gt;""4x4 / 5x5 BLD"",G39&lt;&gt;"""",I39&lt;&gt;"""",G39&lt;=I39),""Time limit måste vara &gt; cutoff"",
AND(C39&lt;&gt;""6x6 / 7x7"",C39&lt;&gt;""4x4 / 5x"&amp;"5 BLD"",H39&lt;&gt;"""",I39&lt;&gt;"""",H39&lt;=I39),""C.t.l. måste vara &gt; cutoff"",
AND(C39&lt;&gt;""3x3 FMC"",C39&lt;&gt;""3x3 MBLD"",J39=""""),CONCATENATE(""Fyll i antal deltagare i J""&amp;row()),
AND(C39="""",OR(E39&lt;&gt;"""",F39&lt;&gt;"""",G39&lt;&gt;"""",H39&lt;&gt;"""",I39&lt;&gt;"""",J39&lt;&gt;"""")),""Skriv"&amp;" ALLTID gren / aktivitet först"",
AND(I39="""",H39="""",J39&lt;&gt;""""),J39,
OR(""3x3 FMC""=C39,""3x3 MBLD""=C39),J39,
AND(I39&lt;&gt;"""",""6x6 / 7x7""=C39),
IFS(ArrayFormula(SUM(IFERROR(SPLIT(I39,"" / ""))))&lt;(Info!$J$6+Info!$J$7)*2/3,CONCATENATE(""Höj helst cutoff"&amp;"s i ""&amp;C39),
ArrayFormula(SUM(IFERROR(SPLIT(I39,"" / ""))))&lt;=(Info!$J$6+Info!$J$7),ROUNDUP(J39*Info!$J$22),
ArrayFormula(SUM(IFERROR(SPLIT(I39,"" / ""))))&lt;=Info!$J$6+Info!$J$7,ROUNDUP(J39*Info!$K$22),
ArrayFormula(SUM(IFERROR(SPLIT(I39,"" / ""))))&lt;=Info!$"&amp;"K$6+Info!$K$7,ROUNDUP(J39*Info!L$22),
ArrayFormula(SUM(IFERROR(SPLIT(I39,"" / ""))))&lt;=Info!$L$6+Info!$L$7,ROUNDUP(J39*Info!$M$22),
ArrayFormula(SUM(IFERROR(SPLIT(I39,"" / ""))))&lt;=Info!$M$6+Info!$M$7,ROUNDUP(J39*Info!$N$22),
ArrayFormula(SUM(IFERROR(SPLIT("&amp;"I39,"" / ""))))&lt;=(Info!$N$6+Info!$N$7)*3/2,ROUNDUP(J39*Info!$J$26),
ArrayFormula(SUM(IFERROR(SPLIT(I39,"" / ""))))&gt;(Info!$N$6+Info!$N$7)*3/2,CONCATENATE(""Sänk helst cutoffs i ""&amp;C39)),
AND(I39&lt;&gt;"""",FILTER(Info!$E$2:E81, Info!$A$2:A81 = C39) = ""Yes""),
"&amp;"IFS(I39&lt;FILTER(Info!$J$2:J81, Info!$A$2:A81 = C39)*2/3,CONCATENATE(""Höj helst cutoff i ""&amp;C39),
I39&lt;=FILTER(Info!$J$2:J81, Info!$A$2:A81 = C39),ROUNDUP(J39*Info!$J$22),
I39&lt;=FILTER(Info!$K$2:K81, Info!$A$2:A81 = C39),ROUNDUP(J39*Info!$K$22),
I39&lt;=FILTER("&amp;"Info!$L$2:L81, Info!$A$2:A81 = C39),ROUNDUP(J39*Info!L$22),
I39&lt;=FILTER(Info!$M$2:M81, Info!$A$2:A81 = C39),ROUNDUP(J39*Info!$M$22),
I39&lt;=FILTER(Info!$N$2:N81, Info!$A$2:A81 = C39),ROUNDUP(J39*Info!$N$22),
I39&lt;=FILTER(Info!$N$2:N81, Info!$A$2:A81 = C39)*3"&amp;"/2,ROUNDUP(J39*Info!$J$26),
I39&gt;FILTER(Info!$N$2:N81, Info!$A$2:A81 = C39)*3/2,CONCATENATE(""Sänk helst cutoff i ""&amp;C39)),
AND(H39&lt;&gt;"""",""6x6 / 7x7""=C39),
IFS(H39/3&lt;=(Info!$J$6+Info!$J$7)*2/3,""Höj helst cumulative time limit"",
H39/3&lt;=Info!$J$6+Info!$J"&amp;"$7,ROUNDUP(J39*Info!$J$24),
H39/3&lt;=Info!$K$6+Info!$K$7,ROUNDUP(J39*Info!$K$24),
H39/3&lt;=Info!$L$6+Info!$L$7,ROUNDUP(J39*Info!L$24),
H39/3&lt;=Info!$M$6+Info!$M$7,ROUNDUP(J39*Info!$M$24),
H39/3&lt;=Info!$N$6+Info!$N$7,ROUNDUP(J39*Info!$N$24),
H39/3&lt;=(Info!$N$6+In"&amp;"fo!$N$7)*3/2,ROUNDUP(J39*Info!$L$26),
H39/3&gt;(Info!$J$6+Info!$J$7)*3/2,""Sänk helst cumulative time limit""),
AND(H39&lt;&gt;"""",FILTER(Info!$F$2:F81, Info!$A$2:A81 = C39) = ""Yes""),
IFS(H39&lt;=FILTER(Info!$J$2:J81, Info!$A$2:A81 = C39)*2/3,CONCATENATE(""Höj hel"&amp;"st c.t.l. i ""&amp;C39),
H39&lt;=FILTER(Info!$J$2:J81, Info!$A$2:A81 = C39),ROUNDUP(J39*Info!$J$24),
H39&lt;=FILTER(Info!$K$2:K81, Info!$A$2:A81 = C39),ROUNDUP(J39*Info!$K$24),
H39&lt;=FILTER(Info!$L$2:L81, Info!$A$2:A81 = C39),ROUNDUP(J39*Info!L$24),
H39&lt;=FILTER(Info"&amp;"!$M$2:M81, Info!$A$2:A81 = C39),ROUNDUP(J39*Info!$M$24),
H39&lt;=FILTER(Info!$N$2:N81, Info!$A$2:A81 = C39),ROUNDUP(J39*Info!$N$24),
H39&lt;=FILTER(Info!$N$2:N81, Info!$A$2:A81 = C39)*3/2,ROUNDUP(J39*Info!$L$26),
H39&gt;FILTER(Info!$N$2:N81, Info!$A$2:A81 = C39)*3"&amp;"/2,CONCATENATE(""Sänk helst c.t.l. i ""&amp;C39)),
AND(H39&lt;&gt;"""",FILTER(Info!$F$2:F81, Info!$A$2:A81 = C39) = ""No""),
IFS(H39/AA39&lt;=FILTER(Info!$J$2:J81, Info!$A$2:A81 = C39)*2/3,CONCATENATE(""Höj helst c.t.l. i ""&amp;C39),
H39/AA39&lt;=FILTER(Info!$J$2:J81, Info!"&amp;"$A$2:A81 = C39),ROUNDUP(J39*Info!$J$24),
H39/AA39&lt;=FILTER(Info!$K$2:K81, Info!$A$2:A81 = C39),ROUNDUP(J39*Info!$K$24),
H39/AA39&lt;=FILTER(Info!$L$2:L81, Info!$A$2:A81 = C39),ROUNDUP(J39*Info!L$24),
H39/AA39&lt;=FILTER(Info!$M$2:M81, Info!$A$2:A81 = C39),ROUNDU"&amp;"P(J39*Info!$M$24),
H39/AA39&lt;=FILTER(Info!$N$2:N81, Info!$A$2:A81 = C39),ROUNDUP(J39*Info!$N$24),
H39/AA39&lt;=FILTER(Info!$N$2:N81, Info!$A$2:A81 = C39)*3/2,ROUNDUP(J39*Info!$L$26),
H39/AA39&gt;FILTER(Info!$N$2:N81, Info!$A$2:A81 = C39)*3/2,CONCATENATE(""Sänk h"&amp;"elst c.t.l. i ""&amp;C39)),
AND(I39="""",H39&lt;&gt;"""",J39&lt;&gt;""""),ROUNDUP(J39*Info!$T$29),
AND(I39&lt;&gt;"""",H39="""",J39&lt;&gt;""""),ROUNDUP(J39*Info!$T$26))"),"")</f>
        <v/>
      </c>
      <c r="L39" s="47">
        <f>IFERROR(__xludf.DUMMYFUNCTION("IFS(C39="""",0,
C39=""3x3 FMC"",Info!$B$9*N39+M39, C39=""3x3 MBLD"",Info!$B$18*N39+M39,
COUNTIF(Info!$A$22:A81,C39)&gt;0,FILTER(Info!$B$22:B81,Info!$A$22:A81=C39)+M39,
AND(C39&lt;&gt;"""",E39=""""),CONCATENATE(""Fyll i E""&amp;row()),
AND(C39&lt;&gt;"""",E39&lt;&gt;"""",E39&lt;&gt;1,E3"&amp;"9&lt;&gt;2,E39&lt;&gt;3,E39&lt;&gt;""Final""),CONCATENATE(""Fel format på E""&amp;row()),
K39=CONCATENATE(""Runda ""&amp;E39&amp;"" i ""&amp;C39&amp;"" finns redan""),CONCATENATE(""Fel i E""&amp;row()),
AND(C39&lt;&gt;"""",F39=""""),CONCATENATE(""Fyll i F""&amp;row()),
K39=CONCATENATE(C39&amp;"" måste ha forma"&amp;"tet ""&amp;FILTER(Info!$D$2:D81, Info!$A$2:A81 = C39)),CONCATENATE(""Fel format på F""&amp;row()),
AND(C39&lt;&gt;"""",D39=1,H39="""",FILTER(Info!$F$2:F81, Info!$A$2:A81 = C39) = ""Yes""),CONCATENATE(""Fyll i H""&amp;row()),
AND(C39&lt;&gt;"""",D39=1,I39="""",FILTER(Info!$E$2:E8"&amp;"1, Info!$A$2:A81 = C39) = ""Yes""),CONCATENATE(""Fyll i I""&amp;row()),
AND(C39&lt;&gt;"""",J39=""""),CONCATENATE(""Fyll i J""&amp;row()),
AND(C39&lt;&gt;"""",K39="""",OR(H39&lt;&gt;"""",I39&lt;&gt;"""")),CONCATENATE(""Fyll i K""&amp;row()),
AND(C39&lt;&gt;"""",K39=""""),CONCATENATE(""Skriv samma"&amp;" i K""&amp;row()&amp;"" som i J""&amp;row()),
AND(OR(C39=""4x4 BLD"",C39=""5x5 BLD"",C39=""4x4 / 5x5 BLD"")=TRUE,V39&lt;=P39),
MROUND(H39*(Info!$T$20-((Info!$T$20-1)/2)*(1-V39/P39))*(1+((J39/K39)-1)*(1-Info!$J$24))*N39+(Info!$T$11/2)+(N39*Info!$T$11)+(N39*Info!$T$14*(O3"&amp;"9-1)),0.01)+M39,
AND(OR(C39=""4x4 BLD"",C39=""5x5 BLD"",C39=""4x4 / 5x5 BLD"")=TRUE,V39&gt;P39),
MROUND((((J39*Z39+K39*(AA39-Z39))*(H39*Info!$T$20/AA39))/X39)*(1+((J39/K39)-1)*(1-Info!$J$24))*(1+(X39-Info!$T$8)/100)+(Info!$T$11/2)+(N39*Info!$T$11)+(N39*Info!"&amp;"$T$14*(O39-1)),0.01)+M39,
AND(C39=""3x3 BLD"",V39&lt;=P39),
MROUND(H39*(Info!$T$23-((Info!$T$23-1)/2)*(1-V39/P39))*(1+((J39/K39)-1)*(1-Info!$J$24))*N39+(Info!$T$11/2)+(N39*Info!$T$11)+(N39*Info!$T$14*(O39-1)),0.01)+M39,
AND(C39=""3x3 BLD"",V39&gt;P39),
MROUND(("&amp;"((J39*Z39+K39*(AA39-Z39))*(H39*Info!$T$23/AA39))/X39)*(1+((J39/K39)-1)*(1-Info!$J$24))*(1+(X39-Info!$T$8)/100)+(Info!$T$11/2)+(N39*Info!$T$11)+(N39*Info!$T$14*(O39-1)),0.01)+M39,
E39=1,MROUND((((J39*Z39+K39*(AA39-Z39))*Y39)/X39)*(1+(X39-Info!$T$8)/100)+(N"&amp;"39*Info!$T$11)+(N39*Info!$T$14*(O39-1)),0.01)+M39,
AND(E39=""Final"",N39=1,FILTER(Info!$G$2:$G$20,Info!$A$2:$A$20=C39)=""Mycket svår""),
MROUND((((J39*Z39+K39*(AA39-Z39))*(Y39*Info!$T$38))/X39)*(1+(X39-Info!$T$8)/100)+(N39*Info!$T$11)+(N39*Info!$T$14*(O39"&amp;"-1)),0.01)+M39,
AND(E39=""Final"",N39=1,FILTER(Info!$G$2:$G$20,Info!$A$2:$A$20=C39)=""Svår""),
MROUND((((J39*Z39+K39*(AA39-Z39))*(Y39*Info!$T$35))/X39)*(1+(X39-Info!$T$8)/100)+(N39*Info!$T$11)+(N39*Info!$T$14*(O39-1)),0.01)+M39,
E39=""Final"",MROUND((((J3"&amp;"9*Z39+K39*(AA39-Z39))*(Y39*Info!$T$5))/X39)*(1+(X39-Info!$T$8)/100)+(N39*Info!$T$11)+(N39*Info!$T$14*(O39-1)),0.01)+M39,
OR(E39=2,E39=3),MROUND((((J39*Z39+K39*(AA39-Z39))*(Y39*Info!$T$2))/X39)*(1+(X39-Info!$T$8)/100)+(N39*Info!$T$11)+(N39*Info!$T$14*(O39-"&amp;"1)),0.01)+M39)"),0.0)</f>
        <v>0</v>
      </c>
      <c r="M39" s="48">
        <f t="shared" si="4"/>
        <v>0</v>
      </c>
      <c r="N39" s="48" t="str">
        <f>IFS(OR(COUNTIF(Info!$A$22:A81,C39)&gt;0,C39=""),"",
OR(C39="4x4 BLD",C39="5x5 BLD",C39="3x3 MBLD",C39="3x3 FMC",C39="4x4 / 5x5 BLD"),1,
AND(E39="Final",Q39="Yes",MAX(1,ROUNDUP(J39/P39))&gt;1),MAX(2,ROUNDUP(J39/P39)),
AND(E39="Final",Q39="No",MAX(1,ROUNDUP(J39/((P39*2)+2.625-Y39*1.5)))&gt;1),MAX(2,ROUNDUP(J39/((P39*2)+2.625-Y39*1.5))),
E39="Final",1,
Q39="Yes",MAX(2,ROUNDUP(J39/P39)),
TRUE,MAX(2,ROUNDUP(J39/((P39*2)+2.625-Y39*1.5))))</f>
        <v/>
      </c>
      <c r="O39" s="48" t="str">
        <f>IFS(OR(COUNTIF(Info!$A$22:A81,C39)&gt;0,C39=""),"",
OR("3x3 MBLD"=C39,"3x3 FMC"=C39)=TRUE,"",
D39=$E$4,$G$6,D39=$K$4,$M$6,D39=$Q$4,$S$6,D39=$W$4,$Y$6,
TRUE,$S$2)</f>
        <v/>
      </c>
      <c r="P39" s="48" t="str">
        <f>IFS(OR(COUNTIF(Info!$A$22:A81,C39)&gt;0,C39=""),"",
OR("3x3 MBLD"=C39,"3x3 FMC"=C39)=TRUE,"",
D39=$E$4,$E$6,D39=$K$4,$K$6,D39=$Q$4,$Q$6,D39=$W$4,$W$6,
TRUE,$Q$2)</f>
        <v/>
      </c>
      <c r="Q39" s="49" t="str">
        <f>IFS(OR(COUNTIF(Info!$A$22:A81,C39)&gt;0,C39=""),"",
OR("3x3 MBLD"=C39,"3x3 FMC"=C39)=TRUE,"",
D39=$E$4,$I$6,D39=$K$4,$O$6,D39=$Q$4,$U$6,D39=$W$4,$AA$6,
TRUE,$U$2)</f>
        <v/>
      </c>
      <c r="R39" s="50" t="str">
        <f>IFERROR(__xludf.DUMMYFUNCTION("IF(C39="""","""",IFERROR(FILTER(Info!$B$22:B81,Info!$A$22:A81=C39)+M39,""?""))"),"")</f>
        <v/>
      </c>
      <c r="S39" s="51" t="str">
        <f>IFS(OR(COUNTIF(Info!$A$22:A81,C39)&gt;0,C39=""),"",
AND(H39="",I39=""),J39,
TRUE,"?")</f>
        <v/>
      </c>
      <c r="T39" s="52" t="str">
        <f>IFS(OR(COUNTIF(Info!$A$22:A81,C39)&gt;0,C39=""),"",
AND(L39&lt;&gt;0,OR(R39="?",R39="")),"Fyll i R-kolumnen",
OR(C39="3x3 FMC",C39="3x3 MBLD"),R39,
AND(L39&lt;&gt;0,OR(S39="?",S39="")),"Fyll i S-kolumnen",
OR(COUNTIF(Info!$A$22:A81,C39)&gt;0,C39=""),"",
TRUE,Y39*R39/L39)</f>
        <v/>
      </c>
      <c r="U39" s="52"/>
      <c r="V39" s="53" t="str">
        <f>IFS(OR(COUNTIF(Info!$A$22:A81,C39)&gt;0,C39=""),"",
OR("3x3 MBLD"=C39,"3x3 FMC"=C39)=TRUE,"",
TRUE,MROUND((J39/N39),0.01))</f>
        <v/>
      </c>
      <c r="W39" s="54" t="str">
        <f>IFS(OR(COUNTIF(Info!$A$22:A81,C39)&gt;0,C39=""),"",
TRUE,L39/N39)</f>
        <v/>
      </c>
      <c r="X39" s="55" t="str">
        <f>IFS(OR(COUNTIF(Info!$A$22:A81,C39)&gt;0,C39=""),"",
OR("3x3 MBLD"=C39,"3x3 FMC"=C39)=TRUE,"",
OR(C39="4x4 BLD",C39="5x5 BLD",C39="4x4 / 5x5 BLD",AND(C39="3x3 BLD",H39&lt;&gt;""))=TRUE,MIN(V39,P39),
TRUE,MIN(P39,V39,MROUND(((V39*2/3)+((Y39-1.625)/2)),0.01)))</f>
        <v/>
      </c>
      <c r="Y39" s="56" t="str">
        <f>IFERROR(__xludf.DUMMYFUNCTION("IFS(OR(COUNTIF(Info!$A$22:A81,C39)&gt;0,C39=""""),"""",
FILTER(Info!$F$2:F81, Info!$A$2:A81 = C39) = ""Yes"",H39/AA39,
""3x3 FMC""=C39,Info!$B$9,""3x3 MBLD""=C39,Info!$B$18,
AND(E39=1,I39="""",H39="""",Q39=""No"",G39&gt;SUMIF(Info!$A$2:A81,C39,Info!$B$2:B81)*1."&amp;"5),
MIN(SUMIF(Info!$A$2:A81,C39,Info!$B$2:B81)*1.1,SUMIF(Info!$A$2:A81,C39,Info!$B$2:B81)*(1.15-(0.15*(SUMIF(Info!$A$2:A81,C39,Info!$B$2:B81)*1.5)/G39))),
AND(E39=1,I39="""",H39="""",Q39=""Yes"",G39&gt;SUMIF(Info!$A$2:A81,C39,Info!$C$2:C81)*1.5),
MIN(SUMIF(I"&amp;"nfo!$A$2:A81,C39,Info!$C$2:C81)*1.1,SUMIF(Info!$A$2:A81,C39,Info!$C$2:C81)*(1.15-(0.15*(SUMIF(Info!$A$2:A81,C39,Info!$C$2:C81)*1.5)/G39))),
Q39=""No"",SUMIF(Info!$A$2:A81,C39,Info!$B$2:B81),
Q39=""Yes"",SUMIF(Info!$A$2:A81,C39,Info!$C$2:C81))"),"")</f>
        <v/>
      </c>
      <c r="Z39" s="57" t="str">
        <f>IFS(OR(COUNTIF(Info!$A$22:A81,C39)&gt;0,C39=""),"",
AND(OR("3x3 FMC"=C39,"3x3 MBLD"=C39),I39&lt;&gt;""),1,
AND(OR(H39&lt;&gt;"",I39&lt;&gt;""),F39="Avg of 5"),2,
F39="Avg of 5",AA39,
AND(OR(H39&lt;&gt;"",I39&lt;&gt;""),F39="Mean of 3",C39="6x6 / 7x7"),2,
AND(OR(H39&lt;&gt;"",I39&lt;&gt;""),F39="Mean of 3"),1,
F39="Mean of 3",AA39,
AND(OR(H39&lt;&gt;"",I39&lt;&gt;""),F39="Best of 3",C39="4x4 / 5x5 BLD"),2,
AND(OR(H39&lt;&gt;"",I39&lt;&gt;""),F39="Best of 3"),1,
F39="Best of 2",AA39,
F39="Best of 1",AA39)</f>
        <v/>
      </c>
      <c r="AA39" s="57" t="str">
        <f>IFS(OR(COUNTIF(Info!$A$22:A81,C39)&gt;0,C39=""),"",
AND(OR("3x3 MBLD"=C39,"3x3 FMC"=C39),F39="Best of 1"=TRUE),1,
AND(OR("3x3 MBLD"=C39,"3x3 FMC"=C39),F39="Best of 2"=TRUE),2,
AND(OR("3x3 MBLD"=C39,"3x3 FMC"=C39),OR(F39="Best of 3",F39="Mean of 3")=TRUE),3,
AND(F39="Mean of 3",C39="6x6 / 7x7"),6,
AND(F39="Best of 3",C39="4x4 / 5x5 BLD"),6,
F39="Avg of 5",5,F39="Mean of 3",3,F39="Best of 3",3,F39="Best of 2",2,F39="Best of 1",1)</f>
        <v/>
      </c>
      <c r="AB39" s="58"/>
    </row>
    <row r="40">
      <c r="A40" s="40">
        <f>IFERROR(__xludf.DUMMYFUNCTION("IFS(indirect(""A""&amp;row()-1)=""Start"",TIME(indirect(""A""&amp;row()-2),indirect(""B""&amp;row()-2),0),
$O$2=""No"",TIME(0,($A$6*60+$B$6)+CEILING(SUM($L$7:indirect(""L""&amp;row()-1)),5),0),
D40=$E$2,TIME(0,($A$6*60+$B$6)+CEILING(SUM(IFERROR(FILTER($L$7:indirect(""L"""&amp;"&amp;row()-1),REGEXMATCH($D$7:indirect(""D""&amp;row()-1),$E$2)),0)),5),0),
TRUE,""=time(hh;mm;ss)"")"),0.375)</f>
        <v>0.375</v>
      </c>
      <c r="B40" s="41">
        <f>IFERROR(__xludf.DUMMYFUNCTION("IFS($O$2=""No"",TIME(0,($A$6*60+$B$6)+CEILING(SUM($L$7:indirect(""L""&amp;row())),5),0),
D40=$E$2,TIME(0,($A$6*60+$B$6)+CEILING(SUM(FILTER($L$7:indirect(""L""&amp;row()),REGEXMATCH($D$7:indirect(""D""&amp;row()),$E$2))),5),0),
A40=""=time(hh;mm;ss)"",CONCATENATE(""Sk"&amp;"riv tid i A""&amp;row()),
AND(A40&lt;&gt;"""",A40&lt;&gt;""=time(hh;mm;ss)""),A40+TIME(0,CEILING(indirect(""L""&amp;row()),5),0))"),0.375)</f>
        <v>0.375</v>
      </c>
      <c r="C40" s="42"/>
      <c r="D40" s="43" t="str">
        <f t="shared" si="3"/>
        <v>Stora salen</v>
      </c>
      <c r="E40" s="43" t="str">
        <f>IFERROR(__xludf.DUMMYFUNCTION("IFS(COUNTIF(Info!$A$22:A81,C40)&gt;0,"""",
AND(OR(""3x3 FMC""=C40,""3x3 MBLD""=C40),COUNTIF($C$7:indirect(""C""&amp;row()),indirect(""C""&amp;row()))&gt;=13),""E - Error"",
AND(OR(""3x3 FMC""=C40,""3x3 MBLD""=C40),COUNTIF($C$7:indirect(""C""&amp;row()),indirect(""C""&amp;row()"&amp;"))=12),""Final - A3"",
AND(OR(""3x3 FMC""=C40,""3x3 MBLD""=C40),COUNTIF($C$7:indirect(""C""&amp;row()),indirect(""C""&amp;row()))=11),""Final - A2"",
AND(OR(""3x3 FMC""=C40,""3x3 MBLD""=C40),COUNTIF($C$7:indirect(""C""&amp;row()),indirect(""C""&amp;row()))=10),""Final - "&amp;"A1"",
AND(OR(""3x3 FMC""=C40,""3x3 MBLD""=C40),COUNTIF($C$7:indirect(""C""&amp;row()),indirect(""C""&amp;row()))=9,
COUNTIF($C$7:$C$61,indirect(""C""&amp;row()))&gt;9),""R3 - A3"",
AND(OR(""3x3 FMC""=C40,""3x3 MBLD""=C40),COUNTIF($C$7:indirect(""C""&amp;row()),indirect(""C"&amp;"""&amp;row()))=9,
COUNTIF($C$7:$C$61,indirect(""C""&amp;row()))&lt;=9),""Final - A3"",
AND(OR(""3x3 FMC""=C40,""3x3 MBLD""=C40),COUNTIF($C$7:indirect(""C""&amp;row()),indirect(""C""&amp;row()))=8,
COUNTIF($C$7:$C$61,indirect(""C""&amp;row()))&gt;9),""R3 - A2"",
AND(OR(""3x3 FMC""="&amp;"C40,""3x3 MBLD""=C40),COUNTIF($C$7:indirect(""C""&amp;row()),indirect(""C""&amp;row()))=8,
COUNTIF($C$7:$C$61,indirect(""C""&amp;row()))&lt;=9),""Final - A2"",
AND(OR(""3x3 FMC""=C40,""3x3 MBLD""=C40),COUNTIF($C$7:indirect(""C""&amp;row()),indirect(""C""&amp;row()))=7,
COUNTIF("&amp;"$C$7:$C$61,indirect(""C""&amp;row()))&gt;9),""R3 - A1"",
AND(OR(""3x3 FMC""=C40,""3x3 MBLD""=C40),COUNTIF($C$7:indirect(""C""&amp;row()),indirect(""C""&amp;row()))=7,
COUNTIF($C$7:$C$61,indirect(""C""&amp;row()))&lt;=9),""Final - A1"",
AND(OR(""3x3 FMC""=C40,""3x3 MBLD""=C40),"&amp;"COUNTIF($C$7:indirect(""C""&amp;row()),indirect(""C""&amp;row()))=6,
COUNTIF($C$7:$C$61,indirect(""C""&amp;row()))&gt;6),""R2 - A3"",
AND(OR(""3x3 FMC""=C40,""3x3 MBLD""=C40),COUNTIF($C$7:indirect(""C""&amp;row()),indirect(""C""&amp;row()))=6,
COUNTIF($C$7:$C$61,indirect(""C""&amp;"&amp;"row()))&lt;=6),""Final - A3"",
AND(OR(""3x3 FMC""=C40,""3x3 MBLD""=C40),COUNTIF($C$7:indirect(""C""&amp;row()),indirect(""C""&amp;row()))=5,
COUNTIF($C$7:$C$61,indirect(""C""&amp;row()))&gt;6),""R2 - A2"",
AND(OR(""3x3 FMC""=C40,""3x3 MBLD""=C40),COUNTIF($C$7:indirect(""C"&amp;"""&amp;row()),indirect(""C""&amp;row()))=5,
COUNTIF($C$7:$C$61,indirect(""C""&amp;row()))&lt;=6),""Final - A2"",
AND(OR(""3x3 FMC""=C40,""3x3 MBLD""=C40),COUNTIF($C$7:indirect(""C""&amp;row()),indirect(""C""&amp;row()))=4,
COUNTIF($C$7:$C$61,indirect(""C""&amp;row()))&gt;6),""R2 - A1"&amp;""",
AND(OR(""3x3 FMC""=C40,""3x3 MBLD""=C40),COUNTIF($C$7:indirect(""C""&amp;row()),indirect(""C""&amp;row()))=4,
COUNTIF($C$7:$C$61,indirect(""C""&amp;row()))&lt;=6),""Final - A1"",
AND(OR(""3x3 FMC""=C40,""3x3 MBLD""=C40),COUNTIF($C$7:indirect(""C""&amp;row()),indirect("""&amp;"C""&amp;row()))=3),""R1 - A3"",
AND(OR(""3x3 FMC""=C40,""3x3 MBLD""=C40),COUNTIF($C$7:indirect(""C""&amp;row()),indirect(""C""&amp;row()))=2),""R1 - A2"",
AND(OR(""3x3 FMC""=C40,""3x3 MBLD""=C40),COUNTIF($C$7:indirect(""C""&amp;row()),indirect(""C""&amp;row()))=1),""R1 -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C40),ROUNDUP((FILTER(Info!$H$2:H81,Info!$A$2:A81=C40)/FILTER(Info!$H$2:H81,Info!$A$2:A81=$K$2))*$I$2)&gt;99),3,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C40),ROUNDUP((FILTER(Info!$H$2:H81,Info!$A$2:A81=C40)/FILTER(Info!$H$2:H81,Info!$A$2:A81=$K$2))*$I$2)&gt;15),2,
AND(COUNTIF($C$7:indirect(""C""&amp;row()),indirect(""C""&amp;row()))=2,COUNTIF($C$7:$C$61,indirect(""C""&amp;row()))=COUNTIF($C$7:indirect("""&amp;"C""&amp;row()),indirect(""C""&amp;row()))),""Final"",
COUNTIF($C$7:indirect(""C""&amp;row()),indirect(""C""&amp;row()))=1,1,
COUNTIF($C$7:indirect(""C""&amp;row()),indirect(""C""&amp;row()))=0,"""")"),"")</f>
        <v/>
      </c>
      <c r="F40" s="44" t="str">
        <f>IFERROR(__xludf.DUMMYFUNCTION("IFS(C40="""","""",
AND(C40=""3x3 FMC"",MOD(COUNTIF($C$7:indirect(""C""&amp;row()),indirect(""C""&amp;row())),3)=0),""Mean of 3"",
AND(C40=""3x3 MBLD"",MOD(COUNTIF($C$7:indirect(""C""&amp;row()),indirect(""C""&amp;row())),3)=0),""Best of 3"",
AND(C40=""3x3 FMC"",MOD(COUNT"&amp;"IF($C$7:indirect(""C""&amp;row()),indirect(""C""&amp;row())),3)=2,
COUNTIF($C$7:$C$61,indirect(""C""&amp;row()))&lt;=COUNTIF($C$7:indirect(""C""&amp;row()),indirect(""C""&amp;row()))),""Best of 2"",
AND(C40=""3x3 FMC"",MOD(COUNTIF($C$7:indirect(""C""&amp;row()),indirect(""C""&amp;row()"&amp;")),3)=2,
COUNTIF($C$7:$C$61,indirect(""C""&amp;row()))&gt;COUNTIF($C$7:indirect(""C""&amp;row()),indirect(""C""&amp;row()))),""Mean of 3"",
AND(C40=""3x3 MBLD"",MOD(COUNTIF($C$7:indirect(""C""&amp;row()),indirect(""C""&amp;row())),3)=2,
COUNTIF($C$7:$C$61,indirect(""C""&amp;row()))"&amp;"&lt;=COUNTIF($C$7:indirect(""C""&amp;row()),indirect(""C""&amp;row()))),""Best of 2"",
AND(C40=""3x3 MBLD"",MOD(COUNTIF($C$7:indirect(""C""&amp;row()),indirect(""C""&amp;row())),3)=2,
COUNTIF($C$7:$C$61,indirect(""C""&amp;row()))&gt;COUNTIF($C$7:indirect(""C""&amp;row()),indirect(""C"&amp;"""&amp;row()))),""Best of 3"",
AND(C40=""3x3 FMC"",MOD(COUNTIF($C$7:indirect(""C""&amp;row()),indirect(""C""&amp;row())),3)=1,
COUNTIF($C$7:$C$61,indirect(""C""&amp;row()))&lt;=COUNTIF($C$7:indirect(""C""&amp;row()),indirect(""C""&amp;row()))),""Best of 1"",
AND(C40=""3x3 FMC"",MOD"&amp;"(COUNTIF($C$7:indirect(""C""&amp;row()),indirect(""C""&amp;row())),3)=1,
COUNTIF($C$7:$C$61,indirect(""C""&amp;row()))=COUNTIF($C$7:indirect(""C""&amp;row()),indirect(""C""&amp;row()))+1),""Best of 2"",
AND(C40=""3x3 FMC"",MOD(COUNTIF($C$7:indirect(""C""&amp;row()),indirect(""C"&amp;"""&amp;row())),3)=1,
COUNTIF($C$7:$C$61,indirect(""C""&amp;row()))&gt;COUNTIF($C$7:indirect(""C""&amp;row()),indirect(""C""&amp;row()))),""Mean of 3"",
AND(C40=""3x3 MBLD"",MOD(COUNTIF($C$7:indirect(""C""&amp;row()),indirect(""C""&amp;row())),3)=1,
COUNTIF($C$7:$C$61,indirect(""C"""&amp;"&amp;row()))&lt;=COUNTIF($C$7:indirect(""C""&amp;row()),indirect(""C""&amp;row()))),""Best of 1"",
AND(C40=""3x3 MBLD"",MOD(COUNTIF($C$7:indirect(""C""&amp;row()),indirect(""C""&amp;row())),3)=1,
COUNTIF($C$7:$C$61,indirect(""C""&amp;row()))=COUNTIF($C$7:indirect(""C""&amp;row()),indir"&amp;"ect(""C""&amp;row()))+1),""Best of 2"",
AND(C40=""3x3 MBLD"",MOD(COUNTIF($C$7:indirect(""C""&amp;row()),indirect(""C""&amp;row())),3)=1,
COUNTIF($C$7:$C$61,indirect(""C""&amp;row()))&gt;COUNTIF($C$7:indirect(""C""&amp;row()),indirect(""C""&amp;row()))),""Best of 3"",
TRUE,(IFERROR("&amp;"FILTER(Info!$D$2:D81, Info!$A$2:A81 = C40), """")))"),"")</f>
        <v/>
      </c>
      <c r="G40" s="45" t="str">
        <f>IFERROR(__xludf.DUMMYFUNCTION("IFS(OR(COUNTIF(Info!$A$22:A81,C40)&gt;0,C40=""""),"""",
OR(""3x3 MBLD""=C40,""3x3 FMC""=C40),60,
AND(E40=1,FILTER(Info!$F$2:F81, Info!$A$2:A81 = C40) = ""No""),FILTER(Info!$P$2:P81, Info!$A$2:A81 = C40),
AND(E40=2,FILTER(Info!$F$2:F81, Info!$A$2:A81 = C40) ="&amp;" ""No""),FILTER(Info!$Q$2:Q81, Info!$A$2:A81 = C40),
AND(E40=3,FILTER(Info!$F$2:F81, Info!$A$2:A81 = C40) = ""No""),FILTER(Info!$R$2:R81, Info!$A$2:A81 = C40),
AND(E40=""Final"",FILTER(Info!$F$2:F81, Info!$A$2:A81 = C40) = ""No""),FILTER(Info!$S$2:S81, In"&amp;"fo!$A$2:A81 = C40),
FILTER(Info!$F$2:F81, Info!$A$2:A81 = C40) = ""Yes"","""")"),"")</f>
        <v/>
      </c>
      <c r="H40" s="45" t="str">
        <f>IFERROR(__xludf.DUMMYFUNCTION("IFS(OR(COUNTIF(Info!$A$22:A81,C40)&gt;0,C40=""""),"""",
OR(""3x3 MBLD""=C40,""3x3 FMC""=C40)=TRUE,"""",
FILTER(Info!$F$2:F81, Info!$A$2:A81 = C40) = ""Yes"",FILTER(Info!$O$2:O81, Info!$A$2:A81 = C40),
FILTER(Info!$F$2:F81, Info!$A$2:A81 = C40) = ""No"",IF(G4"&amp;"0="""",FILTER(Info!$O$2:O81, Info!$A$2:A81 = C40),""""))"),"")</f>
        <v/>
      </c>
      <c r="I40" s="45" t="str">
        <f>IFERROR(__xludf.DUMMYFUNCTION("IFS(OR(COUNTIF(Info!$A$22:A81,C40)&gt;0,C40="""",H40&lt;&gt;""""),"""",
AND(E40&lt;&gt;1,E40&lt;&gt;""R1 - A1"",E40&lt;&gt;""R1 - A2"",E40&lt;&gt;""R1 - A3""),"""",
FILTER(Info!$E$2:E81, Info!$A$2:A81 = C40) = ""Yes"",IF(H40="""",FILTER(Info!$L$2:L81, Info!$A$2:A81 = C40),""""),
FILTER(I"&amp;"nfo!$E$2:E81, Info!$A$2:A81 = C40) = ""No"","""")"),"")</f>
        <v/>
      </c>
      <c r="J40" s="45" t="str">
        <f>IFERROR(__xludf.DUMMYFUNCTION("IFS(OR(COUNTIF(Info!$A$22:A81,C40)&gt;0,C40="""",""3x3 MBLD""=C40,""3x3 FMC""=C40),"""",
AND(E40=1,FILTER(Info!$H$2:H81,Info!$A$2:A81 = C40)&lt;=FILTER(Info!$H$2:H81,Info!$A$2:A81=$K$2)),
ROUNDUP((FILTER(Info!$H$2:H81,Info!$A$2:A81 = C40)/FILTER(Info!$H$2:H81,I"&amp;"nfo!$A$2:A81=$K$2))*$I$2),
AND(E40=1,FILTER(Info!$H$2:H81,Info!$A$2:A81 = C40)&gt;FILTER(Info!$H$2:H81,Info!$A$2:A81=$K$2)),""K2 - Error"",
AND(E40=2,FILTER($J$7:indirect(""J""&amp;row()-1),$C$7:indirect(""C""&amp;row()-1)=C40)&lt;=7),""J - Error"",
E40=2,FLOOR(FILTER("&amp;"$J$7:indirect(""J""&amp;row()-1),$C$7:indirect(""C""&amp;row()-1)=C40)*Info!$T$32),
AND(E40=3,FILTER($J$7:indirect(""J""&amp;row()-1),$C$7:indirect(""C""&amp;row()-1)=C40)&lt;=15),""J - Error"",
E40=3,FLOOR(Info!$T$32*FLOOR(FILTER($J$7:indirect(""J""&amp;row()-1),$C$7:indirect("&amp;"""C""&amp;row()-1)=C40)*Info!$T$32)),
AND(E40=""Final"",COUNTIF($C$7:$C$61,C40)=2,FILTER($J$7:indirect(""J""&amp;row()-1),$C$7:indirect(""C""&amp;row()-1)=C40)&lt;=7),""J - Error"",
AND(E40=""Final"",COUNTIF($C$7:$C$61,C40)=2),
MIN(P40,FLOOR(FILTER($J$7:indirect(""J""&amp;r"&amp;"ow()-1),$C$7:indirect(""C""&amp;row()-1)=C40)*Info!$T$32)),
AND(E40=""Final"",COUNTIF($C$7:$C$61,C40)=3,FILTER($J$7:indirect(""J""&amp;row()-1),$C$7:indirect(""C""&amp;row()-1)=C40)&lt;=15),""J - Error"",
AND(E40=""Final"",COUNTIF($C$7:$C$61,C40)=3),
MIN(P40,FLOOR(Info!"&amp;"$T$32*FLOOR(FILTER($J$7:indirect(""J""&amp;row()-1),$C$7:indirect(""C""&amp;row()-1)=C40)*Info!$T$32))),
AND(E40=""Final"",COUNTIF($C$7:$C$61,C40)&gt;=4,FILTER($J$7:indirect(""J""&amp;row()-1),$C$7:indirect(""C""&amp;row()-1)=C40)&lt;=99),""J - Error"",
AND(E40=""Final"",COUNT"&amp;"IF($C$7:$C$61,C40)&gt;=4),
MIN(P40,FLOOR(Info!$T$32*FLOOR(Info!$T$32*FLOOR(FILTER($J$7:indirect(""J""&amp;row()-1),$C$7:indirect(""C""&amp;row()-1)=C40)*Info!$T$32)))))"),"")</f>
        <v/>
      </c>
      <c r="K40" s="46" t="str">
        <f>IFERROR(__xludf.DUMMYFUNCTION("IFS(AND(indirect(""D""&amp;row()+2)&lt;&gt;$E$2,indirect(""D""&amp;row()+1)=""""),CONCATENATE(""Tom rad! Kopiera hela rad ""&amp;row()&amp;"" dit""),
AND(indirect(""D""&amp;row()-1)&lt;&gt;""Rum"",indirect(""D""&amp;row()-1)=""""),CONCATENATE(""Tom rad! Kopiera hela rad ""&amp;row()&amp;"" dit""),
"&amp;"C40="""","""",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OR(AND(D40&lt;&gt;$E$2,D40&lt;&gt;$E$4,D40&lt;&gt;$K$4,D40&lt;&gt;$Q$4),D40="&amp;"""""),CONCATENATE(""Rum: ""&amp;D40&amp;"" finns ej, byt i D""&amp;row()),
AND(indirect(""D""&amp;row()-1)=""Rum"",C40=""""),CONCATENATE(""För att börja: skriv i cell C""&amp;row()),
AND(C40=""Paus"",M40&lt;=0),CONCATENATE(""Skriv pausens längd i M""&amp;row()),
OR(COUNTIF(Info!$A$"&amp;"22:A81,C40)&gt;0,C40=""""),"""",
AND(D40&lt;&gt;$E$2,$O$2=""Yes"",A40=""=time(hh;mm;ss)""),CONCATENATE(""Skriv starttid för ""&amp;C40&amp;"" i A""&amp;row()),
E40=""E - Error"",CONCATENATE(""För många ""&amp;C40&amp;"" rundor!""),
AND(C40&lt;&gt;""3x3 FMC"",C40&lt;&gt;""3x3 MBLD"",E40&lt;&gt;1,E40&lt;&gt;"&amp;"""Final"",IFERROR(FILTER($E$7:indirect(""E""&amp;row()-1),
$E$7:indirect(""E""&amp;row()-1)=E40-1,$C$7:indirect(""C""&amp;row()-1)=C40))=FALSE),CONCATENATE(""Kan ej vara R""&amp;E40&amp;"", saknar R""&amp;(E40-1)),
AND(indirect(""E""&amp;row()-1)&lt;&gt;""Omgång"",IFERROR(FILTER($E$7:indi"&amp;"rect(""E""&amp;row()-1),
$E$7:indirect(""E""&amp;row()-1)=E40,$C$7:indirect(""C""&amp;row()-1)=C40)=E40)=TRUE),CONCATENATE(""Runda ""&amp;E40&amp;"" i ""&amp;C40&amp;"" finns redan""),
AND(C40&lt;&gt;""3x3 BLD"",C40&lt;&gt;""4x4 BLD"",C40&lt;&gt;""5x5 BLD"",C40&lt;&gt;""4x4 / 5x5 BLD"",OR(E40=2,E40=3,E40="&amp;"""Final""),H40&lt;&gt;""""),CONCATENATE(E40&amp;""-rundor brukar ej ha c.t.l.""),
AND(OR(E40=2,E40=3,E40=""Final""),I40&lt;&gt;""""),CONCATENATE(E40&amp;""-rundor brukar ej ha cutoff""),
AND(OR(C40=""3x3 FMC"",C40=""3x3 MBLD""),OR(E40=1,E40=2,E40=3,E40=""Final"")),CONCATENAT"&amp;"E(C40&amp;""s omgång är Rx - Ax""),
AND(C40&lt;&gt;""3x3 MBLD"",C40&lt;&gt;""3x3 FMC"",FILTER(Info!$D$2:D81, Info!$A$2:A81 = C40)&lt;&gt;F40),CONCATENATE(C40&amp;"" måste ha formatet ""&amp;FILTER(Info!$D$2:D81, Info!$A$2:A81 = C40)),
AND(C40=""3x3 MBLD"",OR(F40=""Avg of 5"",F40=""Mea"&amp;"n of 3"")),CONCATENATE(""Ogiltigt format för ""&amp;C40),
AND(C40=""3x3 FMC"",OR(F40=""Avg of 5"",F40=""Best of 3"")),CONCATENATE(""Ogiltigt format för ""&amp;C40),
AND(OR(F40=""Best of 1"",F40=""Best of 2"",F40=""Best of 3""),I40&lt;&gt;""""),CONCATENATE(F40&amp;""-rundor"&amp;" får ej ha cutoff""),
AND(OR(C40=""3x3 FMC"",C40=""3x3 MBLD""),G40&lt;&gt;60),CONCATENATE(C40&amp;"" måste ha time limit: 60""),
AND(OR(C40=""3x3 FMC"",C40=""3x3 MBLD""),H40&lt;&gt;""""),CONCATENATE(C40&amp;"" kan inte ha c.t.l.""),
AND(G40&lt;&gt;"""",H40&lt;&gt;""""),""Välj time limit"&amp;" ELLER c.t.l"",
AND(C40=""6x6 / 7x7"",G40="""",H40=""""),""Sätt time limit (x / y) eller c.t.l (z)"",
AND(G40="""",H40=""""),""Sätt en time limit eller c.t.l"",
AND(OR(C40=""6x6 / 7x7"",C40=""4x4 / 5x5 BLD""),G40&lt;&gt;"""",REGEXMATCH(TO_TEXT(G40),"" / "")=FAL"&amp;"SE),CONCATENATE(""Time limit måste vara x / y""),
AND(H40&lt;&gt;"""",I40&lt;&gt;""""),CONCATENATE(C40&amp;"" brukar ej ha cutoff OCH c.t.l""),
AND(E40=1,H40="""",I40="""",OR(FILTER(Info!$E$2:E81, Info!$A$2:A81 = C40) = ""Yes"",FILTER(Info!$F$2:F81, Info!$A$2:A81 = C40) "&amp;"= ""Yes""),OR(F40=""Avg of 5"",F40=""Mean of 3"")),CONCATENATE(C40&amp;"" bör ha cutoff eller c.t.l""),
AND(C40=""6x6 / 7x7"",I40&lt;&gt;"""",REGEXMATCH(TO_TEXT(I40),"" / "")=FALSE),CONCATENATE(""Cutoff måste vara x / y""),
AND(H40&lt;&gt;"""",ISNUMBER(H40)=FALSE),""C.t."&amp;"l. måste vara positivt tal (x)"",
AND(C40&lt;&gt;""6x6 / 7x7"",I40&lt;&gt;"""",ISNUMBER(I40)=FALSE),""Cutoff måste vara positivt tal (x)"",
AND(H40&lt;&gt;"""",FILTER(Info!$E$2:E81, Info!$A$2:A81 = C40) = ""No"",FILTER(Info!$F$2:F81, Info!$A$2:A81 = C40) = ""No""),CONCATEN"&amp;"ATE(C40&amp;"" brukar inte ha c.t.l.""),
AND(I40&lt;&gt;"""",FILTER(Info!$E$2:E81, Info!$A$2:A81 = C40) = ""No"",FILTER(Info!$F$2:F81, Info!$A$2:A81 = C40) = ""No""),CONCATENATE(C40&amp;"" brukar inte ha cutoff""),
AND(H40="""",FILTER(Info!$F$2:F81, Info!$A$2:A81 = C40"&amp;") = ""Yes""),CONCATENATE(C40&amp;"" brukar ha c.t.l.""),
AND(C40&lt;&gt;""6x6 / 7x7"",C40&lt;&gt;""4x4 / 5x5 BLD"",G40&lt;&gt;"""",ISNUMBER(G40)=FALSE),""Time limit måste vara positivt tal (x)"",
J40=""J - Error"",CONCATENATE(""För få deltagare i R1 för ""&amp;COUNTIF($C$7:$C$61,i"&amp;"ndirect(""C""&amp;row()))&amp;"" rundor""),
J40=""K2 - Error"",CONCATENATE(C40&amp;"" är mer populär - byt i K2!""),
AND(C40&lt;&gt;""6x6 / 7x7"",C40&lt;&gt;""4x4 / 5x5 BLD"",G40&lt;&gt;"""",I40&lt;&gt;"""",G40&lt;=I40),""Time limit måste vara &gt; cutoff"",
AND(C40&lt;&gt;""6x6 / 7x7"",C40&lt;&gt;""4x4 / 5x"&amp;"5 BLD"",H40&lt;&gt;"""",I40&lt;&gt;"""",H40&lt;=I40),""C.t.l. måste vara &gt; cutoff"",
AND(C40&lt;&gt;""3x3 FMC"",C40&lt;&gt;""3x3 MBLD"",J40=""""),CONCATENATE(""Fyll i antal deltagare i J""&amp;row()),
AND(C40="""",OR(E40&lt;&gt;"""",F40&lt;&gt;"""",G40&lt;&gt;"""",H40&lt;&gt;"""",I40&lt;&gt;"""",J40&lt;&gt;"""")),""Skriv"&amp;" ALLTID gren / aktivitet först"",
AND(I40="""",H40="""",J40&lt;&gt;""""),J40,
OR(""3x3 FMC""=C40,""3x3 MBLD""=C40),J40,
AND(I40&lt;&gt;"""",""6x6 / 7x7""=C40),
IFS(ArrayFormula(SUM(IFERROR(SPLIT(I40,"" / ""))))&lt;(Info!$J$6+Info!$J$7)*2/3,CONCATENATE(""Höj helst cutoff"&amp;"s i ""&amp;C40),
ArrayFormula(SUM(IFERROR(SPLIT(I40,"" / ""))))&lt;=(Info!$J$6+Info!$J$7),ROUNDUP(J40*Info!$J$22),
ArrayFormula(SUM(IFERROR(SPLIT(I40,"" / ""))))&lt;=Info!$J$6+Info!$J$7,ROUNDUP(J40*Info!$K$22),
ArrayFormula(SUM(IFERROR(SPLIT(I40,"" / ""))))&lt;=Info!$"&amp;"K$6+Info!$K$7,ROUNDUP(J40*Info!L$22),
ArrayFormula(SUM(IFERROR(SPLIT(I40,"" / ""))))&lt;=Info!$L$6+Info!$L$7,ROUNDUP(J40*Info!$M$22),
ArrayFormula(SUM(IFERROR(SPLIT(I40,"" / ""))))&lt;=Info!$M$6+Info!$M$7,ROUNDUP(J40*Info!$N$22),
ArrayFormula(SUM(IFERROR(SPLIT("&amp;"I40,"" / ""))))&lt;=(Info!$N$6+Info!$N$7)*3/2,ROUNDUP(J40*Info!$J$26),
ArrayFormula(SUM(IFERROR(SPLIT(I40,"" / ""))))&gt;(Info!$N$6+Info!$N$7)*3/2,CONCATENATE(""Sänk helst cutoffs i ""&amp;C40)),
AND(I40&lt;&gt;"""",FILTER(Info!$E$2:E81, Info!$A$2:A81 = C40) = ""Yes""),
"&amp;"IFS(I40&lt;FILTER(Info!$J$2:J81, Info!$A$2:A81 = C40)*2/3,CONCATENATE(""Höj helst cutoff i ""&amp;C40),
I40&lt;=FILTER(Info!$J$2:J81, Info!$A$2:A81 = C40),ROUNDUP(J40*Info!$J$22),
I40&lt;=FILTER(Info!$K$2:K81, Info!$A$2:A81 = C40),ROUNDUP(J40*Info!$K$22),
I40&lt;=FILTER("&amp;"Info!$L$2:L81, Info!$A$2:A81 = C40),ROUNDUP(J40*Info!L$22),
I40&lt;=FILTER(Info!$M$2:M81, Info!$A$2:A81 = C40),ROUNDUP(J40*Info!$M$22),
I40&lt;=FILTER(Info!$N$2:N81, Info!$A$2:A81 = C40),ROUNDUP(J40*Info!$N$22),
I40&lt;=FILTER(Info!$N$2:N81, Info!$A$2:A81 = C40)*3"&amp;"/2,ROUNDUP(J40*Info!$J$26),
I40&gt;FILTER(Info!$N$2:N81, Info!$A$2:A81 = C40)*3/2,CONCATENATE(""Sänk helst cutoff i ""&amp;C40)),
AND(H40&lt;&gt;"""",""6x6 / 7x7""=C40),
IFS(H40/3&lt;=(Info!$J$6+Info!$J$7)*2/3,""Höj helst cumulative time limit"",
H40/3&lt;=Info!$J$6+Info!$J"&amp;"$7,ROUNDUP(J40*Info!$J$24),
H40/3&lt;=Info!$K$6+Info!$K$7,ROUNDUP(J40*Info!$K$24),
H40/3&lt;=Info!$L$6+Info!$L$7,ROUNDUP(J40*Info!L$24),
H40/3&lt;=Info!$M$6+Info!$M$7,ROUNDUP(J40*Info!$M$24),
H40/3&lt;=Info!$N$6+Info!$N$7,ROUNDUP(J40*Info!$N$24),
H40/3&lt;=(Info!$N$6+In"&amp;"fo!$N$7)*3/2,ROUNDUP(J40*Info!$L$26),
H40/3&gt;(Info!$J$6+Info!$J$7)*3/2,""Sänk helst cumulative time limit""),
AND(H40&lt;&gt;"""",FILTER(Info!$F$2:F81, Info!$A$2:A81 = C40) = ""Yes""),
IFS(H40&lt;=FILTER(Info!$J$2:J81, Info!$A$2:A81 = C40)*2/3,CONCATENATE(""Höj hel"&amp;"st c.t.l. i ""&amp;C40),
H40&lt;=FILTER(Info!$J$2:J81, Info!$A$2:A81 = C40),ROUNDUP(J40*Info!$J$24),
H40&lt;=FILTER(Info!$K$2:K81, Info!$A$2:A81 = C40),ROUNDUP(J40*Info!$K$24),
H40&lt;=FILTER(Info!$L$2:L81, Info!$A$2:A81 = C40),ROUNDUP(J40*Info!L$24),
H40&lt;=FILTER(Info"&amp;"!$M$2:M81, Info!$A$2:A81 = C40),ROUNDUP(J40*Info!$M$24),
H40&lt;=FILTER(Info!$N$2:N81, Info!$A$2:A81 = C40),ROUNDUP(J40*Info!$N$24),
H40&lt;=FILTER(Info!$N$2:N81, Info!$A$2:A81 = C40)*3/2,ROUNDUP(J40*Info!$L$26),
H40&gt;FILTER(Info!$N$2:N81, Info!$A$2:A81 = C40)*3"&amp;"/2,CONCATENATE(""Sänk helst c.t.l. i ""&amp;C40)),
AND(H40&lt;&gt;"""",FILTER(Info!$F$2:F81, Info!$A$2:A81 = C40) = ""No""),
IFS(H40/AA40&lt;=FILTER(Info!$J$2:J81, Info!$A$2:A81 = C40)*2/3,CONCATENATE(""Höj helst c.t.l. i ""&amp;C40),
H40/AA40&lt;=FILTER(Info!$J$2:J81, Info!"&amp;"$A$2:A81 = C40),ROUNDUP(J40*Info!$J$24),
H40/AA40&lt;=FILTER(Info!$K$2:K81, Info!$A$2:A81 = C40),ROUNDUP(J40*Info!$K$24),
H40/AA40&lt;=FILTER(Info!$L$2:L81, Info!$A$2:A81 = C40),ROUNDUP(J40*Info!L$24),
H40/AA40&lt;=FILTER(Info!$M$2:M81, Info!$A$2:A81 = C40),ROUNDU"&amp;"P(J40*Info!$M$24),
H40/AA40&lt;=FILTER(Info!$N$2:N81, Info!$A$2:A81 = C40),ROUNDUP(J40*Info!$N$24),
H40/AA40&lt;=FILTER(Info!$N$2:N81, Info!$A$2:A81 = C40)*3/2,ROUNDUP(J40*Info!$L$26),
H40/AA40&gt;FILTER(Info!$N$2:N81, Info!$A$2:A81 = C40)*3/2,CONCATENATE(""Sänk h"&amp;"elst c.t.l. i ""&amp;C40)),
AND(I40="""",H40&lt;&gt;"""",J40&lt;&gt;""""),ROUNDUP(J40*Info!$T$29),
AND(I40&lt;&gt;"""",H40="""",J40&lt;&gt;""""),ROUNDUP(J40*Info!$T$26))"),"")</f>
        <v/>
      </c>
      <c r="L40" s="47">
        <f>IFERROR(__xludf.DUMMYFUNCTION("IFS(C40="""",0,
C40=""3x3 FMC"",Info!$B$9*N40+M40, C40=""3x3 MBLD"",Info!$B$18*N40+M40,
COUNTIF(Info!$A$22:A81,C40)&gt;0,FILTER(Info!$B$22:B81,Info!$A$22:A81=C40)+M40,
AND(C40&lt;&gt;"""",E40=""""),CONCATENATE(""Fyll i E""&amp;row()),
AND(C40&lt;&gt;"""",E40&lt;&gt;"""",E40&lt;&gt;1,E4"&amp;"0&lt;&gt;2,E40&lt;&gt;3,E40&lt;&gt;""Final""),CONCATENATE(""Fel format på E""&amp;row()),
K40=CONCATENATE(""Runda ""&amp;E40&amp;"" i ""&amp;C40&amp;"" finns redan""),CONCATENATE(""Fel i E""&amp;row()),
AND(C40&lt;&gt;"""",F40=""""),CONCATENATE(""Fyll i F""&amp;row()),
K40=CONCATENATE(C40&amp;"" måste ha forma"&amp;"tet ""&amp;FILTER(Info!$D$2:D81, Info!$A$2:A81 = C40)),CONCATENATE(""Fel format på F""&amp;row()),
AND(C40&lt;&gt;"""",D40=1,H40="""",FILTER(Info!$F$2:F81, Info!$A$2:A81 = C40) = ""Yes""),CONCATENATE(""Fyll i H""&amp;row()),
AND(C40&lt;&gt;"""",D40=1,I40="""",FILTER(Info!$E$2:E8"&amp;"1, Info!$A$2:A81 = C40) = ""Yes""),CONCATENATE(""Fyll i I""&amp;row()),
AND(C40&lt;&gt;"""",J40=""""),CONCATENATE(""Fyll i J""&amp;row()),
AND(C40&lt;&gt;"""",K40="""",OR(H40&lt;&gt;"""",I40&lt;&gt;"""")),CONCATENATE(""Fyll i K""&amp;row()),
AND(C40&lt;&gt;"""",K40=""""),CONCATENATE(""Skriv samma"&amp;" i K""&amp;row()&amp;"" som i J""&amp;row()),
AND(OR(C40=""4x4 BLD"",C40=""5x5 BLD"",C40=""4x4 / 5x5 BLD"")=TRUE,V40&lt;=P40),
MROUND(H40*(Info!$T$20-((Info!$T$20-1)/2)*(1-V40/P40))*(1+((J40/K40)-1)*(1-Info!$J$24))*N40+(Info!$T$11/2)+(N40*Info!$T$11)+(N40*Info!$T$14*(O4"&amp;"0-1)),0.01)+M40,
AND(OR(C40=""4x4 BLD"",C40=""5x5 BLD"",C40=""4x4 / 5x5 BLD"")=TRUE,V40&gt;P40),
MROUND((((J40*Z40+K40*(AA40-Z40))*(H40*Info!$T$20/AA40))/X40)*(1+((J40/K40)-1)*(1-Info!$J$24))*(1+(X40-Info!$T$8)/100)+(Info!$T$11/2)+(N40*Info!$T$11)+(N40*Info!"&amp;"$T$14*(O40-1)),0.01)+M40,
AND(C40=""3x3 BLD"",V40&lt;=P40),
MROUND(H40*(Info!$T$23-((Info!$T$23-1)/2)*(1-V40/P40))*(1+((J40/K40)-1)*(1-Info!$J$24))*N40+(Info!$T$11/2)+(N40*Info!$T$11)+(N40*Info!$T$14*(O40-1)),0.01)+M40,
AND(C40=""3x3 BLD"",V40&gt;P40),
MROUND(("&amp;"((J40*Z40+K40*(AA40-Z40))*(H40*Info!$T$23/AA40))/X40)*(1+((J40/K40)-1)*(1-Info!$J$24))*(1+(X40-Info!$T$8)/100)+(Info!$T$11/2)+(N40*Info!$T$11)+(N40*Info!$T$14*(O40-1)),0.01)+M40,
E40=1,MROUND((((J40*Z40+K40*(AA40-Z40))*Y40)/X40)*(1+(X40-Info!$T$8)/100)+(N"&amp;"40*Info!$T$11)+(N40*Info!$T$14*(O40-1)),0.01)+M40,
AND(E40=""Final"",N40=1,FILTER(Info!$G$2:$G$20,Info!$A$2:$A$20=C40)=""Mycket svår""),
MROUND((((J40*Z40+K40*(AA40-Z40))*(Y40*Info!$T$38))/X40)*(1+(X40-Info!$T$8)/100)+(N40*Info!$T$11)+(N40*Info!$T$14*(O40"&amp;"-1)),0.01)+M40,
AND(E40=""Final"",N40=1,FILTER(Info!$G$2:$G$20,Info!$A$2:$A$20=C40)=""Svår""),
MROUND((((J40*Z40+K40*(AA40-Z40))*(Y40*Info!$T$35))/X40)*(1+(X40-Info!$T$8)/100)+(N40*Info!$T$11)+(N40*Info!$T$14*(O40-1)),0.01)+M40,
E40=""Final"",MROUND((((J4"&amp;"0*Z40+K40*(AA40-Z40))*(Y40*Info!$T$5))/X40)*(1+(X40-Info!$T$8)/100)+(N40*Info!$T$11)+(N40*Info!$T$14*(O40-1)),0.01)+M40,
OR(E40=2,E40=3),MROUND((((J40*Z40+K40*(AA40-Z40))*(Y40*Info!$T$2))/X40)*(1+(X40-Info!$T$8)/100)+(N40*Info!$T$11)+(N40*Info!$T$14*(O40-"&amp;"1)),0.01)+M40)"),0.0)</f>
        <v>0</v>
      </c>
      <c r="M40" s="48">
        <f t="shared" si="4"/>
        <v>0</v>
      </c>
      <c r="N40" s="48" t="str">
        <f>IFS(OR(COUNTIF(Info!$A$22:A81,C40)&gt;0,C40=""),"",
OR(C40="4x4 BLD",C40="5x5 BLD",C40="3x3 MBLD",C40="3x3 FMC",C40="4x4 / 5x5 BLD"),1,
AND(E40="Final",Q40="Yes",MAX(1,ROUNDUP(J40/P40))&gt;1),MAX(2,ROUNDUP(J40/P40)),
AND(E40="Final",Q40="No",MAX(1,ROUNDUP(J40/((P40*2)+2.625-Y40*1.5)))&gt;1),MAX(2,ROUNDUP(J40/((P40*2)+2.625-Y40*1.5))),
E40="Final",1,
Q40="Yes",MAX(2,ROUNDUP(J40/P40)),
TRUE,MAX(2,ROUNDUP(J40/((P40*2)+2.625-Y40*1.5))))</f>
        <v/>
      </c>
      <c r="O40" s="48" t="str">
        <f>IFS(OR(COUNTIF(Info!$A$22:A81,C40)&gt;0,C40=""),"",
OR("3x3 MBLD"=C40,"3x3 FMC"=C40)=TRUE,"",
D40=$E$4,$G$6,D40=$K$4,$M$6,D40=$Q$4,$S$6,D40=$W$4,$Y$6,
TRUE,$S$2)</f>
        <v/>
      </c>
      <c r="P40" s="48" t="str">
        <f>IFS(OR(COUNTIF(Info!$A$22:A81,C40)&gt;0,C40=""),"",
OR("3x3 MBLD"=C40,"3x3 FMC"=C40)=TRUE,"",
D40=$E$4,$E$6,D40=$K$4,$K$6,D40=$Q$4,$Q$6,D40=$W$4,$W$6,
TRUE,$Q$2)</f>
        <v/>
      </c>
      <c r="Q40" s="49" t="str">
        <f>IFS(OR(COUNTIF(Info!$A$22:A81,C40)&gt;0,C40=""),"",
OR("3x3 MBLD"=C40,"3x3 FMC"=C40)=TRUE,"",
D40=$E$4,$I$6,D40=$K$4,$O$6,D40=$Q$4,$U$6,D40=$W$4,$AA$6,
TRUE,$U$2)</f>
        <v/>
      </c>
      <c r="R40" s="50" t="str">
        <f>IFERROR(__xludf.DUMMYFUNCTION("IF(C40="""","""",IFERROR(FILTER(Info!$B$22:B81,Info!$A$22:A81=C40)+M40,""?""))"),"")</f>
        <v/>
      </c>
      <c r="S40" s="51" t="str">
        <f>IFS(OR(COUNTIF(Info!$A$22:A81,C40)&gt;0,C40=""),"",
AND(H40="",I40=""),J40,
TRUE,"?")</f>
        <v/>
      </c>
      <c r="T40" s="52" t="str">
        <f>IFS(OR(COUNTIF(Info!$A$22:A81,C40)&gt;0,C40=""),"",
AND(L40&lt;&gt;0,OR(R40="?",R40="")),"Fyll i R-kolumnen",
OR(C40="3x3 FMC",C40="3x3 MBLD"),R40,
AND(L40&lt;&gt;0,OR(S40="?",S40="")),"Fyll i S-kolumnen",
OR(COUNTIF(Info!$A$22:A81,C40)&gt;0,C40=""),"",
TRUE,Y40*R40/L40)</f>
        <v/>
      </c>
      <c r="U40" s="52"/>
      <c r="V40" s="53" t="str">
        <f>IFS(OR(COUNTIF(Info!$A$22:A81,C40)&gt;0,C40=""),"",
OR("3x3 MBLD"=C40,"3x3 FMC"=C40)=TRUE,"",
TRUE,MROUND((J40/N40),0.01))</f>
        <v/>
      </c>
      <c r="W40" s="54" t="str">
        <f>IFS(OR(COUNTIF(Info!$A$22:A81,C40)&gt;0,C40=""),"",
TRUE,L40/N40)</f>
        <v/>
      </c>
      <c r="X40" s="55" t="str">
        <f>IFS(OR(COUNTIF(Info!$A$22:A81,C40)&gt;0,C40=""),"",
OR("3x3 MBLD"=C40,"3x3 FMC"=C40)=TRUE,"",
OR(C40="4x4 BLD",C40="5x5 BLD",C40="4x4 / 5x5 BLD",AND(C40="3x3 BLD",H40&lt;&gt;""))=TRUE,MIN(V40,P40),
TRUE,MIN(P40,V40,MROUND(((V40*2/3)+((Y40-1.625)/2)),0.01)))</f>
        <v/>
      </c>
      <c r="Y40" s="56" t="str">
        <f>IFERROR(__xludf.DUMMYFUNCTION("IFS(OR(COUNTIF(Info!$A$22:A81,C40)&gt;0,C40=""""),"""",
FILTER(Info!$F$2:F81, Info!$A$2:A81 = C40) = ""Yes"",H40/AA40,
""3x3 FMC""=C40,Info!$B$9,""3x3 MBLD""=C40,Info!$B$18,
AND(E40=1,I40="""",H40="""",Q40=""No"",G40&gt;SUMIF(Info!$A$2:A81,C40,Info!$B$2:B81)*1."&amp;"5),
MIN(SUMIF(Info!$A$2:A81,C40,Info!$B$2:B81)*1.1,SUMIF(Info!$A$2:A81,C40,Info!$B$2:B81)*(1.15-(0.15*(SUMIF(Info!$A$2:A81,C40,Info!$B$2:B81)*1.5)/G40))),
AND(E40=1,I40="""",H40="""",Q40=""Yes"",G40&gt;SUMIF(Info!$A$2:A81,C40,Info!$C$2:C81)*1.5),
MIN(SUMIF(I"&amp;"nfo!$A$2:A81,C40,Info!$C$2:C81)*1.1,SUMIF(Info!$A$2:A81,C40,Info!$C$2:C81)*(1.15-(0.15*(SUMIF(Info!$A$2:A81,C40,Info!$C$2:C81)*1.5)/G40))),
Q40=""No"",SUMIF(Info!$A$2:A81,C40,Info!$B$2:B81),
Q40=""Yes"",SUMIF(Info!$A$2:A81,C40,Info!$C$2:C81))"),"")</f>
        <v/>
      </c>
      <c r="Z40" s="57" t="str">
        <f>IFS(OR(COUNTIF(Info!$A$22:A81,C40)&gt;0,C40=""),"",
AND(OR("3x3 FMC"=C40,"3x3 MBLD"=C40),I40&lt;&gt;""),1,
AND(OR(H40&lt;&gt;"",I40&lt;&gt;""),F40="Avg of 5"),2,
F40="Avg of 5",AA40,
AND(OR(H40&lt;&gt;"",I40&lt;&gt;""),F40="Mean of 3",C40="6x6 / 7x7"),2,
AND(OR(H40&lt;&gt;"",I40&lt;&gt;""),F40="Mean of 3"),1,
F40="Mean of 3",AA40,
AND(OR(H40&lt;&gt;"",I40&lt;&gt;""),F40="Best of 3",C40="4x4 / 5x5 BLD"),2,
AND(OR(H40&lt;&gt;"",I40&lt;&gt;""),F40="Best of 3"),1,
F40="Best of 2",AA40,
F40="Best of 1",AA40)</f>
        <v/>
      </c>
      <c r="AA40" s="57" t="str">
        <f>IFS(OR(COUNTIF(Info!$A$22:A81,C40)&gt;0,C40=""),"",
AND(OR("3x3 MBLD"=C40,"3x3 FMC"=C40),F40="Best of 1"=TRUE),1,
AND(OR("3x3 MBLD"=C40,"3x3 FMC"=C40),F40="Best of 2"=TRUE),2,
AND(OR("3x3 MBLD"=C40,"3x3 FMC"=C40),OR(F40="Best of 3",F40="Mean of 3")=TRUE),3,
AND(F40="Mean of 3",C40="6x6 / 7x7"),6,
AND(F40="Best of 3",C40="4x4 / 5x5 BLD"),6,
F40="Avg of 5",5,F40="Mean of 3",3,F40="Best of 3",3,F40="Best of 2",2,F40="Best of 1",1)</f>
        <v/>
      </c>
      <c r="AB40" s="58"/>
    </row>
    <row r="41">
      <c r="A41" s="40">
        <f>IFERROR(__xludf.DUMMYFUNCTION("IFS(indirect(""A""&amp;row()-1)=""Start"",TIME(indirect(""A""&amp;row()-2),indirect(""B""&amp;row()-2),0),
$O$2=""No"",TIME(0,($A$6*60+$B$6)+CEILING(SUM($L$7:indirect(""L""&amp;row()-1)),5),0),
D41=$E$2,TIME(0,($A$6*60+$B$6)+CEILING(SUM(IFERROR(FILTER($L$7:indirect(""L"""&amp;"&amp;row()-1),REGEXMATCH($D$7:indirect(""D""&amp;row()-1),$E$2)),0)),5),0),
TRUE,""=time(hh;mm;ss)"")"),0.375)</f>
        <v>0.375</v>
      </c>
      <c r="B41" s="41">
        <f>IFERROR(__xludf.DUMMYFUNCTION("IFS($O$2=""No"",TIME(0,($A$6*60+$B$6)+CEILING(SUM($L$7:indirect(""L""&amp;row())),5),0),
D41=$E$2,TIME(0,($A$6*60+$B$6)+CEILING(SUM(FILTER($L$7:indirect(""L""&amp;row()),REGEXMATCH($D$7:indirect(""D""&amp;row()),$E$2))),5),0),
A41=""=time(hh;mm;ss)"",CONCATENATE(""Sk"&amp;"riv tid i A""&amp;row()),
AND(A41&lt;&gt;"""",A41&lt;&gt;""=time(hh;mm;ss)""),A41+TIME(0,CEILING(indirect(""L""&amp;row()),5),0))"),0.375)</f>
        <v>0.375</v>
      </c>
      <c r="C41" s="42"/>
      <c r="D41" s="43" t="str">
        <f t="shared" si="3"/>
        <v>Stora salen</v>
      </c>
      <c r="E41" s="43" t="str">
        <f>IFERROR(__xludf.DUMMYFUNCTION("IFS(COUNTIF(Info!$A$22:A81,C41)&gt;0,"""",
AND(OR(""3x3 FMC""=C41,""3x3 MBLD""=C41),COUNTIF($C$7:indirect(""C""&amp;row()),indirect(""C""&amp;row()))&gt;=13),""E - Error"",
AND(OR(""3x3 FMC""=C41,""3x3 MBLD""=C41),COUNTIF($C$7:indirect(""C""&amp;row()),indirect(""C""&amp;row()"&amp;"))=12),""Final - A3"",
AND(OR(""3x3 FMC""=C41,""3x3 MBLD""=C41),COUNTIF($C$7:indirect(""C""&amp;row()),indirect(""C""&amp;row()))=11),""Final - A2"",
AND(OR(""3x3 FMC""=C41,""3x3 MBLD""=C41),COUNTIF($C$7:indirect(""C""&amp;row()),indirect(""C""&amp;row()))=10),""Final - "&amp;"A1"",
AND(OR(""3x3 FMC""=C41,""3x3 MBLD""=C41),COUNTIF($C$7:indirect(""C""&amp;row()),indirect(""C""&amp;row()))=9,
COUNTIF($C$7:$C$61,indirect(""C""&amp;row()))&gt;9),""R3 - A3"",
AND(OR(""3x3 FMC""=C41,""3x3 MBLD""=C41),COUNTIF($C$7:indirect(""C""&amp;row()),indirect(""C"&amp;"""&amp;row()))=9,
COUNTIF($C$7:$C$61,indirect(""C""&amp;row()))&lt;=9),""Final - A3"",
AND(OR(""3x3 FMC""=C41,""3x3 MBLD""=C41),COUNTIF($C$7:indirect(""C""&amp;row()),indirect(""C""&amp;row()))=8,
COUNTIF($C$7:$C$61,indirect(""C""&amp;row()))&gt;9),""R3 - A2"",
AND(OR(""3x3 FMC""="&amp;"C41,""3x3 MBLD""=C41),COUNTIF($C$7:indirect(""C""&amp;row()),indirect(""C""&amp;row()))=8,
COUNTIF($C$7:$C$61,indirect(""C""&amp;row()))&lt;=9),""Final - A2"",
AND(OR(""3x3 FMC""=C41,""3x3 MBLD""=C41),COUNTIF($C$7:indirect(""C""&amp;row()),indirect(""C""&amp;row()))=7,
COUNTIF("&amp;"$C$7:$C$61,indirect(""C""&amp;row()))&gt;9),""R3 - A1"",
AND(OR(""3x3 FMC""=C41,""3x3 MBLD""=C41),COUNTIF($C$7:indirect(""C""&amp;row()),indirect(""C""&amp;row()))=7,
COUNTIF($C$7:$C$61,indirect(""C""&amp;row()))&lt;=9),""Final - A1"",
AND(OR(""3x3 FMC""=C41,""3x3 MBLD""=C41),"&amp;"COUNTIF($C$7:indirect(""C""&amp;row()),indirect(""C""&amp;row()))=6,
COUNTIF($C$7:$C$61,indirect(""C""&amp;row()))&gt;6),""R2 - A3"",
AND(OR(""3x3 FMC""=C41,""3x3 MBLD""=C41),COUNTIF($C$7:indirect(""C""&amp;row()),indirect(""C""&amp;row()))=6,
COUNTIF($C$7:$C$61,indirect(""C""&amp;"&amp;"row()))&lt;=6),""Final - A3"",
AND(OR(""3x3 FMC""=C41,""3x3 MBLD""=C41),COUNTIF($C$7:indirect(""C""&amp;row()),indirect(""C""&amp;row()))=5,
COUNTIF($C$7:$C$61,indirect(""C""&amp;row()))&gt;6),""R2 - A2"",
AND(OR(""3x3 FMC""=C41,""3x3 MBLD""=C41),COUNTIF($C$7:indirect(""C"&amp;"""&amp;row()),indirect(""C""&amp;row()))=5,
COUNTIF($C$7:$C$61,indirect(""C""&amp;row()))&lt;=6),""Final - A2"",
AND(OR(""3x3 FMC""=C41,""3x3 MBLD""=C41),COUNTIF($C$7:indirect(""C""&amp;row()),indirect(""C""&amp;row()))=4,
COUNTIF($C$7:$C$61,indirect(""C""&amp;row()))&gt;6),""R2 - A1"&amp;""",
AND(OR(""3x3 FMC""=C41,""3x3 MBLD""=C41),COUNTIF($C$7:indirect(""C""&amp;row()),indirect(""C""&amp;row()))=4,
COUNTIF($C$7:$C$61,indirect(""C""&amp;row()))&lt;=6),""Final - A1"",
AND(OR(""3x3 FMC""=C41,""3x3 MBLD""=C41),COUNTIF($C$7:indirect(""C""&amp;row()),indirect("""&amp;"C""&amp;row()))=3),""R1 - A3"",
AND(OR(""3x3 FMC""=C41,""3x3 MBLD""=C41),COUNTIF($C$7:indirect(""C""&amp;row()),indirect(""C""&amp;row()))=2),""R1 - A2"",
AND(OR(""3x3 FMC""=C41,""3x3 MBLD""=C41),COUNTIF($C$7:indirect(""C""&amp;row()),indirect(""C""&amp;row()))=1),""R1 -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C41),ROUNDUP((FILTER(Info!$H$2:H81,Info!$A$2:A81=C41)/FILTER(Info!$H$2:H81,Info!$A$2:A81=$K$2))*$I$2)&gt;99),3,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C41),ROUNDUP((FILTER(Info!$H$2:H81,Info!$A$2:A81=C41)/FILTER(Info!$H$2:H81,Info!$A$2:A81=$K$2))*$I$2)&gt;15),2,
AND(COUNTIF($C$7:indirect(""C""&amp;row()),indirect(""C""&amp;row()))=2,COUNTIF($C$7:$C$61,indirect(""C""&amp;row()))=COUNTIF($C$7:indirect("""&amp;"C""&amp;row()),indirect(""C""&amp;row()))),""Final"",
COUNTIF($C$7:indirect(""C""&amp;row()),indirect(""C""&amp;row()))=1,1,
COUNTIF($C$7:indirect(""C""&amp;row()),indirect(""C""&amp;row()))=0,"""")"),"")</f>
        <v/>
      </c>
      <c r="F41" s="44" t="str">
        <f>IFERROR(__xludf.DUMMYFUNCTION("IFS(C41="""","""",
AND(C41=""3x3 FMC"",MOD(COUNTIF($C$7:indirect(""C""&amp;row()),indirect(""C""&amp;row())),3)=0),""Mean of 3"",
AND(C41=""3x3 MBLD"",MOD(COUNTIF($C$7:indirect(""C""&amp;row()),indirect(""C""&amp;row())),3)=0),""Best of 3"",
AND(C41=""3x3 FMC"",MOD(COUNT"&amp;"IF($C$7:indirect(""C""&amp;row()),indirect(""C""&amp;row())),3)=2,
COUNTIF($C$7:$C$61,indirect(""C""&amp;row()))&lt;=COUNTIF($C$7:indirect(""C""&amp;row()),indirect(""C""&amp;row()))),""Best of 2"",
AND(C41=""3x3 FMC"",MOD(COUNTIF($C$7:indirect(""C""&amp;row()),indirect(""C""&amp;row()"&amp;")),3)=2,
COUNTIF($C$7:$C$61,indirect(""C""&amp;row()))&gt;COUNTIF($C$7:indirect(""C""&amp;row()),indirect(""C""&amp;row()))),""Mean of 3"",
AND(C41=""3x3 MBLD"",MOD(COUNTIF($C$7:indirect(""C""&amp;row()),indirect(""C""&amp;row())),3)=2,
COUNTIF($C$7:$C$61,indirect(""C""&amp;row()))"&amp;"&lt;=COUNTIF($C$7:indirect(""C""&amp;row()),indirect(""C""&amp;row()))),""Best of 2"",
AND(C41=""3x3 MBLD"",MOD(COUNTIF($C$7:indirect(""C""&amp;row()),indirect(""C""&amp;row())),3)=2,
COUNTIF($C$7:$C$61,indirect(""C""&amp;row()))&gt;COUNTIF($C$7:indirect(""C""&amp;row()),indirect(""C"&amp;"""&amp;row()))),""Best of 3"",
AND(C41=""3x3 FMC"",MOD(COUNTIF($C$7:indirect(""C""&amp;row()),indirect(""C""&amp;row())),3)=1,
COUNTIF($C$7:$C$61,indirect(""C""&amp;row()))&lt;=COUNTIF($C$7:indirect(""C""&amp;row()),indirect(""C""&amp;row()))),""Best of 1"",
AND(C41=""3x3 FMC"",MOD"&amp;"(COUNTIF($C$7:indirect(""C""&amp;row()),indirect(""C""&amp;row())),3)=1,
COUNTIF($C$7:$C$61,indirect(""C""&amp;row()))=COUNTIF($C$7:indirect(""C""&amp;row()),indirect(""C""&amp;row()))+1),""Best of 2"",
AND(C41=""3x3 FMC"",MOD(COUNTIF($C$7:indirect(""C""&amp;row()),indirect(""C"&amp;"""&amp;row())),3)=1,
COUNTIF($C$7:$C$61,indirect(""C""&amp;row()))&gt;COUNTIF($C$7:indirect(""C""&amp;row()),indirect(""C""&amp;row()))),""Mean of 3"",
AND(C41=""3x3 MBLD"",MOD(COUNTIF($C$7:indirect(""C""&amp;row()),indirect(""C""&amp;row())),3)=1,
COUNTIF($C$7:$C$61,indirect(""C"""&amp;"&amp;row()))&lt;=COUNTIF($C$7:indirect(""C""&amp;row()),indirect(""C""&amp;row()))),""Best of 1"",
AND(C41=""3x3 MBLD"",MOD(COUNTIF($C$7:indirect(""C""&amp;row()),indirect(""C""&amp;row())),3)=1,
COUNTIF($C$7:$C$61,indirect(""C""&amp;row()))=COUNTIF($C$7:indirect(""C""&amp;row()),indir"&amp;"ect(""C""&amp;row()))+1),""Best of 2"",
AND(C41=""3x3 MBLD"",MOD(COUNTIF($C$7:indirect(""C""&amp;row()),indirect(""C""&amp;row())),3)=1,
COUNTIF($C$7:$C$61,indirect(""C""&amp;row()))&gt;COUNTIF($C$7:indirect(""C""&amp;row()),indirect(""C""&amp;row()))),""Best of 3"",
TRUE,(IFERROR("&amp;"FILTER(Info!$D$2:D81, Info!$A$2:A81 = C41), """")))"),"")</f>
        <v/>
      </c>
      <c r="G41" s="45" t="str">
        <f>IFERROR(__xludf.DUMMYFUNCTION("IFS(OR(COUNTIF(Info!$A$22:A81,C41)&gt;0,C41=""""),"""",
OR(""3x3 MBLD""=C41,""3x3 FMC""=C41),60,
AND(E41=1,FILTER(Info!$F$2:F81, Info!$A$2:A81 = C41) = ""No""),FILTER(Info!$P$2:P81, Info!$A$2:A81 = C41),
AND(E41=2,FILTER(Info!$F$2:F81, Info!$A$2:A81 = C41) ="&amp;" ""No""),FILTER(Info!$Q$2:Q81, Info!$A$2:A81 = C41),
AND(E41=3,FILTER(Info!$F$2:F81, Info!$A$2:A81 = C41) = ""No""),FILTER(Info!$R$2:R81, Info!$A$2:A81 = C41),
AND(E41=""Final"",FILTER(Info!$F$2:F81, Info!$A$2:A81 = C41) = ""No""),FILTER(Info!$S$2:S81, In"&amp;"fo!$A$2:A81 = C41),
FILTER(Info!$F$2:F81, Info!$A$2:A81 = C41) = ""Yes"","""")"),"")</f>
        <v/>
      </c>
      <c r="H41" s="45" t="str">
        <f>IFERROR(__xludf.DUMMYFUNCTION("IFS(OR(COUNTIF(Info!$A$22:A81,C41)&gt;0,C41=""""),"""",
OR(""3x3 MBLD""=C41,""3x3 FMC""=C41)=TRUE,"""",
FILTER(Info!$F$2:F81, Info!$A$2:A81 = C41) = ""Yes"",FILTER(Info!$O$2:O81, Info!$A$2:A81 = C41),
FILTER(Info!$F$2:F81, Info!$A$2:A81 = C41) = ""No"",IF(G4"&amp;"1="""",FILTER(Info!$O$2:O81, Info!$A$2:A81 = C41),""""))"),"")</f>
        <v/>
      </c>
      <c r="I41" s="45" t="str">
        <f>IFERROR(__xludf.DUMMYFUNCTION("IFS(OR(COUNTIF(Info!$A$22:A81,C41)&gt;0,C41="""",H41&lt;&gt;""""),"""",
AND(E41&lt;&gt;1,E41&lt;&gt;""R1 - A1"",E41&lt;&gt;""R1 - A2"",E41&lt;&gt;""R1 - A3""),"""",
FILTER(Info!$E$2:E81, Info!$A$2:A81 = C41) = ""Yes"",IF(H41="""",FILTER(Info!$L$2:L81, Info!$A$2:A81 = C41),""""),
FILTER(I"&amp;"nfo!$E$2:E81, Info!$A$2:A81 = C41) = ""No"","""")"),"")</f>
        <v/>
      </c>
      <c r="J41" s="45" t="str">
        <f>IFERROR(__xludf.DUMMYFUNCTION("IFS(OR(COUNTIF(Info!$A$22:A81,C41)&gt;0,C41="""",""3x3 MBLD""=C41,""3x3 FMC""=C41),"""",
AND(E41=1,FILTER(Info!$H$2:H81,Info!$A$2:A81 = C41)&lt;=FILTER(Info!$H$2:H81,Info!$A$2:A81=$K$2)),
ROUNDUP((FILTER(Info!$H$2:H81,Info!$A$2:A81 = C41)/FILTER(Info!$H$2:H81,I"&amp;"nfo!$A$2:A81=$K$2))*$I$2),
AND(E41=1,FILTER(Info!$H$2:H81,Info!$A$2:A81 = C41)&gt;FILTER(Info!$H$2:H81,Info!$A$2:A81=$K$2)),""K2 - Error"",
AND(E41=2,FILTER($J$7:indirect(""J""&amp;row()-1),$C$7:indirect(""C""&amp;row()-1)=C41)&lt;=7),""J - Error"",
E41=2,FLOOR(FILTER("&amp;"$J$7:indirect(""J""&amp;row()-1),$C$7:indirect(""C""&amp;row()-1)=C41)*Info!$T$32),
AND(E41=3,FILTER($J$7:indirect(""J""&amp;row()-1),$C$7:indirect(""C""&amp;row()-1)=C41)&lt;=15),""J - Error"",
E41=3,FLOOR(Info!$T$32*FLOOR(FILTER($J$7:indirect(""J""&amp;row()-1),$C$7:indirect("&amp;"""C""&amp;row()-1)=C41)*Info!$T$32)),
AND(E41=""Final"",COUNTIF($C$7:$C$61,C41)=2,FILTER($J$7:indirect(""J""&amp;row()-1),$C$7:indirect(""C""&amp;row()-1)=C41)&lt;=7),""J - Error"",
AND(E41=""Final"",COUNTIF($C$7:$C$61,C41)=2),
MIN(P41,FLOOR(FILTER($J$7:indirect(""J""&amp;r"&amp;"ow()-1),$C$7:indirect(""C""&amp;row()-1)=C41)*Info!$T$32)),
AND(E41=""Final"",COUNTIF($C$7:$C$61,C41)=3,FILTER($J$7:indirect(""J""&amp;row()-1),$C$7:indirect(""C""&amp;row()-1)=C41)&lt;=15),""J - Error"",
AND(E41=""Final"",COUNTIF($C$7:$C$61,C41)=3),
MIN(P41,FLOOR(Info!"&amp;"$T$32*FLOOR(FILTER($J$7:indirect(""J""&amp;row()-1),$C$7:indirect(""C""&amp;row()-1)=C41)*Info!$T$32))),
AND(E41=""Final"",COUNTIF($C$7:$C$61,C41)&gt;=4,FILTER($J$7:indirect(""J""&amp;row()-1),$C$7:indirect(""C""&amp;row()-1)=C41)&lt;=99),""J - Error"",
AND(E41=""Final"",COUNT"&amp;"IF($C$7:$C$61,C41)&gt;=4),
MIN(P41,FLOOR(Info!$T$32*FLOOR(Info!$T$32*FLOOR(FILTER($J$7:indirect(""J""&amp;row()-1),$C$7:indirect(""C""&amp;row()-1)=C41)*Info!$T$32)))))"),"")</f>
        <v/>
      </c>
      <c r="K41" s="46" t="str">
        <f>IFERROR(__xludf.DUMMYFUNCTION("IFS(AND(indirect(""D""&amp;row()+2)&lt;&gt;$E$2,indirect(""D""&amp;row()+1)=""""),CONCATENATE(""Tom rad! Kopiera hela rad ""&amp;row()&amp;"" dit""),
AND(indirect(""D""&amp;row()-1)&lt;&gt;""Rum"",indirect(""D""&amp;row()-1)=""""),CONCATENATE(""Tom rad! Kopiera hela rad ""&amp;row()&amp;"" dit""),
"&amp;"C41="""","""",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OR(AND(D41&lt;&gt;$E$2,D41&lt;&gt;$E$4,D41&lt;&gt;$K$4,D41&lt;&gt;$Q$4),D41="&amp;"""""),CONCATENATE(""Rum: ""&amp;D41&amp;"" finns ej, byt i D""&amp;row()),
AND(indirect(""D""&amp;row()-1)=""Rum"",C41=""""),CONCATENATE(""För att börja: skriv i cell C""&amp;row()),
AND(C41=""Paus"",M41&lt;=0),CONCATENATE(""Skriv pausens längd i M""&amp;row()),
OR(COUNTIF(Info!$A$"&amp;"22:A81,C41)&gt;0,C41=""""),"""",
AND(D41&lt;&gt;$E$2,$O$2=""Yes"",A41=""=time(hh;mm;ss)""),CONCATENATE(""Skriv starttid för ""&amp;C41&amp;"" i A""&amp;row()),
E41=""E - Error"",CONCATENATE(""För många ""&amp;C41&amp;"" rundor!""),
AND(C41&lt;&gt;""3x3 FMC"",C41&lt;&gt;""3x3 MBLD"",E41&lt;&gt;1,E41&lt;&gt;"&amp;"""Final"",IFERROR(FILTER($E$7:indirect(""E""&amp;row()-1),
$E$7:indirect(""E""&amp;row()-1)=E41-1,$C$7:indirect(""C""&amp;row()-1)=C41))=FALSE),CONCATENATE(""Kan ej vara R""&amp;E41&amp;"", saknar R""&amp;(E41-1)),
AND(indirect(""E""&amp;row()-1)&lt;&gt;""Omgång"",IFERROR(FILTER($E$7:indi"&amp;"rect(""E""&amp;row()-1),
$E$7:indirect(""E""&amp;row()-1)=E41,$C$7:indirect(""C""&amp;row()-1)=C41)=E41)=TRUE),CONCATENATE(""Runda ""&amp;E41&amp;"" i ""&amp;C41&amp;"" finns redan""),
AND(C41&lt;&gt;""3x3 BLD"",C41&lt;&gt;""4x4 BLD"",C41&lt;&gt;""5x5 BLD"",C41&lt;&gt;""4x4 / 5x5 BLD"",OR(E41=2,E41=3,E41="&amp;"""Final""),H41&lt;&gt;""""),CONCATENATE(E41&amp;""-rundor brukar ej ha c.t.l.""),
AND(OR(E41=2,E41=3,E41=""Final""),I41&lt;&gt;""""),CONCATENATE(E41&amp;""-rundor brukar ej ha cutoff""),
AND(OR(C41=""3x3 FMC"",C41=""3x3 MBLD""),OR(E41=1,E41=2,E41=3,E41=""Final"")),CONCATENAT"&amp;"E(C41&amp;""s omgång är Rx - Ax""),
AND(C41&lt;&gt;""3x3 MBLD"",C41&lt;&gt;""3x3 FMC"",FILTER(Info!$D$2:D81, Info!$A$2:A81 = C41)&lt;&gt;F41),CONCATENATE(C41&amp;"" måste ha formatet ""&amp;FILTER(Info!$D$2:D81, Info!$A$2:A81 = C41)),
AND(C41=""3x3 MBLD"",OR(F41=""Avg of 5"",F41=""Mea"&amp;"n of 3"")),CONCATENATE(""Ogiltigt format för ""&amp;C41),
AND(C41=""3x3 FMC"",OR(F41=""Avg of 5"",F41=""Best of 3"")),CONCATENATE(""Ogiltigt format för ""&amp;C41),
AND(OR(F41=""Best of 1"",F41=""Best of 2"",F41=""Best of 3""),I41&lt;&gt;""""),CONCATENATE(F41&amp;""-rundor"&amp;" får ej ha cutoff""),
AND(OR(C41=""3x3 FMC"",C41=""3x3 MBLD""),G41&lt;&gt;60),CONCATENATE(C41&amp;"" måste ha time limit: 60""),
AND(OR(C41=""3x3 FMC"",C41=""3x3 MBLD""),H41&lt;&gt;""""),CONCATENATE(C41&amp;"" kan inte ha c.t.l.""),
AND(G41&lt;&gt;"""",H41&lt;&gt;""""),""Välj time limit"&amp;" ELLER c.t.l"",
AND(C41=""6x6 / 7x7"",G41="""",H41=""""),""Sätt time limit (x / y) eller c.t.l (z)"",
AND(G41="""",H41=""""),""Sätt en time limit eller c.t.l"",
AND(OR(C41=""6x6 / 7x7"",C41=""4x4 / 5x5 BLD""),G41&lt;&gt;"""",REGEXMATCH(TO_TEXT(G41),"" / "")=FAL"&amp;"SE),CONCATENATE(""Time limit måste vara x / y""),
AND(H41&lt;&gt;"""",I41&lt;&gt;""""),CONCATENATE(C41&amp;"" brukar ej ha cutoff OCH c.t.l""),
AND(E41=1,H41="""",I41="""",OR(FILTER(Info!$E$2:E81, Info!$A$2:A81 = C41) = ""Yes"",FILTER(Info!$F$2:F81, Info!$A$2:A81 = C41) "&amp;"= ""Yes""),OR(F41=""Avg of 5"",F41=""Mean of 3"")),CONCATENATE(C41&amp;"" bör ha cutoff eller c.t.l""),
AND(C41=""6x6 / 7x7"",I41&lt;&gt;"""",REGEXMATCH(TO_TEXT(I41),"" / "")=FALSE),CONCATENATE(""Cutoff måste vara x / y""),
AND(H41&lt;&gt;"""",ISNUMBER(H41)=FALSE),""C.t."&amp;"l. måste vara positivt tal (x)"",
AND(C41&lt;&gt;""6x6 / 7x7"",I41&lt;&gt;"""",ISNUMBER(I41)=FALSE),""Cutoff måste vara positivt tal (x)"",
AND(H41&lt;&gt;"""",FILTER(Info!$E$2:E81, Info!$A$2:A81 = C41) = ""No"",FILTER(Info!$F$2:F81, Info!$A$2:A81 = C41) = ""No""),CONCATEN"&amp;"ATE(C41&amp;"" brukar inte ha c.t.l.""),
AND(I41&lt;&gt;"""",FILTER(Info!$E$2:E81, Info!$A$2:A81 = C41) = ""No"",FILTER(Info!$F$2:F81, Info!$A$2:A81 = C41) = ""No""),CONCATENATE(C41&amp;"" brukar inte ha cutoff""),
AND(H41="""",FILTER(Info!$F$2:F81, Info!$A$2:A81 = C41"&amp;") = ""Yes""),CONCATENATE(C41&amp;"" brukar ha c.t.l.""),
AND(C41&lt;&gt;""6x6 / 7x7"",C41&lt;&gt;""4x4 / 5x5 BLD"",G41&lt;&gt;"""",ISNUMBER(G41)=FALSE),""Time limit måste vara positivt tal (x)"",
J41=""J - Error"",CONCATENATE(""För få deltagare i R1 för ""&amp;COUNTIF($C$7:$C$61,i"&amp;"ndirect(""C""&amp;row()))&amp;"" rundor""),
J41=""K2 - Error"",CONCATENATE(C41&amp;"" är mer populär - byt i K2!""),
AND(C41&lt;&gt;""6x6 / 7x7"",C41&lt;&gt;""4x4 / 5x5 BLD"",G41&lt;&gt;"""",I41&lt;&gt;"""",G41&lt;=I41),""Time limit måste vara &gt; cutoff"",
AND(C41&lt;&gt;""6x6 / 7x7"",C41&lt;&gt;""4x4 / 5x"&amp;"5 BLD"",H41&lt;&gt;"""",I41&lt;&gt;"""",H41&lt;=I41),""C.t.l. måste vara &gt; cutoff"",
AND(C41&lt;&gt;""3x3 FMC"",C41&lt;&gt;""3x3 MBLD"",J41=""""),CONCATENATE(""Fyll i antal deltagare i J""&amp;row()),
AND(C41="""",OR(E41&lt;&gt;"""",F41&lt;&gt;"""",G41&lt;&gt;"""",H41&lt;&gt;"""",I41&lt;&gt;"""",J41&lt;&gt;"""")),""Skriv"&amp;" ALLTID gren / aktivitet först"",
AND(I41="""",H41="""",J41&lt;&gt;""""),J41,
OR(""3x3 FMC""=C41,""3x3 MBLD""=C41),J41,
AND(I41&lt;&gt;"""",""6x6 / 7x7""=C41),
IFS(ArrayFormula(SUM(IFERROR(SPLIT(I41,"" / ""))))&lt;(Info!$J$6+Info!$J$7)*2/3,CONCATENATE(""Höj helst cutoff"&amp;"s i ""&amp;C41),
ArrayFormula(SUM(IFERROR(SPLIT(I41,"" / ""))))&lt;=(Info!$J$6+Info!$J$7),ROUNDUP(J41*Info!$J$22),
ArrayFormula(SUM(IFERROR(SPLIT(I41,"" / ""))))&lt;=Info!$J$6+Info!$J$7,ROUNDUP(J41*Info!$K$22),
ArrayFormula(SUM(IFERROR(SPLIT(I41,"" / ""))))&lt;=Info!$"&amp;"K$6+Info!$K$7,ROUNDUP(J41*Info!L$22),
ArrayFormula(SUM(IFERROR(SPLIT(I41,"" / ""))))&lt;=Info!$L$6+Info!$L$7,ROUNDUP(J41*Info!$M$22),
ArrayFormula(SUM(IFERROR(SPLIT(I41,"" / ""))))&lt;=Info!$M$6+Info!$M$7,ROUNDUP(J41*Info!$N$22),
ArrayFormula(SUM(IFERROR(SPLIT("&amp;"I41,"" / ""))))&lt;=(Info!$N$6+Info!$N$7)*3/2,ROUNDUP(J41*Info!$J$26),
ArrayFormula(SUM(IFERROR(SPLIT(I41,"" / ""))))&gt;(Info!$N$6+Info!$N$7)*3/2,CONCATENATE(""Sänk helst cutoffs i ""&amp;C41)),
AND(I41&lt;&gt;"""",FILTER(Info!$E$2:E81, Info!$A$2:A81 = C41) = ""Yes""),
"&amp;"IFS(I41&lt;FILTER(Info!$J$2:J81, Info!$A$2:A81 = C41)*2/3,CONCATENATE(""Höj helst cutoff i ""&amp;C41),
I41&lt;=FILTER(Info!$J$2:J81, Info!$A$2:A81 = C41),ROUNDUP(J41*Info!$J$22),
I41&lt;=FILTER(Info!$K$2:K81, Info!$A$2:A81 = C41),ROUNDUP(J41*Info!$K$22),
I41&lt;=FILTER("&amp;"Info!$L$2:L81, Info!$A$2:A81 = C41),ROUNDUP(J41*Info!L$22),
I41&lt;=FILTER(Info!$M$2:M81, Info!$A$2:A81 = C41),ROUNDUP(J41*Info!$M$22),
I41&lt;=FILTER(Info!$N$2:N81, Info!$A$2:A81 = C41),ROUNDUP(J41*Info!$N$22),
I41&lt;=FILTER(Info!$N$2:N81, Info!$A$2:A81 = C41)*3"&amp;"/2,ROUNDUP(J41*Info!$J$26),
I41&gt;FILTER(Info!$N$2:N81, Info!$A$2:A81 = C41)*3/2,CONCATENATE(""Sänk helst cutoff i ""&amp;C41)),
AND(H41&lt;&gt;"""",""6x6 / 7x7""=C41),
IFS(H41/3&lt;=(Info!$J$6+Info!$J$7)*2/3,""Höj helst cumulative time limit"",
H41/3&lt;=Info!$J$6+Info!$J"&amp;"$7,ROUNDUP(J41*Info!$J$24),
H41/3&lt;=Info!$K$6+Info!$K$7,ROUNDUP(J41*Info!$K$24),
H41/3&lt;=Info!$L$6+Info!$L$7,ROUNDUP(J41*Info!L$24),
H41/3&lt;=Info!$M$6+Info!$M$7,ROUNDUP(J41*Info!$M$24),
H41/3&lt;=Info!$N$6+Info!$N$7,ROUNDUP(J41*Info!$N$24),
H41/3&lt;=(Info!$N$6+In"&amp;"fo!$N$7)*3/2,ROUNDUP(J41*Info!$L$26),
H41/3&gt;(Info!$J$6+Info!$J$7)*3/2,""Sänk helst cumulative time limit""),
AND(H41&lt;&gt;"""",FILTER(Info!$F$2:F81, Info!$A$2:A81 = C41) = ""Yes""),
IFS(H41&lt;=FILTER(Info!$J$2:J81, Info!$A$2:A81 = C41)*2/3,CONCATENATE(""Höj hel"&amp;"st c.t.l. i ""&amp;C41),
H41&lt;=FILTER(Info!$J$2:J81, Info!$A$2:A81 = C41),ROUNDUP(J41*Info!$J$24),
H41&lt;=FILTER(Info!$K$2:K81, Info!$A$2:A81 = C41),ROUNDUP(J41*Info!$K$24),
H41&lt;=FILTER(Info!$L$2:L81, Info!$A$2:A81 = C41),ROUNDUP(J41*Info!L$24),
H41&lt;=FILTER(Info"&amp;"!$M$2:M81, Info!$A$2:A81 = C41),ROUNDUP(J41*Info!$M$24),
H41&lt;=FILTER(Info!$N$2:N81, Info!$A$2:A81 = C41),ROUNDUP(J41*Info!$N$24),
H41&lt;=FILTER(Info!$N$2:N81, Info!$A$2:A81 = C41)*3/2,ROUNDUP(J41*Info!$L$26),
H41&gt;FILTER(Info!$N$2:N81, Info!$A$2:A81 = C41)*3"&amp;"/2,CONCATENATE(""Sänk helst c.t.l. i ""&amp;C41)),
AND(H41&lt;&gt;"""",FILTER(Info!$F$2:F81, Info!$A$2:A81 = C41) = ""No""),
IFS(H41/AA41&lt;=FILTER(Info!$J$2:J81, Info!$A$2:A81 = C41)*2/3,CONCATENATE(""Höj helst c.t.l. i ""&amp;C41),
H41/AA41&lt;=FILTER(Info!$J$2:J81, Info!"&amp;"$A$2:A81 = C41),ROUNDUP(J41*Info!$J$24),
H41/AA41&lt;=FILTER(Info!$K$2:K81, Info!$A$2:A81 = C41),ROUNDUP(J41*Info!$K$24),
H41/AA41&lt;=FILTER(Info!$L$2:L81, Info!$A$2:A81 = C41),ROUNDUP(J41*Info!L$24),
H41/AA41&lt;=FILTER(Info!$M$2:M81, Info!$A$2:A81 = C41),ROUNDU"&amp;"P(J41*Info!$M$24),
H41/AA41&lt;=FILTER(Info!$N$2:N81, Info!$A$2:A81 = C41),ROUNDUP(J41*Info!$N$24),
H41/AA41&lt;=FILTER(Info!$N$2:N81, Info!$A$2:A81 = C41)*3/2,ROUNDUP(J41*Info!$L$26),
H41/AA41&gt;FILTER(Info!$N$2:N81, Info!$A$2:A81 = C41)*3/2,CONCATENATE(""Sänk h"&amp;"elst c.t.l. i ""&amp;C41)),
AND(I41="""",H41&lt;&gt;"""",J41&lt;&gt;""""),ROUNDUP(J41*Info!$T$29),
AND(I41&lt;&gt;"""",H41="""",J41&lt;&gt;""""),ROUNDUP(J41*Info!$T$26))"),"")</f>
        <v/>
      </c>
      <c r="L41" s="47">
        <f>IFERROR(__xludf.DUMMYFUNCTION("IFS(C41="""",0,
C41=""3x3 FMC"",Info!$B$9*N41+M41, C41=""3x3 MBLD"",Info!$B$18*N41+M41,
COUNTIF(Info!$A$22:A81,C41)&gt;0,FILTER(Info!$B$22:B81,Info!$A$22:A81=C41)+M41,
AND(C41&lt;&gt;"""",E41=""""),CONCATENATE(""Fyll i E""&amp;row()),
AND(C41&lt;&gt;"""",E41&lt;&gt;"""",E41&lt;&gt;1,E4"&amp;"1&lt;&gt;2,E41&lt;&gt;3,E41&lt;&gt;""Final""),CONCATENATE(""Fel format på E""&amp;row()),
K41=CONCATENATE(""Runda ""&amp;E41&amp;"" i ""&amp;C41&amp;"" finns redan""),CONCATENATE(""Fel i E""&amp;row()),
AND(C41&lt;&gt;"""",F41=""""),CONCATENATE(""Fyll i F""&amp;row()),
K41=CONCATENATE(C41&amp;"" måste ha forma"&amp;"tet ""&amp;FILTER(Info!$D$2:D81, Info!$A$2:A81 = C41)),CONCATENATE(""Fel format på F""&amp;row()),
AND(C41&lt;&gt;"""",D41=1,H41="""",FILTER(Info!$F$2:F81, Info!$A$2:A81 = C41) = ""Yes""),CONCATENATE(""Fyll i H""&amp;row()),
AND(C41&lt;&gt;"""",D41=1,I41="""",FILTER(Info!$E$2:E8"&amp;"1, Info!$A$2:A81 = C41) = ""Yes""),CONCATENATE(""Fyll i I""&amp;row()),
AND(C41&lt;&gt;"""",J41=""""),CONCATENATE(""Fyll i J""&amp;row()),
AND(C41&lt;&gt;"""",K41="""",OR(H41&lt;&gt;"""",I41&lt;&gt;"""")),CONCATENATE(""Fyll i K""&amp;row()),
AND(C41&lt;&gt;"""",K41=""""),CONCATENATE(""Skriv samma"&amp;" i K""&amp;row()&amp;"" som i J""&amp;row()),
AND(OR(C41=""4x4 BLD"",C41=""5x5 BLD"",C41=""4x4 / 5x5 BLD"")=TRUE,V41&lt;=P41),
MROUND(H41*(Info!$T$20-((Info!$T$20-1)/2)*(1-V41/P41))*(1+((J41/K41)-1)*(1-Info!$J$24))*N41+(Info!$T$11/2)+(N41*Info!$T$11)+(N41*Info!$T$14*(O4"&amp;"1-1)),0.01)+M41,
AND(OR(C41=""4x4 BLD"",C41=""5x5 BLD"",C41=""4x4 / 5x5 BLD"")=TRUE,V41&gt;P41),
MROUND((((J41*Z41+K41*(AA41-Z41))*(H41*Info!$T$20/AA41))/X41)*(1+((J41/K41)-1)*(1-Info!$J$24))*(1+(X41-Info!$T$8)/100)+(Info!$T$11/2)+(N41*Info!$T$11)+(N41*Info!"&amp;"$T$14*(O41-1)),0.01)+M41,
AND(C41=""3x3 BLD"",V41&lt;=P41),
MROUND(H41*(Info!$T$23-((Info!$T$23-1)/2)*(1-V41/P41))*(1+((J41/K41)-1)*(1-Info!$J$24))*N41+(Info!$T$11/2)+(N41*Info!$T$11)+(N41*Info!$T$14*(O41-1)),0.01)+M41,
AND(C41=""3x3 BLD"",V41&gt;P41),
MROUND(("&amp;"((J41*Z41+K41*(AA41-Z41))*(H41*Info!$T$23/AA41))/X41)*(1+((J41/K41)-1)*(1-Info!$J$24))*(1+(X41-Info!$T$8)/100)+(Info!$T$11/2)+(N41*Info!$T$11)+(N41*Info!$T$14*(O41-1)),0.01)+M41,
E41=1,MROUND((((J41*Z41+K41*(AA41-Z41))*Y41)/X41)*(1+(X41-Info!$T$8)/100)+(N"&amp;"41*Info!$T$11)+(N41*Info!$T$14*(O41-1)),0.01)+M41,
AND(E41=""Final"",N41=1,FILTER(Info!$G$2:$G$20,Info!$A$2:$A$20=C41)=""Mycket svår""),
MROUND((((J41*Z41+K41*(AA41-Z41))*(Y41*Info!$T$38))/X41)*(1+(X41-Info!$T$8)/100)+(N41*Info!$T$11)+(N41*Info!$T$14*(O41"&amp;"-1)),0.01)+M41,
AND(E41=""Final"",N41=1,FILTER(Info!$G$2:$G$20,Info!$A$2:$A$20=C41)=""Svår""),
MROUND((((J41*Z41+K41*(AA41-Z41))*(Y41*Info!$T$35))/X41)*(1+(X41-Info!$T$8)/100)+(N41*Info!$T$11)+(N41*Info!$T$14*(O41-1)),0.01)+M41,
E41=""Final"",MROUND((((J4"&amp;"1*Z41+K41*(AA41-Z41))*(Y41*Info!$T$5))/X41)*(1+(X41-Info!$T$8)/100)+(N41*Info!$T$11)+(N41*Info!$T$14*(O41-1)),0.01)+M41,
OR(E41=2,E41=3),MROUND((((J41*Z41+K41*(AA41-Z41))*(Y41*Info!$T$2))/X41)*(1+(X41-Info!$T$8)/100)+(N41*Info!$T$11)+(N41*Info!$T$14*(O41-"&amp;"1)),0.01)+M41)"),0.0)</f>
        <v>0</v>
      </c>
      <c r="M41" s="48">
        <f t="shared" si="4"/>
        <v>0</v>
      </c>
      <c r="N41" s="48" t="str">
        <f>IFS(OR(COUNTIF(Info!$A$22:A81,C41)&gt;0,C41=""),"",
OR(C41="4x4 BLD",C41="5x5 BLD",C41="3x3 MBLD",C41="3x3 FMC",C41="4x4 / 5x5 BLD"),1,
AND(E41="Final",Q41="Yes",MAX(1,ROUNDUP(J41/P41))&gt;1),MAX(2,ROUNDUP(J41/P41)),
AND(E41="Final",Q41="No",MAX(1,ROUNDUP(J41/((P41*2)+2.625-Y41*1.5)))&gt;1),MAX(2,ROUNDUP(J41/((P41*2)+2.625-Y41*1.5))),
E41="Final",1,
Q41="Yes",MAX(2,ROUNDUP(J41/P41)),
TRUE,MAX(2,ROUNDUP(J41/((P41*2)+2.625-Y41*1.5))))</f>
        <v/>
      </c>
      <c r="O41" s="48" t="str">
        <f>IFS(OR(COUNTIF(Info!$A$22:A81,C41)&gt;0,C41=""),"",
OR("3x3 MBLD"=C41,"3x3 FMC"=C41)=TRUE,"",
D41=$E$4,$G$6,D41=$K$4,$M$6,D41=$Q$4,$S$6,D41=$W$4,$Y$6,
TRUE,$S$2)</f>
        <v/>
      </c>
      <c r="P41" s="48" t="str">
        <f>IFS(OR(COUNTIF(Info!$A$22:A81,C41)&gt;0,C41=""),"",
OR("3x3 MBLD"=C41,"3x3 FMC"=C41)=TRUE,"",
D41=$E$4,$E$6,D41=$K$4,$K$6,D41=$Q$4,$Q$6,D41=$W$4,$W$6,
TRUE,$Q$2)</f>
        <v/>
      </c>
      <c r="Q41" s="49" t="str">
        <f>IFS(OR(COUNTIF(Info!$A$22:A81,C41)&gt;0,C41=""),"",
OR("3x3 MBLD"=C41,"3x3 FMC"=C41)=TRUE,"",
D41=$E$4,$I$6,D41=$K$4,$O$6,D41=$Q$4,$U$6,D41=$W$4,$AA$6,
TRUE,$U$2)</f>
        <v/>
      </c>
      <c r="R41" s="50" t="str">
        <f>IFERROR(__xludf.DUMMYFUNCTION("IF(C41="""","""",IFERROR(FILTER(Info!$B$22:B81,Info!$A$22:A81=C41)+M41,""?""))"),"")</f>
        <v/>
      </c>
      <c r="S41" s="51" t="str">
        <f>IFS(OR(COUNTIF(Info!$A$22:A81,C41)&gt;0,C41=""),"",
AND(H41="",I41=""),J41,
TRUE,"?")</f>
        <v/>
      </c>
      <c r="T41" s="52" t="str">
        <f>IFS(OR(COUNTIF(Info!$A$22:A81,C41)&gt;0,C41=""),"",
AND(L41&lt;&gt;0,OR(R41="?",R41="")),"Fyll i R-kolumnen",
OR(C41="3x3 FMC",C41="3x3 MBLD"),R41,
AND(L41&lt;&gt;0,OR(S41="?",S41="")),"Fyll i S-kolumnen",
OR(COUNTIF(Info!$A$22:A81,C41)&gt;0,C41=""),"",
TRUE,Y41*R41/L41)</f>
        <v/>
      </c>
      <c r="U41" s="52"/>
      <c r="V41" s="53" t="str">
        <f>IFS(OR(COUNTIF(Info!$A$22:A81,C41)&gt;0,C41=""),"",
OR("3x3 MBLD"=C41,"3x3 FMC"=C41)=TRUE,"",
TRUE,MROUND((J41/N41),0.01))</f>
        <v/>
      </c>
      <c r="W41" s="54" t="str">
        <f>IFS(OR(COUNTIF(Info!$A$22:A81,C41)&gt;0,C41=""),"",
TRUE,L41/N41)</f>
        <v/>
      </c>
      <c r="X41" s="55" t="str">
        <f>IFS(OR(COUNTIF(Info!$A$22:A81,C41)&gt;0,C41=""),"",
OR("3x3 MBLD"=C41,"3x3 FMC"=C41)=TRUE,"",
OR(C41="4x4 BLD",C41="5x5 BLD",C41="4x4 / 5x5 BLD",AND(C41="3x3 BLD",H41&lt;&gt;""))=TRUE,MIN(V41,P41),
TRUE,MIN(P41,V41,MROUND(((V41*2/3)+((Y41-1.625)/2)),0.01)))</f>
        <v/>
      </c>
      <c r="Y41" s="56" t="str">
        <f>IFERROR(__xludf.DUMMYFUNCTION("IFS(OR(COUNTIF(Info!$A$22:A81,C41)&gt;0,C41=""""),"""",
FILTER(Info!$F$2:F81, Info!$A$2:A81 = C41) = ""Yes"",H41/AA41,
""3x3 FMC""=C41,Info!$B$9,""3x3 MBLD""=C41,Info!$B$18,
AND(E41=1,I41="""",H41="""",Q41=""No"",G41&gt;SUMIF(Info!$A$2:A81,C41,Info!$B$2:B81)*1."&amp;"5),
MIN(SUMIF(Info!$A$2:A81,C41,Info!$B$2:B81)*1.1,SUMIF(Info!$A$2:A81,C41,Info!$B$2:B81)*(1.15-(0.15*(SUMIF(Info!$A$2:A81,C41,Info!$B$2:B81)*1.5)/G41))),
AND(E41=1,I41="""",H41="""",Q41=""Yes"",G41&gt;SUMIF(Info!$A$2:A81,C41,Info!$C$2:C81)*1.5),
MIN(SUMIF(I"&amp;"nfo!$A$2:A81,C41,Info!$C$2:C81)*1.1,SUMIF(Info!$A$2:A81,C41,Info!$C$2:C81)*(1.15-(0.15*(SUMIF(Info!$A$2:A81,C41,Info!$C$2:C81)*1.5)/G41))),
Q41=""No"",SUMIF(Info!$A$2:A81,C41,Info!$B$2:B81),
Q41=""Yes"",SUMIF(Info!$A$2:A81,C41,Info!$C$2:C81))"),"")</f>
        <v/>
      </c>
      <c r="Z41" s="57" t="str">
        <f>IFS(OR(COUNTIF(Info!$A$22:A81,C41)&gt;0,C41=""),"",
AND(OR("3x3 FMC"=C41,"3x3 MBLD"=C41),I41&lt;&gt;""),1,
AND(OR(H41&lt;&gt;"",I41&lt;&gt;""),F41="Avg of 5"),2,
F41="Avg of 5",AA41,
AND(OR(H41&lt;&gt;"",I41&lt;&gt;""),F41="Mean of 3",C41="6x6 / 7x7"),2,
AND(OR(H41&lt;&gt;"",I41&lt;&gt;""),F41="Mean of 3"),1,
F41="Mean of 3",AA41,
AND(OR(H41&lt;&gt;"",I41&lt;&gt;""),F41="Best of 3",C41="4x4 / 5x5 BLD"),2,
AND(OR(H41&lt;&gt;"",I41&lt;&gt;""),F41="Best of 3"),1,
F41="Best of 2",AA41,
F41="Best of 1",AA41)</f>
        <v/>
      </c>
      <c r="AA41" s="57" t="str">
        <f>IFS(OR(COUNTIF(Info!$A$22:A81,C41)&gt;0,C41=""),"",
AND(OR("3x3 MBLD"=C41,"3x3 FMC"=C41),F41="Best of 1"=TRUE),1,
AND(OR("3x3 MBLD"=C41,"3x3 FMC"=C41),F41="Best of 2"=TRUE),2,
AND(OR("3x3 MBLD"=C41,"3x3 FMC"=C41),OR(F41="Best of 3",F41="Mean of 3")=TRUE),3,
AND(F41="Mean of 3",C41="6x6 / 7x7"),6,
AND(F41="Best of 3",C41="4x4 / 5x5 BLD"),6,
F41="Avg of 5",5,F41="Mean of 3",3,F41="Best of 3",3,F41="Best of 2",2,F41="Best of 1",1)</f>
        <v/>
      </c>
      <c r="AB41" s="58"/>
    </row>
    <row r="42">
      <c r="A42" s="40">
        <f>IFERROR(__xludf.DUMMYFUNCTION("IFS(indirect(""A""&amp;row()-1)=""Start"",TIME(indirect(""A""&amp;row()-2),indirect(""B""&amp;row()-2),0),
$O$2=""No"",TIME(0,($A$6*60+$B$6)+CEILING(SUM($L$7:indirect(""L""&amp;row()-1)),5),0),
D42=$E$2,TIME(0,($A$6*60+$B$6)+CEILING(SUM(IFERROR(FILTER($L$7:indirect(""L"""&amp;"&amp;row()-1),REGEXMATCH($D$7:indirect(""D""&amp;row()-1),$E$2)),0)),5),0),
TRUE,""=time(hh;mm;ss)"")"),0.375)</f>
        <v>0.375</v>
      </c>
      <c r="B42" s="41">
        <f>IFERROR(__xludf.DUMMYFUNCTION("IFS($O$2=""No"",TIME(0,($A$6*60+$B$6)+CEILING(SUM($L$7:indirect(""L""&amp;row())),5),0),
D42=$E$2,TIME(0,($A$6*60+$B$6)+CEILING(SUM(FILTER($L$7:indirect(""L""&amp;row()),REGEXMATCH($D$7:indirect(""D""&amp;row()),$E$2))),5),0),
A42=""=time(hh;mm;ss)"",CONCATENATE(""Sk"&amp;"riv tid i A""&amp;row()),
AND(A42&lt;&gt;"""",A42&lt;&gt;""=time(hh;mm;ss)""),A42+TIME(0,CEILING(indirect(""L""&amp;row()),5),0))"),0.375)</f>
        <v>0.375</v>
      </c>
      <c r="C42" s="42"/>
      <c r="D42" s="43" t="str">
        <f t="shared" si="3"/>
        <v>Stora salen</v>
      </c>
      <c r="E42" s="43" t="str">
        <f>IFERROR(__xludf.DUMMYFUNCTION("IFS(COUNTIF(Info!$A$22:A81,C42)&gt;0,"""",
AND(OR(""3x3 FMC""=C42,""3x3 MBLD""=C42),COUNTIF($C$7:indirect(""C""&amp;row()),indirect(""C""&amp;row()))&gt;=13),""E - Error"",
AND(OR(""3x3 FMC""=C42,""3x3 MBLD""=C42),COUNTIF($C$7:indirect(""C""&amp;row()),indirect(""C""&amp;row()"&amp;"))=12),""Final - A3"",
AND(OR(""3x3 FMC""=C42,""3x3 MBLD""=C42),COUNTIF($C$7:indirect(""C""&amp;row()),indirect(""C""&amp;row()))=11),""Final - A2"",
AND(OR(""3x3 FMC""=C42,""3x3 MBLD""=C42),COUNTIF($C$7:indirect(""C""&amp;row()),indirect(""C""&amp;row()))=10),""Final - "&amp;"A1"",
AND(OR(""3x3 FMC""=C42,""3x3 MBLD""=C42),COUNTIF($C$7:indirect(""C""&amp;row()),indirect(""C""&amp;row()))=9,
COUNTIF($C$7:$C$61,indirect(""C""&amp;row()))&gt;9),""R3 - A3"",
AND(OR(""3x3 FMC""=C42,""3x3 MBLD""=C42),COUNTIF($C$7:indirect(""C""&amp;row()),indirect(""C"&amp;"""&amp;row()))=9,
COUNTIF($C$7:$C$61,indirect(""C""&amp;row()))&lt;=9),""Final - A3"",
AND(OR(""3x3 FMC""=C42,""3x3 MBLD""=C42),COUNTIF($C$7:indirect(""C""&amp;row()),indirect(""C""&amp;row()))=8,
COUNTIF($C$7:$C$61,indirect(""C""&amp;row()))&gt;9),""R3 - A2"",
AND(OR(""3x3 FMC""="&amp;"C42,""3x3 MBLD""=C42),COUNTIF($C$7:indirect(""C""&amp;row()),indirect(""C""&amp;row()))=8,
COUNTIF($C$7:$C$61,indirect(""C""&amp;row()))&lt;=9),""Final - A2"",
AND(OR(""3x3 FMC""=C42,""3x3 MBLD""=C42),COUNTIF($C$7:indirect(""C""&amp;row()),indirect(""C""&amp;row()))=7,
COUNTIF("&amp;"$C$7:$C$61,indirect(""C""&amp;row()))&gt;9),""R3 - A1"",
AND(OR(""3x3 FMC""=C42,""3x3 MBLD""=C42),COUNTIF($C$7:indirect(""C""&amp;row()),indirect(""C""&amp;row()))=7,
COUNTIF($C$7:$C$61,indirect(""C""&amp;row()))&lt;=9),""Final - A1"",
AND(OR(""3x3 FMC""=C42,""3x3 MBLD""=C42),"&amp;"COUNTIF($C$7:indirect(""C""&amp;row()),indirect(""C""&amp;row()))=6,
COUNTIF($C$7:$C$61,indirect(""C""&amp;row()))&gt;6),""R2 - A3"",
AND(OR(""3x3 FMC""=C42,""3x3 MBLD""=C42),COUNTIF($C$7:indirect(""C""&amp;row()),indirect(""C""&amp;row()))=6,
COUNTIF($C$7:$C$61,indirect(""C""&amp;"&amp;"row()))&lt;=6),""Final - A3"",
AND(OR(""3x3 FMC""=C42,""3x3 MBLD""=C42),COUNTIF($C$7:indirect(""C""&amp;row()),indirect(""C""&amp;row()))=5,
COUNTIF($C$7:$C$61,indirect(""C""&amp;row()))&gt;6),""R2 - A2"",
AND(OR(""3x3 FMC""=C42,""3x3 MBLD""=C42),COUNTIF($C$7:indirect(""C"&amp;"""&amp;row()),indirect(""C""&amp;row()))=5,
COUNTIF($C$7:$C$61,indirect(""C""&amp;row()))&lt;=6),""Final - A2"",
AND(OR(""3x3 FMC""=C42,""3x3 MBLD""=C42),COUNTIF($C$7:indirect(""C""&amp;row()),indirect(""C""&amp;row()))=4,
COUNTIF($C$7:$C$61,indirect(""C""&amp;row()))&gt;6),""R2 - A1"&amp;""",
AND(OR(""3x3 FMC""=C42,""3x3 MBLD""=C42),COUNTIF($C$7:indirect(""C""&amp;row()),indirect(""C""&amp;row()))=4,
COUNTIF($C$7:$C$61,indirect(""C""&amp;row()))&lt;=6),""Final - A1"",
AND(OR(""3x3 FMC""=C42,""3x3 MBLD""=C42),COUNTIF($C$7:indirect(""C""&amp;row()),indirect("""&amp;"C""&amp;row()))=3),""R1 - A3"",
AND(OR(""3x3 FMC""=C42,""3x3 MBLD""=C42),COUNTIF($C$7:indirect(""C""&amp;row()),indirect(""C""&amp;row()))=2),""R1 - A2"",
AND(OR(""3x3 FMC""=C42,""3x3 MBLD""=C42),COUNTIF($C$7:indirect(""C""&amp;row()),indirect(""C""&amp;row()))=1),""R1 -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C42),ROUNDUP((FILTER(Info!$H$2:H81,Info!$A$2:A81=C42)/FILTER(Info!$H$2:H81,Info!$A$2:A81=$K$2))*$I$2)&gt;99),3,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C42),ROUNDUP((FILTER(Info!$H$2:H81,Info!$A$2:A81=C42)/FILTER(Info!$H$2:H81,Info!$A$2:A81=$K$2))*$I$2)&gt;15),2,
AND(COUNTIF($C$7:indirect(""C""&amp;row()),indirect(""C""&amp;row()))=2,COUNTIF($C$7:$C$61,indirect(""C""&amp;row()))=COUNTIF($C$7:indirect("""&amp;"C""&amp;row()),indirect(""C""&amp;row()))),""Final"",
COUNTIF($C$7:indirect(""C""&amp;row()),indirect(""C""&amp;row()))=1,1,
COUNTIF($C$7:indirect(""C""&amp;row()),indirect(""C""&amp;row()))=0,"""")"),"")</f>
        <v/>
      </c>
      <c r="F42" s="44" t="str">
        <f>IFERROR(__xludf.DUMMYFUNCTION("IFS(C42="""","""",
AND(C42=""3x3 FMC"",MOD(COUNTIF($C$7:indirect(""C""&amp;row()),indirect(""C""&amp;row())),3)=0),""Mean of 3"",
AND(C42=""3x3 MBLD"",MOD(COUNTIF($C$7:indirect(""C""&amp;row()),indirect(""C""&amp;row())),3)=0),""Best of 3"",
AND(C42=""3x3 FMC"",MOD(COUNT"&amp;"IF($C$7:indirect(""C""&amp;row()),indirect(""C""&amp;row())),3)=2,
COUNTIF($C$7:$C$61,indirect(""C""&amp;row()))&lt;=COUNTIF($C$7:indirect(""C""&amp;row()),indirect(""C""&amp;row()))),""Best of 2"",
AND(C42=""3x3 FMC"",MOD(COUNTIF($C$7:indirect(""C""&amp;row()),indirect(""C""&amp;row()"&amp;")),3)=2,
COUNTIF($C$7:$C$61,indirect(""C""&amp;row()))&gt;COUNTIF($C$7:indirect(""C""&amp;row()),indirect(""C""&amp;row()))),""Mean of 3"",
AND(C42=""3x3 MBLD"",MOD(COUNTIF($C$7:indirect(""C""&amp;row()),indirect(""C""&amp;row())),3)=2,
COUNTIF($C$7:$C$61,indirect(""C""&amp;row()))"&amp;"&lt;=COUNTIF($C$7:indirect(""C""&amp;row()),indirect(""C""&amp;row()))),""Best of 2"",
AND(C42=""3x3 MBLD"",MOD(COUNTIF($C$7:indirect(""C""&amp;row()),indirect(""C""&amp;row())),3)=2,
COUNTIF($C$7:$C$61,indirect(""C""&amp;row()))&gt;COUNTIF($C$7:indirect(""C""&amp;row()),indirect(""C"&amp;"""&amp;row()))),""Best of 3"",
AND(C42=""3x3 FMC"",MOD(COUNTIF($C$7:indirect(""C""&amp;row()),indirect(""C""&amp;row())),3)=1,
COUNTIF($C$7:$C$61,indirect(""C""&amp;row()))&lt;=COUNTIF($C$7:indirect(""C""&amp;row()),indirect(""C""&amp;row()))),""Best of 1"",
AND(C42=""3x3 FMC"",MOD"&amp;"(COUNTIF($C$7:indirect(""C""&amp;row()),indirect(""C""&amp;row())),3)=1,
COUNTIF($C$7:$C$61,indirect(""C""&amp;row()))=COUNTIF($C$7:indirect(""C""&amp;row()),indirect(""C""&amp;row()))+1),""Best of 2"",
AND(C42=""3x3 FMC"",MOD(COUNTIF($C$7:indirect(""C""&amp;row()),indirect(""C"&amp;"""&amp;row())),3)=1,
COUNTIF($C$7:$C$61,indirect(""C""&amp;row()))&gt;COUNTIF($C$7:indirect(""C""&amp;row()),indirect(""C""&amp;row()))),""Mean of 3"",
AND(C42=""3x3 MBLD"",MOD(COUNTIF($C$7:indirect(""C""&amp;row()),indirect(""C""&amp;row())),3)=1,
COUNTIF($C$7:$C$61,indirect(""C"""&amp;"&amp;row()))&lt;=COUNTIF($C$7:indirect(""C""&amp;row()),indirect(""C""&amp;row()))),""Best of 1"",
AND(C42=""3x3 MBLD"",MOD(COUNTIF($C$7:indirect(""C""&amp;row()),indirect(""C""&amp;row())),3)=1,
COUNTIF($C$7:$C$61,indirect(""C""&amp;row()))=COUNTIF($C$7:indirect(""C""&amp;row()),indir"&amp;"ect(""C""&amp;row()))+1),""Best of 2"",
AND(C42=""3x3 MBLD"",MOD(COUNTIF($C$7:indirect(""C""&amp;row()),indirect(""C""&amp;row())),3)=1,
COUNTIF($C$7:$C$61,indirect(""C""&amp;row()))&gt;COUNTIF($C$7:indirect(""C""&amp;row()),indirect(""C""&amp;row()))),""Best of 3"",
TRUE,(IFERROR("&amp;"FILTER(Info!$D$2:D81, Info!$A$2:A81 = C42), """")))"),"")</f>
        <v/>
      </c>
      <c r="G42" s="45" t="str">
        <f>IFERROR(__xludf.DUMMYFUNCTION("IFS(OR(COUNTIF(Info!$A$22:A81,C42)&gt;0,C42=""""),"""",
OR(""3x3 MBLD""=C42,""3x3 FMC""=C42),60,
AND(E42=1,FILTER(Info!$F$2:F81, Info!$A$2:A81 = C42) = ""No""),FILTER(Info!$P$2:P81, Info!$A$2:A81 = C42),
AND(E42=2,FILTER(Info!$F$2:F81, Info!$A$2:A81 = C42) ="&amp;" ""No""),FILTER(Info!$Q$2:Q81, Info!$A$2:A81 = C42),
AND(E42=3,FILTER(Info!$F$2:F81, Info!$A$2:A81 = C42) = ""No""),FILTER(Info!$R$2:R81, Info!$A$2:A81 = C42),
AND(E42=""Final"",FILTER(Info!$F$2:F81, Info!$A$2:A81 = C42) = ""No""),FILTER(Info!$S$2:S81, In"&amp;"fo!$A$2:A81 = C42),
FILTER(Info!$F$2:F81, Info!$A$2:A81 = C42) = ""Yes"","""")"),"")</f>
        <v/>
      </c>
      <c r="H42" s="45" t="str">
        <f>IFERROR(__xludf.DUMMYFUNCTION("IFS(OR(COUNTIF(Info!$A$22:A81,C42)&gt;0,C42=""""),"""",
OR(""3x3 MBLD""=C42,""3x3 FMC""=C42)=TRUE,"""",
FILTER(Info!$F$2:F81, Info!$A$2:A81 = C42) = ""Yes"",FILTER(Info!$O$2:O81, Info!$A$2:A81 = C42),
FILTER(Info!$F$2:F81, Info!$A$2:A81 = C42) = ""No"",IF(G4"&amp;"2="""",FILTER(Info!$O$2:O81, Info!$A$2:A81 = C42),""""))"),"")</f>
        <v/>
      </c>
      <c r="I42" s="45" t="str">
        <f>IFERROR(__xludf.DUMMYFUNCTION("IFS(OR(COUNTIF(Info!$A$22:A81,C42)&gt;0,C42="""",H42&lt;&gt;""""),"""",
AND(E42&lt;&gt;1,E42&lt;&gt;""R1 - A1"",E42&lt;&gt;""R1 - A2"",E42&lt;&gt;""R1 - A3""),"""",
FILTER(Info!$E$2:E81, Info!$A$2:A81 = C42) = ""Yes"",IF(H42="""",FILTER(Info!$L$2:L81, Info!$A$2:A81 = C42),""""),
FILTER(I"&amp;"nfo!$E$2:E81, Info!$A$2:A81 = C42) = ""No"","""")"),"")</f>
        <v/>
      </c>
      <c r="J42" s="45" t="str">
        <f>IFERROR(__xludf.DUMMYFUNCTION("IFS(OR(COUNTIF(Info!$A$22:A81,C42)&gt;0,C42="""",""3x3 MBLD""=C42,""3x3 FMC""=C42),"""",
AND(E42=1,FILTER(Info!$H$2:H81,Info!$A$2:A81 = C42)&lt;=FILTER(Info!$H$2:H81,Info!$A$2:A81=$K$2)),
ROUNDUP((FILTER(Info!$H$2:H81,Info!$A$2:A81 = C42)/FILTER(Info!$H$2:H81,I"&amp;"nfo!$A$2:A81=$K$2))*$I$2),
AND(E42=1,FILTER(Info!$H$2:H81,Info!$A$2:A81 = C42)&gt;FILTER(Info!$H$2:H81,Info!$A$2:A81=$K$2)),""K2 - Error"",
AND(E42=2,FILTER($J$7:indirect(""J""&amp;row()-1),$C$7:indirect(""C""&amp;row()-1)=C42)&lt;=7),""J - Error"",
E42=2,FLOOR(FILTER("&amp;"$J$7:indirect(""J""&amp;row()-1),$C$7:indirect(""C""&amp;row()-1)=C42)*Info!$T$32),
AND(E42=3,FILTER($J$7:indirect(""J""&amp;row()-1),$C$7:indirect(""C""&amp;row()-1)=C42)&lt;=15),""J - Error"",
E42=3,FLOOR(Info!$T$32*FLOOR(FILTER($J$7:indirect(""J""&amp;row()-1),$C$7:indirect("&amp;"""C""&amp;row()-1)=C42)*Info!$T$32)),
AND(E42=""Final"",COUNTIF($C$7:$C$61,C42)=2,FILTER($J$7:indirect(""J""&amp;row()-1),$C$7:indirect(""C""&amp;row()-1)=C42)&lt;=7),""J - Error"",
AND(E42=""Final"",COUNTIF($C$7:$C$61,C42)=2),
MIN(P42,FLOOR(FILTER($J$7:indirect(""J""&amp;r"&amp;"ow()-1),$C$7:indirect(""C""&amp;row()-1)=C42)*Info!$T$32)),
AND(E42=""Final"",COUNTIF($C$7:$C$61,C42)=3,FILTER($J$7:indirect(""J""&amp;row()-1),$C$7:indirect(""C""&amp;row()-1)=C42)&lt;=15),""J - Error"",
AND(E42=""Final"",COUNTIF($C$7:$C$61,C42)=3),
MIN(P42,FLOOR(Info!"&amp;"$T$32*FLOOR(FILTER($J$7:indirect(""J""&amp;row()-1),$C$7:indirect(""C""&amp;row()-1)=C42)*Info!$T$32))),
AND(E42=""Final"",COUNTIF($C$7:$C$61,C42)&gt;=4,FILTER($J$7:indirect(""J""&amp;row()-1),$C$7:indirect(""C""&amp;row()-1)=C42)&lt;=99),""J - Error"",
AND(E42=""Final"",COUNT"&amp;"IF($C$7:$C$61,C42)&gt;=4),
MIN(P42,FLOOR(Info!$T$32*FLOOR(Info!$T$32*FLOOR(FILTER($J$7:indirect(""J""&amp;row()-1),$C$7:indirect(""C""&amp;row()-1)=C42)*Info!$T$32)))))"),"")</f>
        <v/>
      </c>
      <c r="K42" s="46" t="str">
        <f>IFERROR(__xludf.DUMMYFUNCTION("IFS(AND(indirect(""D""&amp;row()+2)&lt;&gt;$E$2,indirect(""D""&amp;row()+1)=""""),CONCATENATE(""Tom rad! Kopiera hela rad ""&amp;row()&amp;"" dit""),
AND(indirect(""D""&amp;row()-1)&lt;&gt;""Rum"",indirect(""D""&amp;row()-1)=""""),CONCATENATE(""Tom rad! Kopiera hela rad ""&amp;row()&amp;"" dit""),
"&amp;"C42="""","""",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OR(AND(D42&lt;&gt;$E$2,D42&lt;&gt;$E$4,D42&lt;&gt;$K$4,D42&lt;&gt;$Q$4),D42="&amp;"""""),CONCATENATE(""Rum: ""&amp;D42&amp;"" finns ej, byt i D""&amp;row()),
AND(indirect(""D""&amp;row()-1)=""Rum"",C42=""""),CONCATENATE(""För att börja: skriv i cell C""&amp;row()),
AND(C42=""Paus"",M42&lt;=0),CONCATENATE(""Skriv pausens längd i M""&amp;row()),
OR(COUNTIF(Info!$A$"&amp;"22:A81,C42)&gt;0,C42=""""),"""",
AND(D42&lt;&gt;$E$2,$O$2=""Yes"",A42=""=time(hh;mm;ss)""),CONCATENATE(""Skriv starttid för ""&amp;C42&amp;"" i A""&amp;row()),
E42=""E - Error"",CONCATENATE(""För många ""&amp;C42&amp;"" rundor!""),
AND(C42&lt;&gt;""3x3 FMC"",C42&lt;&gt;""3x3 MBLD"",E42&lt;&gt;1,E42&lt;&gt;"&amp;"""Final"",IFERROR(FILTER($E$7:indirect(""E""&amp;row()-1),
$E$7:indirect(""E""&amp;row()-1)=E42-1,$C$7:indirect(""C""&amp;row()-1)=C42))=FALSE),CONCATENATE(""Kan ej vara R""&amp;E42&amp;"", saknar R""&amp;(E42-1)),
AND(indirect(""E""&amp;row()-1)&lt;&gt;""Omgång"",IFERROR(FILTER($E$7:indi"&amp;"rect(""E""&amp;row()-1),
$E$7:indirect(""E""&amp;row()-1)=E42,$C$7:indirect(""C""&amp;row()-1)=C42)=E42)=TRUE),CONCATENATE(""Runda ""&amp;E42&amp;"" i ""&amp;C42&amp;"" finns redan""),
AND(C42&lt;&gt;""3x3 BLD"",C42&lt;&gt;""4x4 BLD"",C42&lt;&gt;""5x5 BLD"",C42&lt;&gt;""4x4 / 5x5 BLD"",OR(E42=2,E42=3,E42="&amp;"""Final""),H42&lt;&gt;""""),CONCATENATE(E42&amp;""-rundor brukar ej ha c.t.l.""),
AND(OR(E42=2,E42=3,E42=""Final""),I42&lt;&gt;""""),CONCATENATE(E42&amp;""-rundor brukar ej ha cutoff""),
AND(OR(C42=""3x3 FMC"",C42=""3x3 MBLD""),OR(E42=1,E42=2,E42=3,E42=""Final"")),CONCATENAT"&amp;"E(C42&amp;""s omgång är Rx - Ax""),
AND(C42&lt;&gt;""3x3 MBLD"",C42&lt;&gt;""3x3 FMC"",FILTER(Info!$D$2:D81, Info!$A$2:A81 = C42)&lt;&gt;F42),CONCATENATE(C42&amp;"" måste ha formatet ""&amp;FILTER(Info!$D$2:D81, Info!$A$2:A81 = C42)),
AND(C42=""3x3 MBLD"",OR(F42=""Avg of 5"",F42=""Mea"&amp;"n of 3"")),CONCATENATE(""Ogiltigt format för ""&amp;C42),
AND(C42=""3x3 FMC"",OR(F42=""Avg of 5"",F42=""Best of 3"")),CONCATENATE(""Ogiltigt format för ""&amp;C42),
AND(OR(F42=""Best of 1"",F42=""Best of 2"",F42=""Best of 3""),I42&lt;&gt;""""),CONCATENATE(F42&amp;""-rundor"&amp;" får ej ha cutoff""),
AND(OR(C42=""3x3 FMC"",C42=""3x3 MBLD""),G42&lt;&gt;60),CONCATENATE(C42&amp;"" måste ha time limit: 60""),
AND(OR(C42=""3x3 FMC"",C42=""3x3 MBLD""),H42&lt;&gt;""""),CONCATENATE(C42&amp;"" kan inte ha c.t.l.""),
AND(G42&lt;&gt;"""",H42&lt;&gt;""""),""Välj time limit"&amp;" ELLER c.t.l"",
AND(C42=""6x6 / 7x7"",G42="""",H42=""""),""Sätt time limit (x / y) eller c.t.l (z)"",
AND(G42="""",H42=""""),""Sätt en time limit eller c.t.l"",
AND(OR(C42=""6x6 / 7x7"",C42=""4x4 / 5x5 BLD""),G42&lt;&gt;"""",REGEXMATCH(TO_TEXT(G42),"" / "")=FAL"&amp;"SE),CONCATENATE(""Time limit måste vara x / y""),
AND(H42&lt;&gt;"""",I42&lt;&gt;""""),CONCATENATE(C42&amp;"" brukar ej ha cutoff OCH c.t.l""),
AND(E42=1,H42="""",I42="""",OR(FILTER(Info!$E$2:E81, Info!$A$2:A81 = C42) = ""Yes"",FILTER(Info!$F$2:F81, Info!$A$2:A81 = C42) "&amp;"= ""Yes""),OR(F42=""Avg of 5"",F42=""Mean of 3"")),CONCATENATE(C42&amp;"" bör ha cutoff eller c.t.l""),
AND(C42=""6x6 / 7x7"",I42&lt;&gt;"""",REGEXMATCH(TO_TEXT(I42),"" / "")=FALSE),CONCATENATE(""Cutoff måste vara x / y""),
AND(H42&lt;&gt;"""",ISNUMBER(H42)=FALSE),""C.t."&amp;"l. måste vara positivt tal (x)"",
AND(C42&lt;&gt;""6x6 / 7x7"",I42&lt;&gt;"""",ISNUMBER(I42)=FALSE),""Cutoff måste vara positivt tal (x)"",
AND(H42&lt;&gt;"""",FILTER(Info!$E$2:E81, Info!$A$2:A81 = C42) = ""No"",FILTER(Info!$F$2:F81, Info!$A$2:A81 = C42) = ""No""),CONCATEN"&amp;"ATE(C42&amp;"" brukar inte ha c.t.l.""),
AND(I42&lt;&gt;"""",FILTER(Info!$E$2:E81, Info!$A$2:A81 = C42) = ""No"",FILTER(Info!$F$2:F81, Info!$A$2:A81 = C42) = ""No""),CONCATENATE(C42&amp;"" brukar inte ha cutoff""),
AND(H42="""",FILTER(Info!$F$2:F81, Info!$A$2:A81 = C42"&amp;") = ""Yes""),CONCATENATE(C42&amp;"" brukar ha c.t.l.""),
AND(C42&lt;&gt;""6x6 / 7x7"",C42&lt;&gt;""4x4 / 5x5 BLD"",G42&lt;&gt;"""",ISNUMBER(G42)=FALSE),""Time limit måste vara positivt tal (x)"",
J42=""J - Error"",CONCATENATE(""För få deltagare i R1 för ""&amp;COUNTIF($C$7:$C$61,i"&amp;"ndirect(""C""&amp;row()))&amp;"" rundor""),
J42=""K2 - Error"",CONCATENATE(C42&amp;"" är mer populär - byt i K2!""),
AND(C42&lt;&gt;""6x6 / 7x7"",C42&lt;&gt;""4x4 / 5x5 BLD"",G42&lt;&gt;"""",I42&lt;&gt;"""",G42&lt;=I42),""Time limit måste vara &gt; cutoff"",
AND(C42&lt;&gt;""6x6 / 7x7"",C42&lt;&gt;""4x4 / 5x"&amp;"5 BLD"",H42&lt;&gt;"""",I42&lt;&gt;"""",H42&lt;=I42),""C.t.l. måste vara &gt; cutoff"",
AND(C42&lt;&gt;""3x3 FMC"",C42&lt;&gt;""3x3 MBLD"",J42=""""),CONCATENATE(""Fyll i antal deltagare i J""&amp;row()),
AND(C42="""",OR(E42&lt;&gt;"""",F42&lt;&gt;"""",G42&lt;&gt;"""",H42&lt;&gt;"""",I42&lt;&gt;"""",J42&lt;&gt;"""")),""Skriv"&amp;" ALLTID gren / aktivitet först"",
AND(I42="""",H42="""",J42&lt;&gt;""""),J42,
OR(""3x3 FMC""=C42,""3x3 MBLD""=C42),J42,
AND(I42&lt;&gt;"""",""6x6 / 7x7""=C42),
IFS(ArrayFormula(SUM(IFERROR(SPLIT(I42,"" / ""))))&lt;(Info!$J$6+Info!$J$7)*2/3,CONCATENATE(""Höj helst cutoff"&amp;"s i ""&amp;C42),
ArrayFormula(SUM(IFERROR(SPLIT(I42,"" / ""))))&lt;=(Info!$J$6+Info!$J$7),ROUNDUP(J42*Info!$J$22),
ArrayFormula(SUM(IFERROR(SPLIT(I42,"" / ""))))&lt;=Info!$J$6+Info!$J$7,ROUNDUP(J42*Info!$K$22),
ArrayFormula(SUM(IFERROR(SPLIT(I42,"" / ""))))&lt;=Info!$"&amp;"K$6+Info!$K$7,ROUNDUP(J42*Info!L$22),
ArrayFormula(SUM(IFERROR(SPLIT(I42,"" / ""))))&lt;=Info!$L$6+Info!$L$7,ROUNDUP(J42*Info!$M$22),
ArrayFormula(SUM(IFERROR(SPLIT(I42,"" / ""))))&lt;=Info!$M$6+Info!$M$7,ROUNDUP(J42*Info!$N$22),
ArrayFormula(SUM(IFERROR(SPLIT("&amp;"I42,"" / ""))))&lt;=(Info!$N$6+Info!$N$7)*3/2,ROUNDUP(J42*Info!$J$26),
ArrayFormula(SUM(IFERROR(SPLIT(I42,"" / ""))))&gt;(Info!$N$6+Info!$N$7)*3/2,CONCATENATE(""Sänk helst cutoffs i ""&amp;C42)),
AND(I42&lt;&gt;"""",FILTER(Info!$E$2:E81, Info!$A$2:A81 = C42) = ""Yes""),
"&amp;"IFS(I42&lt;FILTER(Info!$J$2:J81, Info!$A$2:A81 = C42)*2/3,CONCATENATE(""Höj helst cutoff i ""&amp;C42),
I42&lt;=FILTER(Info!$J$2:J81, Info!$A$2:A81 = C42),ROUNDUP(J42*Info!$J$22),
I42&lt;=FILTER(Info!$K$2:K81, Info!$A$2:A81 = C42),ROUNDUP(J42*Info!$K$22),
I42&lt;=FILTER("&amp;"Info!$L$2:L81, Info!$A$2:A81 = C42),ROUNDUP(J42*Info!L$22),
I42&lt;=FILTER(Info!$M$2:M81, Info!$A$2:A81 = C42),ROUNDUP(J42*Info!$M$22),
I42&lt;=FILTER(Info!$N$2:N81, Info!$A$2:A81 = C42),ROUNDUP(J42*Info!$N$22),
I42&lt;=FILTER(Info!$N$2:N81, Info!$A$2:A81 = C42)*3"&amp;"/2,ROUNDUP(J42*Info!$J$26),
I42&gt;FILTER(Info!$N$2:N81, Info!$A$2:A81 = C42)*3/2,CONCATENATE(""Sänk helst cutoff i ""&amp;C42)),
AND(H42&lt;&gt;"""",""6x6 / 7x7""=C42),
IFS(H42/3&lt;=(Info!$J$6+Info!$J$7)*2/3,""Höj helst cumulative time limit"",
H42/3&lt;=Info!$J$6+Info!$J"&amp;"$7,ROUNDUP(J42*Info!$J$24),
H42/3&lt;=Info!$K$6+Info!$K$7,ROUNDUP(J42*Info!$K$24),
H42/3&lt;=Info!$L$6+Info!$L$7,ROUNDUP(J42*Info!L$24),
H42/3&lt;=Info!$M$6+Info!$M$7,ROUNDUP(J42*Info!$M$24),
H42/3&lt;=Info!$N$6+Info!$N$7,ROUNDUP(J42*Info!$N$24),
H42/3&lt;=(Info!$N$6+In"&amp;"fo!$N$7)*3/2,ROUNDUP(J42*Info!$L$26),
H42/3&gt;(Info!$J$6+Info!$J$7)*3/2,""Sänk helst cumulative time limit""),
AND(H42&lt;&gt;"""",FILTER(Info!$F$2:F81, Info!$A$2:A81 = C42) = ""Yes""),
IFS(H42&lt;=FILTER(Info!$J$2:J81, Info!$A$2:A81 = C42)*2/3,CONCATENATE(""Höj hel"&amp;"st c.t.l. i ""&amp;C42),
H42&lt;=FILTER(Info!$J$2:J81, Info!$A$2:A81 = C42),ROUNDUP(J42*Info!$J$24),
H42&lt;=FILTER(Info!$K$2:K81, Info!$A$2:A81 = C42),ROUNDUP(J42*Info!$K$24),
H42&lt;=FILTER(Info!$L$2:L81, Info!$A$2:A81 = C42),ROUNDUP(J42*Info!L$24),
H42&lt;=FILTER(Info"&amp;"!$M$2:M81, Info!$A$2:A81 = C42),ROUNDUP(J42*Info!$M$24),
H42&lt;=FILTER(Info!$N$2:N81, Info!$A$2:A81 = C42),ROUNDUP(J42*Info!$N$24),
H42&lt;=FILTER(Info!$N$2:N81, Info!$A$2:A81 = C42)*3/2,ROUNDUP(J42*Info!$L$26),
H42&gt;FILTER(Info!$N$2:N81, Info!$A$2:A81 = C42)*3"&amp;"/2,CONCATENATE(""Sänk helst c.t.l. i ""&amp;C42)),
AND(H42&lt;&gt;"""",FILTER(Info!$F$2:F81, Info!$A$2:A81 = C42) = ""No""),
IFS(H42/AA42&lt;=FILTER(Info!$J$2:J81, Info!$A$2:A81 = C42)*2/3,CONCATENATE(""Höj helst c.t.l. i ""&amp;C42),
H42/AA42&lt;=FILTER(Info!$J$2:J81, Info!"&amp;"$A$2:A81 = C42),ROUNDUP(J42*Info!$J$24),
H42/AA42&lt;=FILTER(Info!$K$2:K81, Info!$A$2:A81 = C42),ROUNDUP(J42*Info!$K$24),
H42/AA42&lt;=FILTER(Info!$L$2:L81, Info!$A$2:A81 = C42),ROUNDUP(J42*Info!L$24),
H42/AA42&lt;=FILTER(Info!$M$2:M81, Info!$A$2:A81 = C42),ROUNDU"&amp;"P(J42*Info!$M$24),
H42/AA42&lt;=FILTER(Info!$N$2:N81, Info!$A$2:A81 = C42),ROUNDUP(J42*Info!$N$24),
H42/AA42&lt;=FILTER(Info!$N$2:N81, Info!$A$2:A81 = C42)*3/2,ROUNDUP(J42*Info!$L$26),
H42/AA42&gt;FILTER(Info!$N$2:N81, Info!$A$2:A81 = C42)*3/2,CONCATENATE(""Sänk h"&amp;"elst c.t.l. i ""&amp;C42)),
AND(I42="""",H42&lt;&gt;"""",J42&lt;&gt;""""),ROUNDUP(J42*Info!$T$29),
AND(I42&lt;&gt;"""",H42="""",J42&lt;&gt;""""),ROUNDUP(J42*Info!$T$26))"),"")</f>
        <v/>
      </c>
      <c r="L42" s="47">
        <f>IFERROR(__xludf.DUMMYFUNCTION("IFS(C42="""",0,
C42=""3x3 FMC"",Info!$B$9*N42+M42, C42=""3x3 MBLD"",Info!$B$18*N42+M42,
COUNTIF(Info!$A$22:A81,C42)&gt;0,FILTER(Info!$B$22:B81,Info!$A$22:A81=C42)+M42,
AND(C42&lt;&gt;"""",E42=""""),CONCATENATE(""Fyll i E""&amp;row()),
AND(C42&lt;&gt;"""",E42&lt;&gt;"""",E42&lt;&gt;1,E4"&amp;"2&lt;&gt;2,E42&lt;&gt;3,E42&lt;&gt;""Final""),CONCATENATE(""Fel format på E""&amp;row()),
K42=CONCATENATE(""Runda ""&amp;E42&amp;"" i ""&amp;C42&amp;"" finns redan""),CONCATENATE(""Fel i E""&amp;row()),
AND(C42&lt;&gt;"""",F42=""""),CONCATENATE(""Fyll i F""&amp;row()),
K42=CONCATENATE(C42&amp;"" måste ha forma"&amp;"tet ""&amp;FILTER(Info!$D$2:D81, Info!$A$2:A81 = C42)),CONCATENATE(""Fel format på F""&amp;row()),
AND(C42&lt;&gt;"""",D42=1,H42="""",FILTER(Info!$F$2:F81, Info!$A$2:A81 = C42) = ""Yes""),CONCATENATE(""Fyll i H""&amp;row()),
AND(C42&lt;&gt;"""",D42=1,I42="""",FILTER(Info!$E$2:E8"&amp;"1, Info!$A$2:A81 = C42) = ""Yes""),CONCATENATE(""Fyll i I""&amp;row()),
AND(C42&lt;&gt;"""",J42=""""),CONCATENATE(""Fyll i J""&amp;row()),
AND(C42&lt;&gt;"""",K42="""",OR(H42&lt;&gt;"""",I42&lt;&gt;"""")),CONCATENATE(""Fyll i K""&amp;row()),
AND(C42&lt;&gt;"""",K42=""""),CONCATENATE(""Skriv samma"&amp;" i K""&amp;row()&amp;"" som i J""&amp;row()),
AND(OR(C42=""4x4 BLD"",C42=""5x5 BLD"",C42=""4x4 / 5x5 BLD"")=TRUE,V42&lt;=P42),
MROUND(H42*(Info!$T$20-((Info!$T$20-1)/2)*(1-V42/P42))*(1+((J42/K42)-1)*(1-Info!$J$24))*N42+(Info!$T$11/2)+(N42*Info!$T$11)+(N42*Info!$T$14*(O4"&amp;"2-1)),0.01)+M42,
AND(OR(C42=""4x4 BLD"",C42=""5x5 BLD"",C42=""4x4 / 5x5 BLD"")=TRUE,V42&gt;P42),
MROUND((((J42*Z42+K42*(AA42-Z42))*(H42*Info!$T$20/AA42))/X42)*(1+((J42/K42)-1)*(1-Info!$J$24))*(1+(X42-Info!$T$8)/100)+(Info!$T$11/2)+(N42*Info!$T$11)+(N42*Info!"&amp;"$T$14*(O42-1)),0.01)+M42,
AND(C42=""3x3 BLD"",V42&lt;=P42),
MROUND(H42*(Info!$T$23-((Info!$T$23-1)/2)*(1-V42/P42))*(1+((J42/K42)-1)*(1-Info!$J$24))*N42+(Info!$T$11/2)+(N42*Info!$T$11)+(N42*Info!$T$14*(O42-1)),0.01)+M42,
AND(C42=""3x3 BLD"",V42&gt;P42),
MROUND(("&amp;"((J42*Z42+K42*(AA42-Z42))*(H42*Info!$T$23/AA42))/X42)*(1+((J42/K42)-1)*(1-Info!$J$24))*(1+(X42-Info!$T$8)/100)+(Info!$T$11/2)+(N42*Info!$T$11)+(N42*Info!$T$14*(O42-1)),0.01)+M42,
E42=1,MROUND((((J42*Z42+K42*(AA42-Z42))*Y42)/X42)*(1+(X42-Info!$T$8)/100)+(N"&amp;"42*Info!$T$11)+(N42*Info!$T$14*(O42-1)),0.01)+M42,
AND(E42=""Final"",N42=1,FILTER(Info!$G$2:$G$20,Info!$A$2:$A$20=C42)=""Mycket svår""),
MROUND((((J42*Z42+K42*(AA42-Z42))*(Y42*Info!$T$38))/X42)*(1+(X42-Info!$T$8)/100)+(N42*Info!$T$11)+(N42*Info!$T$14*(O42"&amp;"-1)),0.01)+M42,
AND(E42=""Final"",N42=1,FILTER(Info!$G$2:$G$20,Info!$A$2:$A$20=C42)=""Svår""),
MROUND((((J42*Z42+K42*(AA42-Z42))*(Y42*Info!$T$35))/X42)*(1+(X42-Info!$T$8)/100)+(N42*Info!$T$11)+(N42*Info!$T$14*(O42-1)),0.01)+M42,
E42=""Final"",MROUND((((J4"&amp;"2*Z42+K42*(AA42-Z42))*(Y42*Info!$T$5))/X42)*(1+(X42-Info!$T$8)/100)+(N42*Info!$T$11)+(N42*Info!$T$14*(O42-1)),0.01)+M42,
OR(E42=2,E42=3),MROUND((((J42*Z42+K42*(AA42-Z42))*(Y42*Info!$T$2))/X42)*(1+(X42-Info!$T$8)/100)+(N42*Info!$T$11)+(N42*Info!$T$14*(O42-"&amp;"1)),0.01)+M42)"),0.0)</f>
        <v>0</v>
      </c>
      <c r="M42" s="48">
        <f t="shared" si="4"/>
        <v>0</v>
      </c>
      <c r="N42" s="48" t="str">
        <f>IFS(OR(COUNTIF(Info!$A$22:A81,C42)&gt;0,C42=""),"",
OR(C42="4x4 BLD",C42="5x5 BLD",C42="3x3 MBLD",C42="3x3 FMC",C42="4x4 / 5x5 BLD"),1,
AND(E42="Final",Q42="Yes",MAX(1,ROUNDUP(J42/P42))&gt;1),MAX(2,ROUNDUP(J42/P42)),
AND(E42="Final",Q42="No",MAX(1,ROUNDUP(J42/((P42*2)+2.625-Y42*1.5)))&gt;1),MAX(2,ROUNDUP(J42/((P42*2)+2.625-Y42*1.5))),
E42="Final",1,
Q42="Yes",MAX(2,ROUNDUP(J42/P42)),
TRUE,MAX(2,ROUNDUP(J42/((P42*2)+2.625-Y42*1.5))))</f>
        <v/>
      </c>
      <c r="O42" s="48" t="str">
        <f>IFS(OR(COUNTIF(Info!$A$22:A81,C42)&gt;0,C42=""),"",
OR("3x3 MBLD"=C42,"3x3 FMC"=C42)=TRUE,"",
D42=$E$4,$G$6,D42=$K$4,$M$6,D42=$Q$4,$S$6,D42=$W$4,$Y$6,
TRUE,$S$2)</f>
        <v/>
      </c>
      <c r="P42" s="48" t="str">
        <f>IFS(OR(COUNTIF(Info!$A$22:A81,C42)&gt;0,C42=""),"",
OR("3x3 MBLD"=C42,"3x3 FMC"=C42)=TRUE,"",
D42=$E$4,$E$6,D42=$K$4,$K$6,D42=$Q$4,$Q$6,D42=$W$4,$W$6,
TRUE,$Q$2)</f>
        <v/>
      </c>
      <c r="Q42" s="49" t="str">
        <f>IFS(OR(COUNTIF(Info!$A$22:A81,C42)&gt;0,C42=""),"",
OR("3x3 MBLD"=C42,"3x3 FMC"=C42)=TRUE,"",
D42=$E$4,$I$6,D42=$K$4,$O$6,D42=$Q$4,$U$6,D42=$W$4,$AA$6,
TRUE,$U$2)</f>
        <v/>
      </c>
      <c r="R42" s="50" t="str">
        <f>IFERROR(__xludf.DUMMYFUNCTION("IF(C42="""","""",IFERROR(FILTER(Info!$B$22:B81,Info!$A$22:A81=C42)+M42,""?""))"),"")</f>
        <v/>
      </c>
      <c r="S42" s="51" t="str">
        <f>IFS(OR(COUNTIF(Info!$A$22:A81,C42)&gt;0,C42=""),"",
AND(H42="",I42=""),J42,
TRUE,"?")</f>
        <v/>
      </c>
      <c r="T42" s="52" t="str">
        <f>IFS(OR(COUNTIF(Info!$A$22:A81,C42)&gt;0,C42=""),"",
AND(L42&lt;&gt;0,OR(R42="?",R42="")),"Fyll i R-kolumnen",
OR(C42="3x3 FMC",C42="3x3 MBLD"),R42,
AND(L42&lt;&gt;0,OR(S42="?",S42="")),"Fyll i S-kolumnen",
OR(COUNTIF(Info!$A$22:A81,C42)&gt;0,C42=""),"",
TRUE,Y42*R42/L42)</f>
        <v/>
      </c>
      <c r="U42" s="52"/>
      <c r="V42" s="53" t="str">
        <f>IFS(OR(COUNTIF(Info!$A$22:A81,C42)&gt;0,C42=""),"",
OR("3x3 MBLD"=C42,"3x3 FMC"=C42)=TRUE,"",
TRUE,MROUND((J42/N42),0.01))</f>
        <v/>
      </c>
      <c r="W42" s="54" t="str">
        <f>IFS(OR(COUNTIF(Info!$A$22:A81,C42)&gt;0,C42=""),"",
TRUE,L42/N42)</f>
        <v/>
      </c>
      <c r="X42" s="55" t="str">
        <f>IFS(OR(COUNTIF(Info!$A$22:A81,C42)&gt;0,C42=""),"",
OR("3x3 MBLD"=C42,"3x3 FMC"=C42)=TRUE,"",
OR(C42="4x4 BLD",C42="5x5 BLD",C42="4x4 / 5x5 BLD",AND(C42="3x3 BLD",H42&lt;&gt;""))=TRUE,MIN(V42,P42),
TRUE,MIN(P42,V42,MROUND(((V42*2/3)+((Y42-1.625)/2)),0.01)))</f>
        <v/>
      </c>
      <c r="Y42" s="56" t="str">
        <f>IFERROR(__xludf.DUMMYFUNCTION("IFS(OR(COUNTIF(Info!$A$22:A81,C42)&gt;0,C42=""""),"""",
FILTER(Info!$F$2:F81, Info!$A$2:A81 = C42) = ""Yes"",H42/AA42,
""3x3 FMC""=C42,Info!$B$9,""3x3 MBLD""=C42,Info!$B$18,
AND(E42=1,I42="""",H42="""",Q42=""No"",G42&gt;SUMIF(Info!$A$2:A81,C42,Info!$B$2:B81)*1."&amp;"5),
MIN(SUMIF(Info!$A$2:A81,C42,Info!$B$2:B81)*1.1,SUMIF(Info!$A$2:A81,C42,Info!$B$2:B81)*(1.15-(0.15*(SUMIF(Info!$A$2:A81,C42,Info!$B$2:B81)*1.5)/G42))),
AND(E42=1,I42="""",H42="""",Q42=""Yes"",G42&gt;SUMIF(Info!$A$2:A81,C42,Info!$C$2:C81)*1.5),
MIN(SUMIF(I"&amp;"nfo!$A$2:A81,C42,Info!$C$2:C81)*1.1,SUMIF(Info!$A$2:A81,C42,Info!$C$2:C81)*(1.15-(0.15*(SUMIF(Info!$A$2:A81,C42,Info!$C$2:C81)*1.5)/G42))),
Q42=""No"",SUMIF(Info!$A$2:A81,C42,Info!$B$2:B81),
Q42=""Yes"",SUMIF(Info!$A$2:A81,C42,Info!$C$2:C81))"),"")</f>
        <v/>
      </c>
      <c r="Z42" s="57" t="str">
        <f>IFS(OR(COUNTIF(Info!$A$22:A81,C42)&gt;0,C42=""),"",
AND(OR("3x3 FMC"=C42,"3x3 MBLD"=C42),I42&lt;&gt;""),1,
AND(OR(H42&lt;&gt;"",I42&lt;&gt;""),F42="Avg of 5"),2,
F42="Avg of 5",AA42,
AND(OR(H42&lt;&gt;"",I42&lt;&gt;""),F42="Mean of 3",C42="6x6 / 7x7"),2,
AND(OR(H42&lt;&gt;"",I42&lt;&gt;""),F42="Mean of 3"),1,
F42="Mean of 3",AA42,
AND(OR(H42&lt;&gt;"",I42&lt;&gt;""),F42="Best of 3",C42="4x4 / 5x5 BLD"),2,
AND(OR(H42&lt;&gt;"",I42&lt;&gt;""),F42="Best of 3"),1,
F42="Best of 2",AA42,
F42="Best of 1",AA42)</f>
        <v/>
      </c>
      <c r="AA42" s="57" t="str">
        <f>IFS(OR(COUNTIF(Info!$A$22:A81,C42)&gt;0,C42=""),"",
AND(OR("3x3 MBLD"=C42,"3x3 FMC"=C42),F42="Best of 1"=TRUE),1,
AND(OR("3x3 MBLD"=C42,"3x3 FMC"=C42),F42="Best of 2"=TRUE),2,
AND(OR("3x3 MBLD"=C42,"3x3 FMC"=C42),OR(F42="Best of 3",F42="Mean of 3")=TRUE),3,
AND(F42="Mean of 3",C42="6x6 / 7x7"),6,
AND(F42="Best of 3",C42="4x4 / 5x5 BLD"),6,
F42="Avg of 5",5,F42="Mean of 3",3,F42="Best of 3",3,F42="Best of 2",2,F42="Best of 1",1)</f>
        <v/>
      </c>
      <c r="AB42" s="58"/>
    </row>
    <row r="43">
      <c r="A43" s="40">
        <f>IFERROR(__xludf.DUMMYFUNCTION("IFS(indirect(""A""&amp;row()-1)=""Start"",TIME(indirect(""A""&amp;row()-2),indirect(""B""&amp;row()-2),0),
$O$2=""No"",TIME(0,($A$6*60+$B$6)+CEILING(SUM($L$7:indirect(""L""&amp;row()-1)),5),0),
D43=$E$2,TIME(0,($A$6*60+$B$6)+CEILING(SUM(IFERROR(FILTER($L$7:indirect(""L"""&amp;"&amp;row()-1),REGEXMATCH($D$7:indirect(""D""&amp;row()-1),$E$2)),0)),5),0),
TRUE,""=time(hh;mm;ss)"")"),0.375)</f>
        <v>0.375</v>
      </c>
      <c r="B43" s="41">
        <f>IFERROR(__xludf.DUMMYFUNCTION("IFS($O$2=""No"",TIME(0,($A$6*60+$B$6)+CEILING(SUM($L$7:indirect(""L""&amp;row())),5),0),
D43=$E$2,TIME(0,($A$6*60+$B$6)+CEILING(SUM(FILTER($L$7:indirect(""L""&amp;row()),REGEXMATCH($D$7:indirect(""D""&amp;row()),$E$2))),5),0),
A43=""=time(hh;mm;ss)"",CONCATENATE(""Sk"&amp;"riv tid i A""&amp;row()),
AND(A43&lt;&gt;"""",A43&lt;&gt;""=time(hh;mm;ss)""),A43+TIME(0,CEILING(indirect(""L""&amp;row()),5),0))"),0.375)</f>
        <v>0.375</v>
      </c>
      <c r="C43" s="42"/>
      <c r="D43" s="43" t="str">
        <f t="shared" si="3"/>
        <v>Stora salen</v>
      </c>
      <c r="E43" s="43" t="str">
        <f>IFERROR(__xludf.DUMMYFUNCTION("IFS(COUNTIF(Info!$A$22:A81,C43)&gt;0,"""",
AND(OR(""3x3 FMC""=C43,""3x3 MBLD""=C43),COUNTIF($C$7:indirect(""C""&amp;row()),indirect(""C""&amp;row()))&gt;=13),""E - Error"",
AND(OR(""3x3 FMC""=C43,""3x3 MBLD""=C43),COUNTIF($C$7:indirect(""C""&amp;row()),indirect(""C""&amp;row()"&amp;"))=12),""Final - A3"",
AND(OR(""3x3 FMC""=C43,""3x3 MBLD""=C43),COUNTIF($C$7:indirect(""C""&amp;row()),indirect(""C""&amp;row()))=11),""Final - A2"",
AND(OR(""3x3 FMC""=C43,""3x3 MBLD""=C43),COUNTIF($C$7:indirect(""C""&amp;row()),indirect(""C""&amp;row()))=10),""Final - "&amp;"A1"",
AND(OR(""3x3 FMC""=C43,""3x3 MBLD""=C43),COUNTIF($C$7:indirect(""C""&amp;row()),indirect(""C""&amp;row()))=9,
COUNTIF($C$7:$C$61,indirect(""C""&amp;row()))&gt;9),""R3 - A3"",
AND(OR(""3x3 FMC""=C43,""3x3 MBLD""=C43),COUNTIF($C$7:indirect(""C""&amp;row()),indirect(""C"&amp;"""&amp;row()))=9,
COUNTIF($C$7:$C$61,indirect(""C""&amp;row()))&lt;=9),""Final - A3"",
AND(OR(""3x3 FMC""=C43,""3x3 MBLD""=C43),COUNTIF($C$7:indirect(""C""&amp;row()),indirect(""C""&amp;row()))=8,
COUNTIF($C$7:$C$61,indirect(""C""&amp;row()))&gt;9),""R3 - A2"",
AND(OR(""3x3 FMC""="&amp;"C43,""3x3 MBLD""=C43),COUNTIF($C$7:indirect(""C""&amp;row()),indirect(""C""&amp;row()))=8,
COUNTIF($C$7:$C$61,indirect(""C""&amp;row()))&lt;=9),""Final - A2"",
AND(OR(""3x3 FMC""=C43,""3x3 MBLD""=C43),COUNTIF($C$7:indirect(""C""&amp;row()),indirect(""C""&amp;row()))=7,
COUNTIF("&amp;"$C$7:$C$61,indirect(""C""&amp;row()))&gt;9),""R3 - A1"",
AND(OR(""3x3 FMC""=C43,""3x3 MBLD""=C43),COUNTIF($C$7:indirect(""C""&amp;row()),indirect(""C""&amp;row()))=7,
COUNTIF($C$7:$C$61,indirect(""C""&amp;row()))&lt;=9),""Final - A1"",
AND(OR(""3x3 FMC""=C43,""3x3 MBLD""=C43),"&amp;"COUNTIF($C$7:indirect(""C""&amp;row()),indirect(""C""&amp;row()))=6,
COUNTIF($C$7:$C$61,indirect(""C""&amp;row()))&gt;6),""R2 - A3"",
AND(OR(""3x3 FMC""=C43,""3x3 MBLD""=C43),COUNTIF($C$7:indirect(""C""&amp;row()),indirect(""C""&amp;row()))=6,
COUNTIF($C$7:$C$61,indirect(""C""&amp;"&amp;"row()))&lt;=6),""Final - A3"",
AND(OR(""3x3 FMC""=C43,""3x3 MBLD""=C43),COUNTIF($C$7:indirect(""C""&amp;row()),indirect(""C""&amp;row()))=5,
COUNTIF($C$7:$C$61,indirect(""C""&amp;row()))&gt;6),""R2 - A2"",
AND(OR(""3x3 FMC""=C43,""3x3 MBLD""=C43),COUNTIF($C$7:indirect(""C"&amp;"""&amp;row()),indirect(""C""&amp;row()))=5,
COUNTIF($C$7:$C$61,indirect(""C""&amp;row()))&lt;=6),""Final - A2"",
AND(OR(""3x3 FMC""=C43,""3x3 MBLD""=C43),COUNTIF($C$7:indirect(""C""&amp;row()),indirect(""C""&amp;row()))=4,
COUNTIF($C$7:$C$61,indirect(""C""&amp;row()))&gt;6),""R2 - A1"&amp;""",
AND(OR(""3x3 FMC""=C43,""3x3 MBLD""=C43),COUNTIF($C$7:indirect(""C""&amp;row()),indirect(""C""&amp;row()))=4,
COUNTIF($C$7:$C$61,indirect(""C""&amp;row()))&lt;=6),""Final - A1"",
AND(OR(""3x3 FMC""=C43,""3x3 MBLD""=C43),COUNTIF($C$7:indirect(""C""&amp;row()),indirect("""&amp;"C""&amp;row()))=3),""R1 - A3"",
AND(OR(""3x3 FMC""=C43,""3x3 MBLD""=C43),COUNTIF($C$7:indirect(""C""&amp;row()),indirect(""C""&amp;row()))=2),""R1 - A2"",
AND(OR(""3x3 FMC""=C43,""3x3 MBLD""=C43),COUNTIF($C$7:indirect(""C""&amp;row()),indirect(""C""&amp;row()))=1),""R1 -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C43),ROUNDUP((FILTER(Info!$H$2:H81,Info!$A$2:A81=C43)/FILTER(Info!$H$2:H81,Info!$A$2:A81=$K$2))*$I$2)&gt;99),3,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C43),ROUNDUP((FILTER(Info!$H$2:H81,Info!$A$2:A81=C43)/FILTER(Info!$H$2:H81,Info!$A$2:A81=$K$2))*$I$2)&gt;15),2,
AND(COUNTIF($C$7:indirect(""C""&amp;row()),indirect(""C""&amp;row()))=2,COUNTIF($C$7:$C$61,indirect(""C""&amp;row()))=COUNTIF($C$7:indirect("""&amp;"C""&amp;row()),indirect(""C""&amp;row()))),""Final"",
COUNTIF($C$7:indirect(""C""&amp;row()),indirect(""C""&amp;row()))=1,1,
COUNTIF($C$7:indirect(""C""&amp;row()),indirect(""C""&amp;row()))=0,"""")"),"")</f>
        <v/>
      </c>
      <c r="F43" s="44" t="str">
        <f>IFERROR(__xludf.DUMMYFUNCTION("IFS(C43="""","""",
AND(C43=""3x3 FMC"",MOD(COUNTIF($C$7:indirect(""C""&amp;row()),indirect(""C""&amp;row())),3)=0),""Mean of 3"",
AND(C43=""3x3 MBLD"",MOD(COUNTIF($C$7:indirect(""C""&amp;row()),indirect(""C""&amp;row())),3)=0),""Best of 3"",
AND(C43=""3x3 FMC"",MOD(COUNT"&amp;"IF($C$7:indirect(""C""&amp;row()),indirect(""C""&amp;row())),3)=2,
COUNTIF($C$7:$C$61,indirect(""C""&amp;row()))&lt;=COUNTIF($C$7:indirect(""C""&amp;row()),indirect(""C""&amp;row()))),""Best of 2"",
AND(C43=""3x3 FMC"",MOD(COUNTIF($C$7:indirect(""C""&amp;row()),indirect(""C""&amp;row()"&amp;")),3)=2,
COUNTIF($C$7:$C$61,indirect(""C""&amp;row()))&gt;COUNTIF($C$7:indirect(""C""&amp;row()),indirect(""C""&amp;row()))),""Mean of 3"",
AND(C43=""3x3 MBLD"",MOD(COUNTIF($C$7:indirect(""C""&amp;row()),indirect(""C""&amp;row())),3)=2,
COUNTIF($C$7:$C$61,indirect(""C""&amp;row()))"&amp;"&lt;=COUNTIF($C$7:indirect(""C""&amp;row()),indirect(""C""&amp;row()))),""Best of 2"",
AND(C43=""3x3 MBLD"",MOD(COUNTIF($C$7:indirect(""C""&amp;row()),indirect(""C""&amp;row())),3)=2,
COUNTIF($C$7:$C$61,indirect(""C""&amp;row()))&gt;COUNTIF($C$7:indirect(""C""&amp;row()),indirect(""C"&amp;"""&amp;row()))),""Best of 3"",
AND(C43=""3x3 FMC"",MOD(COUNTIF($C$7:indirect(""C""&amp;row()),indirect(""C""&amp;row())),3)=1,
COUNTIF($C$7:$C$61,indirect(""C""&amp;row()))&lt;=COUNTIF($C$7:indirect(""C""&amp;row()),indirect(""C""&amp;row()))),""Best of 1"",
AND(C43=""3x3 FMC"",MOD"&amp;"(COUNTIF($C$7:indirect(""C""&amp;row()),indirect(""C""&amp;row())),3)=1,
COUNTIF($C$7:$C$61,indirect(""C""&amp;row()))=COUNTIF($C$7:indirect(""C""&amp;row()),indirect(""C""&amp;row()))+1),""Best of 2"",
AND(C43=""3x3 FMC"",MOD(COUNTIF($C$7:indirect(""C""&amp;row()),indirect(""C"&amp;"""&amp;row())),3)=1,
COUNTIF($C$7:$C$61,indirect(""C""&amp;row()))&gt;COUNTIF($C$7:indirect(""C""&amp;row()),indirect(""C""&amp;row()))),""Mean of 3"",
AND(C43=""3x3 MBLD"",MOD(COUNTIF($C$7:indirect(""C""&amp;row()),indirect(""C""&amp;row())),3)=1,
COUNTIF($C$7:$C$61,indirect(""C"""&amp;"&amp;row()))&lt;=COUNTIF($C$7:indirect(""C""&amp;row()),indirect(""C""&amp;row()))),""Best of 1"",
AND(C43=""3x3 MBLD"",MOD(COUNTIF($C$7:indirect(""C""&amp;row()),indirect(""C""&amp;row())),3)=1,
COUNTIF($C$7:$C$61,indirect(""C""&amp;row()))=COUNTIF($C$7:indirect(""C""&amp;row()),indir"&amp;"ect(""C""&amp;row()))+1),""Best of 2"",
AND(C43=""3x3 MBLD"",MOD(COUNTIF($C$7:indirect(""C""&amp;row()),indirect(""C""&amp;row())),3)=1,
COUNTIF($C$7:$C$61,indirect(""C""&amp;row()))&gt;COUNTIF($C$7:indirect(""C""&amp;row()),indirect(""C""&amp;row()))),""Best of 3"",
TRUE,(IFERROR("&amp;"FILTER(Info!$D$2:D81, Info!$A$2:A81 = C43), """")))"),"")</f>
        <v/>
      </c>
      <c r="G43" s="45" t="str">
        <f>IFERROR(__xludf.DUMMYFUNCTION("IFS(OR(COUNTIF(Info!$A$22:A81,C43)&gt;0,C43=""""),"""",
OR(""3x3 MBLD""=C43,""3x3 FMC""=C43),60,
AND(E43=1,FILTER(Info!$F$2:F81, Info!$A$2:A81 = C43) = ""No""),FILTER(Info!$P$2:P81, Info!$A$2:A81 = C43),
AND(E43=2,FILTER(Info!$F$2:F81, Info!$A$2:A81 = C43) ="&amp;" ""No""),FILTER(Info!$Q$2:Q81, Info!$A$2:A81 = C43),
AND(E43=3,FILTER(Info!$F$2:F81, Info!$A$2:A81 = C43) = ""No""),FILTER(Info!$R$2:R81, Info!$A$2:A81 = C43),
AND(E43=""Final"",FILTER(Info!$F$2:F81, Info!$A$2:A81 = C43) = ""No""),FILTER(Info!$S$2:S81, In"&amp;"fo!$A$2:A81 = C43),
FILTER(Info!$F$2:F81, Info!$A$2:A81 = C43) = ""Yes"","""")"),"")</f>
        <v/>
      </c>
      <c r="H43" s="45" t="str">
        <f>IFERROR(__xludf.DUMMYFUNCTION("IFS(OR(COUNTIF(Info!$A$22:A81,C43)&gt;0,C43=""""),"""",
OR(""3x3 MBLD""=C43,""3x3 FMC""=C43)=TRUE,"""",
FILTER(Info!$F$2:F81, Info!$A$2:A81 = C43) = ""Yes"",FILTER(Info!$O$2:O81, Info!$A$2:A81 = C43),
FILTER(Info!$F$2:F81, Info!$A$2:A81 = C43) = ""No"",IF(G4"&amp;"3="""",FILTER(Info!$O$2:O81, Info!$A$2:A81 = C43),""""))"),"")</f>
        <v/>
      </c>
      <c r="I43" s="45" t="str">
        <f>IFERROR(__xludf.DUMMYFUNCTION("IFS(OR(COUNTIF(Info!$A$22:A81,C43)&gt;0,C43="""",H43&lt;&gt;""""),"""",
AND(E43&lt;&gt;1,E43&lt;&gt;""R1 - A1"",E43&lt;&gt;""R1 - A2"",E43&lt;&gt;""R1 - A3""),"""",
FILTER(Info!$E$2:E81, Info!$A$2:A81 = C43) = ""Yes"",IF(H43="""",FILTER(Info!$L$2:L81, Info!$A$2:A81 = C43),""""),
FILTER(I"&amp;"nfo!$E$2:E81, Info!$A$2:A81 = C43) = ""No"","""")"),"")</f>
        <v/>
      </c>
      <c r="J43" s="45" t="str">
        <f>IFERROR(__xludf.DUMMYFUNCTION("IFS(OR(COUNTIF(Info!$A$22:A81,C43)&gt;0,C43="""",""3x3 MBLD""=C43,""3x3 FMC""=C43),"""",
AND(E43=1,FILTER(Info!$H$2:H81,Info!$A$2:A81 = C43)&lt;=FILTER(Info!$H$2:H81,Info!$A$2:A81=$K$2)),
ROUNDUP((FILTER(Info!$H$2:H81,Info!$A$2:A81 = C43)/FILTER(Info!$H$2:H81,I"&amp;"nfo!$A$2:A81=$K$2))*$I$2),
AND(E43=1,FILTER(Info!$H$2:H81,Info!$A$2:A81 = C43)&gt;FILTER(Info!$H$2:H81,Info!$A$2:A81=$K$2)),""K2 - Error"",
AND(E43=2,FILTER($J$7:indirect(""J""&amp;row()-1),$C$7:indirect(""C""&amp;row()-1)=C43)&lt;=7),""J - Error"",
E43=2,FLOOR(FILTER("&amp;"$J$7:indirect(""J""&amp;row()-1),$C$7:indirect(""C""&amp;row()-1)=C43)*Info!$T$32),
AND(E43=3,FILTER($J$7:indirect(""J""&amp;row()-1),$C$7:indirect(""C""&amp;row()-1)=C43)&lt;=15),""J - Error"",
E43=3,FLOOR(Info!$T$32*FLOOR(FILTER($J$7:indirect(""J""&amp;row()-1),$C$7:indirect("&amp;"""C""&amp;row()-1)=C43)*Info!$T$32)),
AND(E43=""Final"",COUNTIF($C$7:$C$61,C43)=2,FILTER($J$7:indirect(""J""&amp;row()-1),$C$7:indirect(""C""&amp;row()-1)=C43)&lt;=7),""J - Error"",
AND(E43=""Final"",COUNTIF($C$7:$C$61,C43)=2),
MIN(P43,FLOOR(FILTER($J$7:indirect(""J""&amp;r"&amp;"ow()-1),$C$7:indirect(""C""&amp;row()-1)=C43)*Info!$T$32)),
AND(E43=""Final"",COUNTIF($C$7:$C$61,C43)=3,FILTER($J$7:indirect(""J""&amp;row()-1),$C$7:indirect(""C""&amp;row()-1)=C43)&lt;=15),""J - Error"",
AND(E43=""Final"",COUNTIF($C$7:$C$61,C43)=3),
MIN(P43,FLOOR(Info!"&amp;"$T$32*FLOOR(FILTER($J$7:indirect(""J""&amp;row()-1),$C$7:indirect(""C""&amp;row()-1)=C43)*Info!$T$32))),
AND(E43=""Final"",COUNTIF($C$7:$C$61,C43)&gt;=4,FILTER($J$7:indirect(""J""&amp;row()-1),$C$7:indirect(""C""&amp;row()-1)=C43)&lt;=99),""J - Error"",
AND(E43=""Final"",COUNT"&amp;"IF($C$7:$C$61,C43)&gt;=4),
MIN(P43,FLOOR(Info!$T$32*FLOOR(Info!$T$32*FLOOR(FILTER($J$7:indirect(""J""&amp;row()-1),$C$7:indirect(""C""&amp;row()-1)=C43)*Info!$T$32)))))"),"")</f>
        <v/>
      </c>
      <c r="K43" s="46" t="str">
        <f>IFERROR(__xludf.DUMMYFUNCTION("IFS(AND(indirect(""D""&amp;row()+2)&lt;&gt;$E$2,indirect(""D""&amp;row()+1)=""""),CONCATENATE(""Tom rad! Kopiera hela rad ""&amp;row()&amp;"" dit""),
AND(indirect(""D""&amp;row()-1)&lt;&gt;""Rum"",indirect(""D""&amp;row()-1)=""""),CONCATENATE(""Tom rad! Kopiera hela rad ""&amp;row()&amp;"" dit""),
"&amp;"C43="""","""",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OR(AND(D43&lt;&gt;$E$2,D43&lt;&gt;$E$4,D43&lt;&gt;$K$4,D43&lt;&gt;$Q$4),D43="&amp;"""""),CONCATENATE(""Rum: ""&amp;D43&amp;"" finns ej, byt i D""&amp;row()),
AND(indirect(""D""&amp;row()-1)=""Rum"",C43=""""),CONCATENATE(""För att börja: skriv i cell C""&amp;row()),
AND(C43=""Paus"",M43&lt;=0),CONCATENATE(""Skriv pausens längd i M""&amp;row()),
OR(COUNTIF(Info!$A$"&amp;"22:A81,C43)&gt;0,C43=""""),"""",
AND(D43&lt;&gt;$E$2,$O$2=""Yes"",A43=""=time(hh;mm;ss)""),CONCATENATE(""Skriv starttid för ""&amp;C43&amp;"" i A""&amp;row()),
E43=""E - Error"",CONCATENATE(""För många ""&amp;C43&amp;"" rundor!""),
AND(C43&lt;&gt;""3x3 FMC"",C43&lt;&gt;""3x3 MBLD"",E43&lt;&gt;1,E43&lt;&gt;"&amp;"""Final"",IFERROR(FILTER($E$7:indirect(""E""&amp;row()-1),
$E$7:indirect(""E""&amp;row()-1)=E43-1,$C$7:indirect(""C""&amp;row()-1)=C43))=FALSE),CONCATENATE(""Kan ej vara R""&amp;E43&amp;"", saknar R""&amp;(E43-1)),
AND(indirect(""E""&amp;row()-1)&lt;&gt;""Omgång"",IFERROR(FILTER($E$7:indi"&amp;"rect(""E""&amp;row()-1),
$E$7:indirect(""E""&amp;row()-1)=E43,$C$7:indirect(""C""&amp;row()-1)=C43)=E43)=TRUE),CONCATENATE(""Runda ""&amp;E43&amp;"" i ""&amp;C43&amp;"" finns redan""),
AND(C43&lt;&gt;""3x3 BLD"",C43&lt;&gt;""4x4 BLD"",C43&lt;&gt;""5x5 BLD"",C43&lt;&gt;""4x4 / 5x5 BLD"",OR(E43=2,E43=3,E43="&amp;"""Final""),H43&lt;&gt;""""),CONCATENATE(E43&amp;""-rundor brukar ej ha c.t.l.""),
AND(OR(E43=2,E43=3,E43=""Final""),I43&lt;&gt;""""),CONCATENATE(E43&amp;""-rundor brukar ej ha cutoff""),
AND(OR(C43=""3x3 FMC"",C43=""3x3 MBLD""),OR(E43=1,E43=2,E43=3,E43=""Final"")),CONCATENAT"&amp;"E(C43&amp;""s omgång är Rx - Ax""),
AND(C43&lt;&gt;""3x3 MBLD"",C43&lt;&gt;""3x3 FMC"",FILTER(Info!$D$2:D81, Info!$A$2:A81 = C43)&lt;&gt;F43),CONCATENATE(C43&amp;"" måste ha formatet ""&amp;FILTER(Info!$D$2:D81, Info!$A$2:A81 = C43)),
AND(C43=""3x3 MBLD"",OR(F43=""Avg of 5"",F43=""Mea"&amp;"n of 3"")),CONCATENATE(""Ogiltigt format för ""&amp;C43),
AND(C43=""3x3 FMC"",OR(F43=""Avg of 5"",F43=""Best of 3"")),CONCATENATE(""Ogiltigt format för ""&amp;C43),
AND(OR(F43=""Best of 1"",F43=""Best of 2"",F43=""Best of 3""),I43&lt;&gt;""""),CONCATENATE(F43&amp;""-rundor"&amp;" får ej ha cutoff""),
AND(OR(C43=""3x3 FMC"",C43=""3x3 MBLD""),G43&lt;&gt;60),CONCATENATE(C43&amp;"" måste ha time limit: 60""),
AND(OR(C43=""3x3 FMC"",C43=""3x3 MBLD""),H43&lt;&gt;""""),CONCATENATE(C43&amp;"" kan inte ha c.t.l.""),
AND(G43&lt;&gt;"""",H43&lt;&gt;""""),""Välj time limit"&amp;" ELLER c.t.l"",
AND(C43=""6x6 / 7x7"",G43="""",H43=""""),""Sätt time limit (x / y) eller c.t.l (z)"",
AND(G43="""",H43=""""),""Sätt en time limit eller c.t.l"",
AND(OR(C43=""6x6 / 7x7"",C43=""4x4 / 5x5 BLD""),G43&lt;&gt;"""",REGEXMATCH(TO_TEXT(G43),"" / "")=FAL"&amp;"SE),CONCATENATE(""Time limit måste vara x / y""),
AND(H43&lt;&gt;"""",I43&lt;&gt;""""),CONCATENATE(C43&amp;"" brukar ej ha cutoff OCH c.t.l""),
AND(E43=1,H43="""",I43="""",OR(FILTER(Info!$E$2:E81, Info!$A$2:A81 = C43) = ""Yes"",FILTER(Info!$F$2:F81, Info!$A$2:A81 = C43) "&amp;"= ""Yes""),OR(F43=""Avg of 5"",F43=""Mean of 3"")),CONCATENATE(C43&amp;"" bör ha cutoff eller c.t.l""),
AND(C43=""6x6 / 7x7"",I43&lt;&gt;"""",REGEXMATCH(TO_TEXT(I43),"" / "")=FALSE),CONCATENATE(""Cutoff måste vara x / y""),
AND(H43&lt;&gt;"""",ISNUMBER(H43)=FALSE),""C.t."&amp;"l. måste vara positivt tal (x)"",
AND(C43&lt;&gt;""6x6 / 7x7"",I43&lt;&gt;"""",ISNUMBER(I43)=FALSE),""Cutoff måste vara positivt tal (x)"",
AND(H43&lt;&gt;"""",FILTER(Info!$E$2:E81, Info!$A$2:A81 = C43) = ""No"",FILTER(Info!$F$2:F81, Info!$A$2:A81 = C43) = ""No""),CONCATEN"&amp;"ATE(C43&amp;"" brukar inte ha c.t.l.""),
AND(I43&lt;&gt;"""",FILTER(Info!$E$2:E81, Info!$A$2:A81 = C43) = ""No"",FILTER(Info!$F$2:F81, Info!$A$2:A81 = C43) = ""No""),CONCATENATE(C43&amp;"" brukar inte ha cutoff""),
AND(H43="""",FILTER(Info!$F$2:F81, Info!$A$2:A81 = C43"&amp;") = ""Yes""),CONCATENATE(C43&amp;"" brukar ha c.t.l.""),
AND(C43&lt;&gt;""6x6 / 7x7"",C43&lt;&gt;""4x4 / 5x5 BLD"",G43&lt;&gt;"""",ISNUMBER(G43)=FALSE),""Time limit måste vara positivt tal (x)"",
J43=""J - Error"",CONCATENATE(""För få deltagare i R1 för ""&amp;COUNTIF($C$7:$C$61,i"&amp;"ndirect(""C""&amp;row()))&amp;"" rundor""),
J43=""K2 - Error"",CONCATENATE(C43&amp;"" är mer populär - byt i K2!""),
AND(C43&lt;&gt;""6x6 / 7x7"",C43&lt;&gt;""4x4 / 5x5 BLD"",G43&lt;&gt;"""",I43&lt;&gt;"""",G43&lt;=I43),""Time limit måste vara &gt; cutoff"",
AND(C43&lt;&gt;""6x6 / 7x7"",C43&lt;&gt;""4x4 / 5x"&amp;"5 BLD"",H43&lt;&gt;"""",I43&lt;&gt;"""",H43&lt;=I43),""C.t.l. måste vara &gt; cutoff"",
AND(C43&lt;&gt;""3x3 FMC"",C43&lt;&gt;""3x3 MBLD"",J43=""""),CONCATENATE(""Fyll i antal deltagare i J""&amp;row()),
AND(C43="""",OR(E43&lt;&gt;"""",F43&lt;&gt;"""",G43&lt;&gt;"""",H43&lt;&gt;"""",I43&lt;&gt;"""",J43&lt;&gt;"""")),""Skriv"&amp;" ALLTID gren / aktivitet först"",
AND(I43="""",H43="""",J43&lt;&gt;""""),J43,
OR(""3x3 FMC""=C43,""3x3 MBLD""=C43),J43,
AND(I43&lt;&gt;"""",""6x6 / 7x7""=C43),
IFS(ArrayFormula(SUM(IFERROR(SPLIT(I43,"" / ""))))&lt;(Info!$J$6+Info!$J$7)*2/3,CONCATENATE(""Höj helst cutoff"&amp;"s i ""&amp;C43),
ArrayFormula(SUM(IFERROR(SPLIT(I43,"" / ""))))&lt;=(Info!$J$6+Info!$J$7),ROUNDUP(J43*Info!$J$22),
ArrayFormula(SUM(IFERROR(SPLIT(I43,"" / ""))))&lt;=Info!$J$6+Info!$J$7,ROUNDUP(J43*Info!$K$22),
ArrayFormula(SUM(IFERROR(SPLIT(I43,"" / ""))))&lt;=Info!$"&amp;"K$6+Info!$K$7,ROUNDUP(J43*Info!L$22),
ArrayFormula(SUM(IFERROR(SPLIT(I43,"" / ""))))&lt;=Info!$L$6+Info!$L$7,ROUNDUP(J43*Info!$M$22),
ArrayFormula(SUM(IFERROR(SPLIT(I43,"" / ""))))&lt;=Info!$M$6+Info!$M$7,ROUNDUP(J43*Info!$N$22),
ArrayFormula(SUM(IFERROR(SPLIT("&amp;"I43,"" / ""))))&lt;=(Info!$N$6+Info!$N$7)*3/2,ROUNDUP(J43*Info!$J$26),
ArrayFormula(SUM(IFERROR(SPLIT(I43,"" / ""))))&gt;(Info!$N$6+Info!$N$7)*3/2,CONCATENATE(""Sänk helst cutoffs i ""&amp;C43)),
AND(I43&lt;&gt;"""",FILTER(Info!$E$2:E81, Info!$A$2:A81 = C43) = ""Yes""),
"&amp;"IFS(I43&lt;FILTER(Info!$J$2:J81, Info!$A$2:A81 = C43)*2/3,CONCATENATE(""Höj helst cutoff i ""&amp;C43),
I43&lt;=FILTER(Info!$J$2:J81, Info!$A$2:A81 = C43),ROUNDUP(J43*Info!$J$22),
I43&lt;=FILTER(Info!$K$2:K81, Info!$A$2:A81 = C43),ROUNDUP(J43*Info!$K$22),
I43&lt;=FILTER("&amp;"Info!$L$2:L81, Info!$A$2:A81 = C43),ROUNDUP(J43*Info!L$22),
I43&lt;=FILTER(Info!$M$2:M81, Info!$A$2:A81 = C43),ROUNDUP(J43*Info!$M$22),
I43&lt;=FILTER(Info!$N$2:N81, Info!$A$2:A81 = C43),ROUNDUP(J43*Info!$N$22),
I43&lt;=FILTER(Info!$N$2:N81, Info!$A$2:A81 = C43)*3"&amp;"/2,ROUNDUP(J43*Info!$J$26),
I43&gt;FILTER(Info!$N$2:N81, Info!$A$2:A81 = C43)*3/2,CONCATENATE(""Sänk helst cutoff i ""&amp;C43)),
AND(H43&lt;&gt;"""",""6x6 / 7x7""=C43),
IFS(H43/3&lt;=(Info!$J$6+Info!$J$7)*2/3,""Höj helst cumulative time limit"",
H43/3&lt;=Info!$J$6+Info!$J"&amp;"$7,ROUNDUP(J43*Info!$J$24),
H43/3&lt;=Info!$K$6+Info!$K$7,ROUNDUP(J43*Info!$K$24),
H43/3&lt;=Info!$L$6+Info!$L$7,ROUNDUP(J43*Info!L$24),
H43/3&lt;=Info!$M$6+Info!$M$7,ROUNDUP(J43*Info!$M$24),
H43/3&lt;=Info!$N$6+Info!$N$7,ROUNDUP(J43*Info!$N$24),
H43/3&lt;=(Info!$N$6+In"&amp;"fo!$N$7)*3/2,ROUNDUP(J43*Info!$L$26),
H43/3&gt;(Info!$J$6+Info!$J$7)*3/2,""Sänk helst cumulative time limit""),
AND(H43&lt;&gt;"""",FILTER(Info!$F$2:F81, Info!$A$2:A81 = C43) = ""Yes""),
IFS(H43&lt;=FILTER(Info!$J$2:J81, Info!$A$2:A81 = C43)*2/3,CONCATENATE(""Höj hel"&amp;"st c.t.l. i ""&amp;C43),
H43&lt;=FILTER(Info!$J$2:J81, Info!$A$2:A81 = C43),ROUNDUP(J43*Info!$J$24),
H43&lt;=FILTER(Info!$K$2:K81, Info!$A$2:A81 = C43),ROUNDUP(J43*Info!$K$24),
H43&lt;=FILTER(Info!$L$2:L81, Info!$A$2:A81 = C43),ROUNDUP(J43*Info!L$24),
H43&lt;=FILTER(Info"&amp;"!$M$2:M81, Info!$A$2:A81 = C43),ROUNDUP(J43*Info!$M$24),
H43&lt;=FILTER(Info!$N$2:N81, Info!$A$2:A81 = C43),ROUNDUP(J43*Info!$N$24),
H43&lt;=FILTER(Info!$N$2:N81, Info!$A$2:A81 = C43)*3/2,ROUNDUP(J43*Info!$L$26),
H43&gt;FILTER(Info!$N$2:N81, Info!$A$2:A81 = C43)*3"&amp;"/2,CONCATENATE(""Sänk helst c.t.l. i ""&amp;C43)),
AND(H43&lt;&gt;"""",FILTER(Info!$F$2:F81, Info!$A$2:A81 = C43) = ""No""),
IFS(H43/AA43&lt;=FILTER(Info!$J$2:J81, Info!$A$2:A81 = C43)*2/3,CONCATENATE(""Höj helst c.t.l. i ""&amp;C43),
H43/AA43&lt;=FILTER(Info!$J$2:J81, Info!"&amp;"$A$2:A81 = C43),ROUNDUP(J43*Info!$J$24),
H43/AA43&lt;=FILTER(Info!$K$2:K81, Info!$A$2:A81 = C43),ROUNDUP(J43*Info!$K$24),
H43/AA43&lt;=FILTER(Info!$L$2:L81, Info!$A$2:A81 = C43),ROUNDUP(J43*Info!L$24),
H43/AA43&lt;=FILTER(Info!$M$2:M81, Info!$A$2:A81 = C43),ROUNDU"&amp;"P(J43*Info!$M$24),
H43/AA43&lt;=FILTER(Info!$N$2:N81, Info!$A$2:A81 = C43),ROUNDUP(J43*Info!$N$24),
H43/AA43&lt;=FILTER(Info!$N$2:N81, Info!$A$2:A81 = C43)*3/2,ROUNDUP(J43*Info!$L$26),
H43/AA43&gt;FILTER(Info!$N$2:N81, Info!$A$2:A81 = C43)*3/2,CONCATENATE(""Sänk h"&amp;"elst c.t.l. i ""&amp;C43)),
AND(I43="""",H43&lt;&gt;"""",J43&lt;&gt;""""),ROUNDUP(J43*Info!$T$29),
AND(I43&lt;&gt;"""",H43="""",J43&lt;&gt;""""),ROUNDUP(J43*Info!$T$26))"),"")</f>
        <v/>
      </c>
      <c r="L43" s="47">
        <f>IFERROR(__xludf.DUMMYFUNCTION("IFS(C43="""",0,
C43=""3x3 FMC"",Info!$B$9*N43+M43, C43=""3x3 MBLD"",Info!$B$18*N43+M43,
COUNTIF(Info!$A$22:A81,C43)&gt;0,FILTER(Info!$B$22:B81,Info!$A$22:A81=C43)+M43,
AND(C43&lt;&gt;"""",E43=""""),CONCATENATE(""Fyll i E""&amp;row()),
AND(C43&lt;&gt;"""",E43&lt;&gt;"""",E43&lt;&gt;1,E4"&amp;"3&lt;&gt;2,E43&lt;&gt;3,E43&lt;&gt;""Final""),CONCATENATE(""Fel format på E""&amp;row()),
K43=CONCATENATE(""Runda ""&amp;E43&amp;"" i ""&amp;C43&amp;"" finns redan""),CONCATENATE(""Fel i E""&amp;row()),
AND(C43&lt;&gt;"""",F43=""""),CONCATENATE(""Fyll i F""&amp;row()),
K43=CONCATENATE(C43&amp;"" måste ha forma"&amp;"tet ""&amp;FILTER(Info!$D$2:D81, Info!$A$2:A81 = C43)),CONCATENATE(""Fel format på F""&amp;row()),
AND(C43&lt;&gt;"""",D43=1,H43="""",FILTER(Info!$F$2:F81, Info!$A$2:A81 = C43) = ""Yes""),CONCATENATE(""Fyll i H""&amp;row()),
AND(C43&lt;&gt;"""",D43=1,I43="""",FILTER(Info!$E$2:E8"&amp;"1, Info!$A$2:A81 = C43) = ""Yes""),CONCATENATE(""Fyll i I""&amp;row()),
AND(C43&lt;&gt;"""",J43=""""),CONCATENATE(""Fyll i J""&amp;row()),
AND(C43&lt;&gt;"""",K43="""",OR(H43&lt;&gt;"""",I43&lt;&gt;"""")),CONCATENATE(""Fyll i K""&amp;row()),
AND(C43&lt;&gt;"""",K43=""""),CONCATENATE(""Skriv samma"&amp;" i K""&amp;row()&amp;"" som i J""&amp;row()),
AND(OR(C43=""4x4 BLD"",C43=""5x5 BLD"",C43=""4x4 / 5x5 BLD"")=TRUE,V43&lt;=P43),
MROUND(H43*(Info!$T$20-((Info!$T$20-1)/2)*(1-V43/P43))*(1+((J43/K43)-1)*(1-Info!$J$24))*N43+(Info!$T$11/2)+(N43*Info!$T$11)+(N43*Info!$T$14*(O4"&amp;"3-1)),0.01)+M43,
AND(OR(C43=""4x4 BLD"",C43=""5x5 BLD"",C43=""4x4 / 5x5 BLD"")=TRUE,V43&gt;P43),
MROUND((((J43*Z43+K43*(AA43-Z43))*(H43*Info!$T$20/AA43))/X43)*(1+((J43/K43)-1)*(1-Info!$J$24))*(1+(X43-Info!$T$8)/100)+(Info!$T$11/2)+(N43*Info!$T$11)+(N43*Info!"&amp;"$T$14*(O43-1)),0.01)+M43,
AND(C43=""3x3 BLD"",V43&lt;=P43),
MROUND(H43*(Info!$T$23-((Info!$T$23-1)/2)*(1-V43/P43))*(1+((J43/K43)-1)*(1-Info!$J$24))*N43+(Info!$T$11/2)+(N43*Info!$T$11)+(N43*Info!$T$14*(O43-1)),0.01)+M43,
AND(C43=""3x3 BLD"",V43&gt;P43),
MROUND(("&amp;"((J43*Z43+K43*(AA43-Z43))*(H43*Info!$T$23/AA43))/X43)*(1+((J43/K43)-1)*(1-Info!$J$24))*(1+(X43-Info!$T$8)/100)+(Info!$T$11/2)+(N43*Info!$T$11)+(N43*Info!$T$14*(O43-1)),0.01)+M43,
E43=1,MROUND((((J43*Z43+K43*(AA43-Z43))*Y43)/X43)*(1+(X43-Info!$T$8)/100)+(N"&amp;"43*Info!$T$11)+(N43*Info!$T$14*(O43-1)),0.01)+M43,
AND(E43=""Final"",N43=1,FILTER(Info!$G$2:$G$20,Info!$A$2:$A$20=C43)=""Mycket svår""),
MROUND((((J43*Z43+K43*(AA43-Z43))*(Y43*Info!$T$38))/X43)*(1+(X43-Info!$T$8)/100)+(N43*Info!$T$11)+(N43*Info!$T$14*(O43"&amp;"-1)),0.01)+M43,
AND(E43=""Final"",N43=1,FILTER(Info!$G$2:$G$20,Info!$A$2:$A$20=C43)=""Svår""),
MROUND((((J43*Z43+K43*(AA43-Z43))*(Y43*Info!$T$35))/X43)*(1+(X43-Info!$T$8)/100)+(N43*Info!$T$11)+(N43*Info!$T$14*(O43-1)),0.01)+M43,
E43=""Final"",MROUND((((J4"&amp;"3*Z43+K43*(AA43-Z43))*(Y43*Info!$T$5))/X43)*(1+(X43-Info!$T$8)/100)+(N43*Info!$T$11)+(N43*Info!$T$14*(O43-1)),0.01)+M43,
OR(E43=2,E43=3),MROUND((((J43*Z43+K43*(AA43-Z43))*(Y43*Info!$T$2))/X43)*(1+(X43-Info!$T$8)/100)+(N43*Info!$T$11)+(N43*Info!$T$14*(O43-"&amp;"1)),0.01)+M43)"),0.0)</f>
        <v>0</v>
      </c>
      <c r="M43" s="48">
        <f t="shared" si="4"/>
        <v>0</v>
      </c>
      <c r="N43" s="48" t="str">
        <f>IFS(OR(COUNTIF(Info!$A$22:A81,C43)&gt;0,C43=""),"",
OR(C43="4x4 BLD",C43="5x5 BLD",C43="3x3 MBLD",C43="3x3 FMC",C43="4x4 / 5x5 BLD"),1,
AND(E43="Final",Q43="Yes",MAX(1,ROUNDUP(J43/P43))&gt;1),MAX(2,ROUNDUP(J43/P43)),
AND(E43="Final",Q43="No",MAX(1,ROUNDUP(J43/((P43*2)+2.625-Y43*1.5)))&gt;1),MAX(2,ROUNDUP(J43/((P43*2)+2.625-Y43*1.5))),
E43="Final",1,
Q43="Yes",MAX(2,ROUNDUP(J43/P43)),
TRUE,MAX(2,ROUNDUP(J43/((P43*2)+2.625-Y43*1.5))))</f>
        <v/>
      </c>
      <c r="O43" s="48" t="str">
        <f>IFS(OR(COUNTIF(Info!$A$22:A81,C43)&gt;0,C43=""),"",
OR("3x3 MBLD"=C43,"3x3 FMC"=C43)=TRUE,"",
D43=$E$4,$G$6,D43=$K$4,$M$6,D43=$Q$4,$S$6,D43=$W$4,$Y$6,
TRUE,$S$2)</f>
        <v/>
      </c>
      <c r="P43" s="48" t="str">
        <f>IFS(OR(COUNTIF(Info!$A$22:A81,C43)&gt;0,C43=""),"",
OR("3x3 MBLD"=C43,"3x3 FMC"=C43)=TRUE,"",
D43=$E$4,$E$6,D43=$K$4,$K$6,D43=$Q$4,$Q$6,D43=$W$4,$W$6,
TRUE,$Q$2)</f>
        <v/>
      </c>
      <c r="Q43" s="49" t="str">
        <f>IFS(OR(COUNTIF(Info!$A$22:A81,C43)&gt;0,C43=""),"",
OR("3x3 MBLD"=C43,"3x3 FMC"=C43)=TRUE,"",
D43=$E$4,$I$6,D43=$K$4,$O$6,D43=$Q$4,$U$6,D43=$W$4,$AA$6,
TRUE,$U$2)</f>
        <v/>
      </c>
      <c r="R43" s="50" t="str">
        <f>IFERROR(__xludf.DUMMYFUNCTION("IF(C43="""","""",IFERROR(FILTER(Info!$B$22:B81,Info!$A$22:A81=C43)+M43,""?""))"),"")</f>
        <v/>
      </c>
      <c r="S43" s="51" t="str">
        <f>IFS(OR(COUNTIF(Info!$A$22:A81,C43)&gt;0,C43=""),"",
AND(H43="",I43=""),J43,
TRUE,"?")</f>
        <v/>
      </c>
      <c r="T43" s="52" t="str">
        <f>IFS(OR(COUNTIF(Info!$A$22:A81,C43)&gt;0,C43=""),"",
AND(L43&lt;&gt;0,OR(R43="?",R43="")),"Fyll i R-kolumnen",
OR(C43="3x3 FMC",C43="3x3 MBLD"),R43,
AND(L43&lt;&gt;0,OR(S43="?",S43="")),"Fyll i S-kolumnen",
OR(COUNTIF(Info!$A$22:A81,C43)&gt;0,C43=""),"",
TRUE,Y43*R43/L43)</f>
        <v/>
      </c>
      <c r="U43" s="52"/>
      <c r="V43" s="53" t="str">
        <f>IFS(OR(COUNTIF(Info!$A$22:A81,C43)&gt;0,C43=""),"",
OR("3x3 MBLD"=C43,"3x3 FMC"=C43)=TRUE,"",
TRUE,MROUND((J43/N43),0.01))</f>
        <v/>
      </c>
      <c r="W43" s="54" t="str">
        <f>IFS(OR(COUNTIF(Info!$A$22:A81,C43)&gt;0,C43=""),"",
TRUE,L43/N43)</f>
        <v/>
      </c>
      <c r="X43" s="55" t="str">
        <f>IFS(OR(COUNTIF(Info!$A$22:A81,C43)&gt;0,C43=""),"",
OR("3x3 MBLD"=C43,"3x3 FMC"=C43)=TRUE,"",
OR(C43="4x4 BLD",C43="5x5 BLD",C43="4x4 / 5x5 BLD",AND(C43="3x3 BLD",H43&lt;&gt;""))=TRUE,MIN(V43,P43),
TRUE,MIN(P43,V43,MROUND(((V43*2/3)+((Y43-1.625)/2)),0.01)))</f>
        <v/>
      </c>
      <c r="Y43" s="56" t="str">
        <f>IFERROR(__xludf.DUMMYFUNCTION("IFS(OR(COUNTIF(Info!$A$22:A81,C43)&gt;0,C43=""""),"""",
FILTER(Info!$F$2:F81, Info!$A$2:A81 = C43) = ""Yes"",H43/AA43,
""3x3 FMC""=C43,Info!$B$9,""3x3 MBLD""=C43,Info!$B$18,
AND(E43=1,I43="""",H43="""",Q43=""No"",G43&gt;SUMIF(Info!$A$2:A81,C43,Info!$B$2:B81)*1."&amp;"5),
MIN(SUMIF(Info!$A$2:A81,C43,Info!$B$2:B81)*1.1,SUMIF(Info!$A$2:A81,C43,Info!$B$2:B81)*(1.15-(0.15*(SUMIF(Info!$A$2:A81,C43,Info!$B$2:B81)*1.5)/G43))),
AND(E43=1,I43="""",H43="""",Q43=""Yes"",G43&gt;SUMIF(Info!$A$2:A81,C43,Info!$C$2:C81)*1.5),
MIN(SUMIF(I"&amp;"nfo!$A$2:A81,C43,Info!$C$2:C81)*1.1,SUMIF(Info!$A$2:A81,C43,Info!$C$2:C81)*(1.15-(0.15*(SUMIF(Info!$A$2:A81,C43,Info!$C$2:C81)*1.5)/G43))),
Q43=""No"",SUMIF(Info!$A$2:A81,C43,Info!$B$2:B81),
Q43=""Yes"",SUMIF(Info!$A$2:A81,C43,Info!$C$2:C81))"),"")</f>
        <v/>
      </c>
      <c r="Z43" s="57" t="str">
        <f>IFS(OR(COUNTIF(Info!$A$22:A81,C43)&gt;0,C43=""),"",
AND(OR("3x3 FMC"=C43,"3x3 MBLD"=C43),I43&lt;&gt;""),1,
AND(OR(H43&lt;&gt;"",I43&lt;&gt;""),F43="Avg of 5"),2,
F43="Avg of 5",AA43,
AND(OR(H43&lt;&gt;"",I43&lt;&gt;""),F43="Mean of 3",C43="6x6 / 7x7"),2,
AND(OR(H43&lt;&gt;"",I43&lt;&gt;""),F43="Mean of 3"),1,
F43="Mean of 3",AA43,
AND(OR(H43&lt;&gt;"",I43&lt;&gt;""),F43="Best of 3",C43="4x4 / 5x5 BLD"),2,
AND(OR(H43&lt;&gt;"",I43&lt;&gt;""),F43="Best of 3"),1,
F43="Best of 2",AA43,
F43="Best of 1",AA43)</f>
        <v/>
      </c>
      <c r="AA43" s="57" t="str">
        <f>IFS(OR(COUNTIF(Info!$A$22:A81,C43)&gt;0,C43=""),"",
AND(OR("3x3 MBLD"=C43,"3x3 FMC"=C43),F43="Best of 1"=TRUE),1,
AND(OR("3x3 MBLD"=C43,"3x3 FMC"=C43),F43="Best of 2"=TRUE),2,
AND(OR("3x3 MBLD"=C43,"3x3 FMC"=C43),OR(F43="Best of 3",F43="Mean of 3")=TRUE),3,
AND(F43="Mean of 3",C43="6x6 / 7x7"),6,
AND(F43="Best of 3",C43="4x4 / 5x5 BLD"),6,
F43="Avg of 5",5,F43="Mean of 3",3,F43="Best of 3",3,F43="Best of 2",2,F43="Best of 1",1)</f>
        <v/>
      </c>
      <c r="AB43" s="58"/>
    </row>
    <row r="44">
      <c r="A44" s="40">
        <f>IFERROR(__xludf.DUMMYFUNCTION("IFS(indirect(""A""&amp;row()-1)=""Start"",TIME(indirect(""A""&amp;row()-2),indirect(""B""&amp;row()-2),0),
$O$2=""No"",TIME(0,($A$6*60+$B$6)+CEILING(SUM($L$7:indirect(""L""&amp;row()-1)),5),0),
D44=$E$2,TIME(0,($A$6*60+$B$6)+CEILING(SUM(IFERROR(FILTER($L$7:indirect(""L"""&amp;"&amp;row()-1),REGEXMATCH($D$7:indirect(""D""&amp;row()-1),$E$2)),0)),5),0),
TRUE,""=time(hh;mm;ss)"")"),0.375)</f>
        <v>0.375</v>
      </c>
      <c r="B44" s="41">
        <f>IFERROR(__xludf.DUMMYFUNCTION("IFS($O$2=""No"",TIME(0,($A$6*60+$B$6)+CEILING(SUM($L$7:indirect(""L""&amp;row())),5),0),
D44=$E$2,TIME(0,($A$6*60+$B$6)+CEILING(SUM(FILTER($L$7:indirect(""L""&amp;row()),REGEXMATCH($D$7:indirect(""D""&amp;row()),$E$2))),5),0),
A44=""=time(hh;mm;ss)"",CONCATENATE(""Sk"&amp;"riv tid i A""&amp;row()),
AND(A44&lt;&gt;"""",A44&lt;&gt;""=time(hh;mm;ss)""),A44+TIME(0,CEILING(indirect(""L""&amp;row()),5),0))"),0.375)</f>
        <v>0.375</v>
      </c>
      <c r="C44" s="42"/>
      <c r="D44" s="43" t="str">
        <f t="shared" si="3"/>
        <v>Stora salen</v>
      </c>
      <c r="E44" s="43" t="str">
        <f>IFERROR(__xludf.DUMMYFUNCTION("IFS(COUNTIF(Info!$A$22:A81,C44)&gt;0,"""",
AND(OR(""3x3 FMC""=C44,""3x3 MBLD""=C44),COUNTIF($C$7:indirect(""C""&amp;row()),indirect(""C""&amp;row()))&gt;=13),""E - Error"",
AND(OR(""3x3 FMC""=C44,""3x3 MBLD""=C44),COUNTIF($C$7:indirect(""C""&amp;row()),indirect(""C""&amp;row()"&amp;"))=12),""Final - A3"",
AND(OR(""3x3 FMC""=C44,""3x3 MBLD""=C44),COUNTIF($C$7:indirect(""C""&amp;row()),indirect(""C""&amp;row()))=11),""Final - A2"",
AND(OR(""3x3 FMC""=C44,""3x3 MBLD""=C44),COUNTIF($C$7:indirect(""C""&amp;row()),indirect(""C""&amp;row()))=10),""Final - "&amp;"A1"",
AND(OR(""3x3 FMC""=C44,""3x3 MBLD""=C44),COUNTIF($C$7:indirect(""C""&amp;row()),indirect(""C""&amp;row()))=9,
COUNTIF($C$7:$C$61,indirect(""C""&amp;row()))&gt;9),""R3 - A3"",
AND(OR(""3x3 FMC""=C44,""3x3 MBLD""=C44),COUNTIF($C$7:indirect(""C""&amp;row()),indirect(""C"&amp;"""&amp;row()))=9,
COUNTIF($C$7:$C$61,indirect(""C""&amp;row()))&lt;=9),""Final - A3"",
AND(OR(""3x3 FMC""=C44,""3x3 MBLD""=C44),COUNTIF($C$7:indirect(""C""&amp;row()),indirect(""C""&amp;row()))=8,
COUNTIF($C$7:$C$61,indirect(""C""&amp;row()))&gt;9),""R3 - A2"",
AND(OR(""3x3 FMC""="&amp;"C44,""3x3 MBLD""=C44),COUNTIF($C$7:indirect(""C""&amp;row()),indirect(""C""&amp;row()))=8,
COUNTIF($C$7:$C$61,indirect(""C""&amp;row()))&lt;=9),""Final - A2"",
AND(OR(""3x3 FMC""=C44,""3x3 MBLD""=C44),COUNTIF($C$7:indirect(""C""&amp;row()),indirect(""C""&amp;row()))=7,
COUNTIF("&amp;"$C$7:$C$61,indirect(""C""&amp;row()))&gt;9),""R3 - A1"",
AND(OR(""3x3 FMC""=C44,""3x3 MBLD""=C44),COUNTIF($C$7:indirect(""C""&amp;row()),indirect(""C""&amp;row()))=7,
COUNTIF($C$7:$C$61,indirect(""C""&amp;row()))&lt;=9),""Final - A1"",
AND(OR(""3x3 FMC""=C44,""3x3 MBLD""=C44),"&amp;"COUNTIF($C$7:indirect(""C""&amp;row()),indirect(""C""&amp;row()))=6,
COUNTIF($C$7:$C$61,indirect(""C""&amp;row()))&gt;6),""R2 - A3"",
AND(OR(""3x3 FMC""=C44,""3x3 MBLD""=C44),COUNTIF($C$7:indirect(""C""&amp;row()),indirect(""C""&amp;row()))=6,
COUNTIF($C$7:$C$61,indirect(""C""&amp;"&amp;"row()))&lt;=6),""Final - A3"",
AND(OR(""3x3 FMC""=C44,""3x3 MBLD""=C44),COUNTIF($C$7:indirect(""C""&amp;row()),indirect(""C""&amp;row()))=5,
COUNTIF($C$7:$C$61,indirect(""C""&amp;row()))&gt;6),""R2 - A2"",
AND(OR(""3x3 FMC""=C44,""3x3 MBLD""=C44),COUNTIF($C$7:indirect(""C"&amp;"""&amp;row()),indirect(""C""&amp;row()))=5,
COUNTIF($C$7:$C$61,indirect(""C""&amp;row()))&lt;=6),""Final - A2"",
AND(OR(""3x3 FMC""=C44,""3x3 MBLD""=C44),COUNTIF($C$7:indirect(""C""&amp;row()),indirect(""C""&amp;row()))=4,
COUNTIF($C$7:$C$61,indirect(""C""&amp;row()))&gt;6),""R2 - A1"&amp;""",
AND(OR(""3x3 FMC""=C44,""3x3 MBLD""=C44),COUNTIF($C$7:indirect(""C""&amp;row()),indirect(""C""&amp;row()))=4,
COUNTIF($C$7:$C$61,indirect(""C""&amp;row()))&lt;=6),""Final - A1"",
AND(OR(""3x3 FMC""=C44,""3x3 MBLD""=C44),COUNTIF($C$7:indirect(""C""&amp;row()),indirect("""&amp;"C""&amp;row()))=3),""R1 - A3"",
AND(OR(""3x3 FMC""=C44,""3x3 MBLD""=C44),COUNTIF($C$7:indirect(""C""&amp;row()),indirect(""C""&amp;row()))=2),""R1 - A2"",
AND(OR(""3x3 FMC""=C44,""3x3 MBLD""=C44),COUNTIF($C$7:indirect(""C""&amp;row()),indirect(""C""&amp;row()))=1),""R1 -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C44),ROUNDUP((FILTER(Info!$H$2:H81,Info!$A$2:A81=C44)/FILTER(Info!$H$2:H81,Info!$A$2:A81=$K$2))*$I$2)&gt;99),3,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C44),ROUNDUP((FILTER(Info!$H$2:H81,Info!$A$2:A81=C44)/FILTER(Info!$H$2:H81,Info!$A$2:A81=$K$2))*$I$2)&gt;15),2,
AND(COUNTIF($C$7:indirect(""C""&amp;row()),indirect(""C""&amp;row()))=2,COUNTIF($C$7:$C$61,indirect(""C""&amp;row()))=COUNTIF($C$7:indirect("""&amp;"C""&amp;row()),indirect(""C""&amp;row()))),""Final"",
COUNTIF($C$7:indirect(""C""&amp;row()),indirect(""C""&amp;row()))=1,1,
COUNTIF($C$7:indirect(""C""&amp;row()),indirect(""C""&amp;row()))=0,"""")"),"")</f>
        <v/>
      </c>
      <c r="F44" s="44" t="str">
        <f>IFERROR(__xludf.DUMMYFUNCTION("IFS(C44="""","""",
AND(C44=""3x3 FMC"",MOD(COUNTIF($C$7:indirect(""C""&amp;row()),indirect(""C""&amp;row())),3)=0),""Mean of 3"",
AND(C44=""3x3 MBLD"",MOD(COUNTIF($C$7:indirect(""C""&amp;row()),indirect(""C""&amp;row())),3)=0),""Best of 3"",
AND(C44=""3x3 FMC"",MOD(COUNT"&amp;"IF($C$7:indirect(""C""&amp;row()),indirect(""C""&amp;row())),3)=2,
COUNTIF($C$7:$C$61,indirect(""C""&amp;row()))&lt;=COUNTIF($C$7:indirect(""C""&amp;row()),indirect(""C""&amp;row()))),""Best of 2"",
AND(C44=""3x3 FMC"",MOD(COUNTIF($C$7:indirect(""C""&amp;row()),indirect(""C""&amp;row()"&amp;")),3)=2,
COUNTIF($C$7:$C$61,indirect(""C""&amp;row()))&gt;COUNTIF($C$7:indirect(""C""&amp;row()),indirect(""C""&amp;row()))),""Mean of 3"",
AND(C44=""3x3 MBLD"",MOD(COUNTIF($C$7:indirect(""C""&amp;row()),indirect(""C""&amp;row())),3)=2,
COUNTIF($C$7:$C$61,indirect(""C""&amp;row()))"&amp;"&lt;=COUNTIF($C$7:indirect(""C""&amp;row()),indirect(""C""&amp;row()))),""Best of 2"",
AND(C44=""3x3 MBLD"",MOD(COUNTIF($C$7:indirect(""C""&amp;row()),indirect(""C""&amp;row())),3)=2,
COUNTIF($C$7:$C$61,indirect(""C""&amp;row()))&gt;COUNTIF($C$7:indirect(""C""&amp;row()),indirect(""C"&amp;"""&amp;row()))),""Best of 3"",
AND(C44=""3x3 FMC"",MOD(COUNTIF($C$7:indirect(""C""&amp;row()),indirect(""C""&amp;row())),3)=1,
COUNTIF($C$7:$C$61,indirect(""C""&amp;row()))&lt;=COUNTIF($C$7:indirect(""C""&amp;row()),indirect(""C""&amp;row()))),""Best of 1"",
AND(C44=""3x3 FMC"",MOD"&amp;"(COUNTIF($C$7:indirect(""C""&amp;row()),indirect(""C""&amp;row())),3)=1,
COUNTIF($C$7:$C$61,indirect(""C""&amp;row()))=COUNTIF($C$7:indirect(""C""&amp;row()),indirect(""C""&amp;row()))+1),""Best of 2"",
AND(C44=""3x3 FMC"",MOD(COUNTIF($C$7:indirect(""C""&amp;row()),indirect(""C"&amp;"""&amp;row())),3)=1,
COUNTIF($C$7:$C$61,indirect(""C""&amp;row()))&gt;COUNTIF($C$7:indirect(""C""&amp;row()),indirect(""C""&amp;row()))),""Mean of 3"",
AND(C44=""3x3 MBLD"",MOD(COUNTIF($C$7:indirect(""C""&amp;row()),indirect(""C""&amp;row())),3)=1,
COUNTIF($C$7:$C$61,indirect(""C"""&amp;"&amp;row()))&lt;=COUNTIF($C$7:indirect(""C""&amp;row()),indirect(""C""&amp;row()))),""Best of 1"",
AND(C44=""3x3 MBLD"",MOD(COUNTIF($C$7:indirect(""C""&amp;row()),indirect(""C""&amp;row())),3)=1,
COUNTIF($C$7:$C$61,indirect(""C""&amp;row()))=COUNTIF($C$7:indirect(""C""&amp;row()),indir"&amp;"ect(""C""&amp;row()))+1),""Best of 2"",
AND(C44=""3x3 MBLD"",MOD(COUNTIF($C$7:indirect(""C""&amp;row()),indirect(""C""&amp;row())),3)=1,
COUNTIF($C$7:$C$61,indirect(""C""&amp;row()))&gt;COUNTIF($C$7:indirect(""C""&amp;row()),indirect(""C""&amp;row()))),""Best of 3"",
TRUE,(IFERROR("&amp;"FILTER(Info!$D$2:D81, Info!$A$2:A81 = C44), """")))"),"")</f>
        <v/>
      </c>
      <c r="G44" s="45" t="str">
        <f>IFERROR(__xludf.DUMMYFUNCTION("IFS(OR(COUNTIF(Info!$A$22:A81,C44)&gt;0,C44=""""),"""",
OR(""3x3 MBLD""=C44,""3x3 FMC""=C44),60,
AND(E44=1,FILTER(Info!$F$2:F81, Info!$A$2:A81 = C44) = ""No""),FILTER(Info!$P$2:P81, Info!$A$2:A81 = C44),
AND(E44=2,FILTER(Info!$F$2:F81, Info!$A$2:A81 = C44) ="&amp;" ""No""),FILTER(Info!$Q$2:Q81, Info!$A$2:A81 = C44),
AND(E44=3,FILTER(Info!$F$2:F81, Info!$A$2:A81 = C44) = ""No""),FILTER(Info!$R$2:R81, Info!$A$2:A81 = C44),
AND(E44=""Final"",FILTER(Info!$F$2:F81, Info!$A$2:A81 = C44) = ""No""),FILTER(Info!$S$2:S81, In"&amp;"fo!$A$2:A81 = C44),
FILTER(Info!$F$2:F81, Info!$A$2:A81 = C44) = ""Yes"","""")"),"")</f>
        <v/>
      </c>
      <c r="H44" s="45" t="str">
        <f>IFERROR(__xludf.DUMMYFUNCTION("IFS(OR(COUNTIF(Info!$A$22:A81,C44)&gt;0,C44=""""),"""",
OR(""3x3 MBLD""=C44,""3x3 FMC""=C44)=TRUE,"""",
FILTER(Info!$F$2:F81, Info!$A$2:A81 = C44) = ""Yes"",FILTER(Info!$O$2:O81, Info!$A$2:A81 = C44),
FILTER(Info!$F$2:F81, Info!$A$2:A81 = C44) = ""No"",IF(G4"&amp;"4="""",FILTER(Info!$O$2:O81, Info!$A$2:A81 = C44),""""))"),"")</f>
        <v/>
      </c>
      <c r="I44" s="45" t="str">
        <f>IFERROR(__xludf.DUMMYFUNCTION("IFS(OR(COUNTIF(Info!$A$22:A81,C44)&gt;0,C44="""",H44&lt;&gt;""""),"""",
AND(E44&lt;&gt;1,E44&lt;&gt;""R1 - A1"",E44&lt;&gt;""R1 - A2"",E44&lt;&gt;""R1 - A3""),"""",
FILTER(Info!$E$2:E81, Info!$A$2:A81 = C44) = ""Yes"",IF(H44="""",FILTER(Info!$L$2:L81, Info!$A$2:A81 = C44),""""),
FILTER(I"&amp;"nfo!$E$2:E81, Info!$A$2:A81 = C44) = ""No"","""")"),"")</f>
        <v/>
      </c>
      <c r="J44" s="45" t="str">
        <f>IFERROR(__xludf.DUMMYFUNCTION("IFS(OR(COUNTIF(Info!$A$22:A81,C44)&gt;0,C44="""",""3x3 MBLD""=C44,""3x3 FMC""=C44),"""",
AND(E44=1,FILTER(Info!$H$2:H81,Info!$A$2:A81 = C44)&lt;=FILTER(Info!$H$2:H81,Info!$A$2:A81=$K$2)),
ROUNDUP((FILTER(Info!$H$2:H81,Info!$A$2:A81 = C44)/FILTER(Info!$H$2:H81,I"&amp;"nfo!$A$2:A81=$K$2))*$I$2),
AND(E44=1,FILTER(Info!$H$2:H81,Info!$A$2:A81 = C44)&gt;FILTER(Info!$H$2:H81,Info!$A$2:A81=$K$2)),""K2 - Error"",
AND(E44=2,FILTER($J$7:indirect(""J""&amp;row()-1),$C$7:indirect(""C""&amp;row()-1)=C44)&lt;=7),""J - Error"",
E44=2,FLOOR(FILTER("&amp;"$J$7:indirect(""J""&amp;row()-1),$C$7:indirect(""C""&amp;row()-1)=C44)*Info!$T$32),
AND(E44=3,FILTER($J$7:indirect(""J""&amp;row()-1),$C$7:indirect(""C""&amp;row()-1)=C44)&lt;=15),""J - Error"",
E44=3,FLOOR(Info!$T$32*FLOOR(FILTER($J$7:indirect(""J""&amp;row()-1),$C$7:indirect("&amp;"""C""&amp;row()-1)=C44)*Info!$T$32)),
AND(E44=""Final"",COUNTIF($C$7:$C$61,C44)=2,FILTER($J$7:indirect(""J""&amp;row()-1),$C$7:indirect(""C""&amp;row()-1)=C44)&lt;=7),""J - Error"",
AND(E44=""Final"",COUNTIF($C$7:$C$61,C44)=2),
MIN(P44,FLOOR(FILTER($J$7:indirect(""J""&amp;r"&amp;"ow()-1),$C$7:indirect(""C""&amp;row()-1)=C44)*Info!$T$32)),
AND(E44=""Final"",COUNTIF($C$7:$C$61,C44)=3,FILTER($J$7:indirect(""J""&amp;row()-1),$C$7:indirect(""C""&amp;row()-1)=C44)&lt;=15),""J - Error"",
AND(E44=""Final"",COUNTIF($C$7:$C$61,C44)=3),
MIN(P44,FLOOR(Info!"&amp;"$T$32*FLOOR(FILTER($J$7:indirect(""J""&amp;row()-1),$C$7:indirect(""C""&amp;row()-1)=C44)*Info!$T$32))),
AND(E44=""Final"",COUNTIF($C$7:$C$61,C44)&gt;=4,FILTER($J$7:indirect(""J""&amp;row()-1),$C$7:indirect(""C""&amp;row()-1)=C44)&lt;=99),""J - Error"",
AND(E44=""Final"",COUNT"&amp;"IF($C$7:$C$61,C44)&gt;=4),
MIN(P44,FLOOR(Info!$T$32*FLOOR(Info!$T$32*FLOOR(FILTER($J$7:indirect(""J""&amp;row()-1),$C$7:indirect(""C""&amp;row()-1)=C44)*Info!$T$32)))))"),"")</f>
        <v/>
      </c>
      <c r="K44" s="46" t="str">
        <f>IFERROR(__xludf.DUMMYFUNCTION("IFS(AND(indirect(""D""&amp;row()+2)&lt;&gt;$E$2,indirect(""D""&amp;row()+1)=""""),CONCATENATE(""Tom rad! Kopiera hela rad ""&amp;row()&amp;"" dit""),
AND(indirect(""D""&amp;row()-1)&lt;&gt;""Rum"",indirect(""D""&amp;row()-1)=""""),CONCATENATE(""Tom rad! Kopiera hela rad ""&amp;row()&amp;"" dit""),
"&amp;"C44="""","""",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OR(AND(D44&lt;&gt;$E$2,D44&lt;&gt;$E$4,D44&lt;&gt;$K$4,D44&lt;&gt;$Q$4),D44="&amp;"""""),CONCATENATE(""Rum: ""&amp;D44&amp;"" finns ej, byt i D""&amp;row()),
AND(indirect(""D""&amp;row()-1)=""Rum"",C44=""""),CONCATENATE(""För att börja: skriv i cell C""&amp;row()),
AND(C44=""Paus"",M44&lt;=0),CONCATENATE(""Skriv pausens längd i M""&amp;row()),
OR(COUNTIF(Info!$A$"&amp;"22:A81,C44)&gt;0,C44=""""),"""",
AND(D44&lt;&gt;$E$2,$O$2=""Yes"",A44=""=time(hh;mm;ss)""),CONCATENATE(""Skriv starttid för ""&amp;C44&amp;"" i A""&amp;row()),
E44=""E - Error"",CONCATENATE(""För många ""&amp;C44&amp;"" rundor!""),
AND(C44&lt;&gt;""3x3 FMC"",C44&lt;&gt;""3x3 MBLD"",E44&lt;&gt;1,E44&lt;&gt;"&amp;"""Final"",IFERROR(FILTER($E$7:indirect(""E""&amp;row()-1),
$E$7:indirect(""E""&amp;row()-1)=E44-1,$C$7:indirect(""C""&amp;row()-1)=C44))=FALSE),CONCATENATE(""Kan ej vara R""&amp;E44&amp;"", saknar R""&amp;(E44-1)),
AND(indirect(""E""&amp;row()-1)&lt;&gt;""Omgång"",IFERROR(FILTER($E$7:indi"&amp;"rect(""E""&amp;row()-1),
$E$7:indirect(""E""&amp;row()-1)=E44,$C$7:indirect(""C""&amp;row()-1)=C44)=E44)=TRUE),CONCATENATE(""Runda ""&amp;E44&amp;"" i ""&amp;C44&amp;"" finns redan""),
AND(C44&lt;&gt;""3x3 BLD"",C44&lt;&gt;""4x4 BLD"",C44&lt;&gt;""5x5 BLD"",C44&lt;&gt;""4x4 / 5x5 BLD"",OR(E44=2,E44=3,E44="&amp;"""Final""),H44&lt;&gt;""""),CONCATENATE(E44&amp;""-rundor brukar ej ha c.t.l.""),
AND(OR(E44=2,E44=3,E44=""Final""),I44&lt;&gt;""""),CONCATENATE(E44&amp;""-rundor brukar ej ha cutoff""),
AND(OR(C44=""3x3 FMC"",C44=""3x3 MBLD""),OR(E44=1,E44=2,E44=3,E44=""Final"")),CONCATENAT"&amp;"E(C44&amp;""s omgång är Rx - Ax""),
AND(C44&lt;&gt;""3x3 MBLD"",C44&lt;&gt;""3x3 FMC"",FILTER(Info!$D$2:D81, Info!$A$2:A81 = C44)&lt;&gt;F44),CONCATENATE(C44&amp;"" måste ha formatet ""&amp;FILTER(Info!$D$2:D81, Info!$A$2:A81 = C44)),
AND(C44=""3x3 MBLD"",OR(F44=""Avg of 5"",F44=""Mea"&amp;"n of 3"")),CONCATENATE(""Ogiltigt format för ""&amp;C44),
AND(C44=""3x3 FMC"",OR(F44=""Avg of 5"",F44=""Best of 3"")),CONCATENATE(""Ogiltigt format för ""&amp;C44),
AND(OR(F44=""Best of 1"",F44=""Best of 2"",F44=""Best of 3""),I44&lt;&gt;""""),CONCATENATE(F44&amp;""-rundor"&amp;" får ej ha cutoff""),
AND(OR(C44=""3x3 FMC"",C44=""3x3 MBLD""),G44&lt;&gt;60),CONCATENATE(C44&amp;"" måste ha time limit: 60""),
AND(OR(C44=""3x3 FMC"",C44=""3x3 MBLD""),H44&lt;&gt;""""),CONCATENATE(C44&amp;"" kan inte ha c.t.l.""),
AND(G44&lt;&gt;"""",H44&lt;&gt;""""),""Välj time limit"&amp;" ELLER c.t.l"",
AND(C44=""6x6 / 7x7"",G44="""",H44=""""),""Sätt time limit (x / y) eller c.t.l (z)"",
AND(G44="""",H44=""""),""Sätt en time limit eller c.t.l"",
AND(OR(C44=""6x6 / 7x7"",C44=""4x4 / 5x5 BLD""),G44&lt;&gt;"""",REGEXMATCH(TO_TEXT(G44),"" / "")=FAL"&amp;"SE),CONCATENATE(""Time limit måste vara x / y""),
AND(H44&lt;&gt;"""",I44&lt;&gt;""""),CONCATENATE(C44&amp;"" brukar ej ha cutoff OCH c.t.l""),
AND(E44=1,H44="""",I44="""",OR(FILTER(Info!$E$2:E81, Info!$A$2:A81 = C44) = ""Yes"",FILTER(Info!$F$2:F81, Info!$A$2:A81 = C44) "&amp;"= ""Yes""),OR(F44=""Avg of 5"",F44=""Mean of 3"")),CONCATENATE(C44&amp;"" bör ha cutoff eller c.t.l""),
AND(C44=""6x6 / 7x7"",I44&lt;&gt;"""",REGEXMATCH(TO_TEXT(I44),"" / "")=FALSE),CONCATENATE(""Cutoff måste vara x / y""),
AND(H44&lt;&gt;"""",ISNUMBER(H44)=FALSE),""C.t."&amp;"l. måste vara positivt tal (x)"",
AND(C44&lt;&gt;""6x6 / 7x7"",I44&lt;&gt;"""",ISNUMBER(I44)=FALSE),""Cutoff måste vara positivt tal (x)"",
AND(H44&lt;&gt;"""",FILTER(Info!$E$2:E81, Info!$A$2:A81 = C44) = ""No"",FILTER(Info!$F$2:F81, Info!$A$2:A81 = C44) = ""No""),CONCATEN"&amp;"ATE(C44&amp;"" brukar inte ha c.t.l.""),
AND(I44&lt;&gt;"""",FILTER(Info!$E$2:E81, Info!$A$2:A81 = C44) = ""No"",FILTER(Info!$F$2:F81, Info!$A$2:A81 = C44) = ""No""),CONCATENATE(C44&amp;"" brukar inte ha cutoff""),
AND(H44="""",FILTER(Info!$F$2:F81, Info!$A$2:A81 = C44"&amp;") = ""Yes""),CONCATENATE(C44&amp;"" brukar ha c.t.l.""),
AND(C44&lt;&gt;""6x6 / 7x7"",C44&lt;&gt;""4x4 / 5x5 BLD"",G44&lt;&gt;"""",ISNUMBER(G44)=FALSE),""Time limit måste vara positivt tal (x)"",
J44=""J - Error"",CONCATENATE(""För få deltagare i R1 för ""&amp;COUNTIF($C$7:$C$61,i"&amp;"ndirect(""C""&amp;row()))&amp;"" rundor""),
J44=""K2 - Error"",CONCATENATE(C44&amp;"" är mer populär - byt i K2!""),
AND(C44&lt;&gt;""6x6 / 7x7"",C44&lt;&gt;""4x4 / 5x5 BLD"",G44&lt;&gt;"""",I44&lt;&gt;"""",G44&lt;=I44),""Time limit måste vara &gt; cutoff"",
AND(C44&lt;&gt;""6x6 / 7x7"",C44&lt;&gt;""4x4 / 5x"&amp;"5 BLD"",H44&lt;&gt;"""",I44&lt;&gt;"""",H44&lt;=I44),""C.t.l. måste vara &gt; cutoff"",
AND(C44&lt;&gt;""3x3 FMC"",C44&lt;&gt;""3x3 MBLD"",J44=""""),CONCATENATE(""Fyll i antal deltagare i J""&amp;row()),
AND(C44="""",OR(E44&lt;&gt;"""",F44&lt;&gt;"""",G44&lt;&gt;"""",H44&lt;&gt;"""",I44&lt;&gt;"""",J44&lt;&gt;"""")),""Skriv"&amp;" ALLTID gren / aktivitet först"",
AND(I44="""",H44="""",J44&lt;&gt;""""),J44,
OR(""3x3 FMC""=C44,""3x3 MBLD""=C44),J44,
AND(I44&lt;&gt;"""",""6x6 / 7x7""=C44),
IFS(ArrayFormula(SUM(IFERROR(SPLIT(I44,"" / ""))))&lt;(Info!$J$6+Info!$J$7)*2/3,CONCATENATE(""Höj helst cutoff"&amp;"s i ""&amp;C44),
ArrayFormula(SUM(IFERROR(SPLIT(I44,"" / ""))))&lt;=(Info!$J$6+Info!$J$7),ROUNDUP(J44*Info!$J$22),
ArrayFormula(SUM(IFERROR(SPLIT(I44,"" / ""))))&lt;=Info!$J$6+Info!$J$7,ROUNDUP(J44*Info!$K$22),
ArrayFormula(SUM(IFERROR(SPLIT(I44,"" / ""))))&lt;=Info!$"&amp;"K$6+Info!$K$7,ROUNDUP(J44*Info!L$22),
ArrayFormula(SUM(IFERROR(SPLIT(I44,"" / ""))))&lt;=Info!$L$6+Info!$L$7,ROUNDUP(J44*Info!$M$22),
ArrayFormula(SUM(IFERROR(SPLIT(I44,"" / ""))))&lt;=Info!$M$6+Info!$M$7,ROUNDUP(J44*Info!$N$22),
ArrayFormula(SUM(IFERROR(SPLIT("&amp;"I44,"" / ""))))&lt;=(Info!$N$6+Info!$N$7)*3/2,ROUNDUP(J44*Info!$J$26),
ArrayFormula(SUM(IFERROR(SPLIT(I44,"" / ""))))&gt;(Info!$N$6+Info!$N$7)*3/2,CONCATENATE(""Sänk helst cutoffs i ""&amp;C44)),
AND(I44&lt;&gt;"""",FILTER(Info!$E$2:E81, Info!$A$2:A81 = C44) = ""Yes""),
"&amp;"IFS(I44&lt;FILTER(Info!$J$2:J81, Info!$A$2:A81 = C44)*2/3,CONCATENATE(""Höj helst cutoff i ""&amp;C44),
I44&lt;=FILTER(Info!$J$2:J81, Info!$A$2:A81 = C44),ROUNDUP(J44*Info!$J$22),
I44&lt;=FILTER(Info!$K$2:K81, Info!$A$2:A81 = C44),ROUNDUP(J44*Info!$K$22),
I44&lt;=FILTER("&amp;"Info!$L$2:L81, Info!$A$2:A81 = C44),ROUNDUP(J44*Info!L$22),
I44&lt;=FILTER(Info!$M$2:M81, Info!$A$2:A81 = C44),ROUNDUP(J44*Info!$M$22),
I44&lt;=FILTER(Info!$N$2:N81, Info!$A$2:A81 = C44),ROUNDUP(J44*Info!$N$22),
I44&lt;=FILTER(Info!$N$2:N81, Info!$A$2:A81 = C44)*3"&amp;"/2,ROUNDUP(J44*Info!$J$26),
I44&gt;FILTER(Info!$N$2:N81, Info!$A$2:A81 = C44)*3/2,CONCATENATE(""Sänk helst cutoff i ""&amp;C44)),
AND(H44&lt;&gt;"""",""6x6 / 7x7""=C44),
IFS(H44/3&lt;=(Info!$J$6+Info!$J$7)*2/3,""Höj helst cumulative time limit"",
H44/3&lt;=Info!$J$6+Info!$J"&amp;"$7,ROUNDUP(J44*Info!$J$24),
H44/3&lt;=Info!$K$6+Info!$K$7,ROUNDUP(J44*Info!$K$24),
H44/3&lt;=Info!$L$6+Info!$L$7,ROUNDUP(J44*Info!L$24),
H44/3&lt;=Info!$M$6+Info!$M$7,ROUNDUP(J44*Info!$M$24),
H44/3&lt;=Info!$N$6+Info!$N$7,ROUNDUP(J44*Info!$N$24),
H44/3&lt;=(Info!$N$6+In"&amp;"fo!$N$7)*3/2,ROUNDUP(J44*Info!$L$26),
H44/3&gt;(Info!$J$6+Info!$J$7)*3/2,""Sänk helst cumulative time limit""),
AND(H44&lt;&gt;"""",FILTER(Info!$F$2:F81, Info!$A$2:A81 = C44) = ""Yes""),
IFS(H44&lt;=FILTER(Info!$J$2:J81, Info!$A$2:A81 = C44)*2/3,CONCATENATE(""Höj hel"&amp;"st c.t.l. i ""&amp;C44),
H44&lt;=FILTER(Info!$J$2:J81, Info!$A$2:A81 = C44),ROUNDUP(J44*Info!$J$24),
H44&lt;=FILTER(Info!$K$2:K81, Info!$A$2:A81 = C44),ROUNDUP(J44*Info!$K$24),
H44&lt;=FILTER(Info!$L$2:L81, Info!$A$2:A81 = C44),ROUNDUP(J44*Info!L$24),
H44&lt;=FILTER(Info"&amp;"!$M$2:M81, Info!$A$2:A81 = C44),ROUNDUP(J44*Info!$M$24),
H44&lt;=FILTER(Info!$N$2:N81, Info!$A$2:A81 = C44),ROUNDUP(J44*Info!$N$24),
H44&lt;=FILTER(Info!$N$2:N81, Info!$A$2:A81 = C44)*3/2,ROUNDUP(J44*Info!$L$26),
H44&gt;FILTER(Info!$N$2:N81, Info!$A$2:A81 = C44)*3"&amp;"/2,CONCATENATE(""Sänk helst c.t.l. i ""&amp;C44)),
AND(H44&lt;&gt;"""",FILTER(Info!$F$2:F81, Info!$A$2:A81 = C44) = ""No""),
IFS(H44/AA44&lt;=FILTER(Info!$J$2:J81, Info!$A$2:A81 = C44)*2/3,CONCATENATE(""Höj helst c.t.l. i ""&amp;C44),
H44/AA44&lt;=FILTER(Info!$J$2:J81, Info!"&amp;"$A$2:A81 = C44),ROUNDUP(J44*Info!$J$24),
H44/AA44&lt;=FILTER(Info!$K$2:K81, Info!$A$2:A81 = C44),ROUNDUP(J44*Info!$K$24),
H44/AA44&lt;=FILTER(Info!$L$2:L81, Info!$A$2:A81 = C44),ROUNDUP(J44*Info!L$24),
H44/AA44&lt;=FILTER(Info!$M$2:M81, Info!$A$2:A81 = C44),ROUNDU"&amp;"P(J44*Info!$M$24),
H44/AA44&lt;=FILTER(Info!$N$2:N81, Info!$A$2:A81 = C44),ROUNDUP(J44*Info!$N$24),
H44/AA44&lt;=FILTER(Info!$N$2:N81, Info!$A$2:A81 = C44)*3/2,ROUNDUP(J44*Info!$L$26),
H44/AA44&gt;FILTER(Info!$N$2:N81, Info!$A$2:A81 = C44)*3/2,CONCATENATE(""Sänk h"&amp;"elst c.t.l. i ""&amp;C44)),
AND(I44="""",H44&lt;&gt;"""",J44&lt;&gt;""""),ROUNDUP(J44*Info!$T$29),
AND(I44&lt;&gt;"""",H44="""",J44&lt;&gt;""""),ROUNDUP(J44*Info!$T$26))"),"")</f>
        <v/>
      </c>
      <c r="L44" s="47">
        <f>IFERROR(__xludf.DUMMYFUNCTION("IFS(C44="""",0,
C44=""3x3 FMC"",Info!$B$9*N44+M44, C44=""3x3 MBLD"",Info!$B$18*N44+M44,
COUNTIF(Info!$A$22:A81,C44)&gt;0,FILTER(Info!$B$22:B81,Info!$A$22:A81=C44)+M44,
AND(C44&lt;&gt;"""",E44=""""),CONCATENATE(""Fyll i E""&amp;row()),
AND(C44&lt;&gt;"""",E44&lt;&gt;"""",E44&lt;&gt;1,E4"&amp;"4&lt;&gt;2,E44&lt;&gt;3,E44&lt;&gt;""Final""),CONCATENATE(""Fel format på E""&amp;row()),
K44=CONCATENATE(""Runda ""&amp;E44&amp;"" i ""&amp;C44&amp;"" finns redan""),CONCATENATE(""Fel i E""&amp;row()),
AND(C44&lt;&gt;"""",F44=""""),CONCATENATE(""Fyll i F""&amp;row()),
K44=CONCATENATE(C44&amp;"" måste ha forma"&amp;"tet ""&amp;FILTER(Info!$D$2:D81, Info!$A$2:A81 = C44)),CONCATENATE(""Fel format på F""&amp;row()),
AND(C44&lt;&gt;"""",D44=1,H44="""",FILTER(Info!$F$2:F81, Info!$A$2:A81 = C44) = ""Yes""),CONCATENATE(""Fyll i H""&amp;row()),
AND(C44&lt;&gt;"""",D44=1,I44="""",FILTER(Info!$E$2:E8"&amp;"1, Info!$A$2:A81 = C44) = ""Yes""),CONCATENATE(""Fyll i I""&amp;row()),
AND(C44&lt;&gt;"""",J44=""""),CONCATENATE(""Fyll i J""&amp;row()),
AND(C44&lt;&gt;"""",K44="""",OR(H44&lt;&gt;"""",I44&lt;&gt;"""")),CONCATENATE(""Fyll i K""&amp;row()),
AND(C44&lt;&gt;"""",K44=""""),CONCATENATE(""Skriv samma"&amp;" i K""&amp;row()&amp;"" som i J""&amp;row()),
AND(OR(C44=""4x4 BLD"",C44=""5x5 BLD"",C44=""4x4 / 5x5 BLD"")=TRUE,V44&lt;=P44),
MROUND(H44*(Info!$T$20-((Info!$T$20-1)/2)*(1-V44/P44))*(1+((J44/K44)-1)*(1-Info!$J$24))*N44+(Info!$T$11/2)+(N44*Info!$T$11)+(N44*Info!$T$14*(O4"&amp;"4-1)),0.01)+M44,
AND(OR(C44=""4x4 BLD"",C44=""5x5 BLD"",C44=""4x4 / 5x5 BLD"")=TRUE,V44&gt;P44),
MROUND((((J44*Z44+K44*(AA44-Z44))*(H44*Info!$T$20/AA44))/X44)*(1+((J44/K44)-1)*(1-Info!$J$24))*(1+(X44-Info!$T$8)/100)+(Info!$T$11/2)+(N44*Info!$T$11)+(N44*Info!"&amp;"$T$14*(O44-1)),0.01)+M44,
AND(C44=""3x3 BLD"",V44&lt;=P44),
MROUND(H44*(Info!$T$23-((Info!$T$23-1)/2)*(1-V44/P44))*(1+((J44/K44)-1)*(1-Info!$J$24))*N44+(Info!$T$11/2)+(N44*Info!$T$11)+(N44*Info!$T$14*(O44-1)),0.01)+M44,
AND(C44=""3x3 BLD"",V44&gt;P44),
MROUND(("&amp;"((J44*Z44+K44*(AA44-Z44))*(H44*Info!$T$23/AA44))/X44)*(1+((J44/K44)-1)*(1-Info!$J$24))*(1+(X44-Info!$T$8)/100)+(Info!$T$11/2)+(N44*Info!$T$11)+(N44*Info!$T$14*(O44-1)),0.01)+M44,
E44=1,MROUND((((J44*Z44+K44*(AA44-Z44))*Y44)/X44)*(1+(X44-Info!$T$8)/100)+(N"&amp;"44*Info!$T$11)+(N44*Info!$T$14*(O44-1)),0.01)+M44,
AND(E44=""Final"",N44=1,FILTER(Info!$G$2:$G$20,Info!$A$2:$A$20=C44)=""Mycket svår""),
MROUND((((J44*Z44+K44*(AA44-Z44))*(Y44*Info!$T$38))/X44)*(1+(X44-Info!$T$8)/100)+(N44*Info!$T$11)+(N44*Info!$T$14*(O44"&amp;"-1)),0.01)+M44,
AND(E44=""Final"",N44=1,FILTER(Info!$G$2:$G$20,Info!$A$2:$A$20=C44)=""Svår""),
MROUND((((J44*Z44+K44*(AA44-Z44))*(Y44*Info!$T$35))/X44)*(1+(X44-Info!$T$8)/100)+(N44*Info!$T$11)+(N44*Info!$T$14*(O44-1)),0.01)+M44,
E44=""Final"",MROUND((((J4"&amp;"4*Z44+K44*(AA44-Z44))*(Y44*Info!$T$5))/X44)*(1+(X44-Info!$T$8)/100)+(N44*Info!$T$11)+(N44*Info!$T$14*(O44-1)),0.01)+M44,
OR(E44=2,E44=3),MROUND((((J44*Z44+K44*(AA44-Z44))*(Y44*Info!$T$2))/X44)*(1+(X44-Info!$T$8)/100)+(N44*Info!$T$11)+(N44*Info!$T$14*(O44-"&amp;"1)),0.01)+M44)"),0.0)</f>
        <v>0</v>
      </c>
      <c r="M44" s="48">
        <f t="shared" si="4"/>
        <v>0</v>
      </c>
      <c r="N44" s="48" t="str">
        <f>IFS(OR(COUNTIF(Info!$A$22:A81,C44)&gt;0,C44=""),"",
OR(C44="4x4 BLD",C44="5x5 BLD",C44="3x3 MBLD",C44="3x3 FMC",C44="4x4 / 5x5 BLD"),1,
AND(E44="Final",Q44="Yes",MAX(1,ROUNDUP(J44/P44))&gt;1),MAX(2,ROUNDUP(J44/P44)),
AND(E44="Final",Q44="No",MAX(1,ROUNDUP(J44/((P44*2)+2.625-Y44*1.5)))&gt;1),MAX(2,ROUNDUP(J44/((P44*2)+2.625-Y44*1.5))),
E44="Final",1,
Q44="Yes",MAX(2,ROUNDUP(J44/P44)),
TRUE,MAX(2,ROUNDUP(J44/((P44*2)+2.625-Y44*1.5))))</f>
        <v/>
      </c>
      <c r="O44" s="48" t="str">
        <f>IFS(OR(COUNTIF(Info!$A$22:A81,C44)&gt;0,C44=""),"",
OR("3x3 MBLD"=C44,"3x3 FMC"=C44)=TRUE,"",
D44=$E$4,$G$6,D44=$K$4,$M$6,D44=$Q$4,$S$6,D44=$W$4,$Y$6,
TRUE,$S$2)</f>
        <v/>
      </c>
      <c r="P44" s="48" t="str">
        <f>IFS(OR(COUNTIF(Info!$A$22:A81,C44)&gt;0,C44=""),"",
OR("3x3 MBLD"=C44,"3x3 FMC"=C44)=TRUE,"",
D44=$E$4,$E$6,D44=$K$4,$K$6,D44=$Q$4,$Q$6,D44=$W$4,$W$6,
TRUE,$Q$2)</f>
        <v/>
      </c>
      <c r="Q44" s="49" t="str">
        <f>IFS(OR(COUNTIF(Info!$A$22:A81,C44)&gt;0,C44=""),"",
OR("3x3 MBLD"=C44,"3x3 FMC"=C44)=TRUE,"",
D44=$E$4,$I$6,D44=$K$4,$O$6,D44=$Q$4,$U$6,D44=$W$4,$AA$6,
TRUE,$U$2)</f>
        <v/>
      </c>
      <c r="R44" s="50" t="str">
        <f>IFERROR(__xludf.DUMMYFUNCTION("IF(C44="""","""",IFERROR(FILTER(Info!$B$22:B81,Info!$A$22:A81=C44)+M44,""?""))"),"")</f>
        <v/>
      </c>
      <c r="S44" s="51" t="str">
        <f>IFS(OR(COUNTIF(Info!$A$22:A81,C44)&gt;0,C44=""),"",
AND(H44="",I44=""),J44,
TRUE,"?")</f>
        <v/>
      </c>
      <c r="T44" s="52" t="str">
        <f>IFS(OR(COUNTIF(Info!$A$22:A81,C44)&gt;0,C44=""),"",
AND(L44&lt;&gt;0,OR(R44="?",R44="")),"Fyll i R-kolumnen",
OR(C44="3x3 FMC",C44="3x3 MBLD"),R44,
AND(L44&lt;&gt;0,OR(S44="?",S44="")),"Fyll i S-kolumnen",
OR(COUNTIF(Info!$A$22:A81,C44)&gt;0,C44=""),"",
TRUE,Y44*R44/L44)</f>
        <v/>
      </c>
      <c r="U44" s="52"/>
      <c r="V44" s="53" t="str">
        <f>IFS(OR(COUNTIF(Info!$A$22:A81,C44)&gt;0,C44=""),"",
OR("3x3 MBLD"=C44,"3x3 FMC"=C44)=TRUE,"",
TRUE,MROUND((J44/N44),0.01))</f>
        <v/>
      </c>
      <c r="W44" s="54" t="str">
        <f>IFS(OR(COUNTIF(Info!$A$22:A81,C44)&gt;0,C44=""),"",
TRUE,L44/N44)</f>
        <v/>
      </c>
      <c r="X44" s="55" t="str">
        <f>IFS(OR(COUNTIF(Info!$A$22:A81,C44)&gt;0,C44=""),"",
OR("3x3 MBLD"=C44,"3x3 FMC"=C44)=TRUE,"",
OR(C44="4x4 BLD",C44="5x5 BLD",C44="4x4 / 5x5 BLD",AND(C44="3x3 BLD",H44&lt;&gt;""))=TRUE,MIN(V44,P44),
TRUE,MIN(P44,V44,MROUND(((V44*2/3)+((Y44-1.625)/2)),0.01)))</f>
        <v/>
      </c>
      <c r="Y44" s="56" t="str">
        <f>IFERROR(__xludf.DUMMYFUNCTION("IFS(OR(COUNTIF(Info!$A$22:A81,C44)&gt;0,C44=""""),"""",
FILTER(Info!$F$2:F81, Info!$A$2:A81 = C44) = ""Yes"",H44/AA44,
""3x3 FMC""=C44,Info!$B$9,""3x3 MBLD""=C44,Info!$B$18,
AND(E44=1,I44="""",H44="""",Q44=""No"",G44&gt;SUMIF(Info!$A$2:A81,C44,Info!$B$2:B81)*1."&amp;"5),
MIN(SUMIF(Info!$A$2:A81,C44,Info!$B$2:B81)*1.1,SUMIF(Info!$A$2:A81,C44,Info!$B$2:B81)*(1.15-(0.15*(SUMIF(Info!$A$2:A81,C44,Info!$B$2:B81)*1.5)/G44))),
AND(E44=1,I44="""",H44="""",Q44=""Yes"",G44&gt;SUMIF(Info!$A$2:A81,C44,Info!$C$2:C81)*1.5),
MIN(SUMIF(I"&amp;"nfo!$A$2:A81,C44,Info!$C$2:C81)*1.1,SUMIF(Info!$A$2:A81,C44,Info!$C$2:C81)*(1.15-(0.15*(SUMIF(Info!$A$2:A81,C44,Info!$C$2:C81)*1.5)/G44))),
Q44=""No"",SUMIF(Info!$A$2:A81,C44,Info!$B$2:B81),
Q44=""Yes"",SUMIF(Info!$A$2:A81,C44,Info!$C$2:C81))"),"")</f>
        <v/>
      </c>
      <c r="Z44" s="57" t="str">
        <f>IFS(OR(COUNTIF(Info!$A$22:A81,C44)&gt;0,C44=""),"",
AND(OR("3x3 FMC"=C44,"3x3 MBLD"=C44),I44&lt;&gt;""),1,
AND(OR(H44&lt;&gt;"",I44&lt;&gt;""),F44="Avg of 5"),2,
F44="Avg of 5",AA44,
AND(OR(H44&lt;&gt;"",I44&lt;&gt;""),F44="Mean of 3",C44="6x6 / 7x7"),2,
AND(OR(H44&lt;&gt;"",I44&lt;&gt;""),F44="Mean of 3"),1,
F44="Mean of 3",AA44,
AND(OR(H44&lt;&gt;"",I44&lt;&gt;""),F44="Best of 3",C44="4x4 / 5x5 BLD"),2,
AND(OR(H44&lt;&gt;"",I44&lt;&gt;""),F44="Best of 3"),1,
F44="Best of 2",AA44,
F44="Best of 1",AA44)</f>
        <v/>
      </c>
      <c r="AA44" s="57" t="str">
        <f>IFS(OR(COUNTIF(Info!$A$22:A81,C44)&gt;0,C44=""),"",
AND(OR("3x3 MBLD"=C44,"3x3 FMC"=C44),F44="Best of 1"=TRUE),1,
AND(OR("3x3 MBLD"=C44,"3x3 FMC"=C44),F44="Best of 2"=TRUE),2,
AND(OR("3x3 MBLD"=C44,"3x3 FMC"=C44),OR(F44="Best of 3",F44="Mean of 3")=TRUE),3,
AND(F44="Mean of 3",C44="6x6 / 7x7"),6,
AND(F44="Best of 3",C44="4x4 / 5x5 BLD"),6,
F44="Avg of 5",5,F44="Mean of 3",3,F44="Best of 3",3,F44="Best of 2",2,F44="Best of 1",1)</f>
        <v/>
      </c>
      <c r="AB44" s="58"/>
    </row>
    <row r="45">
      <c r="A45" s="40">
        <f>IFERROR(__xludf.DUMMYFUNCTION("IFS(indirect(""A""&amp;row()-1)=""Start"",TIME(indirect(""A""&amp;row()-2),indirect(""B""&amp;row()-2),0),
$O$2=""No"",TIME(0,($A$6*60+$B$6)+CEILING(SUM($L$7:indirect(""L""&amp;row()-1)),5),0),
D45=$E$2,TIME(0,($A$6*60+$B$6)+CEILING(SUM(IFERROR(FILTER($L$7:indirect(""L"""&amp;"&amp;row()-1),REGEXMATCH($D$7:indirect(""D""&amp;row()-1),$E$2)),0)),5),0),
TRUE,""=time(hh;mm;ss)"")"),0.375)</f>
        <v>0.375</v>
      </c>
      <c r="B45" s="41">
        <f>IFERROR(__xludf.DUMMYFUNCTION("IFS($O$2=""No"",TIME(0,($A$6*60+$B$6)+CEILING(SUM($L$7:indirect(""L""&amp;row())),5),0),
D45=$E$2,TIME(0,($A$6*60+$B$6)+CEILING(SUM(FILTER($L$7:indirect(""L""&amp;row()),REGEXMATCH($D$7:indirect(""D""&amp;row()),$E$2))),5),0),
A45=""=time(hh;mm;ss)"",CONCATENATE(""Sk"&amp;"riv tid i A""&amp;row()),
AND(A45&lt;&gt;"""",A45&lt;&gt;""=time(hh;mm;ss)""),A45+TIME(0,CEILING(indirect(""L""&amp;row()),5),0))"),0.375)</f>
        <v>0.375</v>
      </c>
      <c r="C45" s="42"/>
      <c r="D45" s="43" t="str">
        <f t="shared" si="3"/>
        <v>Stora salen</v>
      </c>
      <c r="E45" s="43" t="str">
        <f>IFERROR(__xludf.DUMMYFUNCTION("IFS(COUNTIF(Info!$A$22:A81,C45)&gt;0,"""",
AND(OR(""3x3 FMC""=C45,""3x3 MBLD""=C45),COUNTIF($C$7:indirect(""C""&amp;row()),indirect(""C""&amp;row()))&gt;=13),""E - Error"",
AND(OR(""3x3 FMC""=C45,""3x3 MBLD""=C45),COUNTIF($C$7:indirect(""C""&amp;row()),indirect(""C""&amp;row()"&amp;"))=12),""Final - A3"",
AND(OR(""3x3 FMC""=C45,""3x3 MBLD""=C45),COUNTIF($C$7:indirect(""C""&amp;row()),indirect(""C""&amp;row()))=11),""Final - A2"",
AND(OR(""3x3 FMC""=C45,""3x3 MBLD""=C45),COUNTIF($C$7:indirect(""C""&amp;row()),indirect(""C""&amp;row()))=10),""Final - "&amp;"A1"",
AND(OR(""3x3 FMC""=C45,""3x3 MBLD""=C45),COUNTIF($C$7:indirect(""C""&amp;row()),indirect(""C""&amp;row()))=9,
COUNTIF($C$7:$C$61,indirect(""C""&amp;row()))&gt;9),""R3 - A3"",
AND(OR(""3x3 FMC""=C45,""3x3 MBLD""=C45),COUNTIF($C$7:indirect(""C""&amp;row()),indirect(""C"&amp;"""&amp;row()))=9,
COUNTIF($C$7:$C$61,indirect(""C""&amp;row()))&lt;=9),""Final - A3"",
AND(OR(""3x3 FMC""=C45,""3x3 MBLD""=C45),COUNTIF($C$7:indirect(""C""&amp;row()),indirect(""C""&amp;row()))=8,
COUNTIF($C$7:$C$61,indirect(""C""&amp;row()))&gt;9),""R3 - A2"",
AND(OR(""3x3 FMC""="&amp;"C45,""3x3 MBLD""=C45),COUNTIF($C$7:indirect(""C""&amp;row()),indirect(""C""&amp;row()))=8,
COUNTIF($C$7:$C$61,indirect(""C""&amp;row()))&lt;=9),""Final - A2"",
AND(OR(""3x3 FMC""=C45,""3x3 MBLD""=C45),COUNTIF($C$7:indirect(""C""&amp;row()),indirect(""C""&amp;row()))=7,
COUNTIF("&amp;"$C$7:$C$61,indirect(""C""&amp;row()))&gt;9),""R3 - A1"",
AND(OR(""3x3 FMC""=C45,""3x3 MBLD""=C45),COUNTIF($C$7:indirect(""C""&amp;row()),indirect(""C""&amp;row()))=7,
COUNTIF($C$7:$C$61,indirect(""C""&amp;row()))&lt;=9),""Final - A1"",
AND(OR(""3x3 FMC""=C45,""3x3 MBLD""=C45),"&amp;"COUNTIF($C$7:indirect(""C""&amp;row()),indirect(""C""&amp;row()))=6,
COUNTIF($C$7:$C$61,indirect(""C""&amp;row()))&gt;6),""R2 - A3"",
AND(OR(""3x3 FMC""=C45,""3x3 MBLD""=C45),COUNTIF($C$7:indirect(""C""&amp;row()),indirect(""C""&amp;row()))=6,
COUNTIF($C$7:$C$61,indirect(""C""&amp;"&amp;"row()))&lt;=6),""Final - A3"",
AND(OR(""3x3 FMC""=C45,""3x3 MBLD""=C45),COUNTIF($C$7:indirect(""C""&amp;row()),indirect(""C""&amp;row()))=5,
COUNTIF($C$7:$C$61,indirect(""C""&amp;row()))&gt;6),""R2 - A2"",
AND(OR(""3x3 FMC""=C45,""3x3 MBLD""=C45),COUNTIF($C$7:indirect(""C"&amp;"""&amp;row()),indirect(""C""&amp;row()))=5,
COUNTIF($C$7:$C$61,indirect(""C""&amp;row()))&lt;=6),""Final - A2"",
AND(OR(""3x3 FMC""=C45,""3x3 MBLD""=C45),COUNTIF($C$7:indirect(""C""&amp;row()),indirect(""C""&amp;row()))=4,
COUNTIF($C$7:$C$61,indirect(""C""&amp;row()))&gt;6),""R2 - A1"&amp;""",
AND(OR(""3x3 FMC""=C45,""3x3 MBLD""=C45),COUNTIF($C$7:indirect(""C""&amp;row()),indirect(""C""&amp;row()))=4,
COUNTIF($C$7:$C$61,indirect(""C""&amp;row()))&lt;=6),""Final - A1"",
AND(OR(""3x3 FMC""=C45,""3x3 MBLD""=C45),COUNTIF($C$7:indirect(""C""&amp;row()),indirect("""&amp;"C""&amp;row()))=3),""R1 - A3"",
AND(OR(""3x3 FMC""=C45,""3x3 MBLD""=C45),COUNTIF($C$7:indirect(""C""&amp;row()),indirect(""C""&amp;row()))=2),""R1 - A2"",
AND(OR(""3x3 FMC""=C45,""3x3 MBLD""=C45),COUNTIF($C$7:indirect(""C""&amp;row()),indirect(""C""&amp;row()))=1),""R1 -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C45),ROUNDUP((FILTER(Info!$H$2:H81,Info!$A$2:A81=C45)/FILTER(Info!$H$2:H81,Info!$A$2:A81=$K$2))*$I$2)&gt;99),3,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C45),ROUNDUP((FILTER(Info!$H$2:H81,Info!$A$2:A81=C45)/FILTER(Info!$H$2:H81,Info!$A$2:A81=$K$2))*$I$2)&gt;15),2,
AND(COUNTIF($C$7:indirect(""C""&amp;row()),indirect(""C""&amp;row()))=2,COUNTIF($C$7:$C$61,indirect(""C""&amp;row()))=COUNTIF($C$7:indirect("""&amp;"C""&amp;row()),indirect(""C""&amp;row()))),""Final"",
COUNTIF($C$7:indirect(""C""&amp;row()),indirect(""C""&amp;row()))=1,1,
COUNTIF($C$7:indirect(""C""&amp;row()),indirect(""C""&amp;row()))=0,"""")"),"")</f>
        <v/>
      </c>
      <c r="F45" s="44" t="str">
        <f>IFERROR(__xludf.DUMMYFUNCTION("IFS(C45="""","""",
AND(C45=""3x3 FMC"",MOD(COUNTIF($C$7:indirect(""C""&amp;row()),indirect(""C""&amp;row())),3)=0),""Mean of 3"",
AND(C45=""3x3 MBLD"",MOD(COUNTIF($C$7:indirect(""C""&amp;row()),indirect(""C""&amp;row())),3)=0),""Best of 3"",
AND(C45=""3x3 FMC"",MOD(COUNT"&amp;"IF($C$7:indirect(""C""&amp;row()),indirect(""C""&amp;row())),3)=2,
COUNTIF($C$7:$C$61,indirect(""C""&amp;row()))&lt;=COUNTIF($C$7:indirect(""C""&amp;row()),indirect(""C""&amp;row()))),""Best of 2"",
AND(C45=""3x3 FMC"",MOD(COUNTIF($C$7:indirect(""C""&amp;row()),indirect(""C""&amp;row()"&amp;")),3)=2,
COUNTIF($C$7:$C$61,indirect(""C""&amp;row()))&gt;COUNTIF($C$7:indirect(""C""&amp;row()),indirect(""C""&amp;row()))),""Mean of 3"",
AND(C45=""3x3 MBLD"",MOD(COUNTIF($C$7:indirect(""C""&amp;row()),indirect(""C""&amp;row())),3)=2,
COUNTIF($C$7:$C$61,indirect(""C""&amp;row()))"&amp;"&lt;=COUNTIF($C$7:indirect(""C""&amp;row()),indirect(""C""&amp;row()))),""Best of 2"",
AND(C45=""3x3 MBLD"",MOD(COUNTIF($C$7:indirect(""C""&amp;row()),indirect(""C""&amp;row())),3)=2,
COUNTIF($C$7:$C$61,indirect(""C""&amp;row()))&gt;COUNTIF($C$7:indirect(""C""&amp;row()),indirect(""C"&amp;"""&amp;row()))),""Best of 3"",
AND(C45=""3x3 FMC"",MOD(COUNTIF($C$7:indirect(""C""&amp;row()),indirect(""C""&amp;row())),3)=1,
COUNTIF($C$7:$C$61,indirect(""C""&amp;row()))&lt;=COUNTIF($C$7:indirect(""C""&amp;row()),indirect(""C""&amp;row()))),""Best of 1"",
AND(C45=""3x3 FMC"",MOD"&amp;"(COUNTIF($C$7:indirect(""C""&amp;row()),indirect(""C""&amp;row())),3)=1,
COUNTIF($C$7:$C$61,indirect(""C""&amp;row()))=COUNTIF($C$7:indirect(""C""&amp;row()),indirect(""C""&amp;row()))+1),""Best of 2"",
AND(C45=""3x3 FMC"",MOD(COUNTIF($C$7:indirect(""C""&amp;row()),indirect(""C"&amp;"""&amp;row())),3)=1,
COUNTIF($C$7:$C$61,indirect(""C""&amp;row()))&gt;COUNTIF($C$7:indirect(""C""&amp;row()),indirect(""C""&amp;row()))),""Mean of 3"",
AND(C45=""3x3 MBLD"",MOD(COUNTIF($C$7:indirect(""C""&amp;row()),indirect(""C""&amp;row())),3)=1,
COUNTIF($C$7:$C$61,indirect(""C"""&amp;"&amp;row()))&lt;=COUNTIF($C$7:indirect(""C""&amp;row()),indirect(""C""&amp;row()))),""Best of 1"",
AND(C45=""3x3 MBLD"",MOD(COUNTIF($C$7:indirect(""C""&amp;row()),indirect(""C""&amp;row())),3)=1,
COUNTIF($C$7:$C$61,indirect(""C""&amp;row()))=COUNTIF($C$7:indirect(""C""&amp;row()),indir"&amp;"ect(""C""&amp;row()))+1),""Best of 2"",
AND(C45=""3x3 MBLD"",MOD(COUNTIF($C$7:indirect(""C""&amp;row()),indirect(""C""&amp;row())),3)=1,
COUNTIF($C$7:$C$61,indirect(""C""&amp;row()))&gt;COUNTIF($C$7:indirect(""C""&amp;row()),indirect(""C""&amp;row()))),""Best of 3"",
TRUE,(IFERROR("&amp;"FILTER(Info!$D$2:D81, Info!$A$2:A81 = C45), """")))"),"")</f>
        <v/>
      </c>
      <c r="G45" s="45" t="str">
        <f>IFERROR(__xludf.DUMMYFUNCTION("IFS(OR(COUNTIF(Info!$A$22:A81,C45)&gt;0,C45=""""),"""",
OR(""3x3 MBLD""=C45,""3x3 FMC""=C45),60,
AND(E45=1,FILTER(Info!$F$2:F81, Info!$A$2:A81 = C45) = ""No""),FILTER(Info!$P$2:P81, Info!$A$2:A81 = C45),
AND(E45=2,FILTER(Info!$F$2:F81, Info!$A$2:A81 = C45) ="&amp;" ""No""),FILTER(Info!$Q$2:Q81, Info!$A$2:A81 = C45),
AND(E45=3,FILTER(Info!$F$2:F81, Info!$A$2:A81 = C45) = ""No""),FILTER(Info!$R$2:R81, Info!$A$2:A81 = C45),
AND(E45=""Final"",FILTER(Info!$F$2:F81, Info!$A$2:A81 = C45) = ""No""),FILTER(Info!$S$2:S81, In"&amp;"fo!$A$2:A81 = C45),
FILTER(Info!$F$2:F81, Info!$A$2:A81 = C45) = ""Yes"","""")"),"")</f>
        <v/>
      </c>
      <c r="H45" s="45" t="str">
        <f>IFERROR(__xludf.DUMMYFUNCTION("IFS(OR(COUNTIF(Info!$A$22:A81,C45)&gt;0,C45=""""),"""",
OR(""3x3 MBLD""=C45,""3x3 FMC""=C45)=TRUE,"""",
FILTER(Info!$F$2:F81, Info!$A$2:A81 = C45) = ""Yes"",FILTER(Info!$O$2:O81, Info!$A$2:A81 = C45),
FILTER(Info!$F$2:F81, Info!$A$2:A81 = C45) = ""No"",IF(G4"&amp;"5="""",FILTER(Info!$O$2:O81, Info!$A$2:A81 = C45),""""))"),"")</f>
        <v/>
      </c>
      <c r="I45" s="45" t="str">
        <f>IFERROR(__xludf.DUMMYFUNCTION("IFS(OR(COUNTIF(Info!$A$22:A81,C45)&gt;0,C45="""",H45&lt;&gt;""""),"""",
AND(E45&lt;&gt;1,E45&lt;&gt;""R1 - A1"",E45&lt;&gt;""R1 - A2"",E45&lt;&gt;""R1 - A3""),"""",
FILTER(Info!$E$2:E81, Info!$A$2:A81 = C45) = ""Yes"",IF(H45="""",FILTER(Info!$L$2:L81, Info!$A$2:A81 = C45),""""),
FILTER(I"&amp;"nfo!$E$2:E81, Info!$A$2:A81 = C45) = ""No"","""")"),"")</f>
        <v/>
      </c>
      <c r="J45" s="45" t="str">
        <f>IFERROR(__xludf.DUMMYFUNCTION("IFS(OR(COUNTIF(Info!$A$22:A81,C45)&gt;0,C45="""",""3x3 MBLD""=C45,""3x3 FMC""=C45),"""",
AND(E45=1,FILTER(Info!$H$2:H81,Info!$A$2:A81 = C45)&lt;=FILTER(Info!$H$2:H81,Info!$A$2:A81=$K$2)),
ROUNDUP((FILTER(Info!$H$2:H81,Info!$A$2:A81 = C45)/FILTER(Info!$H$2:H81,I"&amp;"nfo!$A$2:A81=$K$2))*$I$2),
AND(E45=1,FILTER(Info!$H$2:H81,Info!$A$2:A81 = C45)&gt;FILTER(Info!$H$2:H81,Info!$A$2:A81=$K$2)),""K2 - Error"",
AND(E45=2,FILTER($J$7:indirect(""J""&amp;row()-1),$C$7:indirect(""C""&amp;row()-1)=C45)&lt;=7),""J - Error"",
E45=2,FLOOR(FILTER("&amp;"$J$7:indirect(""J""&amp;row()-1),$C$7:indirect(""C""&amp;row()-1)=C45)*Info!$T$32),
AND(E45=3,FILTER($J$7:indirect(""J""&amp;row()-1),$C$7:indirect(""C""&amp;row()-1)=C45)&lt;=15),""J - Error"",
E45=3,FLOOR(Info!$T$32*FLOOR(FILTER($J$7:indirect(""J""&amp;row()-1),$C$7:indirect("&amp;"""C""&amp;row()-1)=C45)*Info!$T$32)),
AND(E45=""Final"",COUNTIF($C$7:$C$61,C45)=2,FILTER($J$7:indirect(""J""&amp;row()-1),$C$7:indirect(""C""&amp;row()-1)=C45)&lt;=7),""J - Error"",
AND(E45=""Final"",COUNTIF($C$7:$C$61,C45)=2),
MIN(P45,FLOOR(FILTER($J$7:indirect(""J""&amp;r"&amp;"ow()-1),$C$7:indirect(""C""&amp;row()-1)=C45)*Info!$T$32)),
AND(E45=""Final"",COUNTIF($C$7:$C$61,C45)=3,FILTER($J$7:indirect(""J""&amp;row()-1),$C$7:indirect(""C""&amp;row()-1)=C45)&lt;=15),""J - Error"",
AND(E45=""Final"",COUNTIF($C$7:$C$61,C45)=3),
MIN(P45,FLOOR(Info!"&amp;"$T$32*FLOOR(FILTER($J$7:indirect(""J""&amp;row()-1),$C$7:indirect(""C""&amp;row()-1)=C45)*Info!$T$32))),
AND(E45=""Final"",COUNTIF($C$7:$C$61,C45)&gt;=4,FILTER($J$7:indirect(""J""&amp;row()-1),$C$7:indirect(""C""&amp;row()-1)=C45)&lt;=99),""J - Error"",
AND(E45=""Final"",COUNT"&amp;"IF($C$7:$C$61,C45)&gt;=4),
MIN(P45,FLOOR(Info!$T$32*FLOOR(Info!$T$32*FLOOR(FILTER($J$7:indirect(""J""&amp;row()-1),$C$7:indirect(""C""&amp;row()-1)=C45)*Info!$T$32)))))"),"")</f>
        <v/>
      </c>
      <c r="K45" s="46" t="str">
        <f>IFERROR(__xludf.DUMMYFUNCTION("IFS(AND(indirect(""D""&amp;row()+2)&lt;&gt;$E$2,indirect(""D""&amp;row()+1)=""""),CONCATENATE(""Tom rad! Kopiera hela rad ""&amp;row()&amp;"" dit""),
AND(indirect(""D""&amp;row()-1)&lt;&gt;""Rum"",indirect(""D""&amp;row()-1)=""""),CONCATENATE(""Tom rad! Kopiera hela rad ""&amp;row()&amp;"" dit""),
"&amp;"C45="""","""",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OR(AND(D45&lt;&gt;$E$2,D45&lt;&gt;$E$4,D45&lt;&gt;$K$4,D45&lt;&gt;$Q$4),D45="&amp;"""""),CONCATENATE(""Rum: ""&amp;D45&amp;"" finns ej, byt i D""&amp;row()),
AND(indirect(""D""&amp;row()-1)=""Rum"",C45=""""),CONCATENATE(""För att börja: skriv i cell C""&amp;row()),
AND(C45=""Paus"",M45&lt;=0),CONCATENATE(""Skriv pausens längd i M""&amp;row()),
OR(COUNTIF(Info!$A$"&amp;"22:A81,C45)&gt;0,C45=""""),"""",
AND(D45&lt;&gt;$E$2,$O$2=""Yes"",A45=""=time(hh;mm;ss)""),CONCATENATE(""Skriv starttid för ""&amp;C45&amp;"" i A""&amp;row()),
E45=""E - Error"",CONCATENATE(""För många ""&amp;C45&amp;"" rundor!""),
AND(C45&lt;&gt;""3x3 FMC"",C45&lt;&gt;""3x3 MBLD"",E45&lt;&gt;1,E45&lt;&gt;"&amp;"""Final"",IFERROR(FILTER($E$7:indirect(""E""&amp;row()-1),
$E$7:indirect(""E""&amp;row()-1)=E45-1,$C$7:indirect(""C""&amp;row()-1)=C45))=FALSE),CONCATENATE(""Kan ej vara R""&amp;E45&amp;"", saknar R""&amp;(E45-1)),
AND(indirect(""E""&amp;row()-1)&lt;&gt;""Omgång"",IFERROR(FILTER($E$7:indi"&amp;"rect(""E""&amp;row()-1),
$E$7:indirect(""E""&amp;row()-1)=E45,$C$7:indirect(""C""&amp;row()-1)=C45)=E45)=TRUE),CONCATENATE(""Runda ""&amp;E45&amp;"" i ""&amp;C45&amp;"" finns redan""),
AND(C45&lt;&gt;""3x3 BLD"",C45&lt;&gt;""4x4 BLD"",C45&lt;&gt;""5x5 BLD"",C45&lt;&gt;""4x4 / 5x5 BLD"",OR(E45=2,E45=3,E45="&amp;"""Final""),H45&lt;&gt;""""),CONCATENATE(E45&amp;""-rundor brukar ej ha c.t.l.""),
AND(OR(E45=2,E45=3,E45=""Final""),I45&lt;&gt;""""),CONCATENATE(E45&amp;""-rundor brukar ej ha cutoff""),
AND(OR(C45=""3x3 FMC"",C45=""3x3 MBLD""),OR(E45=1,E45=2,E45=3,E45=""Final"")),CONCATENAT"&amp;"E(C45&amp;""s omgång är Rx - Ax""),
AND(C45&lt;&gt;""3x3 MBLD"",C45&lt;&gt;""3x3 FMC"",FILTER(Info!$D$2:D81, Info!$A$2:A81 = C45)&lt;&gt;F45),CONCATENATE(C45&amp;"" måste ha formatet ""&amp;FILTER(Info!$D$2:D81, Info!$A$2:A81 = C45)),
AND(C45=""3x3 MBLD"",OR(F45=""Avg of 5"",F45=""Mea"&amp;"n of 3"")),CONCATENATE(""Ogiltigt format för ""&amp;C45),
AND(C45=""3x3 FMC"",OR(F45=""Avg of 5"",F45=""Best of 3"")),CONCATENATE(""Ogiltigt format för ""&amp;C45),
AND(OR(F45=""Best of 1"",F45=""Best of 2"",F45=""Best of 3""),I45&lt;&gt;""""),CONCATENATE(F45&amp;""-rundor"&amp;" får ej ha cutoff""),
AND(OR(C45=""3x3 FMC"",C45=""3x3 MBLD""),G45&lt;&gt;60),CONCATENATE(C45&amp;"" måste ha time limit: 60""),
AND(OR(C45=""3x3 FMC"",C45=""3x3 MBLD""),H45&lt;&gt;""""),CONCATENATE(C45&amp;"" kan inte ha c.t.l.""),
AND(G45&lt;&gt;"""",H45&lt;&gt;""""),""Välj time limit"&amp;" ELLER c.t.l"",
AND(C45=""6x6 / 7x7"",G45="""",H45=""""),""Sätt time limit (x / y) eller c.t.l (z)"",
AND(G45="""",H45=""""),""Sätt en time limit eller c.t.l"",
AND(OR(C45=""6x6 / 7x7"",C45=""4x4 / 5x5 BLD""),G45&lt;&gt;"""",REGEXMATCH(TO_TEXT(G45),"" / "")=FAL"&amp;"SE),CONCATENATE(""Time limit måste vara x / y""),
AND(H45&lt;&gt;"""",I45&lt;&gt;""""),CONCATENATE(C45&amp;"" brukar ej ha cutoff OCH c.t.l""),
AND(E45=1,H45="""",I45="""",OR(FILTER(Info!$E$2:E81, Info!$A$2:A81 = C45) = ""Yes"",FILTER(Info!$F$2:F81, Info!$A$2:A81 = C45) "&amp;"= ""Yes""),OR(F45=""Avg of 5"",F45=""Mean of 3"")),CONCATENATE(C45&amp;"" bör ha cutoff eller c.t.l""),
AND(C45=""6x6 / 7x7"",I45&lt;&gt;"""",REGEXMATCH(TO_TEXT(I45),"" / "")=FALSE),CONCATENATE(""Cutoff måste vara x / y""),
AND(H45&lt;&gt;"""",ISNUMBER(H45)=FALSE),""C.t."&amp;"l. måste vara positivt tal (x)"",
AND(C45&lt;&gt;""6x6 / 7x7"",I45&lt;&gt;"""",ISNUMBER(I45)=FALSE),""Cutoff måste vara positivt tal (x)"",
AND(H45&lt;&gt;"""",FILTER(Info!$E$2:E81, Info!$A$2:A81 = C45) = ""No"",FILTER(Info!$F$2:F81, Info!$A$2:A81 = C45) = ""No""),CONCATEN"&amp;"ATE(C45&amp;"" brukar inte ha c.t.l.""),
AND(I45&lt;&gt;"""",FILTER(Info!$E$2:E81, Info!$A$2:A81 = C45) = ""No"",FILTER(Info!$F$2:F81, Info!$A$2:A81 = C45) = ""No""),CONCATENATE(C45&amp;"" brukar inte ha cutoff""),
AND(H45="""",FILTER(Info!$F$2:F81, Info!$A$2:A81 = C45"&amp;") = ""Yes""),CONCATENATE(C45&amp;"" brukar ha c.t.l.""),
AND(C45&lt;&gt;""6x6 / 7x7"",C45&lt;&gt;""4x4 / 5x5 BLD"",G45&lt;&gt;"""",ISNUMBER(G45)=FALSE),""Time limit måste vara positivt tal (x)"",
J45=""J - Error"",CONCATENATE(""För få deltagare i R1 för ""&amp;COUNTIF($C$7:$C$61,i"&amp;"ndirect(""C""&amp;row()))&amp;"" rundor""),
J45=""K2 - Error"",CONCATENATE(C45&amp;"" är mer populär - byt i K2!""),
AND(C45&lt;&gt;""6x6 / 7x7"",C45&lt;&gt;""4x4 / 5x5 BLD"",G45&lt;&gt;"""",I45&lt;&gt;"""",G45&lt;=I45),""Time limit måste vara &gt; cutoff"",
AND(C45&lt;&gt;""6x6 / 7x7"",C45&lt;&gt;""4x4 / 5x"&amp;"5 BLD"",H45&lt;&gt;"""",I45&lt;&gt;"""",H45&lt;=I45),""C.t.l. måste vara &gt; cutoff"",
AND(C45&lt;&gt;""3x3 FMC"",C45&lt;&gt;""3x3 MBLD"",J45=""""),CONCATENATE(""Fyll i antal deltagare i J""&amp;row()),
AND(C45="""",OR(E45&lt;&gt;"""",F45&lt;&gt;"""",G45&lt;&gt;"""",H45&lt;&gt;"""",I45&lt;&gt;"""",J45&lt;&gt;"""")),""Skriv"&amp;" ALLTID gren / aktivitet först"",
AND(I45="""",H45="""",J45&lt;&gt;""""),J45,
OR(""3x3 FMC""=C45,""3x3 MBLD""=C45),J45,
AND(I45&lt;&gt;"""",""6x6 / 7x7""=C45),
IFS(ArrayFormula(SUM(IFERROR(SPLIT(I45,"" / ""))))&lt;(Info!$J$6+Info!$J$7)*2/3,CONCATENATE(""Höj helst cutoff"&amp;"s i ""&amp;C45),
ArrayFormula(SUM(IFERROR(SPLIT(I45,"" / ""))))&lt;=(Info!$J$6+Info!$J$7),ROUNDUP(J45*Info!$J$22),
ArrayFormula(SUM(IFERROR(SPLIT(I45,"" / ""))))&lt;=Info!$J$6+Info!$J$7,ROUNDUP(J45*Info!$K$22),
ArrayFormula(SUM(IFERROR(SPLIT(I45,"" / ""))))&lt;=Info!$"&amp;"K$6+Info!$K$7,ROUNDUP(J45*Info!L$22),
ArrayFormula(SUM(IFERROR(SPLIT(I45,"" / ""))))&lt;=Info!$L$6+Info!$L$7,ROUNDUP(J45*Info!$M$22),
ArrayFormula(SUM(IFERROR(SPLIT(I45,"" / ""))))&lt;=Info!$M$6+Info!$M$7,ROUNDUP(J45*Info!$N$22),
ArrayFormula(SUM(IFERROR(SPLIT("&amp;"I45,"" / ""))))&lt;=(Info!$N$6+Info!$N$7)*3/2,ROUNDUP(J45*Info!$J$26),
ArrayFormula(SUM(IFERROR(SPLIT(I45,"" / ""))))&gt;(Info!$N$6+Info!$N$7)*3/2,CONCATENATE(""Sänk helst cutoffs i ""&amp;C45)),
AND(I45&lt;&gt;"""",FILTER(Info!$E$2:E81, Info!$A$2:A81 = C45) = ""Yes""),
"&amp;"IFS(I45&lt;FILTER(Info!$J$2:J81, Info!$A$2:A81 = C45)*2/3,CONCATENATE(""Höj helst cutoff i ""&amp;C45),
I45&lt;=FILTER(Info!$J$2:J81, Info!$A$2:A81 = C45),ROUNDUP(J45*Info!$J$22),
I45&lt;=FILTER(Info!$K$2:K81, Info!$A$2:A81 = C45),ROUNDUP(J45*Info!$K$22),
I45&lt;=FILTER("&amp;"Info!$L$2:L81, Info!$A$2:A81 = C45),ROUNDUP(J45*Info!L$22),
I45&lt;=FILTER(Info!$M$2:M81, Info!$A$2:A81 = C45),ROUNDUP(J45*Info!$M$22),
I45&lt;=FILTER(Info!$N$2:N81, Info!$A$2:A81 = C45),ROUNDUP(J45*Info!$N$22),
I45&lt;=FILTER(Info!$N$2:N81, Info!$A$2:A81 = C45)*3"&amp;"/2,ROUNDUP(J45*Info!$J$26),
I45&gt;FILTER(Info!$N$2:N81, Info!$A$2:A81 = C45)*3/2,CONCATENATE(""Sänk helst cutoff i ""&amp;C45)),
AND(H45&lt;&gt;"""",""6x6 / 7x7""=C45),
IFS(H45/3&lt;=(Info!$J$6+Info!$J$7)*2/3,""Höj helst cumulative time limit"",
H45/3&lt;=Info!$J$6+Info!$J"&amp;"$7,ROUNDUP(J45*Info!$J$24),
H45/3&lt;=Info!$K$6+Info!$K$7,ROUNDUP(J45*Info!$K$24),
H45/3&lt;=Info!$L$6+Info!$L$7,ROUNDUP(J45*Info!L$24),
H45/3&lt;=Info!$M$6+Info!$M$7,ROUNDUP(J45*Info!$M$24),
H45/3&lt;=Info!$N$6+Info!$N$7,ROUNDUP(J45*Info!$N$24),
H45/3&lt;=(Info!$N$6+In"&amp;"fo!$N$7)*3/2,ROUNDUP(J45*Info!$L$26),
H45/3&gt;(Info!$J$6+Info!$J$7)*3/2,""Sänk helst cumulative time limit""),
AND(H45&lt;&gt;"""",FILTER(Info!$F$2:F81, Info!$A$2:A81 = C45) = ""Yes""),
IFS(H45&lt;=FILTER(Info!$J$2:J81, Info!$A$2:A81 = C45)*2/3,CONCATENATE(""Höj hel"&amp;"st c.t.l. i ""&amp;C45),
H45&lt;=FILTER(Info!$J$2:J81, Info!$A$2:A81 = C45),ROUNDUP(J45*Info!$J$24),
H45&lt;=FILTER(Info!$K$2:K81, Info!$A$2:A81 = C45),ROUNDUP(J45*Info!$K$24),
H45&lt;=FILTER(Info!$L$2:L81, Info!$A$2:A81 = C45),ROUNDUP(J45*Info!L$24),
H45&lt;=FILTER(Info"&amp;"!$M$2:M81, Info!$A$2:A81 = C45),ROUNDUP(J45*Info!$M$24),
H45&lt;=FILTER(Info!$N$2:N81, Info!$A$2:A81 = C45),ROUNDUP(J45*Info!$N$24),
H45&lt;=FILTER(Info!$N$2:N81, Info!$A$2:A81 = C45)*3/2,ROUNDUP(J45*Info!$L$26),
H45&gt;FILTER(Info!$N$2:N81, Info!$A$2:A81 = C45)*3"&amp;"/2,CONCATENATE(""Sänk helst c.t.l. i ""&amp;C45)),
AND(H45&lt;&gt;"""",FILTER(Info!$F$2:F81, Info!$A$2:A81 = C45) = ""No""),
IFS(H45/AA45&lt;=FILTER(Info!$J$2:J81, Info!$A$2:A81 = C45)*2/3,CONCATENATE(""Höj helst c.t.l. i ""&amp;C45),
H45/AA45&lt;=FILTER(Info!$J$2:J81, Info!"&amp;"$A$2:A81 = C45),ROUNDUP(J45*Info!$J$24),
H45/AA45&lt;=FILTER(Info!$K$2:K81, Info!$A$2:A81 = C45),ROUNDUP(J45*Info!$K$24),
H45/AA45&lt;=FILTER(Info!$L$2:L81, Info!$A$2:A81 = C45),ROUNDUP(J45*Info!L$24),
H45/AA45&lt;=FILTER(Info!$M$2:M81, Info!$A$2:A81 = C45),ROUNDU"&amp;"P(J45*Info!$M$24),
H45/AA45&lt;=FILTER(Info!$N$2:N81, Info!$A$2:A81 = C45),ROUNDUP(J45*Info!$N$24),
H45/AA45&lt;=FILTER(Info!$N$2:N81, Info!$A$2:A81 = C45)*3/2,ROUNDUP(J45*Info!$L$26),
H45/AA45&gt;FILTER(Info!$N$2:N81, Info!$A$2:A81 = C45)*3/2,CONCATENATE(""Sänk h"&amp;"elst c.t.l. i ""&amp;C45)),
AND(I45="""",H45&lt;&gt;"""",J45&lt;&gt;""""),ROUNDUP(J45*Info!$T$29),
AND(I45&lt;&gt;"""",H45="""",J45&lt;&gt;""""),ROUNDUP(J45*Info!$T$26))"),"")</f>
        <v/>
      </c>
      <c r="L45" s="47">
        <f>IFERROR(__xludf.DUMMYFUNCTION("IFS(C45="""",0,
C45=""3x3 FMC"",Info!$B$9*N45+M45, C45=""3x3 MBLD"",Info!$B$18*N45+M45,
COUNTIF(Info!$A$22:A81,C45)&gt;0,FILTER(Info!$B$22:B81,Info!$A$22:A81=C45)+M45,
AND(C45&lt;&gt;"""",E45=""""),CONCATENATE(""Fyll i E""&amp;row()),
AND(C45&lt;&gt;"""",E45&lt;&gt;"""",E45&lt;&gt;1,E4"&amp;"5&lt;&gt;2,E45&lt;&gt;3,E45&lt;&gt;""Final""),CONCATENATE(""Fel format på E""&amp;row()),
K45=CONCATENATE(""Runda ""&amp;E45&amp;"" i ""&amp;C45&amp;"" finns redan""),CONCATENATE(""Fel i E""&amp;row()),
AND(C45&lt;&gt;"""",F45=""""),CONCATENATE(""Fyll i F""&amp;row()),
K45=CONCATENATE(C45&amp;"" måste ha forma"&amp;"tet ""&amp;FILTER(Info!$D$2:D81, Info!$A$2:A81 = C45)),CONCATENATE(""Fel format på F""&amp;row()),
AND(C45&lt;&gt;"""",D45=1,H45="""",FILTER(Info!$F$2:F81, Info!$A$2:A81 = C45) = ""Yes""),CONCATENATE(""Fyll i H""&amp;row()),
AND(C45&lt;&gt;"""",D45=1,I45="""",FILTER(Info!$E$2:E8"&amp;"1, Info!$A$2:A81 = C45) = ""Yes""),CONCATENATE(""Fyll i I""&amp;row()),
AND(C45&lt;&gt;"""",J45=""""),CONCATENATE(""Fyll i J""&amp;row()),
AND(C45&lt;&gt;"""",K45="""",OR(H45&lt;&gt;"""",I45&lt;&gt;"""")),CONCATENATE(""Fyll i K""&amp;row()),
AND(C45&lt;&gt;"""",K45=""""),CONCATENATE(""Skriv samma"&amp;" i K""&amp;row()&amp;"" som i J""&amp;row()),
AND(OR(C45=""4x4 BLD"",C45=""5x5 BLD"",C45=""4x4 / 5x5 BLD"")=TRUE,V45&lt;=P45),
MROUND(H45*(Info!$T$20-((Info!$T$20-1)/2)*(1-V45/P45))*(1+((J45/K45)-1)*(1-Info!$J$24))*N45+(Info!$T$11/2)+(N45*Info!$T$11)+(N45*Info!$T$14*(O4"&amp;"5-1)),0.01)+M45,
AND(OR(C45=""4x4 BLD"",C45=""5x5 BLD"",C45=""4x4 / 5x5 BLD"")=TRUE,V45&gt;P45),
MROUND((((J45*Z45+K45*(AA45-Z45))*(H45*Info!$T$20/AA45))/X45)*(1+((J45/K45)-1)*(1-Info!$J$24))*(1+(X45-Info!$T$8)/100)+(Info!$T$11/2)+(N45*Info!$T$11)+(N45*Info!"&amp;"$T$14*(O45-1)),0.01)+M45,
AND(C45=""3x3 BLD"",V45&lt;=P45),
MROUND(H45*(Info!$T$23-((Info!$T$23-1)/2)*(1-V45/P45))*(1+((J45/K45)-1)*(1-Info!$J$24))*N45+(Info!$T$11/2)+(N45*Info!$T$11)+(N45*Info!$T$14*(O45-1)),0.01)+M45,
AND(C45=""3x3 BLD"",V45&gt;P45),
MROUND(("&amp;"((J45*Z45+K45*(AA45-Z45))*(H45*Info!$T$23/AA45))/X45)*(1+((J45/K45)-1)*(1-Info!$J$24))*(1+(X45-Info!$T$8)/100)+(Info!$T$11/2)+(N45*Info!$T$11)+(N45*Info!$T$14*(O45-1)),0.01)+M45,
E45=1,MROUND((((J45*Z45+K45*(AA45-Z45))*Y45)/X45)*(1+(X45-Info!$T$8)/100)+(N"&amp;"45*Info!$T$11)+(N45*Info!$T$14*(O45-1)),0.01)+M45,
AND(E45=""Final"",N45=1,FILTER(Info!$G$2:$G$20,Info!$A$2:$A$20=C45)=""Mycket svår""),
MROUND((((J45*Z45+K45*(AA45-Z45))*(Y45*Info!$T$38))/X45)*(1+(X45-Info!$T$8)/100)+(N45*Info!$T$11)+(N45*Info!$T$14*(O45"&amp;"-1)),0.01)+M45,
AND(E45=""Final"",N45=1,FILTER(Info!$G$2:$G$20,Info!$A$2:$A$20=C45)=""Svår""),
MROUND((((J45*Z45+K45*(AA45-Z45))*(Y45*Info!$T$35))/X45)*(1+(X45-Info!$T$8)/100)+(N45*Info!$T$11)+(N45*Info!$T$14*(O45-1)),0.01)+M45,
E45=""Final"",MROUND((((J4"&amp;"5*Z45+K45*(AA45-Z45))*(Y45*Info!$T$5))/X45)*(1+(X45-Info!$T$8)/100)+(N45*Info!$T$11)+(N45*Info!$T$14*(O45-1)),0.01)+M45,
OR(E45=2,E45=3),MROUND((((J45*Z45+K45*(AA45-Z45))*(Y45*Info!$T$2))/X45)*(1+(X45-Info!$T$8)/100)+(N45*Info!$T$11)+(N45*Info!$T$14*(O45-"&amp;"1)),0.01)+M45)"),0.0)</f>
        <v>0</v>
      </c>
      <c r="M45" s="48">
        <f t="shared" si="4"/>
        <v>0</v>
      </c>
      <c r="N45" s="48" t="str">
        <f>IFS(OR(COUNTIF(Info!$A$22:A81,C45)&gt;0,C45=""),"",
OR(C45="4x4 BLD",C45="5x5 BLD",C45="3x3 MBLD",C45="3x3 FMC",C45="4x4 / 5x5 BLD"),1,
AND(E45="Final",Q45="Yes",MAX(1,ROUNDUP(J45/P45))&gt;1),MAX(2,ROUNDUP(J45/P45)),
AND(E45="Final",Q45="No",MAX(1,ROUNDUP(J45/((P45*2)+2.625-Y45*1.5)))&gt;1),MAX(2,ROUNDUP(J45/((P45*2)+2.625-Y45*1.5))),
E45="Final",1,
Q45="Yes",MAX(2,ROUNDUP(J45/P45)),
TRUE,MAX(2,ROUNDUP(J45/((P45*2)+2.625-Y45*1.5))))</f>
        <v/>
      </c>
      <c r="O45" s="48" t="str">
        <f>IFS(OR(COUNTIF(Info!$A$22:A81,C45)&gt;0,C45=""),"",
OR("3x3 MBLD"=C45,"3x3 FMC"=C45)=TRUE,"",
D45=$E$4,$G$6,D45=$K$4,$M$6,D45=$Q$4,$S$6,D45=$W$4,$Y$6,
TRUE,$S$2)</f>
        <v/>
      </c>
      <c r="P45" s="48" t="str">
        <f>IFS(OR(COUNTIF(Info!$A$22:A81,C45)&gt;0,C45=""),"",
OR("3x3 MBLD"=C45,"3x3 FMC"=C45)=TRUE,"",
D45=$E$4,$E$6,D45=$K$4,$K$6,D45=$Q$4,$Q$6,D45=$W$4,$W$6,
TRUE,$Q$2)</f>
        <v/>
      </c>
      <c r="Q45" s="49" t="str">
        <f>IFS(OR(COUNTIF(Info!$A$22:A81,C45)&gt;0,C45=""),"",
OR("3x3 MBLD"=C45,"3x3 FMC"=C45)=TRUE,"",
D45=$E$4,$I$6,D45=$K$4,$O$6,D45=$Q$4,$U$6,D45=$W$4,$AA$6,
TRUE,$U$2)</f>
        <v/>
      </c>
      <c r="R45" s="50" t="str">
        <f>IFERROR(__xludf.DUMMYFUNCTION("IF(C45="""","""",IFERROR(FILTER(Info!$B$22:B81,Info!$A$22:A81=C45)+M45,""?""))"),"")</f>
        <v/>
      </c>
      <c r="S45" s="51" t="str">
        <f>IFS(OR(COUNTIF(Info!$A$22:A81,C45)&gt;0,C45=""),"",
AND(H45="",I45=""),J45,
TRUE,"?")</f>
        <v/>
      </c>
      <c r="T45" s="52" t="str">
        <f>IFS(OR(COUNTIF(Info!$A$22:A81,C45)&gt;0,C45=""),"",
AND(L45&lt;&gt;0,OR(R45="?",R45="")),"Fyll i R-kolumnen",
OR(C45="3x3 FMC",C45="3x3 MBLD"),R45,
AND(L45&lt;&gt;0,OR(S45="?",S45="")),"Fyll i S-kolumnen",
OR(COUNTIF(Info!$A$22:A81,C45)&gt;0,C45=""),"",
TRUE,Y45*R45/L45)</f>
        <v/>
      </c>
      <c r="U45" s="52"/>
      <c r="V45" s="53" t="str">
        <f>IFS(OR(COUNTIF(Info!$A$22:A81,C45)&gt;0,C45=""),"",
OR("3x3 MBLD"=C45,"3x3 FMC"=C45)=TRUE,"",
TRUE,MROUND((J45/N45),0.01))</f>
        <v/>
      </c>
      <c r="W45" s="54" t="str">
        <f>IFS(OR(COUNTIF(Info!$A$22:A81,C45)&gt;0,C45=""),"",
TRUE,L45/N45)</f>
        <v/>
      </c>
      <c r="X45" s="55" t="str">
        <f>IFS(OR(COUNTIF(Info!$A$22:A81,C45)&gt;0,C45=""),"",
OR("3x3 MBLD"=C45,"3x3 FMC"=C45)=TRUE,"",
OR(C45="4x4 BLD",C45="5x5 BLD",C45="4x4 / 5x5 BLD",AND(C45="3x3 BLD",H45&lt;&gt;""))=TRUE,MIN(V45,P45),
TRUE,MIN(P45,V45,MROUND(((V45*2/3)+((Y45-1.625)/2)),0.01)))</f>
        <v/>
      </c>
      <c r="Y45" s="56" t="str">
        <f>IFERROR(__xludf.DUMMYFUNCTION("IFS(OR(COUNTIF(Info!$A$22:A81,C45)&gt;0,C45=""""),"""",
FILTER(Info!$F$2:F81, Info!$A$2:A81 = C45) = ""Yes"",H45/AA45,
""3x3 FMC""=C45,Info!$B$9,""3x3 MBLD""=C45,Info!$B$18,
AND(E45=1,I45="""",H45="""",Q45=""No"",G45&gt;SUMIF(Info!$A$2:A81,C45,Info!$B$2:B81)*1."&amp;"5),
MIN(SUMIF(Info!$A$2:A81,C45,Info!$B$2:B81)*1.1,SUMIF(Info!$A$2:A81,C45,Info!$B$2:B81)*(1.15-(0.15*(SUMIF(Info!$A$2:A81,C45,Info!$B$2:B81)*1.5)/G45))),
AND(E45=1,I45="""",H45="""",Q45=""Yes"",G45&gt;SUMIF(Info!$A$2:A81,C45,Info!$C$2:C81)*1.5),
MIN(SUMIF(I"&amp;"nfo!$A$2:A81,C45,Info!$C$2:C81)*1.1,SUMIF(Info!$A$2:A81,C45,Info!$C$2:C81)*(1.15-(0.15*(SUMIF(Info!$A$2:A81,C45,Info!$C$2:C81)*1.5)/G45))),
Q45=""No"",SUMIF(Info!$A$2:A81,C45,Info!$B$2:B81),
Q45=""Yes"",SUMIF(Info!$A$2:A81,C45,Info!$C$2:C81))"),"")</f>
        <v/>
      </c>
      <c r="Z45" s="57" t="str">
        <f>IFS(OR(COUNTIF(Info!$A$22:A81,C45)&gt;0,C45=""),"",
AND(OR("3x3 FMC"=C45,"3x3 MBLD"=C45),I45&lt;&gt;""),1,
AND(OR(H45&lt;&gt;"",I45&lt;&gt;""),F45="Avg of 5"),2,
F45="Avg of 5",AA45,
AND(OR(H45&lt;&gt;"",I45&lt;&gt;""),F45="Mean of 3",C45="6x6 / 7x7"),2,
AND(OR(H45&lt;&gt;"",I45&lt;&gt;""),F45="Mean of 3"),1,
F45="Mean of 3",AA45,
AND(OR(H45&lt;&gt;"",I45&lt;&gt;""),F45="Best of 3",C45="4x4 / 5x5 BLD"),2,
AND(OR(H45&lt;&gt;"",I45&lt;&gt;""),F45="Best of 3"),1,
F45="Best of 2",AA45,
F45="Best of 1",AA45)</f>
        <v/>
      </c>
      <c r="AA45" s="57" t="str">
        <f>IFS(OR(COUNTIF(Info!$A$22:A81,C45)&gt;0,C45=""),"",
AND(OR("3x3 MBLD"=C45,"3x3 FMC"=C45),F45="Best of 1"=TRUE),1,
AND(OR("3x3 MBLD"=C45,"3x3 FMC"=C45),F45="Best of 2"=TRUE),2,
AND(OR("3x3 MBLD"=C45,"3x3 FMC"=C45),OR(F45="Best of 3",F45="Mean of 3")=TRUE),3,
AND(F45="Mean of 3",C45="6x6 / 7x7"),6,
AND(F45="Best of 3",C45="4x4 / 5x5 BLD"),6,
F45="Avg of 5",5,F45="Mean of 3",3,F45="Best of 3",3,F45="Best of 2",2,F45="Best of 1",1)</f>
        <v/>
      </c>
      <c r="AB45" s="58"/>
    </row>
    <row r="46">
      <c r="A46" s="40">
        <f>IFERROR(__xludf.DUMMYFUNCTION("IFS(indirect(""A""&amp;row()-1)=""Start"",TIME(indirect(""A""&amp;row()-2),indirect(""B""&amp;row()-2),0),
$O$2=""No"",TIME(0,($A$6*60+$B$6)+CEILING(SUM($L$7:indirect(""L""&amp;row()-1)),5),0),
D46=$E$2,TIME(0,($A$6*60+$B$6)+CEILING(SUM(IFERROR(FILTER($L$7:indirect(""L"""&amp;"&amp;row()-1),REGEXMATCH($D$7:indirect(""D""&amp;row()-1),$E$2)),0)),5),0),
TRUE,""=time(hh;mm;ss)"")"),0.375)</f>
        <v>0.375</v>
      </c>
      <c r="B46" s="41">
        <f>IFERROR(__xludf.DUMMYFUNCTION("IFS($O$2=""No"",TIME(0,($A$6*60+$B$6)+CEILING(SUM($L$7:indirect(""L""&amp;row())),5),0),
D46=$E$2,TIME(0,($A$6*60+$B$6)+CEILING(SUM(FILTER($L$7:indirect(""L""&amp;row()),REGEXMATCH($D$7:indirect(""D""&amp;row()),$E$2))),5),0),
A46=""=time(hh;mm;ss)"",CONCATENATE(""Sk"&amp;"riv tid i A""&amp;row()),
AND(A46&lt;&gt;"""",A46&lt;&gt;""=time(hh;mm;ss)""),A46+TIME(0,CEILING(indirect(""L""&amp;row()),5),0))"),0.375)</f>
        <v>0.375</v>
      </c>
      <c r="C46" s="42"/>
      <c r="D46" s="43" t="str">
        <f t="shared" si="3"/>
        <v>Stora salen</v>
      </c>
      <c r="E46" s="43" t="str">
        <f>IFERROR(__xludf.DUMMYFUNCTION("IFS(COUNTIF(Info!$A$22:A81,C46)&gt;0,"""",
AND(OR(""3x3 FMC""=C46,""3x3 MBLD""=C46),COUNTIF($C$7:indirect(""C""&amp;row()),indirect(""C""&amp;row()))&gt;=13),""E - Error"",
AND(OR(""3x3 FMC""=C46,""3x3 MBLD""=C46),COUNTIF($C$7:indirect(""C""&amp;row()),indirect(""C""&amp;row()"&amp;"))=12),""Final - A3"",
AND(OR(""3x3 FMC""=C46,""3x3 MBLD""=C46),COUNTIF($C$7:indirect(""C""&amp;row()),indirect(""C""&amp;row()))=11),""Final - A2"",
AND(OR(""3x3 FMC""=C46,""3x3 MBLD""=C46),COUNTIF($C$7:indirect(""C""&amp;row()),indirect(""C""&amp;row()))=10),""Final - "&amp;"A1"",
AND(OR(""3x3 FMC""=C46,""3x3 MBLD""=C46),COUNTIF($C$7:indirect(""C""&amp;row()),indirect(""C""&amp;row()))=9,
COUNTIF($C$7:$C$61,indirect(""C""&amp;row()))&gt;9),""R3 - A3"",
AND(OR(""3x3 FMC""=C46,""3x3 MBLD""=C46),COUNTIF($C$7:indirect(""C""&amp;row()),indirect(""C"&amp;"""&amp;row()))=9,
COUNTIF($C$7:$C$61,indirect(""C""&amp;row()))&lt;=9),""Final - A3"",
AND(OR(""3x3 FMC""=C46,""3x3 MBLD""=C46),COUNTIF($C$7:indirect(""C""&amp;row()),indirect(""C""&amp;row()))=8,
COUNTIF($C$7:$C$61,indirect(""C""&amp;row()))&gt;9),""R3 - A2"",
AND(OR(""3x3 FMC""="&amp;"C46,""3x3 MBLD""=C46),COUNTIF($C$7:indirect(""C""&amp;row()),indirect(""C""&amp;row()))=8,
COUNTIF($C$7:$C$61,indirect(""C""&amp;row()))&lt;=9),""Final - A2"",
AND(OR(""3x3 FMC""=C46,""3x3 MBLD""=C46),COUNTIF($C$7:indirect(""C""&amp;row()),indirect(""C""&amp;row()))=7,
COUNTIF("&amp;"$C$7:$C$61,indirect(""C""&amp;row()))&gt;9),""R3 - A1"",
AND(OR(""3x3 FMC""=C46,""3x3 MBLD""=C46),COUNTIF($C$7:indirect(""C""&amp;row()),indirect(""C""&amp;row()))=7,
COUNTIF($C$7:$C$61,indirect(""C""&amp;row()))&lt;=9),""Final - A1"",
AND(OR(""3x3 FMC""=C46,""3x3 MBLD""=C46),"&amp;"COUNTIF($C$7:indirect(""C""&amp;row()),indirect(""C""&amp;row()))=6,
COUNTIF($C$7:$C$61,indirect(""C""&amp;row()))&gt;6),""R2 - A3"",
AND(OR(""3x3 FMC""=C46,""3x3 MBLD""=C46),COUNTIF($C$7:indirect(""C""&amp;row()),indirect(""C""&amp;row()))=6,
COUNTIF($C$7:$C$61,indirect(""C""&amp;"&amp;"row()))&lt;=6),""Final - A3"",
AND(OR(""3x3 FMC""=C46,""3x3 MBLD""=C46),COUNTIF($C$7:indirect(""C""&amp;row()),indirect(""C""&amp;row()))=5,
COUNTIF($C$7:$C$61,indirect(""C""&amp;row()))&gt;6),""R2 - A2"",
AND(OR(""3x3 FMC""=C46,""3x3 MBLD""=C46),COUNTIF($C$7:indirect(""C"&amp;"""&amp;row()),indirect(""C""&amp;row()))=5,
COUNTIF($C$7:$C$61,indirect(""C""&amp;row()))&lt;=6),""Final - A2"",
AND(OR(""3x3 FMC""=C46,""3x3 MBLD""=C46),COUNTIF($C$7:indirect(""C""&amp;row()),indirect(""C""&amp;row()))=4,
COUNTIF($C$7:$C$61,indirect(""C""&amp;row()))&gt;6),""R2 - A1"&amp;""",
AND(OR(""3x3 FMC""=C46,""3x3 MBLD""=C46),COUNTIF($C$7:indirect(""C""&amp;row()),indirect(""C""&amp;row()))=4,
COUNTIF($C$7:$C$61,indirect(""C""&amp;row()))&lt;=6),""Final - A1"",
AND(OR(""3x3 FMC""=C46,""3x3 MBLD""=C46),COUNTIF($C$7:indirect(""C""&amp;row()),indirect("""&amp;"C""&amp;row()))=3),""R1 - A3"",
AND(OR(""3x3 FMC""=C46,""3x3 MBLD""=C46),COUNTIF($C$7:indirect(""C""&amp;row()),indirect(""C""&amp;row()))=2),""R1 - A2"",
AND(OR(""3x3 FMC""=C46,""3x3 MBLD""=C46),COUNTIF($C$7:indirect(""C""&amp;row()),indirect(""C""&amp;row()))=1),""R1 -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C46),ROUNDUP((FILTER(Info!$H$2:H81,Info!$A$2:A81=C46)/FILTER(Info!$H$2:H81,Info!$A$2:A81=$K$2))*$I$2)&gt;99),3,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C46),ROUNDUP((FILTER(Info!$H$2:H81,Info!$A$2:A81=C46)/FILTER(Info!$H$2:H81,Info!$A$2:A81=$K$2))*$I$2)&gt;15),2,
AND(COUNTIF($C$7:indirect(""C""&amp;row()),indirect(""C""&amp;row()))=2,COUNTIF($C$7:$C$61,indirect(""C""&amp;row()))=COUNTIF($C$7:indirect("""&amp;"C""&amp;row()),indirect(""C""&amp;row()))),""Final"",
COUNTIF($C$7:indirect(""C""&amp;row()),indirect(""C""&amp;row()))=1,1,
COUNTIF($C$7:indirect(""C""&amp;row()),indirect(""C""&amp;row()))=0,"""")"),"")</f>
        <v/>
      </c>
      <c r="F46" s="44" t="str">
        <f>IFERROR(__xludf.DUMMYFUNCTION("IFS(C46="""","""",
AND(C46=""3x3 FMC"",MOD(COUNTIF($C$7:indirect(""C""&amp;row()),indirect(""C""&amp;row())),3)=0),""Mean of 3"",
AND(C46=""3x3 MBLD"",MOD(COUNTIF($C$7:indirect(""C""&amp;row()),indirect(""C""&amp;row())),3)=0),""Best of 3"",
AND(C46=""3x3 FMC"",MOD(COUNT"&amp;"IF($C$7:indirect(""C""&amp;row()),indirect(""C""&amp;row())),3)=2,
COUNTIF($C$7:$C$61,indirect(""C""&amp;row()))&lt;=COUNTIF($C$7:indirect(""C""&amp;row()),indirect(""C""&amp;row()))),""Best of 2"",
AND(C46=""3x3 FMC"",MOD(COUNTIF($C$7:indirect(""C""&amp;row()),indirect(""C""&amp;row()"&amp;")),3)=2,
COUNTIF($C$7:$C$61,indirect(""C""&amp;row()))&gt;COUNTIF($C$7:indirect(""C""&amp;row()),indirect(""C""&amp;row()))),""Mean of 3"",
AND(C46=""3x3 MBLD"",MOD(COUNTIF($C$7:indirect(""C""&amp;row()),indirect(""C""&amp;row())),3)=2,
COUNTIF($C$7:$C$61,indirect(""C""&amp;row()))"&amp;"&lt;=COUNTIF($C$7:indirect(""C""&amp;row()),indirect(""C""&amp;row()))),""Best of 2"",
AND(C46=""3x3 MBLD"",MOD(COUNTIF($C$7:indirect(""C""&amp;row()),indirect(""C""&amp;row())),3)=2,
COUNTIF($C$7:$C$61,indirect(""C""&amp;row()))&gt;COUNTIF($C$7:indirect(""C""&amp;row()),indirect(""C"&amp;"""&amp;row()))),""Best of 3"",
AND(C46=""3x3 FMC"",MOD(COUNTIF($C$7:indirect(""C""&amp;row()),indirect(""C""&amp;row())),3)=1,
COUNTIF($C$7:$C$61,indirect(""C""&amp;row()))&lt;=COUNTIF($C$7:indirect(""C""&amp;row()),indirect(""C""&amp;row()))),""Best of 1"",
AND(C46=""3x3 FMC"",MOD"&amp;"(COUNTIF($C$7:indirect(""C""&amp;row()),indirect(""C""&amp;row())),3)=1,
COUNTIF($C$7:$C$61,indirect(""C""&amp;row()))=COUNTIF($C$7:indirect(""C""&amp;row()),indirect(""C""&amp;row()))+1),""Best of 2"",
AND(C46=""3x3 FMC"",MOD(COUNTIF($C$7:indirect(""C""&amp;row()),indirect(""C"&amp;"""&amp;row())),3)=1,
COUNTIF($C$7:$C$61,indirect(""C""&amp;row()))&gt;COUNTIF($C$7:indirect(""C""&amp;row()),indirect(""C""&amp;row()))),""Mean of 3"",
AND(C46=""3x3 MBLD"",MOD(COUNTIF($C$7:indirect(""C""&amp;row()),indirect(""C""&amp;row())),3)=1,
COUNTIF($C$7:$C$61,indirect(""C"""&amp;"&amp;row()))&lt;=COUNTIF($C$7:indirect(""C""&amp;row()),indirect(""C""&amp;row()))),""Best of 1"",
AND(C46=""3x3 MBLD"",MOD(COUNTIF($C$7:indirect(""C""&amp;row()),indirect(""C""&amp;row())),3)=1,
COUNTIF($C$7:$C$61,indirect(""C""&amp;row()))=COUNTIF($C$7:indirect(""C""&amp;row()),indir"&amp;"ect(""C""&amp;row()))+1),""Best of 2"",
AND(C46=""3x3 MBLD"",MOD(COUNTIF($C$7:indirect(""C""&amp;row()),indirect(""C""&amp;row())),3)=1,
COUNTIF($C$7:$C$61,indirect(""C""&amp;row()))&gt;COUNTIF($C$7:indirect(""C""&amp;row()),indirect(""C""&amp;row()))),""Best of 3"",
TRUE,(IFERROR("&amp;"FILTER(Info!$D$2:D81, Info!$A$2:A81 = C46), """")))"),"")</f>
        <v/>
      </c>
      <c r="G46" s="45" t="str">
        <f>IFERROR(__xludf.DUMMYFUNCTION("IFS(OR(COUNTIF(Info!$A$22:A81,C46)&gt;0,C46=""""),"""",
OR(""3x3 MBLD""=C46,""3x3 FMC""=C46),60,
AND(E46=1,FILTER(Info!$F$2:F81, Info!$A$2:A81 = C46) = ""No""),FILTER(Info!$P$2:P81, Info!$A$2:A81 = C46),
AND(E46=2,FILTER(Info!$F$2:F81, Info!$A$2:A81 = C46) ="&amp;" ""No""),FILTER(Info!$Q$2:Q81, Info!$A$2:A81 = C46),
AND(E46=3,FILTER(Info!$F$2:F81, Info!$A$2:A81 = C46) = ""No""),FILTER(Info!$R$2:R81, Info!$A$2:A81 = C46),
AND(E46=""Final"",FILTER(Info!$F$2:F81, Info!$A$2:A81 = C46) = ""No""),FILTER(Info!$S$2:S81, In"&amp;"fo!$A$2:A81 = C46),
FILTER(Info!$F$2:F81, Info!$A$2:A81 = C46) = ""Yes"","""")"),"")</f>
        <v/>
      </c>
      <c r="H46" s="45" t="str">
        <f>IFERROR(__xludf.DUMMYFUNCTION("IFS(OR(COUNTIF(Info!$A$22:A81,C46)&gt;0,C46=""""),"""",
OR(""3x3 MBLD""=C46,""3x3 FMC""=C46)=TRUE,"""",
FILTER(Info!$F$2:F81, Info!$A$2:A81 = C46) = ""Yes"",FILTER(Info!$O$2:O81, Info!$A$2:A81 = C46),
FILTER(Info!$F$2:F81, Info!$A$2:A81 = C46) = ""No"",IF(G4"&amp;"6="""",FILTER(Info!$O$2:O81, Info!$A$2:A81 = C46),""""))"),"")</f>
        <v/>
      </c>
      <c r="I46" s="45" t="str">
        <f>IFERROR(__xludf.DUMMYFUNCTION("IFS(OR(COUNTIF(Info!$A$22:A81,C46)&gt;0,C46="""",H46&lt;&gt;""""),"""",
AND(E46&lt;&gt;1,E46&lt;&gt;""R1 - A1"",E46&lt;&gt;""R1 - A2"",E46&lt;&gt;""R1 - A3""),"""",
FILTER(Info!$E$2:E81, Info!$A$2:A81 = C46) = ""Yes"",IF(H46="""",FILTER(Info!$L$2:L81, Info!$A$2:A81 = C46),""""),
FILTER(I"&amp;"nfo!$E$2:E81, Info!$A$2:A81 = C46) = ""No"","""")"),"")</f>
        <v/>
      </c>
      <c r="J46" s="45" t="str">
        <f>IFERROR(__xludf.DUMMYFUNCTION("IFS(OR(COUNTIF(Info!$A$22:A81,C46)&gt;0,C46="""",""3x3 MBLD""=C46,""3x3 FMC""=C46),"""",
AND(E46=1,FILTER(Info!$H$2:H81,Info!$A$2:A81 = C46)&lt;=FILTER(Info!$H$2:H81,Info!$A$2:A81=$K$2)),
ROUNDUP((FILTER(Info!$H$2:H81,Info!$A$2:A81 = C46)/FILTER(Info!$H$2:H81,I"&amp;"nfo!$A$2:A81=$K$2))*$I$2),
AND(E46=1,FILTER(Info!$H$2:H81,Info!$A$2:A81 = C46)&gt;FILTER(Info!$H$2:H81,Info!$A$2:A81=$K$2)),""K2 - Error"",
AND(E46=2,FILTER($J$7:indirect(""J""&amp;row()-1),$C$7:indirect(""C""&amp;row()-1)=C46)&lt;=7),""J - Error"",
E46=2,FLOOR(FILTER("&amp;"$J$7:indirect(""J""&amp;row()-1),$C$7:indirect(""C""&amp;row()-1)=C46)*Info!$T$32),
AND(E46=3,FILTER($J$7:indirect(""J""&amp;row()-1),$C$7:indirect(""C""&amp;row()-1)=C46)&lt;=15),""J - Error"",
E46=3,FLOOR(Info!$T$32*FLOOR(FILTER($J$7:indirect(""J""&amp;row()-1),$C$7:indirect("&amp;"""C""&amp;row()-1)=C46)*Info!$T$32)),
AND(E46=""Final"",COUNTIF($C$7:$C$61,C46)=2,FILTER($J$7:indirect(""J""&amp;row()-1),$C$7:indirect(""C""&amp;row()-1)=C46)&lt;=7),""J - Error"",
AND(E46=""Final"",COUNTIF($C$7:$C$61,C46)=2),
MIN(P46,FLOOR(FILTER($J$7:indirect(""J""&amp;r"&amp;"ow()-1),$C$7:indirect(""C""&amp;row()-1)=C46)*Info!$T$32)),
AND(E46=""Final"",COUNTIF($C$7:$C$61,C46)=3,FILTER($J$7:indirect(""J""&amp;row()-1),$C$7:indirect(""C""&amp;row()-1)=C46)&lt;=15),""J - Error"",
AND(E46=""Final"",COUNTIF($C$7:$C$61,C46)=3),
MIN(P46,FLOOR(Info!"&amp;"$T$32*FLOOR(FILTER($J$7:indirect(""J""&amp;row()-1),$C$7:indirect(""C""&amp;row()-1)=C46)*Info!$T$32))),
AND(E46=""Final"",COUNTIF($C$7:$C$61,C46)&gt;=4,FILTER($J$7:indirect(""J""&amp;row()-1),$C$7:indirect(""C""&amp;row()-1)=C46)&lt;=99),""J - Error"",
AND(E46=""Final"",COUNT"&amp;"IF($C$7:$C$61,C46)&gt;=4),
MIN(P46,FLOOR(Info!$T$32*FLOOR(Info!$T$32*FLOOR(FILTER($J$7:indirect(""J""&amp;row()-1),$C$7:indirect(""C""&amp;row()-1)=C46)*Info!$T$32)))))"),"")</f>
        <v/>
      </c>
      <c r="K46" s="46" t="str">
        <f>IFERROR(__xludf.DUMMYFUNCTION("IFS(AND(indirect(""D""&amp;row()+2)&lt;&gt;$E$2,indirect(""D""&amp;row()+1)=""""),CONCATENATE(""Tom rad! Kopiera hela rad ""&amp;row()&amp;"" dit""),
AND(indirect(""D""&amp;row()-1)&lt;&gt;""Rum"",indirect(""D""&amp;row()-1)=""""),CONCATENATE(""Tom rad! Kopiera hela rad ""&amp;row()&amp;"" dit""),
"&amp;"C46="""","""",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OR(AND(D46&lt;&gt;$E$2,D46&lt;&gt;$E$4,D46&lt;&gt;$K$4,D46&lt;&gt;$Q$4),D46="&amp;"""""),CONCATENATE(""Rum: ""&amp;D46&amp;"" finns ej, byt i D""&amp;row()),
AND(indirect(""D""&amp;row()-1)=""Rum"",C46=""""),CONCATENATE(""För att börja: skriv i cell C""&amp;row()),
AND(C46=""Paus"",M46&lt;=0),CONCATENATE(""Skriv pausens längd i M""&amp;row()),
OR(COUNTIF(Info!$A$"&amp;"22:A81,C46)&gt;0,C46=""""),"""",
AND(D46&lt;&gt;$E$2,$O$2=""Yes"",A46=""=time(hh;mm;ss)""),CONCATENATE(""Skriv starttid för ""&amp;C46&amp;"" i A""&amp;row()),
E46=""E - Error"",CONCATENATE(""För många ""&amp;C46&amp;"" rundor!""),
AND(C46&lt;&gt;""3x3 FMC"",C46&lt;&gt;""3x3 MBLD"",E46&lt;&gt;1,E46&lt;&gt;"&amp;"""Final"",IFERROR(FILTER($E$7:indirect(""E""&amp;row()-1),
$E$7:indirect(""E""&amp;row()-1)=E46-1,$C$7:indirect(""C""&amp;row()-1)=C46))=FALSE),CONCATENATE(""Kan ej vara R""&amp;E46&amp;"", saknar R""&amp;(E46-1)),
AND(indirect(""E""&amp;row()-1)&lt;&gt;""Omgång"",IFERROR(FILTER($E$7:indi"&amp;"rect(""E""&amp;row()-1),
$E$7:indirect(""E""&amp;row()-1)=E46,$C$7:indirect(""C""&amp;row()-1)=C46)=E46)=TRUE),CONCATENATE(""Runda ""&amp;E46&amp;"" i ""&amp;C46&amp;"" finns redan""),
AND(C46&lt;&gt;""3x3 BLD"",C46&lt;&gt;""4x4 BLD"",C46&lt;&gt;""5x5 BLD"",C46&lt;&gt;""4x4 / 5x5 BLD"",OR(E46=2,E46=3,E46="&amp;"""Final""),H46&lt;&gt;""""),CONCATENATE(E46&amp;""-rundor brukar ej ha c.t.l.""),
AND(OR(E46=2,E46=3,E46=""Final""),I46&lt;&gt;""""),CONCATENATE(E46&amp;""-rundor brukar ej ha cutoff""),
AND(OR(C46=""3x3 FMC"",C46=""3x3 MBLD""),OR(E46=1,E46=2,E46=3,E46=""Final"")),CONCATENAT"&amp;"E(C46&amp;""s omgång är Rx - Ax""),
AND(C46&lt;&gt;""3x3 MBLD"",C46&lt;&gt;""3x3 FMC"",FILTER(Info!$D$2:D81, Info!$A$2:A81 = C46)&lt;&gt;F46),CONCATENATE(C46&amp;"" måste ha formatet ""&amp;FILTER(Info!$D$2:D81, Info!$A$2:A81 = C46)),
AND(C46=""3x3 MBLD"",OR(F46=""Avg of 5"",F46=""Mea"&amp;"n of 3"")),CONCATENATE(""Ogiltigt format för ""&amp;C46),
AND(C46=""3x3 FMC"",OR(F46=""Avg of 5"",F46=""Best of 3"")),CONCATENATE(""Ogiltigt format för ""&amp;C46),
AND(OR(F46=""Best of 1"",F46=""Best of 2"",F46=""Best of 3""),I46&lt;&gt;""""),CONCATENATE(F46&amp;""-rundor"&amp;" får ej ha cutoff""),
AND(OR(C46=""3x3 FMC"",C46=""3x3 MBLD""),G46&lt;&gt;60),CONCATENATE(C46&amp;"" måste ha time limit: 60""),
AND(OR(C46=""3x3 FMC"",C46=""3x3 MBLD""),H46&lt;&gt;""""),CONCATENATE(C46&amp;"" kan inte ha c.t.l.""),
AND(G46&lt;&gt;"""",H46&lt;&gt;""""),""Välj time limit"&amp;" ELLER c.t.l"",
AND(C46=""6x6 / 7x7"",G46="""",H46=""""),""Sätt time limit (x / y) eller c.t.l (z)"",
AND(G46="""",H46=""""),""Sätt en time limit eller c.t.l"",
AND(OR(C46=""6x6 / 7x7"",C46=""4x4 / 5x5 BLD""),G46&lt;&gt;"""",REGEXMATCH(TO_TEXT(G46),"" / "")=FAL"&amp;"SE),CONCATENATE(""Time limit måste vara x / y""),
AND(H46&lt;&gt;"""",I46&lt;&gt;""""),CONCATENATE(C46&amp;"" brukar ej ha cutoff OCH c.t.l""),
AND(E46=1,H46="""",I46="""",OR(FILTER(Info!$E$2:E81, Info!$A$2:A81 = C46) = ""Yes"",FILTER(Info!$F$2:F81, Info!$A$2:A81 = C46) "&amp;"= ""Yes""),OR(F46=""Avg of 5"",F46=""Mean of 3"")),CONCATENATE(C46&amp;"" bör ha cutoff eller c.t.l""),
AND(C46=""6x6 / 7x7"",I46&lt;&gt;"""",REGEXMATCH(TO_TEXT(I46),"" / "")=FALSE),CONCATENATE(""Cutoff måste vara x / y""),
AND(H46&lt;&gt;"""",ISNUMBER(H46)=FALSE),""C.t."&amp;"l. måste vara positivt tal (x)"",
AND(C46&lt;&gt;""6x6 / 7x7"",I46&lt;&gt;"""",ISNUMBER(I46)=FALSE),""Cutoff måste vara positivt tal (x)"",
AND(H46&lt;&gt;"""",FILTER(Info!$E$2:E81, Info!$A$2:A81 = C46) = ""No"",FILTER(Info!$F$2:F81, Info!$A$2:A81 = C46) = ""No""),CONCATEN"&amp;"ATE(C46&amp;"" brukar inte ha c.t.l.""),
AND(I46&lt;&gt;"""",FILTER(Info!$E$2:E81, Info!$A$2:A81 = C46) = ""No"",FILTER(Info!$F$2:F81, Info!$A$2:A81 = C46) = ""No""),CONCATENATE(C46&amp;"" brukar inte ha cutoff""),
AND(H46="""",FILTER(Info!$F$2:F81, Info!$A$2:A81 = C46"&amp;") = ""Yes""),CONCATENATE(C46&amp;"" brukar ha c.t.l.""),
AND(C46&lt;&gt;""6x6 / 7x7"",C46&lt;&gt;""4x4 / 5x5 BLD"",G46&lt;&gt;"""",ISNUMBER(G46)=FALSE),""Time limit måste vara positivt tal (x)"",
J46=""J - Error"",CONCATENATE(""För få deltagare i R1 för ""&amp;COUNTIF($C$7:$C$61,i"&amp;"ndirect(""C""&amp;row()))&amp;"" rundor""),
J46=""K2 - Error"",CONCATENATE(C46&amp;"" är mer populär - byt i K2!""),
AND(C46&lt;&gt;""6x6 / 7x7"",C46&lt;&gt;""4x4 / 5x5 BLD"",G46&lt;&gt;"""",I46&lt;&gt;"""",G46&lt;=I46),""Time limit måste vara &gt; cutoff"",
AND(C46&lt;&gt;""6x6 / 7x7"",C46&lt;&gt;""4x4 / 5x"&amp;"5 BLD"",H46&lt;&gt;"""",I46&lt;&gt;"""",H46&lt;=I46),""C.t.l. måste vara &gt; cutoff"",
AND(C46&lt;&gt;""3x3 FMC"",C46&lt;&gt;""3x3 MBLD"",J46=""""),CONCATENATE(""Fyll i antal deltagare i J""&amp;row()),
AND(C46="""",OR(E46&lt;&gt;"""",F46&lt;&gt;"""",G46&lt;&gt;"""",H46&lt;&gt;"""",I46&lt;&gt;"""",J46&lt;&gt;"""")),""Skriv"&amp;" ALLTID gren / aktivitet först"",
AND(I46="""",H46="""",J46&lt;&gt;""""),J46,
OR(""3x3 FMC""=C46,""3x3 MBLD""=C46),J46,
AND(I46&lt;&gt;"""",""6x6 / 7x7""=C46),
IFS(ArrayFormula(SUM(IFERROR(SPLIT(I46,"" / ""))))&lt;(Info!$J$6+Info!$J$7)*2/3,CONCATENATE(""Höj helst cutoff"&amp;"s i ""&amp;C46),
ArrayFormula(SUM(IFERROR(SPLIT(I46,"" / ""))))&lt;=(Info!$J$6+Info!$J$7),ROUNDUP(J46*Info!$J$22),
ArrayFormula(SUM(IFERROR(SPLIT(I46,"" / ""))))&lt;=Info!$J$6+Info!$J$7,ROUNDUP(J46*Info!$K$22),
ArrayFormula(SUM(IFERROR(SPLIT(I46,"" / ""))))&lt;=Info!$"&amp;"K$6+Info!$K$7,ROUNDUP(J46*Info!L$22),
ArrayFormula(SUM(IFERROR(SPLIT(I46,"" / ""))))&lt;=Info!$L$6+Info!$L$7,ROUNDUP(J46*Info!$M$22),
ArrayFormula(SUM(IFERROR(SPLIT(I46,"" / ""))))&lt;=Info!$M$6+Info!$M$7,ROUNDUP(J46*Info!$N$22),
ArrayFormula(SUM(IFERROR(SPLIT("&amp;"I46,"" / ""))))&lt;=(Info!$N$6+Info!$N$7)*3/2,ROUNDUP(J46*Info!$J$26),
ArrayFormula(SUM(IFERROR(SPLIT(I46,"" / ""))))&gt;(Info!$N$6+Info!$N$7)*3/2,CONCATENATE(""Sänk helst cutoffs i ""&amp;C46)),
AND(I46&lt;&gt;"""",FILTER(Info!$E$2:E81, Info!$A$2:A81 = C46) = ""Yes""),
"&amp;"IFS(I46&lt;FILTER(Info!$J$2:J81, Info!$A$2:A81 = C46)*2/3,CONCATENATE(""Höj helst cutoff i ""&amp;C46),
I46&lt;=FILTER(Info!$J$2:J81, Info!$A$2:A81 = C46),ROUNDUP(J46*Info!$J$22),
I46&lt;=FILTER(Info!$K$2:K81, Info!$A$2:A81 = C46),ROUNDUP(J46*Info!$K$22),
I46&lt;=FILTER("&amp;"Info!$L$2:L81, Info!$A$2:A81 = C46),ROUNDUP(J46*Info!L$22),
I46&lt;=FILTER(Info!$M$2:M81, Info!$A$2:A81 = C46),ROUNDUP(J46*Info!$M$22),
I46&lt;=FILTER(Info!$N$2:N81, Info!$A$2:A81 = C46),ROUNDUP(J46*Info!$N$22),
I46&lt;=FILTER(Info!$N$2:N81, Info!$A$2:A81 = C46)*3"&amp;"/2,ROUNDUP(J46*Info!$J$26),
I46&gt;FILTER(Info!$N$2:N81, Info!$A$2:A81 = C46)*3/2,CONCATENATE(""Sänk helst cutoff i ""&amp;C46)),
AND(H46&lt;&gt;"""",""6x6 / 7x7""=C46),
IFS(H46/3&lt;=(Info!$J$6+Info!$J$7)*2/3,""Höj helst cumulative time limit"",
H46/3&lt;=Info!$J$6+Info!$J"&amp;"$7,ROUNDUP(J46*Info!$J$24),
H46/3&lt;=Info!$K$6+Info!$K$7,ROUNDUP(J46*Info!$K$24),
H46/3&lt;=Info!$L$6+Info!$L$7,ROUNDUP(J46*Info!L$24),
H46/3&lt;=Info!$M$6+Info!$M$7,ROUNDUP(J46*Info!$M$24),
H46/3&lt;=Info!$N$6+Info!$N$7,ROUNDUP(J46*Info!$N$24),
H46/3&lt;=(Info!$N$6+In"&amp;"fo!$N$7)*3/2,ROUNDUP(J46*Info!$L$26),
H46/3&gt;(Info!$J$6+Info!$J$7)*3/2,""Sänk helst cumulative time limit""),
AND(H46&lt;&gt;"""",FILTER(Info!$F$2:F81, Info!$A$2:A81 = C46) = ""Yes""),
IFS(H46&lt;=FILTER(Info!$J$2:J81, Info!$A$2:A81 = C46)*2/3,CONCATENATE(""Höj hel"&amp;"st c.t.l. i ""&amp;C46),
H46&lt;=FILTER(Info!$J$2:J81, Info!$A$2:A81 = C46),ROUNDUP(J46*Info!$J$24),
H46&lt;=FILTER(Info!$K$2:K81, Info!$A$2:A81 = C46),ROUNDUP(J46*Info!$K$24),
H46&lt;=FILTER(Info!$L$2:L81, Info!$A$2:A81 = C46),ROUNDUP(J46*Info!L$24),
H46&lt;=FILTER(Info"&amp;"!$M$2:M81, Info!$A$2:A81 = C46),ROUNDUP(J46*Info!$M$24),
H46&lt;=FILTER(Info!$N$2:N81, Info!$A$2:A81 = C46),ROUNDUP(J46*Info!$N$24),
H46&lt;=FILTER(Info!$N$2:N81, Info!$A$2:A81 = C46)*3/2,ROUNDUP(J46*Info!$L$26),
H46&gt;FILTER(Info!$N$2:N81, Info!$A$2:A81 = C46)*3"&amp;"/2,CONCATENATE(""Sänk helst c.t.l. i ""&amp;C46)),
AND(H46&lt;&gt;"""",FILTER(Info!$F$2:F81, Info!$A$2:A81 = C46) = ""No""),
IFS(H46/AA46&lt;=FILTER(Info!$J$2:J81, Info!$A$2:A81 = C46)*2/3,CONCATENATE(""Höj helst c.t.l. i ""&amp;C46),
H46/AA46&lt;=FILTER(Info!$J$2:J81, Info!"&amp;"$A$2:A81 = C46),ROUNDUP(J46*Info!$J$24),
H46/AA46&lt;=FILTER(Info!$K$2:K81, Info!$A$2:A81 = C46),ROUNDUP(J46*Info!$K$24),
H46/AA46&lt;=FILTER(Info!$L$2:L81, Info!$A$2:A81 = C46),ROUNDUP(J46*Info!L$24),
H46/AA46&lt;=FILTER(Info!$M$2:M81, Info!$A$2:A81 = C46),ROUNDU"&amp;"P(J46*Info!$M$24),
H46/AA46&lt;=FILTER(Info!$N$2:N81, Info!$A$2:A81 = C46),ROUNDUP(J46*Info!$N$24),
H46/AA46&lt;=FILTER(Info!$N$2:N81, Info!$A$2:A81 = C46)*3/2,ROUNDUP(J46*Info!$L$26),
H46/AA46&gt;FILTER(Info!$N$2:N81, Info!$A$2:A81 = C46)*3/2,CONCATENATE(""Sänk h"&amp;"elst c.t.l. i ""&amp;C46)),
AND(I46="""",H46&lt;&gt;"""",J46&lt;&gt;""""),ROUNDUP(J46*Info!$T$29),
AND(I46&lt;&gt;"""",H46="""",J46&lt;&gt;""""),ROUNDUP(J46*Info!$T$26))"),"")</f>
        <v/>
      </c>
      <c r="L46" s="47">
        <f>IFERROR(__xludf.DUMMYFUNCTION("IFS(C46="""",0,
C46=""3x3 FMC"",Info!$B$9*N46+M46, C46=""3x3 MBLD"",Info!$B$18*N46+M46,
COUNTIF(Info!$A$22:A81,C46)&gt;0,FILTER(Info!$B$22:B81,Info!$A$22:A81=C46)+M46,
AND(C46&lt;&gt;"""",E46=""""),CONCATENATE(""Fyll i E""&amp;row()),
AND(C46&lt;&gt;"""",E46&lt;&gt;"""",E46&lt;&gt;1,E4"&amp;"6&lt;&gt;2,E46&lt;&gt;3,E46&lt;&gt;""Final""),CONCATENATE(""Fel format på E""&amp;row()),
K46=CONCATENATE(""Runda ""&amp;E46&amp;"" i ""&amp;C46&amp;"" finns redan""),CONCATENATE(""Fel i E""&amp;row()),
AND(C46&lt;&gt;"""",F46=""""),CONCATENATE(""Fyll i F""&amp;row()),
K46=CONCATENATE(C46&amp;"" måste ha forma"&amp;"tet ""&amp;FILTER(Info!$D$2:D81, Info!$A$2:A81 = C46)),CONCATENATE(""Fel format på F""&amp;row()),
AND(C46&lt;&gt;"""",D46=1,H46="""",FILTER(Info!$F$2:F81, Info!$A$2:A81 = C46) = ""Yes""),CONCATENATE(""Fyll i H""&amp;row()),
AND(C46&lt;&gt;"""",D46=1,I46="""",FILTER(Info!$E$2:E8"&amp;"1, Info!$A$2:A81 = C46) = ""Yes""),CONCATENATE(""Fyll i I""&amp;row()),
AND(C46&lt;&gt;"""",J46=""""),CONCATENATE(""Fyll i J""&amp;row()),
AND(C46&lt;&gt;"""",K46="""",OR(H46&lt;&gt;"""",I46&lt;&gt;"""")),CONCATENATE(""Fyll i K""&amp;row()),
AND(C46&lt;&gt;"""",K46=""""),CONCATENATE(""Skriv samma"&amp;" i K""&amp;row()&amp;"" som i J""&amp;row()),
AND(OR(C46=""4x4 BLD"",C46=""5x5 BLD"",C46=""4x4 / 5x5 BLD"")=TRUE,V46&lt;=P46),
MROUND(H46*(Info!$T$20-((Info!$T$20-1)/2)*(1-V46/P46))*(1+((J46/K46)-1)*(1-Info!$J$24))*N46+(Info!$T$11/2)+(N46*Info!$T$11)+(N46*Info!$T$14*(O4"&amp;"6-1)),0.01)+M46,
AND(OR(C46=""4x4 BLD"",C46=""5x5 BLD"",C46=""4x4 / 5x5 BLD"")=TRUE,V46&gt;P46),
MROUND((((J46*Z46+K46*(AA46-Z46))*(H46*Info!$T$20/AA46))/X46)*(1+((J46/K46)-1)*(1-Info!$J$24))*(1+(X46-Info!$T$8)/100)+(Info!$T$11/2)+(N46*Info!$T$11)+(N46*Info!"&amp;"$T$14*(O46-1)),0.01)+M46,
AND(C46=""3x3 BLD"",V46&lt;=P46),
MROUND(H46*(Info!$T$23-((Info!$T$23-1)/2)*(1-V46/P46))*(1+((J46/K46)-1)*(1-Info!$J$24))*N46+(Info!$T$11/2)+(N46*Info!$T$11)+(N46*Info!$T$14*(O46-1)),0.01)+M46,
AND(C46=""3x3 BLD"",V46&gt;P46),
MROUND(("&amp;"((J46*Z46+K46*(AA46-Z46))*(H46*Info!$T$23/AA46))/X46)*(1+((J46/K46)-1)*(1-Info!$J$24))*(1+(X46-Info!$T$8)/100)+(Info!$T$11/2)+(N46*Info!$T$11)+(N46*Info!$T$14*(O46-1)),0.01)+M46,
E46=1,MROUND((((J46*Z46+K46*(AA46-Z46))*Y46)/X46)*(1+(X46-Info!$T$8)/100)+(N"&amp;"46*Info!$T$11)+(N46*Info!$T$14*(O46-1)),0.01)+M46,
AND(E46=""Final"",N46=1,FILTER(Info!$G$2:$G$20,Info!$A$2:$A$20=C46)=""Mycket svår""),
MROUND((((J46*Z46+K46*(AA46-Z46))*(Y46*Info!$T$38))/X46)*(1+(X46-Info!$T$8)/100)+(N46*Info!$T$11)+(N46*Info!$T$14*(O46"&amp;"-1)),0.01)+M46,
AND(E46=""Final"",N46=1,FILTER(Info!$G$2:$G$20,Info!$A$2:$A$20=C46)=""Svår""),
MROUND((((J46*Z46+K46*(AA46-Z46))*(Y46*Info!$T$35))/X46)*(1+(X46-Info!$T$8)/100)+(N46*Info!$T$11)+(N46*Info!$T$14*(O46-1)),0.01)+M46,
E46=""Final"",MROUND((((J4"&amp;"6*Z46+K46*(AA46-Z46))*(Y46*Info!$T$5))/X46)*(1+(X46-Info!$T$8)/100)+(N46*Info!$T$11)+(N46*Info!$T$14*(O46-1)),0.01)+M46,
OR(E46=2,E46=3),MROUND((((J46*Z46+K46*(AA46-Z46))*(Y46*Info!$T$2))/X46)*(1+(X46-Info!$T$8)/100)+(N46*Info!$T$11)+(N46*Info!$T$14*(O46-"&amp;"1)),0.01)+M46)"),0.0)</f>
        <v>0</v>
      </c>
      <c r="M46" s="48">
        <f t="shared" si="4"/>
        <v>0</v>
      </c>
      <c r="N46" s="48" t="str">
        <f>IFS(OR(COUNTIF(Info!$A$22:A81,C46)&gt;0,C46=""),"",
OR(C46="4x4 BLD",C46="5x5 BLD",C46="3x3 MBLD",C46="3x3 FMC",C46="4x4 / 5x5 BLD"),1,
AND(E46="Final",Q46="Yes",MAX(1,ROUNDUP(J46/P46))&gt;1),MAX(2,ROUNDUP(J46/P46)),
AND(E46="Final",Q46="No",MAX(1,ROUNDUP(J46/((P46*2)+2.625-Y46*1.5)))&gt;1),MAX(2,ROUNDUP(J46/((P46*2)+2.625-Y46*1.5))),
E46="Final",1,
Q46="Yes",MAX(2,ROUNDUP(J46/P46)),
TRUE,MAX(2,ROUNDUP(J46/((P46*2)+2.625-Y46*1.5))))</f>
        <v/>
      </c>
      <c r="O46" s="48" t="str">
        <f>IFS(OR(COUNTIF(Info!$A$22:A81,C46)&gt;0,C46=""),"",
OR("3x3 MBLD"=C46,"3x3 FMC"=C46)=TRUE,"",
D46=$E$4,$G$6,D46=$K$4,$M$6,D46=$Q$4,$S$6,D46=$W$4,$Y$6,
TRUE,$S$2)</f>
        <v/>
      </c>
      <c r="P46" s="48" t="str">
        <f>IFS(OR(COUNTIF(Info!$A$22:A81,C46)&gt;0,C46=""),"",
OR("3x3 MBLD"=C46,"3x3 FMC"=C46)=TRUE,"",
D46=$E$4,$E$6,D46=$K$4,$K$6,D46=$Q$4,$Q$6,D46=$W$4,$W$6,
TRUE,$Q$2)</f>
        <v/>
      </c>
      <c r="Q46" s="49" t="str">
        <f>IFS(OR(COUNTIF(Info!$A$22:A81,C46)&gt;0,C46=""),"",
OR("3x3 MBLD"=C46,"3x3 FMC"=C46)=TRUE,"",
D46=$E$4,$I$6,D46=$K$4,$O$6,D46=$Q$4,$U$6,D46=$W$4,$AA$6,
TRUE,$U$2)</f>
        <v/>
      </c>
      <c r="R46" s="50" t="str">
        <f>IFERROR(__xludf.DUMMYFUNCTION("IF(C46="""","""",IFERROR(FILTER(Info!$B$22:B81,Info!$A$22:A81=C46)+M46,""?""))"),"")</f>
        <v/>
      </c>
      <c r="S46" s="51" t="str">
        <f>IFS(OR(COUNTIF(Info!$A$22:A81,C46)&gt;0,C46=""),"",
AND(H46="",I46=""),J46,
TRUE,"?")</f>
        <v/>
      </c>
      <c r="T46" s="52" t="str">
        <f>IFS(OR(COUNTIF(Info!$A$22:A81,C46)&gt;0,C46=""),"",
AND(L46&lt;&gt;0,OR(R46="?",R46="")),"Fyll i R-kolumnen",
OR(C46="3x3 FMC",C46="3x3 MBLD"),R46,
AND(L46&lt;&gt;0,OR(S46="?",S46="")),"Fyll i S-kolumnen",
OR(COUNTIF(Info!$A$22:A81,C46)&gt;0,C46=""),"",
TRUE,Y46*R46/L46)</f>
        <v/>
      </c>
      <c r="U46" s="52"/>
      <c r="V46" s="53" t="str">
        <f>IFS(OR(COUNTIF(Info!$A$22:A81,C46)&gt;0,C46=""),"",
OR("3x3 MBLD"=C46,"3x3 FMC"=C46)=TRUE,"",
TRUE,MROUND((J46/N46),0.01))</f>
        <v/>
      </c>
      <c r="W46" s="54" t="str">
        <f>IFS(OR(COUNTIF(Info!$A$22:A81,C46)&gt;0,C46=""),"",
TRUE,L46/N46)</f>
        <v/>
      </c>
      <c r="X46" s="55" t="str">
        <f>IFS(OR(COUNTIF(Info!$A$22:A81,C46)&gt;0,C46=""),"",
OR("3x3 MBLD"=C46,"3x3 FMC"=C46)=TRUE,"",
OR(C46="4x4 BLD",C46="5x5 BLD",C46="4x4 / 5x5 BLD",AND(C46="3x3 BLD",H46&lt;&gt;""))=TRUE,MIN(V46,P46),
TRUE,MIN(P46,V46,MROUND(((V46*2/3)+((Y46-1.625)/2)),0.01)))</f>
        <v/>
      </c>
      <c r="Y46" s="56" t="str">
        <f>IFERROR(__xludf.DUMMYFUNCTION("IFS(OR(COUNTIF(Info!$A$22:A81,C46)&gt;0,C46=""""),"""",
FILTER(Info!$F$2:F81, Info!$A$2:A81 = C46) = ""Yes"",H46/AA46,
""3x3 FMC""=C46,Info!$B$9,""3x3 MBLD""=C46,Info!$B$18,
AND(E46=1,I46="""",H46="""",Q46=""No"",G46&gt;SUMIF(Info!$A$2:A81,C46,Info!$B$2:B81)*1."&amp;"5),
MIN(SUMIF(Info!$A$2:A81,C46,Info!$B$2:B81)*1.1,SUMIF(Info!$A$2:A81,C46,Info!$B$2:B81)*(1.15-(0.15*(SUMIF(Info!$A$2:A81,C46,Info!$B$2:B81)*1.5)/G46))),
AND(E46=1,I46="""",H46="""",Q46=""Yes"",G46&gt;SUMIF(Info!$A$2:A81,C46,Info!$C$2:C81)*1.5),
MIN(SUMIF(I"&amp;"nfo!$A$2:A81,C46,Info!$C$2:C81)*1.1,SUMIF(Info!$A$2:A81,C46,Info!$C$2:C81)*(1.15-(0.15*(SUMIF(Info!$A$2:A81,C46,Info!$C$2:C81)*1.5)/G46))),
Q46=""No"",SUMIF(Info!$A$2:A81,C46,Info!$B$2:B81),
Q46=""Yes"",SUMIF(Info!$A$2:A81,C46,Info!$C$2:C81))"),"")</f>
        <v/>
      </c>
      <c r="Z46" s="57" t="str">
        <f>IFS(OR(COUNTIF(Info!$A$22:A81,C46)&gt;0,C46=""),"",
AND(OR("3x3 FMC"=C46,"3x3 MBLD"=C46),I46&lt;&gt;""),1,
AND(OR(H46&lt;&gt;"",I46&lt;&gt;""),F46="Avg of 5"),2,
F46="Avg of 5",AA46,
AND(OR(H46&lt;&gt;"",I46&lt;&gt;""),F46="Mean of 3",C46="6x6 / 7x7"),2,
AND(OR(H46&lt;&gt;"",I46&lt;&gt;""),F46="Mean of 3"),1,
F46="Mean of 3",AA46,
AND(OR(H46&lt;&gt;"",I46&lt;&gt;""),F46="Best of 3",C46="4x4 / 5x5 BLD"),2,
AND(OR(H46&lt;&gt;"",I46&lt;&gt;""),F46="Best of 3"),1,
F46="Best of 2",AA46,
F46="Best of 1",AA46)</f>
        <v/>
      </c>
      <c r="AA46" s="57" t="str">
        <f>IFS(OR(COUNTIF(Info!$A$22:A81,C46)&gt;0,C46=""),"",
AND(OR("3x3 MBLD"=C46,"3x3 FMC"=C46),F46="Best of 1"=TRUE),1,
AND(OR("3x3 MBLD"=C46,"3x3 FMC"=C46),F46="Best of 2"=TRUE),2,
AND(OR("3x3 MBLD"=C46,"3x3 FMC"=C46),OR(F46="Best of 3",F46="Mean of 3")=TRUE),3,
AND(F46="Mean of 3",C46="6x6 / 7x7"),6,
AND(F46="Best of 3",C46="4x4 / 5x5 BLD"),6,
F46="Avg of 5",5,F46="Mean of 3",3,F46="Best of 3",3,F46="Best of 2",2,F46="Best of 1",1)</f>
        <v/>
      </c>
      <c r="AB46" s="58"/>
    </row>
    <row r="47">
      <c r="A47" s="40">
        <f>IFERROR(__xludf.DUMMYFUNCTION("IFS(indirect(""A""&amp;row()-1)=""Start"",TIME(indirect(""A""&amp;row()-2),indirect(""B""&amp;row()-2),0),
$O$2=""No"",TIME(0,($A$6*60+$B$6)+CEILING(SUM($L$7:indirect(""L""&amp;row()-1)),5),0),
D47=$E$2,TIME(0,($A$6*60+$B$6)+CEILING(SUM(IFERROR(FILTER($L$7:indirect(""L"""&amp;"&amp;row()-1),REGEXMATCH($D$7:indirect(""D""&amp;row()-1),$E$2)),0)),5),0),
TRUE,""=time(hh;mm;ss)"")"),0.375)</f>
        <v>0.375</v>
      </c>
      <c r="B47" s="41">
        <f>IFERROR(__xludf.DUMMYFUNCTION("IFS($O$2=""No"",TIME(0,($A$6*60+$B$6)+CEILING(SUM($L$7:indirect(""L""&amp;row())),5),0),
D47=$E$2,TIME(0,($A$6*60+$B$6)+CEILING(SUM(FILTER($L$7:indirect(""L""&amp;row()),REGEXMATCH($D$7:indirect(""D""&amp;row()),$E$2))),5),0),
A47=""=time(hh;mm;ss)"",CONCATENATE(""Sk"&amp;"riv tid i A""&amp;row()),
AND(A47&lt;&gt;"""",A47&lt;&gt;""=time(hh;mm;ss)""),A47+TIME(0,CEILING(indirect(""L""&amp;row()),5),0))"),0.375)</f>
        <v>0.375</v>
      </c>
      <c r="C47" s="42"/>
      <c r="D47" s="43" t="str">
        <f t="shared" si="3"/>
        <v>Stora salen</v>
      </c>
      <c r="E47" s="43" t="str">
        <f>IFERROR(__xludf.DUMMYFUNCTION("IFS(COUNTIF(Info!$A$22:A81,C47)&gt;0,"""",
AND(OR(""3x3 FMC""=C47,""3x3 MBLD""=C47),COUNTIF($C$7:indirect(""C""&amp;row()),indirect(""C""&amp;row()))&gt;=13),""E - Error"",
AND(OR(""3x3 FMC""=C47,""3x3 MBLD""=C47),COUNTIF($C$7:indirect(""C""&amp;row()),indirect(""C""&amp;row()"&amp;"))=12),""Final - A3"",
AND(OR(""3x3 FMC""=C47,""3x3 MBLD""=C47),COUNTIF($C$7:indirect(""C""&amp;row()),indirect(""C""&amp;row()))=11),""Final - A2"",
AND(OR(""3x3 FMC""=C47,""3x3 MBLD""=C47),COUNTIF($C$7:indirect(""C""&amp;row()),indirect(""C""&amp;row()))=10),""Final - "&amp;"A1"",
AND(OR(""3x3 FMC""=C47,""3x3 MBLD""=C47),COUNTIF($C$7:indirect(""C""&amp;row()),indirect(""C""&amp;row()))=9,
COUNTIF($C$7:$C$61,indirect(""C""&amp;row()))&gt;9),""R3 - A3"",
AND(OR(""3x3 FMC""=C47,""3x3 MBLD""=C47),COUNTIF($C$7:indirect(""C""&amp;row()),indirect(""C"&amp;"""&amp;row()))=9,
COUNTIF($C$7:$C$61,indirect(""C""&amp;row()))&lt;=9),""Final - A3"",
AND(OR(""3x3 FMC""=C47,""3x3 MBLD""=C47),COUNTIF($C$7:indirect(""C""&amp;row()),indirect(""C""&amp;row()))=8,
COUNTIF($C$7:$C$61,indirect(""C""&amp;row()))&gt;9),""R3 - A2"",
AND(OR(""3x3 FMC""="&amp;"C47,""3x3 MBLD""=C47),COUNTIF($C$7:indirect(""C""&amp;row()),indirect(""C""&amp;row()))=8,
COUNTIF($C$7:$C$61,indirect(""C""&amp;row()))&lt;=9),""Final - A2"",
AND(OR(""3x3 FMC""=C47,""3x3 MBLD""=C47),COUNTIF($C$7:indirect(""C""&amp;row()),indirect(""C""&amp;row()))=7,
COUNTIF("&amp;"$C$7:$C$61,indirect(""C""&amp;row()))&gt;9),""R3 - A1"",
AND(OR(""3x3 FMC""=C47,""3x3 MBLD""=C47),COUNTIF($C$7:indirect(""C""&amp;row()),indirect(""C""&amp;row()))=7,
COUNTIF($C$7:$C$61,indirect(""C""&amp;row()))&lt;=9),""Final - A1"",
AND(OR(""3x3 FMC""=C47,""3x3 MBLD""=C47),"&amp;"COUNTIF($C$7:indirect(""C""&amp;row()),indirect(""C""&amp;row()))=6,
COUNTIF($C$7:$C$61,indirect(""C""&amp;row()))&gt;6),""R2 - A3"",
AND(OR(""3x3 FMC""=C47,""3x3 MBLD""=C47),COUNTIF($C$7:indirect(""C""&amp;row()),indirect(""C""&amp;row()))=6,
COUNTIF($C$7:$C$61,indirect(""C""&amp;"&amp;"row()))&lt;=6),""Final - A3"",
AND(OR(""3x3 FMC""=C47,""3x3 MBLD""=C47),COUNTIF($C$7:indirect(""C""&amp;row()),indirect(""C""&amp;row()))=5,
COUNTIF($C$7:$C$61,indirect(""C""&amp;row()))&gt;6),""R2 - A2"",
AND(OR(""3x3 FMC""=C47,""3x3 MBLD""=C47),COUNTIF($C$7:indirect(""C"&amp;"""&amp;row()),indirect(""C""&amp;row()))=5,
COUNTIF($C$7:$C$61,indirect(""C""&amp;row()))&lt;=6),""Final - A2"",
AND(OR(""3x3 FMC""=C47,""3x3 MBLD""=C47),COUNTIF($C$7:indirect(""C""&amp;row()),indirect(""C""&amp;row()))=4,
COUNTIF($C$7:$C$61,indirect(""C""&amp;row()))&gt;6),""R2 - A1"&amp;""",
AND(OR(""3x3 FMC""=C47,""3x3 MBLD""=C47),COUNTIF($C$7:indirect(""C""&amp;row()),indirect(""C""&amp;row()))=4,
COUNTIF($C$7:$C$61,indirect(""C""&amp;row()))&lt;=6),""Final - A1"",
AND(OR(""3x3 FMC""=C47,""3x3 MBLD""=C47),COUNTIF($C$7:indirect(""C""&amp;row()),indirect("""&amp;"C""&amp;row()))=3),""R1 - A3"",
AND(OR(""3x3 FMC""=C47,""3x3 MBLD""=C47),COUNTIF($C$7:indirect(""C""&amp;row()),indirect(""C""&amp;row()))=2),""R1 - A2"",
AND(OR(""3x3 FMC""=C47,""3x3 MBLD""=C47),COUNTIF($C$7:indirect(""C""&amp;row()),indirect(""C""&amp;row()))=1),""R1 -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C47),ROUNDUP((FILTER(Info!$H$2:H81,Info!$A$2:A81=C47)/FILTER(Info!$H$2:H81,Info!$A$2:A81=$K$2))*$I$2)&gt;99),3,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C47),ROUNDUP((FILTER(Info!$H$2:H81,Info!$A$2:A81=C47)/FILTER(Info!$H$2:H81,Info!$A$2:A81=$K$2))*$I$2)&gt;15),2,
AND(COUNTIF($C$7:indirect(""C""&amp;row()),indirect(""C""&amp;row()))=2,COUNTIF($C$7:$C$61,indirect(""C""&amp;row()))=COUNTIF($C$7:indirect("""&amp;"C""&amp;row()),indirect(""C""&amp;row()))),""Final"",
COUNTIF($C$7:indirect(""C""&amp;row()),indirect(""C""&amp;row()))=1,1,
COUNTIF($C$7:indirect(""C""&amp;row()),indirect(""C""&amp;row()))=0,"""")"),"")</f>
        <v/>
      </c>
      <c r="F47" s="44" t="str">
        <f>IFERROR(__xludf.DUMMYFUNCTION("IFS(C47="""","""",
AND(C47=""3x3 FMC"",MOD(COUNTIF($C$7:indirect(""C""&amp;row()),indirect(""C""&amp;row())),3)=0),""Mean of 3"",
AND(C47=""3x3 MBLD"",MOD(COUNTIF($C$7:indirect(""C""&amp;row()),indirect(""C""&amp;row())),3)=0),""Best of 3"",
AND(C47=""3x3 FMC"",MOD(COUNT"&amp;"IF($C$7:indirect(""C""&amp;row()),indirect(""C""&amp;row())),3)=2,
COUNTIF($C$7:$C$61,indirect(""C""&amp;row()))&lt;=COUNTIF($C$7:indirect(""C""&amp;row()),indirect(""C""&amp;row()))),""Best of 2"",
AND(C47=""3x3 FMC"",MOD(COUNTIF($C$7:indirect(""C""&amp;row()),indirect(""C""&amp;row()"&amp;")),3)=2,
COUNTIF($C$7:$C$61,indirect(""C""&amp;row()))&gt;COUNTIF($C$7:indirect(""C""&amp;row()),indirect(""C""&amp;row()))),""Mean of 3"",
AND(C47=""3x3 MBLD"",MOD(COUNTIF($C$7:indirect(""C""&amp;row()),indirect(""C""&amp;row())),3)=2,
COUNTIF($C$7:$C$61,indirect(""C""&amp;row()))"&amp;"&lt;=COUNTIF($C$7:indirect(""C""&amp;row()),indirect(""C""&amp;row()))),""Best of 2"",
AND(C47=""3x3 MBLD"",MOD(COUNTIF($C$7:indirect(""C""&amp;row()),indirect(""C""&amp;row())),3)=2,
COUNTIF($C$7:$C$61,indirect(""C""&amp;row()))&gt;COUNTIF($C$7:indirect(""C""&amp;row()),indirect(""C"&amp;"""&amp;row()))),""Best of 3"",
AND(C47=""3x3 FMC"",MOD(COUNTIF($C$7:indirect(""C""&amp;row()),indirect(""C""&amp;row())),3)=1,
COUNTIF($C$7:$C$61,indirect(""C""&amp;row()))&lt;=COUNTIF($C$7:indirect(""C""&amp;row()),indirect(""C""&amp;row()))),""Best of 1"",
AND(C47=""3x3 FMC"",MOD"&amp;"(COUNTIF($C$7:indirect(""C""&amp;row()),indirect(""C""&amp;row())),3)=1,
COUNTIF($C$7:$C$61,indirect(""C""&amp;row()))=COUNTIF($C$7:indirect(""C""&amp;row()),indirect(""C""&amp;row()))+1),""Best of 2"",
AND(C47=""3x3 FMC"",MOD(COUNTIF($C$7:indirect(""C""&amp;row()),indirect(""C"&amp;"""&amp;row())),3)=1,
COUNTIF($C$7:$C$61,indirect(""C""&amp;row()))&gt;COUNTIF($C$7:indirect(""C""&amp;row()),indirect(""C""&amp;row()))),""Mean of 3"",
AND(C47=""3x3 MBLD"",MOD(COUNTIF($C$7:indirect(""C""&amp;row()),indirect(""C""&amp;row())),3)=1,
COUNTIF($C$7:$C$61,indirect(""C"""&amp;"&amp;row()))&lt;=COUNTIF($C$7:indirect(""C""&amp;row()),indirect(""C""&amp;row()))),""Best of 1"",
AND(C47=""3x3 MBLD"",MOD(COUNTIF($C$7:indirect(""C""&amp;row()),indirect(""C""&amp;row())),3)=1,
COUNTIF($C$7:$C$61,indirect(""C""&amp;row()))=COUNTIF($C$7:indirect(""C""&amp;row()),indir"&amp;"ect(""C""&amp;row()))+1),""Best of 2"",
AND(C47=""3x3 MBLD"",MOD(COUNTIF($C$7:indirect(""C""&amp;row()),indirect(""C""&amp;row())),3)=1,
COUNTIF($C$7:$C$61,indirect(""C""&amp;row()))&gt;COUNTIF($C$7:indirect(""C""&amp;row()),indirect(""C""&amp;row()))),""Best of 3"",
TRUE,(IFERROR("&amp;"FILTER(Info!$D$2:D81, Info!$A$2:A81 = C47), """")))"),"")</f>
        <v/>
      </c>
      <c r="G47" s="45" t="str">
        <f>IFERROR(__xludf.DUMMYFUNCTION("IFS(OR(COUNTIF(Info!$A$22:A81,C47)&gt;0,C47=""""),"""",
OR(""3x3 MBLD""=C47,""3x3 FMC""=C47),60,
AND(E47=1,FILTER(Info!$F$2:F81, Info!$A$2:A81 = C47) = ""No""),FILTER(Info!$P$2:P81, Info!$A$2:A81 = C47),
AND(E47=2,FILTER(Info!$F$2:F81, Info!$A$2:A81 = C47) ="&amp;" ""No""),FILTER(Info!$Q$2:Q81, Info!$A$2:A81 = C47),
AND(E47=3,FILTER(Info!$F$2:F81, Info!$A$2:A81 = C47) = ""No""),FILTER(Info!$R$2:R81, Info!$A$2:A81 = C47),
AND(E47=""Final"",FILTER(Info!$F$2:F81, Info!$A$2:A81 = C47) = ""No""),FILTER(Info!$S$2:S81, In"&amp;"fo!$A$2:A81 = C47),
FILTER(Info!$F$2:F81, Info!$A$2:A81 = C47) = ""Yes"","""")"),"")</f>
        <v/>
      </c>
      <c r="H47" s="45" t="str">
        <f>IFERROR(__xludf.DUMMYFUNCTION("IFS(OR(COUNTIF(Info!$A$22:A81,C47)&gt;0,C47=""""),"""",
OR(""3x3 MBLD""=C47,""3x3 FMC""=C47)=TRUE,"""",
FILTER(Info!$F$2:F81, Info!$A$2:A81 = C47) = ""Yes"",FILTER(Info!$O$2:O81, Info!$A$2:A81 = C47),
FILTER(Info!$F$2:F81, Info!$A$2:A81 = C47) = ""No"",IF(G4"&amp;"7="""",FILTER(Info!$O$2:O81, Info!$A$2:A81 = C47),""""))"),"")</f>
        <v/>
      </c>
      <c r="I47" s="45" t="str">
        <f>IFERROR(__xludf.DUMMYFUNCTION("IFS(OR(COUNTIF(Info!$A$22:A81,C47)&gt;0,C47="""",H47&lt;&gt;""""),"""",
AND(E47&lt;&gt;1,E47&lt;&gt;""R1 - A1"",E47&lt;&gt;""R1 - A2"",E47&lt;&gt;""R1 - A3""),"""",
FILTER(Info!$E$2:E81, Info!$A$2:A81 = C47) = ""Yes"",IF(H47="""",FILTER(Info!$L$2:L81, Info!$A$2:A81 = C47),""""),
FILTER(I"&amp;"nfo!$E$2:E81, Info!$A$2:A81 = C47) = ""No"","""")"),"")</f>
        <v/>
      </c>
      <c r="J47" s="45" t="str">
        <f>IFERROR(__xludf.DUMMYFUNCTION("IFS(OR(COUNTIF(Info!$A$22:A81,C47)&gt;0,C47="""",""3x3 MBLD""=C47,""3x3 FMC""=C47),"""",
AND(E47=1,FILTER(Info!$H$2:H81,Info!$A$2:A81 = C47)&lt;=FILTER(Info!$H$2:H81,Info!$A$2:A81=$K$2)),
ROUNDUP((FILTER(Info!$H$2:H81,Info!$A$2:A81 = C47)/FILTER(Info!$H$2:H81,I"&amp;"nfo!$A$2:A81=$K$2))*$I$2),
AND(E47=1,FILTER(Info!$H$2:H81,Info!$A$2:A81 = C47)&gt;FILTER(Info!$H$2:H81,Info!$A$2:A81=$K$2)),""K2 - Error"",
AND(E47=2,FILTER($J$7:indirect(""J""&amp;row()-1),$C$7:indirect(""C""&amp;row()-1)=C47)&lt;=7),""J - Error"",
E47=2,FLOOR(FILTER("&amp;"$J$7:indirect(""J""&amp;row()-1),$C$7:indirect(""C""&amp;row()-1)=C47)*Info!$T$32),
AND(E47=3,FILTER($J$7:indirect(""J""&amp;row()-1),$C$7:indirect(""C""&amp;row()-1)=C47)&lt;=15),""J - Error"",
E47=3,FLOOR(Info!$T$32*FLOOR(FILTER($J$7:indirect(""J""&amp;row()-1),$C$7:indirect("&amp;"""C""&amp;row()-1)=C47)*Info!$T$32)),
AND(E47=""Final"",COUNTIF($C$7:$C$61,C47)=2,FILTER($J$7:indirect(""J""&amp;row()-1),$C$7:indirect(""C""&amp;row()-1)=C47)&lt;=7),""J - Error"",
AND(E47=""Final"",COUNTIF($C$7:$C$61,C47)=2),
MIN(P47,FLOOR(FILTER($J$7:indirect(""J""&amp;r"&amp;"ow()-1),$C$7:indirect(""C""&amp;row()-1)=C47)*Info!$T$32)),
AND(E47=""Final"",COUNTIF($C$7:$C$61,C47)=3,FILTER($J$7:indirect(""J""&amp;row()-1),$C$7:indirect(""C""&amp;row()-1)=C47)&lt;=15),""J - Error"",
AND(E47=""Final"",COUNTIF($C$7:$C$61,C47)=3),
MIN(P47,FLOOR(Info!"&amp;"$T$32*FLOOR(FILTER($J$7:indirect(""J""&amp;row()-1),$C$7:indirect(""C""&amp;row()-1)=C47)*Info!$T$32))),
AND(E47=""Final"",COUNTIF($C$7:$C$61,C47)&gt;=4,FILTER($J$7:indirect(""J""&amp;row()-1),$C$7:indirect(""C""&amp;row()-1)=C47)&lt;=99),""J - Error"",
AND(E47=""Final"",COUNT"&amp;"IF($C$7:$C$61,C47)&gt;=4),
MIN(P47,FLOOR(Info!$T$32*FLOOR(Info!$T$32*FLOOR(FILTER($J$7:indirect(""J""&amp;row()-1),$C$7:indirect(""C""&amp;row()-1)=C47)*Info!$T$32)))))"),"")</f>
        <v/>
      </c>
      <c r="K47" s="46" t="str">
        <f>IFERROR(__xludf.DUMMYFUNCTION("IFS(AND(indirect(""D""&amp;row()+2)&lt;&gt;$E$2,indirect(""D""&amp;row()+1)=""""),CONCATENATE(""Tom rad! Kopiera hela rad ""&amp;row()&amp;"" dit""),
AND(indirect(""D""&amp;row()-1)&lt;&gt;""Rum"",indirect(""D""&amp;row()-1)=""""),CONCATENATE(""Tom rad! Kopiera hela rad ""&amp;row()&amp;"" dit""),
"&amp;"C47="""","""",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OR(AND(D47&lt;&gt;$E$2,D47&lt;&gt;$E$4,D47&lt;&gt;$K$4,D47&lt;&gt;$Q$4),D47="&amp;"""""),CONCATENATE(""Rum: ""&amp;D47&amp;"" finns ej, byt i D""&amp;row()),
AND(indirect(""D""&amp;row()-1)=""Rum"",C47=""""),CONCATENATE(""För att börja: skriv i cell C""&amp;row()),
AND(C47=""Paus"",M47&lt;=0),CONCATENATE(""Skriv pausens längd i M""&amp;row()),
OR(COUNTIF(Info!$A$"&amp;"22:A81,C47)&gt;0,C47=""""),"""",
AND(D47&lt;&gt;$E$2,$O$2=""Yes"",A47=""=time(hh;mm;ss)""),CONCATENATE(""Skriv starttid för ""&amp;C47&amp;"" i A""&amp;row()),
E47=""E - Error"",CONCATENATE(""För många ""&amp;C47&amp;"" rundor!""),
AND(C47&lt;&gt;""3x3 FMC"",C47&lt;&gt;""3x3 MBLD"",E47&lt;&gt;1,E47&lt;&gt;"&amp;"""Final"",IFERROR(FILTER($E$7:indirect(""E""&amp;row()-1),
$E$7:indirect(""E""&amp;row()-1)=E47-1,$C$7:indirect(""C""&amp;row()-1)=C47))=FALSE),CONCATENATE(""Kan ej vara R""&amp;E47&amp;"", saknar R""&amp;(E47-1)),
AND(indirect(""E""&amp;row()-1)&lt;&gt;""Omgång"",IFERROR(FILTER($E$7:indi"&amp;"rect(""E""&amp;row()-1),
$E$7:indirect(""E""&amp;row()-1)=E47,$C$7:indirect(""C""&amp;row()-1)=C47)=E47)=TRUE),CONCATENATE(""Runda ""&amp;E47&amp;"" i ""&amp;C47&amp;"" finns redan""),
AND(C47&lt;&gt;""3x3 BLD"",C47&lt;&gt;""4x4 BLD"",C47&lt;&gt;""5x5 BLD"",C47&lt;&gt;""4x4 / 5x5 BLD"",OR(E47=2,E47=3,E47="&amp;"""Final""),H47&lt;&gt;""""),CONCATENATE(E47&amp;""-rundor brukar ej ha c.t.l.""),
AND(OR(E47=2,E47=3,E47=""Final""),I47&lt;&gt;""""),CONCATENATE(E47&amp;""-rundor brukar ej ha cutoff""),
AND(OR(C47=""3x3 FMC"",C47=""3x3 MBLD""),OR(E47=1,E47=2,E47=3,E47=""Final"")),CONCATENAT"&amp;"E(C47&amp;""s omgång är Rx - Ax""),
AND(C47&lt;&gt;""3x3 MBLD"",C47&lt;&gt;""3x3 FMC"",FILTER(Info!$D$2:D81, Info!$A$2:A81 = C47)&lt;&gt;F47),CONCATENATE(C47&amp;"" måste ha formatet ""&amp;FILTER(Info!$D$2:D81, Info!$A$2:A81 = C47)),
AND(C47=""3x3 MBLD"",OR(F47=""Avg of 5"",F47=""Mea"&amp;"n of 3"")),CONCATENATE(""Ogiltigt format för ""&amp;C47),
AND(C47=""3x3 FMC"",OR(F47=""Avg of 5"",F47=""Best of 3"")),CONCATENATE(""Ogiltigt format för ""&amp;C47),
AND(OR(F47=""Best of 1"",F47=""Best of 2"",F47=""Best of 3""),I47&lt;&gt;""""),CONCATENATE(F47&amp;""-rundor"&amp;" får ej ha cutoff""),
AND(OR(C47=""3x3 FMC"",C47=""3x3 MBLD""),G47&lt;&gt;60),CONCATENATE(C47&amp;"" måste ha time limit: 60""),
AND(OR(C47=""3x3 FMC"",C47=""3x3 MBLD""),H47&lt;&gt;""""),CONCATENATE(C47&amp;"" kan inte ha c.t.l.""),
AND(G47&lt;&gt;"""",H47&lt;&gt;""""),""Välj time limit"&amp;" ELLER c.t.l"",
AND(C47=""6x6 / 7x7"",G47="""",H47=""""),""Sätt time limit (x / y) eller c.t.l (z)"",
AND(G47="""",H47=""""),""Sätt en time limit eller c.t.l"",
AND(OR(C47=""6x6 / 7x7"",C47=""4x4 / 5x5 BLD""),G47&lt;&gt;"""",REGEXMATCH(TO_TEXT(G47),"" / "")=FAL"&amp;"SE),CONCATENATE(""Time limit måste vara x / y""),
AND(H47&lt;&gt;"""",I47&lt;&gt;""""),CONCATENATE(C47&amp;"" brukar ej ha cutoff OCH c.t.l""),
AND(E47=1,H47="""",I47="""",OR(FILTER(Info!$E$2:E81, Info!$A$2:A81 = C47) = ""Yes"",FILTER(Info!$F$2:F81, Info!$A$2:A81 = C47) "&amp;"= ""Yes""),OR(F47=""Avg of 5"",F47=""Mean of 3"")),CONCATENATE(C47&amp;"" bör ha cutoff eller c.t.l""),
AND(C47=""6x6 / 7x7"",I47&lt;&gt;"""",REGEXMATCH(TO_TEXT(I47),"" / "")=FALSE),CONCATENATE(""Cutoff måste vara x / y""),
AND(H47&lt;&gt;"""",ISNUMBER(H47)=FALSE),""C.t."&amp;"l. måste vara positivt tal (x)"",
AND(C47&lt;&gt;""6x6 / 7x7"",I47&lt;&gt;"""",ISNUMBER(I47)=FALSE),""Cutoff måste vara positivt tal (x)"",
AND(H47&lt;&gt;"""",FILTER(Info!$E$2:E81, Info!$A$2:A81 = C47) = ""No"",FILTER(Info!$F$2:F81, Info!$A$2:A81 = C47) = ""No""),CONCATEN"&amp;"ATE(C47&amp;"" brukar inte ha c.t.l.""),
AND(I47&lt;&gt;"""",FILTER(Info!$E$2:E81, Info!$A$2:A81 = C47) = ""No"",FILTER(Info!$F$2:F81, Info!$A$2:A81 = C47) = ""No""),CONCATENATE(C47&amp;"" brukar inte ha cutoff""),
AND(H47="""",FILTER(Info!$F$2:F81, Info!$A$2:A81 = C47"&amp;") = ""Yes""),CONCATENATE(C47&amp;"" brukar ha c.t.l.""),
AND(C47&lt;&gt;""6x6 / 7x7"",C47&lt;&gt;""4x4 / 5x5 BLD"",G47&lt;&gt;"""",ISNUMBER(G47)=FALSE),""Time limit måste vara positivt tal (x)"",
J47=""J - Error"",CONCATENATE(""För få deltagare i R1 för ""&amp;COUNTIF($C$7:$C$61,i"&amp;"ndirect(""C""&amp;row()))&amp;"" rundor""),
J47=""K2 - Error"",CONCATENATE(C47&amp;"" är mer populär - byt i K2!""),
AND(C47&lt;&gt;""6x6 / 7x7"",C47&lt;&gt;""4x4 / 5x5 BLD"",G47&lt;&gt;"""",I47&lt;&gt;"""",G47&lt;=I47),""Time limit måste vara &gt; cutoff"",
AND(C47&lt;&gt;""6x6 / 7x7"",C47&lt;&gt;""4x4 / 5x"&amp;"5 BLD"",H47&lt;&gt;"""",I47&lt;&gt;"""",H47&lt;=I47),""C.t.l. måste vara &gt; cutoff"",
AND(C47&lt;&gt;""3x3 FMC"",C47&lt;&gt;""3x3 MBLD"",J47=""""),CONCATENATE(""Fyll i antal deltagare i J""&amp;row()),
AND(C47="""",OR(E47&lt;&gt;"""",F47&lt;&gt;"""",G47&lt;&gt;"""",H47&lt;&gt;"""",I47&lt;&gt;"""",J47&lt;&gt;"""")),""Skriv"&amp;" ALLTID gren / aktivitet först"",
AND(I47="""",H47="""",J47&lt;&gt;""""),J47,
OR(""3x3 FMC""=C47,""3x3 MBLD""=C47),J47,
AND(I47&lt;&gt;"""",""6x6 / 7x7""=C47),
IFS(ArrayFormula(SUM(IFERROR(SPLIT(I47,"" / ""))))&lt;(Info!$J$6+Info!$J$7)*2/3,CONCATENATE(""Höj helst cutoff"&amp;"s i ""&amp;C47),
ArrayFormula(SUM(IFERROR(SPLIT(I47,"" / ""))))&lt;=(Info!$J$6+Info!$J$7),ROUNDUP(J47*Info!$J$22),
ArrayFormula(SUM(IFERROR(SPLIT(I47,"" / ""))))&lt;=Info!$J$6+Info!$J$7,ROUNDUP(J47*Info!$K$22),
ArrayFormula(SUM(IFERROR(SPLIT(I47,"" / ""))))&lt;=Info!$"&amp;"K$6+Info!$K$7,ROUNDUP(J47*Info!L$22),
ArrayFormula(SUM(IFERROR(SPLIT(I47,"" / ""))))&lt;=Info!$L$6+Info!$L$7,ROUNDUP(J47*Info!$M$22),
ArrayFormula(SUM(IFERROR(SPLIT(I47,"" / ""))))&lt;=Info!$M$6+Info!$M$7,ROUNDUP(J47*Info!$N$22),
ArrayFormula(SUM(IFERROR(SPLIT("&amp;"I47,"" / ""))))&lt;=(Info!$N$6+Info!$N$7)*3/2,ROUNDUP(J47*Info!$J$26),
ArrayFormula(SUM(IFERROR(SPLIT(I47,"" / ""))))&gt;(Info!$N$6+Info!$N$7)*3/2,CONCATENATE(""Sänk helst cutoffs i ""&amp;C47)),
AND(I47&lt;&gt;"""",FILTER(Info!$E$2:E81, Info!$A$2:A81 = C47) = ""Yes""),
"&amp;"IFS(I47&lt;FILTER(Info!$J$2:J81, Info!$A$2:A81 = C47)*2/3,CONCATENATE(""Höj helst cutoff i ""&amp;C47),
I47&lt;=FILTER(Info!$J$2:J81, Info!$A$2:A81 = C47),ROUNDUP(J47*Info!$J$22),
I47&lt;=FILTER(Info!$K$2:K81, Info!$A$2:A81 = C47),ROUNDUP(J47*Info!$K$22),
I47&lt;=FILTER("&amp;"Info!$L$2:L81, Info!$A$2:A81 = C47),ROUNDUP(J47*Info!L$22),
I47&lt;=FILTER(Info!$M$2:M81, Info!$A$2:A81 = C47),ROUNDUP(J47*Info!$M$22),
I47&lt;=FILTER(Info!$N$2:N81, Info!$A$2:A81 = C47),ROUNDUP(J47*Info!$N$22),
I47&lt;=FILTER(Info!$N$2:N81, Info!$A$2:A81 = C47)*3"&amp;"/2,ROUNDUP(J47*Info!$J$26),
I47&gt;FILTER(Info!$N$2:N81, Info!$A$2:A81 = C47)*3/2,CONCATENATE(""Sänk helst cutoff i ""&amp;C47)),
AND(H47&lt;&gt;"""",""6x6 / 7x7""=C47),
IFS(H47/3&lt;=(Info!$J$6+Info!$J$7)*2/3,""Höj helst cumulative time limit"",
H47/3&lt;=Info!$J$6+Info!$J"&amp;"$7,ROUNDUP(J47*Info!$J$24),
H47/3&lt;=Info!$K$6+Info!$K$7,ROUNDUP(J47*Info!$K$24),
H47/3&lt;=Info!$L$6+Info!$L$7,ROUNDUP(J47*Info!L$24),
H47/3&lt;=Info!$M$6+Info!$M$7,ROUNDUP(J47*Info!$M$24),
H47/3&lt;=Info!$N$6+Info!$N$7,ROUNDUP(J47*Info!$N$24),
H47/3&lt;=(Info!$N$6+In"&amp;"fo!$N$7)*3/2,ROUNDUP(J47*Info!$L$26),
H47/3&gt;(Info!$J$6+Info!$J$7)*3/2,""Sänk helst cumulative time limit""),
AND(H47&lt;&gt;"""",FILTER(Info!$F$2:F81, Info!$A$2:A81 = C47) = ""Yes""),
IFS(H47&lt;=FILTER(Info!$J$2:J81, Info!$A$2:A81 = C47)*2/3,CONCATENATE(""Höj hel"&amp;"st c.t.l. i ""&amp;C47),
H47&lt;=FILTER(Info!$J$2:J81, Info!$A$2:A81 = C47),ROUNDUP(J47*Info!$J$24),
H47&lt;=FILTER(Info!$K$2:K81, Info!$A$2:A81 = C47),ROUNDUP(J47*Info!$K$24),
H47&lt;=FILTER(Info!$L$2:L81, Info!$A$2:A81 = C47),ROUNDUP(J47*Info!L$24),
H47&lt;=FILTER(Info"&amp;"!$M$2:M81, Info!$A$2:A81 = C47),ROUNDUP(J47*Info!$M$24),
H47&lt;=FILTER(Info!$N$2:N81, Info!$A$2:A81 = C47),ROUNDUP(J47*Info!$N$24),
H47&lt;=FILTER(Info!$N$2:N81, Info!$A$2:A81 = C47)*3/2,ROUNDUP(J47*Info!$L$26),
H47&gt;FILTER(Info!$N$2:N81, Info!$A$2:A81 = C47)*3"&amp;"/2,CONCATENATE(""Sänk helst c.t.l. i ""&amp;C47)),
AND(H47&lt;&gt;"""",FILTER(Info!$F$2:F81, Info!$A$2:A81 = C47) = ""No""),
IFS(H47/AA47&lt;=FILTER(Info!$J$2:J81, Info!$A$2:A81 = C47)*2/3,CONCATENATE(""Höj helst c.t.l. i ""&amp;C47),
H47/AA47&lt;=FILTER(Info!$J$2:J81, Info!"&amp;"$A$2:A81 = C47),ROUNDUP(J47*Info!$J$24),
H47/AA47&lt;=FILTER(Info!$K$2:K81, Info!$A$2:A81 = C47),ROUNDUP(J47*Info!$K$24),
H47/AA47&lt;=FILTER(Info!$L$2:L81, Info!$A$2:A81 = C47),ROUNDUP(J47*Info!L$24),
H47/AA47&lt;=FILTER(Info!$M$2:M81, Info!$A$2:A81 = C47),ROUNDU"&amp;"P(J47*Info!$M$24),
H47/AA47&lt;=FILTER(Info!$N$2:N81, Info!$A$2:A81 = C47),ROUNDUP(J47*Info!$N$24),
H47/AA47&lt;=FILTER(Info!$N$2:N81, Info!$A$2:A81 = C47)*3/2,ROUNDUP(J47*Info!$L$26),
H47/AA47&gt;FILTER(Info!$N$2:N81, Info!$A$2:A81 = C47)*3/2,CONCATENATE(""Sänk h"&amp;"elst c.t.l. i ""&amp;C47)),
AND(I47="""",H47&lt;&gt;"""",J47&lt;&gt;""""),ROUNDUP(J47*Info!$T$29),
AND(I47&lt;&gt;"""",H47="""",J47&lt;&gt;""""),ROUNDUP(J47*Info!$T$26))"),"")</f>
        <v/>
      </c>
      <c r="L47" s="47">
        <f>IFERROR(__xludf.DUMMYFUNCTION("IFS(C47="""",0,
C47=""3x3 FMC"",Info!$B$9*N47+M47, C47=""3x3 MBLD"",Info!$B$18*N47+M47,
COUNTIF(Info!$A$22:A81,C47)&gt;0,FILTER(Info!$B$22:B81,Info!$A$22:A81=C47)+M47,
AND(C47&lt;&gt;"""",E47=""""),CONCATENATE(""Fyll i E""&amp;row()),
AND(C47&lt;&gt;"""",E47&lt;&gt;"""",E47&lt;&gt;1,E4"&amp;"7&lt;&gt;2,E47&lt;&gt;3,E47&lt;&gt;""Final""),CONCATENATE(""Fel format på E""&amp;row()),
K47=CONCATENATE(""Runda ""&amp;E47&amp;"" i ""&amp;C47&amp;"" finns redan""),CONCATENATE(""Fel i E""&amp;row()),
AND(C47&lt;&gt;"""",F47=""""),CONCATENATE(""Fyll i F""&amp;row()),
K47=CONCATENATE(C47&amp;"" måste ha forma"&amp;"tet ""&amp;FILTER(Info!$D$2:D81, Info!$A$2:A81 = C47)),CONCATENATE(""Fel format på F""&amp;row()),
AND(C47&lt;&gt;"""",D47=1,H47="""",FILTER(Info!$F$2:F81, Info!$A$2:A81 = C47) = ""Yes""),CONCATENATE(""Fyll i H""&amp;row()),
AND(C47&lt;&gt;"""",D47=1,I47="""",FILTER(Info!$E$2:E8"&amp;"1, Info!$A$2:A81 = C47) = ""Yes""),CONCATENATE(""Fyll i I""&amp;row()),
AND(C47&lt;&gt;"""",J47=""""),CONCATENATE(""Fyll i J""&amp;row()),
AND(C47&lt;&gt;"""",K47="""",OR(H47&lt;&gt;"""",I47&lt;&gt;"""")),CONCATENATE(""Fyll i K""&amp;row()),
AND(C47&lt;&gt;"""",K47=""""),CONCATENATE(""Skriv samma"&amp;" i K""&amp;row()&amp;"" som i J""&amp;row()),
AND(OR(C47=""4x4 BLD"",C47=""5x5 BLD"",C47=""4x4 / 5x5 BLD"")=TRUE,V47&lt;=P47),
MROUND(H47*(Info!$T$20-((Info!$T$20-1)/2)*(1-V47/P47))*(1+((J47/K47)-1)*(1-Info!$J$24))*N47+(Info!$T$11/2)+(N47*Info!$T$11)+(N47*Info!$T$14*(O4"&amp;"7-1)),0.01)+M47,
AND(OR(C47=""4x4 BLD"",C47=""5x5 BLD"",C47=""4x4 / 5x5 BLD"")=TRUE,V47&gt;P47),
MROUND((((J47*Z47+K47*(AA47-Z47))*(H47*Info!$T$20/AA47))/X47)*(1+((J47/K47)-1)*(1-Info!$J$24))*(1+(X47-Info!$T$8)/100)+(Info!$T$11/2)+(N47*Info!$T$11)+(N47*Info!"&amp;"$T$14*(O47-1)),0.01)+M47,
AND(C47=""3x3 BLD"",V47&lt;=P47),
MROUND(H47*(Info!$T$23-((Info!$T$23-1)/2)*(1-V47/P47))*(1+((J47/K47)-1)*(1-Info!$J$24))*N47+(Info!$T$11/2)+(N47*Info!$T$11)+(N47*Info!$T$14*(O47-1)),0.01)+M47,
AND(C47=""3x3 BLD"",V47&gt;P47),
MROUND(("&amp;"((J47*Z47+K47*(AA47-Z47))*(H47*Info!$T$23/AA47))/X47)*(1+((J47/K47)-1)*(1-Info!$J$24))*(1+(X47-Info!$T$8)/100)+(Info!$T$11/2)+(N47*Info!$T$11)+(N47*Info!$T$14*(O47-1)),0.01)+M47,
E47=1,MROUND((((J47*Z47+K47*(AA47-Z47))*Y47)/X47)*(1+(X47-Info!$T$8)/100)+(N"&amp;"47*Info!$T$11)+(N47*Info!$T$14*(O47-1)),0.01)+M47,
AND(E47=""Final"",N47=1,FILTER(Info!$G$2:$G$20,Info!$A$2:$A$20=C47)=""Mycket svår""),
MROUND((((J47*Z47+K47*(AA47-Z47))*(Y47*Info!$T$38))/X47)*(1+(X47-Info!$T$8)/100)+(N47*Info!$T$11)+(N47*Info!$T$14*(O47"&amp;"-1)),0.01)+M47,
AND(E47=""Final"",N47=1,FILTER(Info!$G$2:$G$20,Info!$A$2:$A$20=C47)=""Svår""),
MROUND((((J47*Z47+K47*(AA47-Z47))*(Y47*Info!$T$35))/X47)*(1+(X47-Info!$T$8)/100)+(N47*Info!$T$11)+(N47*Info!$T$14*(O47-1)),0.01)+M47,
E47=""Final"",MROUND((((J4"&amp;"7*Z47+K47*(AA47-Z47))*(Y47*Info!$T$5))/X47)*(1+(X47-Info!$T$8)/100)+(N47*Info!$T$11)+(N47*Info!$T$14*(O47-1)),0.01)+M47,
OR(E47=2,E47=3),MROUND((((J47*Z47+K47*(AA47-Z47))*(Y47*Info!$T$2))/X47)*(1+(X47-Info!$T$8)/100)+(N47*Info!$T$11)+(N47*Info!$T$14*(O47-"&amp;"1)),0.01)+M47)"),0.0)</f>
        <v>0</v>
      </c>
      <c r="M47" s="48">
        <f t="shared" si="4"/>
        <v>0</v>
      </c>
      <c r="N47" s="48" t="str">
        <f>IFS(OR(COUNTIF(Info!$A$22:A81,C47)&gt;0,C47=""),"",
OR(C47="4x4 BLD",C47="5x5 BLD",C47="3x3 MBLD",C47="3x3 FMC",C47="4x4 / 5x5 BLD"),1,
AND(E47="Final",Q47="Yes",MAX(1,ROUNDUP(J47/P47))&gt;1),MAX(2,ROUNDUP(J47/P47)),
AND(E47="Final",Q47="No",MAX(1,ROUNDUP(J47/((P47*2)+2.625-Y47*1.5)))&gt;1),MAX(2,ROUNDUP(J47/((P47*2)+2.625-Y47*1.5))),
E47="Final",1,
Q47="Yes",MAX(2,ROUNDUP(J47/P47)),
TRUE,MAX(2,ROUNDUP(J47/((P47*2)+2.625-Y47*1.5))))</f>
        <v/>
      </c>
      <c r="O47" s="48" t="str">
        <f>IFS(OR(COUNTIF(Info!$A$22:A81,C47)&gt;0,C47=""),"",
OR("3x3 MBLD"=C47,"3x3 FMC"=C47)=TRUE,"",
D47=$E$4,$G$6,D47=$K$4,$M$6,D47=$Q$4,$S$6,D47=$W$4,$Y$6,
TRUE,$S$2)</f>
        <v/>
      </c>
      <c r="P47" s="48" t="str">
        <f>IFS(OR(COUNTIF(Info!$A$22:A81,C47)&gt;0,C47=""),"",
OR("3x3 MBLD"=C47,"3x3 FMC"=C47)=TRUE,"",
D47=$E$4,$E$6,D47=$K$4,$K$6,D47=$Q$4,$Q$6,D47=$W$4,$W$6,
TRUE,$Q$2)</f>
        <v/>
      </c>
      <c r="Q47" s="49" t="str">
        <f>IFS(OR(COUNTIF(Info!$A$22:A81,C47)&gt;0,C47=""),"",
OR("3x3 MBLD"=C47,"3x3 FMC"=C47)=TRUE,"",
D47=$E$4,$I$6,D47=$K$4,$O$6,D47=$Q$4,$U$6,D47=$W$4,$AA$6,
TRUE,$U$2)</f>
        <v/>
      </c>
      <c r="R47" s="50" t="str">
        <f>IFERROR(__xludf.DUMMYFUNCTION("IF(C47="""","""",IFERROR(FILTER(Info!$B$22:B81,Info!$A$22:A81=C47)+M47,""?""))"),"")</f>
        <v/>
      </c>
      <c r="S47" s="51" t="str">
        <f>IFS(OR(COUNTIF(Info!$A$22:A81,C47)&gt;0,C47=""),"",
AND(H47="",I47=""),J47,
TRUE,"?")</f>
        <v/>
      </c>
      <c r="T47" s="52" t="str">
        <f>IFS(OR(COUNTIF(Info!$A$22:A81,C47)&gt;0,C47=""),"",
AND(L47&lt;&gt;0,OR(R47="?",R47="")),"Fyll i R-kolumnen",
OR(C47="3x3 FMC",C47="3x3 MBLD"),R47,
AND(L47&lt;&gt;0,OR(S47="?",S47="")),"Fyll i S-kolumnen",
OR(COUNTIF(Info!$A$22:A81,C47)&gt;0,C47=""),"",
TRUE,Y47*R47/L47)</f>
        <v/>
      </c>
      <c r="U47" s="52"/>
      <c r="V47" s="53" t="str">
        <f>IFS(OR(COUNTIF(Info!$A$22:A81,C47)&gt;0,C47=""),"",
OR("3x3 MBLD"=C47,"3x3 FMC"=C47)=TRUE,"",
TRUE,MROUND((J47/N47),0.01))</f>
        <v/>
      </c>
      <c r="W47" s="54" t="str">
        <f>IFS(OR(COUNTIF(Info!$A$22:A81,C47)&gt;0,C47=""),"",
TRUE,L47/N47)</f>
        <v/>
      </c>
      <c r="X47" s="55" t="str">
        <f>IFS(OR(COUNTIF(Info!$A$22:A81,C47)&gt;0,C47=""),"",
OR("3x3 MBLD"=C47,"3x3 FMC"=C47)=TRUE,"",
OR(C47="4x4 BLD",C47="5x5 BLD",C47="4x4 / 5x5 BLD",AND(C47="3x3 BLD",H47&lt;&gt;""))=TRUE,MIN(V47,P47),
TRUE,MIN(P47,V47,MROUND(((V47*2/3)+((Y47-1.625)/2)),0.01)))</f>
        <v/>
      </c>
      <c r="Y47" s="56" t="str">
        <f>IFERROR(__xludf.DUMMYFUNCTION("IFS(OR(COUNTIF(Info!$A$22:A81,C47)&gt;0,C47=""""),"""",
FILTER(Info!$F$2:F81, Info!$A$2:A81 = C47) = ""Yes"",H47/AA47,
""3x3 FMC""=C47,Info!$B$9,""3x3 MBLD""=C47,Info!$B$18,
AND(E47=1,I47="""",H47="""",Q47=""No"",G47&gt;SUMIF(Info!$A$2:A81,C47,Info!$B$2:B81)*1."&amp;"5),
MIN(SUMIF(Info!$A$2:A81,C47,Info!$B$2:B81)*1.1,SUMIF(Info!$A$2:A81,C47,Info!$B$2:B81)*(1.15-(0.15*(SUMIF(Info!$A$2:A81,C47,Info!$B$2:B81)*1.5)/G47))),
AND(E47=1,I47="""",H47="""",Q47=""Yes"",G47&gt;SUMIF(Info!$A$2:A81,C47,Info!$C$2:C81)*1.5),
MIN(SUMIF(I"&amp;"nfo!$A$2:A81,C47,Info!$C$2:C81)*1.1,SUMIF(Info!$A$2:A81,C47,Info!$C$2:C81)*(1.15-(0.15*(SUMIF(Info!$A$2:A81,C47,Info!$C$2:C81)*1.5)/G47))),
Q47=""No"",SUMIF(Info!$A$2:A81,C47,Info!$B$2:B81),
Q47=""Yes"",SUMIF(Info!$A$2:A81,C47,Info!$C$2:C81))"),"")</f>
        <v/>
      </c>
      <c r="Z47" s="57" t="str">
        <f>IFS(OR(COUNTIF(Info!$A$22:A81,C47)&gt;0,C47=""),"",
AND(OR("3x3 FMC"=C47,"3x3 MBLD"=C47),I47&lt;&gt;""),1,
AND(OR(H47&lt;&gt;"",I47&lt;&gt;""),F47="Avg of 5"),2,
F47="Avg of 5",AA47,
AND(OR(H47&lt;&gt;"",I47&lt;&gt;""),F47="Mean of 3",C47="6x6 / 7x7"),2,
AND(OR(H47&lt;&gt;"",I47&lt;&gt;""),F47="Mean of 3"),1,
F47="Mean of 3",AA47,
AND(OR(H47&lt;&gt;"",I47&lt;&gt;""),F47="Best of 3",C47="4x4 / 5x5 BLD"),2,
AND(OR(H47&lt;&gt;"",I47&lt;&gt;""),F47="Best of 3"),1,
F47="Best of 2",AA47,
F47="Best of 1",AA47)</f>
        <v/>
      </c>
      <c r="AA47" s="57" t="str">
        <f>IFS(OR(COUNTIF(Info!$A$22:A81,C47)&gt;0,C47=""),"",
AND(OR("3x3 MBLD"=C47,"3x3 FMC"=C47),F47="Best of 1"=TRUE),1,
AND(OR("3x3 MBLD"=C47,"3x3 FMC"=C47),F47="Best of 2"=TRUE),2,
AND(OR("3x3 MBLD"=C47,"3x3 FMC"=C47),OR(F47="Best of 3",F47="Mean of 3")=TRUE),3,
AND(F47="Mean of 3",C47="6x6 / 7x7"),6,
AND(F47="Best of 3",C47="4x4 / 5x5 BLD"),6,
F47="Avg of 5",5,F47="Mean of 3",3,F47="Best of 3",3,F47="Best of 2",2,F47="Best of 1",1)</f>
        <v/>
      </c>
      <c r="AB47" s="58"/>
    </row>
    <row r="48">
      <c r="A48" s="40">
        <f>IFERROR(__xludf.DUMMYFUNCTION("IFS(indirect(""A""&amp;row()-1)=""Start"",TIME(indirect(""A""&amp;row()-2),indirect(""B""&amp;row()-2),0),
$O$2=""No"",TIME(0,($A$6*60+$B$6)+CEILING(SUM($L$7:indirect(""L""&amp;row()-1)),5),0),
D48=$E$2,TIME(0,($A$6*60+$B$6)+CEILING(SUM(IFERROR(FILTER($L$7:indirect(""L"""&amp;"&amp;row()-1),REGEXMATCH($D$7:indirect(""D""&amp;row()-1),$E$2)),0)),5),0),
TRUE,""=time(hh;mm;ss)"")"),0.375)</f>
        <v>0.375</v>
      </c>
      <c r="B48" s="41">
        <f>IFERROR(__xludf.DUMMYFUNCTION("IFS($O$2=""No"",TIME(0,($A$6*60+$B$6)+CEILING(SUM($L$7:indirect(""L""&amp;row())),5),0),
D48=$E$2,TIME(0,($A$6*60+$B$6)+CEILING(SUM(FILTER($L$7:indirect(""L""&amp;row()),REGEXMATCH($D$7:indirect(""D""&amp;row()),$E$2))),5),0),
A48=""=time(hh;mm;ss)"",CONCATENATE(""Sk"&amp;"riv tid i A""&amp;row()),
AND(A48&lt;&gt;"""",A48&lt;&gt;""=time(hh;mm;ss)""),A48+TIME(0,CEILING(indirect(""L""&amp;row()),5),0))"),0.375)</f>
        <v>0.375</v>
      </c>
      <c r="C48" s="42"/>
      <c r="D48" s="43" t="str">
        <f t="shared" si="3"/>
        <v>Stora salen</v>
      </c>
      <c r="E48" s="43" t="str">
        <f>IFERROR(__xludf.DUMMYFUNCTION("IFS(COUNTIF(Info!$A$22:A81,C48)&gt;0,"""",
AND(OR(""3x3 FMC""=C48,""3x3 MBLD""=C48),COUNTIF($C$7:indirect(""C""&amp;row()),indirect(""C""&amp;row()))&gt;=13),""E - Error"",
AND(OR(""3x3 FMC""=C48,""3x3 MBLD""=C48),COUNTIF($C$7:indirect(""C""&amp;row()),indirect(""C""&amp;row()"&amp;"))=12),""Final - A3"",
AND(OR(""3x3 FMC""=C48,""3x3 MBLD""=C48),COUNTIF($C$7:indirect(""C""&amp;row()),indirect(""C""&amp;row()))=11),""Final - A2"",
AND(OR(""3x3 FMC""=C48,""3x3 MBLD""=C48),COUNTIF($C$7:indirect(""C""&amp;row()),indirect(""C""&amp;row()))=10),""Final - "&amp;"A1"",
AND(OR(""3x3 FMC""=C48,""3x3 MBLD""=C48),COUNTIF($C$7:indirect(""C""&amp;row()),indirect(""C""&amp;row()))=9,
COUNTIF($C$7:$C$61,indirect(""C""&amp;row()))&gt;9),""R3 - A3"",
AND(OR(""3x3 FMC""=C48,""3x3 MBLD""=C48),COUNTIF($C$7:indirect(""C""&amp;row()),indirect(""C"&amp;"""&amp;row()))=9,
COUNTIF($C$7:$C$61,indirect(""C""&amp;row()))&lt;=9),""Final - A3"",
AND(OR(""3x3 FMC""=C48,""3x3 MBLD""=C48),COUNTIF($C$7:indirect(""C""&amp;row()),indirect(""C""&amp;row()))=8,
COUNTIF($C$7:$C$61,indirect(""C""&amp;row()))&gt;9),""R3 - A2"",
AND(OR(""3x3 FMC""="&amp;"C48,""3x3 MBLD""=C48),COUNTIF($C$7:indirect(""C""&amp;row()),indirect(""C""&amp;row()))=8,
COUNTIF($C$7:$C$61,indirect(""C""&amp;row()))&lt;=9),""Final - A2"",
AND(OR(""3x3 FMC""=C48,""3x3 MBLD""=C48),COUNTIF($C$7:indirect(""C""&amp;row()),indirect(""C""&amp;row()))=7,
COUNTIF("&amp;"$C$7:$C$61,indirect(""C""&amp;row()))&gt;9),""R3 - A1"",
AND(OR(""3x3 FMC""=C48,""3x3 MBLD""=C48),COUNTIF($C$7:indirect(""C""&amp;row()),indirect(""C""&amp;row()))=7,
COUNTIF($C$7:$C$61,indirect(""C""&amp;row()))&lt;=9),""Final - A1"",
AND(OR(""3x3 FMC""=C48,""3x3 MBLD""=C48),"&amp;"COUNTIF($C$7:indirect(""C""&amp;row()),indirect(""C""&amp;row()))=6,
COUNTIF($C$7:$C$61,indirect(""C""&amp;row()))&gt;6),""R2 - A3"",
AND(OR(""3x3 FMC""=C48,""3x3 MBLD""=C48),COUNTIF($C$7:indirect(""C""&amp;row()),indirect(""C""&amp;row()))=6,
COUNTIF($C$7:$C$61,indirect(""C""&amp;"&amp;"row()))&lt;=6),""Final - A3"",
AND(OR(""3x3 FMC""=C48,""3x3 MBLD""=C48),COUNTIF($C$7:indirect(""C""&amp;row()),indirect(""C""&amp;row()))=5,
COUNTIF($C$7:$C$61,indirect(""C""&amp;row()))&gt;6),""R2 - A2"",
AND(OR(""3x3 FMC""=C48,""3x3 MBLD""=C48),COUNTIF($C$7:indirect(""C"&amp;"""&amp;row()),indirect(""C""&amp;row()))=5,
COUNTIF($C$7:$C$61,indirect(""C""&amp;row()))&lt;=6),""Final - A2"",
AND(OR(""3x3 FMC""=C48,""3x3 MBLD""=C48),COUNTIF($C$7:indirect(""C""&amp;row()),indirect(""C""&amp;row()))=4,
COUNTIF($C$7:$C$61,indirect(""C""&amp;row()))&gt;6),""R2 - A1"&amp;""",
AND(OR(""3x3 FMC""=C48,""3x3 MBLD""=C48),COUNTIF($C$7:indirect(""C""&amp;row()),indirect(""C""&amp;row()))=4,
COUNTIF($C$7:$C$61,indirect(""C""&amp;row()))&lt;=6),""Final - A1"",
AND(OR(""3x3 FMC""=C48,""3x3 MBLD""=C48),COUNTIF($C$7:indirect(""C""&amp;row()),indirect("""&amp;"C""&amp;row()))=3),""R1 - A3"",
AND(OR(""3x3 FMC""=C48,""3x3 MBLD""=C48),COUNTIF($C$7:indirect(""C""&amp;row()),indirect(""C""&amp;row()))=2),""R1 - A2"",
AND(OR(""3x3 FMC""=C48,""3x3 MBLD""=C48),COUNTIF($C$7:indirect(""C""&amp;row()),indirect(""C""&amp;row()))=1),""R1 -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C48),ROUNDUP((FILTER(Info!$H$2:H81,Info!$A$2:A81=C48)/FILTER(Info!$H$2:H81,Info!$A$2:A81=$K$2))*$I$2)&gt;99),3,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C48),ROUNDUP((FILTER(Info!$H$2:H81,Info!$A$2:A81=C48)/FILTER(Info!$H$2:H81,Info!$A$2:A81=$K$2))*$I$2)&gt;15),2,
AND(COUNTIF($C$7:indirect(""C""&amp;row()),indirect(""C""&amp;row()))=2,COUNTIF($C$7:$C$61,indirect(""C""&amp;row()))=COUNTIF($C$7:indirect("""&amp;"C""&amp;row()),indirect(""C""&amp;row()))),""Final"",
COUNTIF($C$7:indirect(""C""&amp;row()),indirect(""C""&amp;row()))=1,1,
COUNTIF($C$7:indirect(""C""&amp;row()),indirect(""C""&amp;row()))=0,"""")"),"")</f>
        <v/>
      </c>
      <c r="F48" s="44" t="str">
        <f>IFERROR(__xludf.DUMMYFUNCTION("IFS(C48="""","""",
AND(C48=""3x3 FMC"",MOD(COUNTIF($C$7:indirect(""C""&amp;row()),indirect(""C""&amp;row())),3)=0),""Mean of 3"",
AND(C48=""3x3 MBLD"",MOD(COUNTIF($C$7:indirect(""C""&amp;row()),indirect(""C""&amp;row())),3)=0),""Best of 3"",
AND(C48=""3x3 FMC"",MOD(COUNT"&amp;"IF($C$7:indirect(""C""&amp;row()),indirect(""C""&amp;row())),3)=2,
COUNTIF($C$7:$C$61,indirect(""C""&amp;row()))&lt;=COUNTIF($C$7:indirect(""C""&amp;row()),indirect(""C""&amp;row()))),""Best of 2"",
AND(C48=""3x3 FMC"",MOD(COUNTIF($C$7:indirect(""C""&amp;row()),indirect(""C""&amp;row()"&amp;")),3)=2,
COUNTIF($C$7:$C$61,indirect(""C""&amp;row()))&gt;COUNTIF($C$7:indirect(""C""&amp;row()),indirect(""C""&amp;row()))),""Mean of 3"",
AND(C48=""3x3 MBLD"",MOD(COUNTIF($C$7:indirect(""C""&amp;row()),indirect(""C""&amp;row())),3)=2,
COUNTIF($C$7:$C$61,indirect(""C""&amp;row()))"&amp;"&lt;=COUNTIF($C$7:indirect(""C""&amp;row()),indirect(""C""&amp;row()))),""Best of 2"",
AND(C48=""3x3 MBLD"",MOD(COUNTIF($C$7:indirect(""C""&amp;row()),indirect(""C""&amp;row())),3)=2,
COUNTIF($C$7:$C$61,indirect(""C""&amp;row()))&gt;COUNTIF($C$7:indirect(""C""&amp;row()),indirect(""C"&amp;"""&amp;row()))),""Best of 3"",
AND(C48=""3x3 FMC"",MOD(COUNTIF($C$7:indirect(""C""&amp;row()),indirect(""C""&amp;row())),3)=1,
COUNTIF($C$7:$C$61,indirect(""C""&amp;row()))&lt;=COUNTIF($C$7:indirect(""C""&amp;row()),indirect(""C""&amp;row()))),""Best of 1"",
AND(C48=""3x3 FMC"",MOD"&amp;"(COUNTIF($C$7:indirect(""C""&amp;row()),indirect(""C""&amp;row())),3)=1,
COUNTIF($C$7:$C$61,indirect(""C""&amp;row()))=COUNTIF($C$7:indirect(""C""&amp;row()),indirect(""C""&amp;row()))+1),""Best of 2"",
AND(C48=""3x3 FMC"",MOD(COUNTIF($C$7:indirect(""C""&amp;row()),indirect(""C"&amp;"""&amp;row())),3)=1,
COUNTIF($C$7:$C$61,indirect(""C""&amp;row()))&gt;COUNTIF($C$7:indirect(""C""&amp;row()),indirect(""C""&amp;row()))),""Mean of 3"",
AND(C48=""3x3 MBLD"",MOD(COUNTIF($C$7:indirect(""C""&amp;row()),indirect(""C""&amp;row())),3)=1,
COUNTIF($C$7:$C$61,indirect(""C"""&amp;"&amp;row()))&lt;=COUNTIF($C$7:indirect(""C""&amp;row()),indirect(""C""&amp;row()))),""Best of 1"",
AND(C48=""3x3 MBLD"",MOD(COUNTIF($C$7:indirect(""C""&amp;row()),indirect(""C""&amp;row())),3)=1,
COUNTIF($C$7:$C$61,indirect(""C""&amp;row()))=COUNTIF($C$7:indirect(""C""&amp;row()),indir"&amp;"ect(""C""&amp;row()))+1),""Best of 2"",
AND(C48=""3x3 MBLD"",MOD(COUNTIF($C$7:indirect(""C""&amp;row()),indirect(""C""&amp;row())),3)=1,
COUNTIF($C$7:$C$61,indirect(""C""&amp;row()))&gt;COUNTIF($C$7:indirect(""C""&amp;row()),indirect(""C""&amp;row()))),""Best of 3"",
TRUE,(IFERROR("&amp;"FILTER(Info!$D$2:D81, Info!$A$2:A81 = C48), """")))"),"")</f>
        <v/>
      </c>
      <c r="G48" s="45" t="str">
        <f>IFERROR(__xludf.DUMMYFUNCTION("IFS(OR(COUNTIF(Info!$A$22:A81,C48)&gt;0,C48=""""),"""",
OR(""3x3 MBLD""=C48,""3x3 FMC""=C48),60,
AND(E48=1,FILTER(Info!$F$2:F81, Info!$A$2:A81 = C48) = ""No""),FILTER(Info!$P$2:P81, Info!$A$2:A81 = C48),
AND(E48=2,FILTER(Info!$F$2:F81, Info!$A$2:A81 = C48) ="&amp;" ""No""),FILTER(Info!$Q$2:Q81, Info!$A$2:A81 = C48),
AND(E48=3,FILTER(Info!$F$2:F81, Info!$A$2:A81 = C48) = ""No""),FILTER(Info!$R$2:R81, Info!$A$2:A81 = C48),
AND(E48=""Final"",FILTER(Info!$F$2:F81, Info!$A$2:A81 = C48) = ""No""),FILTER(Info!$S$2:S81, In"&amp;"fo!$A$2:A81 = C48),
FILTER(Info!$F$2:F81, Info!$A$2:A81 = C48) = ""Yes"","""")"),"")</f>
        <v/>
      </c>
      <c r="H48" s="45" t="str">
        <f>IFERROR(__xludf.DUMMYFUNCTION("IFS(OR(COUNTIF(Info!$A$22:A81,C48)&gt;0,C48=""""),"""",
OR(""3x3 MBLD""=C48,""3x3 FMC""=C48)=TRUE,"""",
FILTER(Info!$F$2:F81, Info!$A$2:A81 = C48) = ""Yes"",FILTER(Info!$O$2:O81, Info!$A$2:A81 = C48),
FILTER(Info!$F$2:F81, Info!$A$2:A81 = C48) = ""No"",IF(G4"&amp;"8="""",FILTER(Info!$O$2:O81, Info!$A$2:A81 = C48),""""))"),"")</f>
        <v/>
      </c>
      <c r="I48" s="45" t="str">
        <f>IFERROR(__xludf.DUMMYFUNCTION("IFS(OR(COUNTIF(Info!$A$22:A81,C48)&gt;0,C48="""",H48&lt;&gt;""""),"""",
AND(E48&lt;&gt;1,E48&lt;&gt;""R1 - A1"",E48&lt;&gt;""R1 - A2"",E48&lt;&gt;""R1 - A3""),"""",
FILTER(Info!$E$2:E81, Info!$A$2:A81 = C48) = ""Yes"",IF(H48="""",FILTER(Info!$L$2:L81, Info!$A$2:A81 = C48),""""),
FILTER(I"&amp;"nfo!$E$2:E81, Info!$A$2:A81 = C48) = ""No"","""")"),"")</f>
        <v/>
      </c>
      <c r="J48" s="45" t="str">
        <f>IFERROR(__xludf.DUMMYFUNCTION("IFS(OR(COUNTIF(Info!$A$22:A81,C48)&gt;0,C48="""",""3x3 MBLD""=C48,""3x3 FMC""=C48),"""",
AND(E48=1,FILTER(Info!$H$2:H81,Info!$A$2:A81 = C48)&lt;=FILTER(Info!$H$2:H81,Info!$A$2:A81=$K$2)),
ROUNDUP((FILTER(Info!$H$2:H81,Info!$A$2:A81 = C48)/FILTER(Info!$H$2:H81,I"&amp;"nfo!$A$2:A81=$K$2))*$I$2),
AND(E48=1,FILTER(Info!$H$2:H81,Info!$A$2:A81 = C48)&gt;FILTER(Info!$H$2:H81,Info!$A$2:A81=$K$2)),""K2 - Error"",
AND(E48=2,FILTER($J$7:indirect(""J""&amp;row()-1),$C$7:indirect(""C""&amp;row()-1)=C48)&lt;=7),""J - Error"",
E48=2,FLOOR(FILTER("&amp;"$J$7:indirect(""J""&amp;row()-1),$C$7:indirect(""C""&amp;row()-1)=C48)*Info!$T$32),
AND(E48=3,FILTER($J$7:indirect(""J""&amp;row()-1),$C$7:indirect(""C""&amp;row()-1)=C48)&lt;=15),""J - Error"",
E48=3,FLOOR(Info!$T$32*FLOOR(FILTER($J$7:indirect(""J""&amp;row()-1),$C$7:indirect("&amp;"""C""&amp;row()-1)=C48)*Info!$T$32)),
AND(E48=""Final"",COUNTIF($C$7:$C$61,C48)=2,FILTER($J$7:indirect(""J""&amp;row()-1),$C$7:indirect(""C""&amp;row()-1)=C48)&lt;=7),""J - Error"",
AND(E48=""Final"",COUNTIF($C$7:$C$61,C48)=2),
MIN(P48,FLOOR(FILTER($J$7:indirect(""J""&amp;r"&amp;"ow()-1),$C$7:indirect(""C""&amp;row()-1)=C48)*Info!$T$32)),
AND(E48=""Final"",COUNTIF($C$7:$C$61,C48)=3,FILTER($J$7:indirect(""J""&amp;row()-1),$C$7:indirect(""C""&amp;row()-1)=C48)&lt;=15),""J - Error"",
AND(E48=""Final"",COUNTIF($C$7:$C$61,C48)=3),
MIN(P48,FLOOR(Info!"&amp;"$T$32*FLOOR(FILTER($J$7:indirect(""J""&amp;row()-1),$C$7:indirect(""C""&amp;row()-1)=C48)*Info!$T$32))),
AND(E48=""Final"",COUNTIF($C$7:$C$61,C48)&gt;=4,FILTER($J$7:indirect(""J""&amp;row()-1),$C$7:indirect(""C""&amp;row()-1)=C48)&lt;=99),""J - Error"",
AND(E48=""Final"",COUNT"&amp;"IF($C$7:$C$61,C48)&gt;=4),
MIN(P48,FLOOR(Info!$T$32*FLOOR(Info!$T$32*FLOOR(FILTER($J$7:indirect(""J""&amp;row()-1),$C$7:indirect(""C""&amp;row()-1)=C48)*Info!$T$32)))))"),"")</f>
        <v/>
      </c>
      <c r="K48" s="46" t="str">
        <f>IFERROR(__xludf.DUMMYFUNCTION("IFS(AND(indirect(""D""&amp;row()+2)&lt;&gt;$E$2,indirect(""D""&amp;row()+1)=""""),CONCATENATE(""Tom rad! Kopiera hela rad ""&amp;row()&amp;"" dit""),
AND(indirect(""D""&amp;row()-1)&lt;&gt;""Rum"",indirect(""D""&amp;row()-1)=""""),CONCATENATE(""Tom rad! Kopiera hela rad ""&amp;row()&amp;"" dit""),
"&amp;"C48="""","""",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OR(AND(D48&lt;&gt;$E$2,D48&lt;&gt;$E$4,D48&lt;&gt;$K$4,D48&lt;&gt;$Q$4),D48="&amp;"""""),CONCATENATE(""Rum: ""&amp;D48&amp;"" finns ej, byt i D""&amp;row()),
AND(indirect(""D""&amp;row()-1)=""Rum"",C48=""""),CONCATENATE(""För att börja: skriv i cell C""&amp;row()),
AND(C48=""Paus"",M48&lt;=0),CONCATENATE(""Skriv pausens längd i M""&amp;row()),
OR(COUNTIF(Info!$A$"&amp;"22:A81,C48)&gt;0,C48=""""),"""",
AND(D48&lt;&gt;$E$2,$O$2=""Yes"",A48=""=time(hh;mm;ss)""),CONCATENATE(""Skriv starttid för ""&amp;C48&amp;"" i A""&amp;row()),
E48=""E - Error"",CONCATENATE(""För många ""&amp;C48&amp;"" rundor!""),
AND(C48&lt;&gt;""3x3 FMC"",C48&lt;&gt;""3x3 MBLD"",E48&lt;&gt;1,E48&lt;&gt;"&amp;"""Final"",IFERROR(FILTER($E$7:indirect(""E""&amp;row()-1),
$E$7:indirect(""E""&amp;row()-1)=E48-1,$C$7:indirect(""C""&amp;row()-1)=C48))=FALSE),CONCATENATE(""Kan ej vara R""&amp;E48&amp;"", saknar R""&amp;(E48-1)),
AND(indirect(""E""&amp;row()-1)&lt;&gt;""Omgång"",IFERROR(FILTER($E$7:indi"&amp;"rect(""E""&amp;row()-1),
$E$7:indirect(""E""&amp;row()-1)=E48,$C$7:indirect(""C""&amp;row()-1)=C48)=E48)=TRUE),CONCATENATE(""Runda ""&amp;E48&amp;"" i ""&amp;C48&amp;"" finns redan""),
AND(C48&lt;&gt;""3x3 BLD"",C48&lt;&gt;""4x4 BLD"",C48&lt;&gt;""5x5 BLD"",C48&lt;&gt;""4x4 / 5x5 BLD"",OR(E48=2,E48=3,E48="&amp;"""Final""),H48&lt;&gt;""""),CONCATENATE(E48&amp;""-rundor brukar ej ha c.t.l.""),
AND(OR(E48=2,E48=3,E48=""Final""),I48&lt;&gt;""""),CONCATENATE(E48&amp;""-rundor brukar ej ha cutoff""),
AND(OR(C48=""3x3 FMC"",C48=""3x3 MBLD""),OR(E48=1,E48=2,E48=3,E48=""Final"")),CONCATENAT"&amp;"E(C48&amp;""s omgång är Rx - Ax""),
AND(C48&lt;&gt;""3x3 MBLD"",C48&lt;&gt;""3x3 FMC"",FILTER(Info!$D$2:D81, Info!$A$2:A81 = C48)&lt;&gt;F48),CONCATENATE(C48&amp;"" måste ha formatet ""&amp;FILTER(Info!$D$2:D81, Info!$A$2:A81 = C48)),
AND(C48=""3x3 MBLD"",OR(F48=""Avg of 5"",F48=""Mea"&amp;"n of 3"")),CONCATENATE(""Ogiltigt format för ""&amp;C48),
AND(C48=""3x3 FMC"",OR(F48=""Avg of 5"",F48=""Best of 3"")),CONCATENATE(""Ogiltigt format för ""&amp;C48),
AND(OR(F48=""Best of 1"",F48=""Best of 2"",F48=""Best of 3""),I48&lt;&gt;""""),CONCATENATE(F48&amp;""-rundor"&amp;" får ej ha cutoff""),
AND(OR(C48=""3x3 FMC"",C48=""3x3 MBLD""),G48&lt;&gt;60),CONCATENATE(C48&amp;"" måste ha time limit: 60""),
AND(OR(C48=""3x3 FMC"",C48=""3x3 MBLD""),H48&lt;&gt;""""),CONCATENATE(C48&amp;"" kan inte ha c.t.l.""),
AND(G48&lt;&gt;"""",H48&lt;&gt;""""),""Välj time limit"&amp;" ELLER c.t.l"",
AND(C48=""6x6 / 7x7"",G48="""",H48=""""),""Sätt time limit (x / y) eller c.t.l (z)"",
AND(G48="""",H48=""""),""Sätt en time limit eller c.t.l"",
AND(OR(C48=""6x6 / 7x7"",C48=""4x4 / 5x5 BLD""),G48&lt;&gt;"""",REGEXMATCH(TO_TEXT(G48),"" / "")=FAL"&amp;"SE),CONCATENATE(""Time limit måste vara x / y""),
AND(H48&lt;&gt;"""",I48&lt;&gt;""""),CONCATENATE(C48&amp;"" brukar ej ha cutoff OCH c.t.l""),
AND(E48=1,H48="""",I48="""",OR(FILTER(Info!$E$2:E81, Info!$A$2:A81 = C48) = ""Yes"",FILTER(Info!$F$2:F81, Info!$A$2:A81 = C48) "&amp;"= ""Yes""),OR(F48=""Avg of 5"",F48=""Mean of 3"")),CONCATENATE(C48&amp;"" bör ha cutoff eller c.t.l""),
AND(C48=""6x6 / 7x7"",I48&lt;&gt;"""",REGEXMATCH(TO_TEXT(I48),"" / "")=FALSE),CONCATENATE(""Cutoff måste vara x / y""),
AND(H48&lt;&gt;"""",ISNUMBER(H48)=FALSE),""C.t."&amp;"l. måste vara positivt tal (x)"",
AND(C48&lt;&gt;""6x6 / 7x7"",I48&lt;&gt;"""",ISNUMBER(I48)=FALSE),""Cutoff måste vara positivt tal (x)"",
AND(H48&lt;&gt;"""",FILTER(Info!$E$2:E81, Info!$A$2:A81 = C48) = ""No"",FILTER(Info!$F$2:F81, Info!$A$2:A81 = C48) = ""No""),CONCATEN"&amp;"ATE(C48&amp;"" brukar inte ha c.t.l.""),
AND(I48&lt;&gt;"""",FILTER(Info!$E$2:E81, Info!$A$2:A81 = C48) = ""No"",FILTER(Info!$F$2:F81, Info!$A$2:A81 = C48) = ""No""),CONCATENATE(C48&amp;"" brukar inte ha cutoff""),
AND(H48="""",FILTER(Info!$F$2:F81, Info!$A$2:A81 = C48"&amp;") = ""Yes""),CONCATENATE(C48&amp;"" brukar ha c.t.l.""),
AND(C48&lt;&gt;""6x6 / 7x7"",C48&lt;&gt;""4x4 / 5x5 BLD"",G48&lt;&gt;"""",ISNUMBER(G48)=FALSE),""Time limit måste vara positivt tal (x)"",
J48=""J - Error"",CONCATENATE(""För få deltagare i R1 för ""&amp;COUNTIF($C$7:$C$61,i"&amp;"ndirect(""C""&amp;row()))&amp;"" rundor""),
J48=""K2 - Error"",CONCATENATE(C48&amp;"" är mer populär - byt i K2!""),
AND(C48&lt;&gt;""6x6 / 7x7"",C48&lt;&gt;""4x4 / 5x5 BLD"",G48&lt;&gt;"""",I48&lt;&gt;"""",G48&lt;=I48),""Time limit måste vara &gt; cutoff"",
AND(C48&lt;&gt;""6x6 / 7x7"",C48&lt;&gt;""4x4 / 5x"&amp;"5 BLD"",H48&lt;&gt;"""",I48&lt;&gt;"""",H48&lt;=I48),""C.t.l. måste vara &gt; cutoff"",
AND(C48&lt;&gt;""3x3 FMC"",C48&lt;&gt;""3x3 MBLD"",J48=""""),CONCATENATE(""Fyll i antal deltagare i J""&amp;row()),
AND(C48="""",OR(E48&lt;&gt;"""",F48&lt;&gt;"""",G48&lt;&gt;"""",H48&lt;&gt;"""",I48&lt;&gt;"""",J48&lt;&gt;"""")),""Skriv"&amp;" ALLTID gren / aktivitet först"",
AND(I48="""",H48="""",J48&lt;&gt;""""),J48,
OR(""3x3 FMC""=C48,""3x3 MBLD""=C48),J48,
AND(I48&lt;&gt;"""",""6x6 / 7x7""=C48),
IFS(ArrayFormula(SUM(IFERROR(SPLIT(I48,"" / ""))))&lt;(Info!$J$6+Info!$J$7)*2/3,CONCATENATE(""Höj helst cutoff"&amp;"s i ""&amp;C48),
ArrayFormula(SUM(IFERROR(SPLIT(I48,"" / ""))))&lt;=(Info!$J$6+Info!$J$7),ROUNDUP(J48*Info!$J$22),
ArrayFormula(SUM(IFERROR(SPLIT(I48,"" / ""))))&lt;=Info!$J$6+Info!$J$7,ROUNDUP(J48*Info!$K$22),
ArrayFormula(SUM(IFERROR(SPLIT(I48,"" / ""))))&lt;=Info!$"&amp;"K$6+Info!$K$7,ROUNDUP(J48*Info!L$22),
ArrayFormula(SUM(IFERROR(SPLIT(I48,"" / ""))))&lt;=Info!$L$6+Info!$L$7,ROUNDUP(J48*Info!$M$22),
ArrayFormula(SUM(IFERROR(SPLIT(I48,"" / ""))))&lt;=Info!$M$6+Info!$M$7,ROUNDUP(J48*Info!$N$22),
ArrayFormula(SUM(IFERROR(SPLIT("&amp;"I48,"" / ""))))&lt;=(Info!$N$6+Info!$N$7)*3/2,ROUNDUP(J48*Info!$J$26),
ArrayFormula(SUM(IFERROR(SPLIT(I48,"" / ""))))&gt;(Info!$N$6+Info!$N$7)*3/2,CONCATENATE(""Sänk helst cutoffs i ""&amp;C48)),
AND(I48&lt;&gt;"""",FILTER(Info!$E$2:E81, Info!$A$2:A81 = C48) = ""Yes""),
"&amp;"IFS(I48&lt;FILTER(Info!$J$2:J81, Info!$A$2:A81 = C48)*2/3,CONCATENATE(""Höj helst cutoff i ""&amp;C48),
I48&lt;=FILTER(Info!$J$2:J81, Info!$A$2:A81 = C48),ROUNDUP(J48*Info!$J$22),
I48&lt;=FILTER(Info!$K$2:K81, Info!$A$2:A81 = C48),ROUNDUP(J48*Info!$K$22),
I48&lt;=FILTER("&amp;"Info!$L$2:L81, Info!$A$2:A81 = C48),ROUNDUP(J48*Info!L$22),
I48&lt;=FILTER(Info!$M$2:M81, Info!$A$2:A81 = C48),ROUNDUP(J48*Info!$M$22),
I48&lt;=FILTER(Info!$N$2:N81, Info!$A$2:A81 = C48),ROUNDUP(J48*Info!$N$22),
I48&lt;=FILTER(Info!$N$2:N81, Info!$A$2:A81 = C48)*3"&amp;"/2,ROUNDUP(J48*Info!$J$26),
I48&gt;FILTER(Info!$N$2:N81, Info!$A$2:A81 = C48)*3/2,CONCATENATE(""Sänk helst cutoff i ""&amp;C48)),
AND(H48&lt;&gt;"""",""6x6 / 7x7""=C48),
IFS(H48/3&lt;=(Info!$J$6+Info!$J$7)*2/3,""Höj helst cumulative time limit"",
H48/3&lt;=Info!$J$6+Info!$J"&amp;"$7,ROUNDUP(J48*Info!$J$24),
H48/3&lt;=Info!$K$6+Info!$K$7,ROUNDUP(J48*Info!$K$24),
H48/3&lt;=Info!$L$6+Info!$L$7,ROUNDUP(J48*Info!L$24),
H48/3&lt;=Info!$M$6+Info!$M$7,ROUNDUP(J48*Info!$M$24),
H48/3&lt;=Info!$N$6+Info!$N$7,ROUNDUP(J48*Info!$N$24),
H48/3&lt;=(Info!$N$6+In"&amp;"fo!$N$7)*3/2,ROUNDUP(J48*Info!$L$26),
H48/3&gt;(Info!$J$6+Info!$J$7)*3/2,""Sänk helst cumulative time limit""),
AND(H48&lt;&gt;"""",FILTER(Info!$F$2:F81, Info!$A$2:A81 = C48) = ""Yes""),
IFS(H48&lt;=FILTER(Info!$J$2:J81, Info!$A$2:A81 = C48)*2/3,CONCATENATE(""Höj hel"&amp;"st c.t.l. i ""&amp;C48),
H48&lt;=FILTER(Info!$J$2:J81, Info!$A$2:A81 = C48),ROUNDUP(J48*Info!$J$24),
H48&lt;=FILTER(Info!$K$2:K81, Info!$A$2:A81 = C48),ROUNDUP(J48*Info!$K$24),
H48&lt;=FILTER(Info!$L$2:L81, Info!$A$2:A81 = C48),ROUNDUP(J48*Info!L$24),
H48&lt;=FILTER(Info"&amp;"!$M$2:M81, Info!$A$2:A81 = C48),ROUNDUP(J48*Info!$M$24),
H48&lt;=FILTER(Info!$N$2:N81, Info!$A$2:A81 = C48),ROUNDUP(J48*Info!$N$24),
H48&lt;=FILTER(Info!$N$2:N81, Info!$A$2:A81 = C48)*3/2,ROUNDUP(J48*Info!$L$26),
H48&gt;FILTER(Info!$N$2:N81, Info!$A$2:A81 = C48)*3"&amp;"/2,CONCATENATE(""Sänk helst c.t.l. i ""&amp;C48)),
AND(H48&lt;&gt;"""",FILTER(Info!$F$2:F81, Info!$A$2:A81 = C48) = ""No""),
IFS(H48/AA48&lt;=FILTER(Info!$J$2:J81, Info!$A$2:A81 = C48)*2/3,CONCATENATE(""Höj helst c.t.l. i ""&amp;C48),
H48/AA48&lt;=FILTER(Info!$J$2:J81, Info!"&amp;"$A$2:A81 = C48),ROUNDUP(J48*Info!$J$24),
H48/AA48&lt;=FILTER(Info!$K$2:K81, Info!$A$2:A81 = C48),ROUNDUP(J48*Info!$K$24),
H48/AA48&lt;=FILTER(Info!$L$2:L81, Info!$A$2:A81 = C48),ROUNDUP(J48*Info!L$24),
H48/AA48&lt;=FILTER(Info!$M$2:M81, Info!$A$2:A81 = C48),ROUNDU"&amp;"P(J48*Info!$M$24),
H48/AA48&lt;=FILTER(Info!$N$2:N81, Info!$A$2:A81 = C48),ROUNDUP(J48*Info!$N$24),
H48/AA48&lt;=FILTER(Info!$N$2:N81, Info!$A$2:A81 = C48)*3/2,ROUNDUP(J48*Info!$L$26),
H48/AA48&gt;FILTER(Info!$N$2:N81, Info!$A$2:A81 = C48)*3/2,CONCATENATE(""Sänk h"&amp;"elst c.t.l. i ""&amp;C48)),
AND(I48="""",H48&lt;&gt;"""",J48&lt;&gt;""""),ROUNDUP(J48*Info!$T$29),
AND(I48&lt;&gt;"""",H48="""",J48&lt;&gt;""""),ROUNDUP(J48*Info!$T$26))"),"")</f>
        <v/>
      </c>
      <c r="L48" s="47">
        <f>IFERROR(__xludf.DUMMYFUNCTION("IFS(C48="""",0,
C48=""3x3 FMC"",Info!$B$9*N48+M48, C48=""3x3 MBLD"",Info!$B$18*N48+M48,
COUNTIF(Info!$A$22:A81,C48)&gt;0,FILTER(Info!$B$22:B81,Info!$A$22:A81=C48)+M48,
AND(C48&lt;&gt;"""",E48=""""),CONCATENATE(""Fyll i E""&amp;row()),
AND(C48&lt;&gt;"""",E48&lt;&gt;"""",E48&lt;&gt;1,E4"&amp;"8&lt;&gt;2,E48&lt;&gt;3,E48&lt;&gt;""Final""),CONCATENATE(""Fel format på E""&amp;row()),
K48=CONCATENATE(""Runda ""&amp;E48&amp;"" i ""&amp;C48&amp;"" finns redan""),CONCATENATE(""Fel i E""&amp;row()),
AND(C48&lt;&gt;"""",F48=""""),CONCATENATE(""Fyll i F""&amp;row()),
K48=CONCATENATE(C48&amp;"" måste ha forma"&amp;"tet ""&amp;FILTER(Info!$D$2:D81, Info!$A$2:A81 = C48)),CONCATENATE(""Fel format på F""&amp;row()),
AND(C48&lt;&gt;"""",D48=1,H48="""",FILTER(Info!$F$2:F81, Info!$A$2:A81 = C48) = ""Yes""),CONCATENATE(""Fyll i H""&amp;row()),
AND(C48&lt;&gt;"""",D48=1,I48="""",FILTER(Info!$E$2:E8"&amp;"1, Info!$A$2:A81 = C48) = ""Yes""),CONCATENATE(""Fyll i I""&amp;row()),
AND(C48&lt;&gt;"""",J48=""""),CONCATENATE(""Fyll i J""&amp;row()),
AND(C48&lt;&gt;"""",K48="""",OR(H48&lt;&gt;"""",I48&lt;&gt;"""")),CONCATENATE(""Fyll i K""&amp;row()),
AND(C48&lt;&gt;"""",K48=""""),CONCATENATE(""Skriv samma"&amp;" i K""&amp;row()&amp;"" som i J""&amp;row()),
AND(OR(C48=""4x4 BLD"",C48=""5x5 BLD"",C48=""4x4 / 5x5 BLD"")=TRUE,V48&lt;=P48),
MROUND(H48*(Info!$T$20-((Info!$T$20-1)/2)*(1-V48/P48))*(1+((J48/K48)-1)*(1-Info!$J$24))*N48+(Info!$T$11/2)+(N48*Info!$T$11)+(N48*Info!$T$14*(O4"&amp;"8-1)),0.01)+M48,
AND(OR(C48=""4x4 BLD"",C48=""5x5 BLD"",C48=""4x4 / 5x5 BLD"")=TRUE,V48&gt;P48),
MROUND((((J48*Z48+K48*(AA48-Z48))*(H48*Info!$T$20/AA48))/X48)*(1+((J48/K48)-1)*(1-Info!$J$24))*(1+(X48-Info!$T$8)/100)+(Info!$T$11/2)+(N48*Info!$T$11)+(N48*Info!"&amp;"$T$14*(O48-1)),0.01)+M48,
AND(C48=""3x3 BLD"",V48&lt;=P48),
MROUND(H48*(Info!$T$23-((Info!$T$23-1)/2)*(1-V48/P48))*(1+((J48/K48)-1)*(1-Info!$J$24))*N48+(Info!$T$11/2)+(N48*Info!$T$11)+(N48*Info!$T$14*(O48-1)),0.01)+M48,
AND(C48=""3x3 BLD"",V48&gt;P48),
MROUND(("&amp;"((J48*Z48+K48*(AA48-Z48))*(H48*Info!$T$23/AA48))/X48)*(1+((J48/K48)-1)*(1-Info!$J$24))*(1+(X48-Info!$T$8)/100)+(Info!$T$11/2)+(N48*Info!$T$11)+(N48*Info!$T$14*(O48-1)),0.01)+M48,
E48=1,MROUND((((J48*Z48+K48*(AA48-Z48))*Y48)/X48)*(1+(X48-Info!$T$8)/100)+(N"&amp;"48*Info!$T$11)+(N48*Info!$T$14*(O48-1)),0.01)+M48,
AND(E48=""Final"",N48=1,FILTER(Info!$G$2:$G$20,Info!$A$2:$A$20=C48)=""Mycket svår""),
MROUND((((J48*Z48+K48*(AA48-Z48))*(Y48*Info!$T$38))/X48)*(1+(X48-Info!$T$8)/100)+(N48*Info!$T$11)+(N48*Info!$T$14*(O48"&amp;"-1)),0.01)+M48,
AND(E48=""Final"",N48=1,FILTER(Info!$G$2:$G$20,Info!$A$2:$A$20=C48)=""Svår""),
MROUND((((J48*Z48+K48*(AA48-Z48))*(Y48*Info!$T$35))/X48)*(1+(X48-Info!$T$8)/100)+(N48*Info!$T$11)+(N48*Info!$T$14*(O48-1)),0.01)+M48,
E48=""Final"",MROUND((((J4"&amp;"8*Z48+K48*(AA48-Z48))*(Y48*Info!$T$5))/X48)*(1+(X48-Info!$T$8)/100)+(N48*Info!$T$11)+(N48*Info!$T$14*(O48-1)),0.01)+M48,
OR(E48=2,E48=3),MROUND((((J48*Z48+K48*(AA48-Z48))*(Y48*Info!$T$2))/X48)*(1+(X48-Info!$T$8)/100)+(N48*Info!$T$11)+(N48*Info!$T$14*(O48-"&amp;"1)),0.01)+M48)"),0.0)</f>
        <v>0</v>
      </c>
      <c r="M48" s="48">
        <f t="shared" si="4"/>
        <v>0</v>
      </c>
      <c r="N48" s="48" t="str">
        <f>IFS(OR(COUNTIF(Info!$A$22:A81,C48)&gt;0,C48=""),"",
OR(C48="4x4 BLD",C48="5x5 BLD",C48="3x3 MBLD",C48="3x3 FMC",C48="4x4 / 5x5 BLD"),1,
AND(E48="Final",Q48="Yes",MAX(1,ROUNDUP(J48/P48))&gt;1),MAX(2,ROUNDUP(J48/P48)),
AND(E48="Final",Q48="No",MAX(1,ROUNDUP(J48/((P48*2)+2.625-Y48*1.5)))&gt;1),MAX(2,ROUNDUP(J48/((P48*2)+2.625-Y48*1.5))),
E48="Final",1,
Q48="Yes",MAX(2,ROUNDUP(J48/P48)),
TRUE,MAX(2,ROUNDUP(J48/((P48*2)+2.625-Y48*1.5))))</f>
        <v/>
      </c>
      <c r="O48" s="48" t="str">
        <f>IFS(OR(COUNTIF(Info!$A$22:A81,C48)&gt;0,C48=""),"",
OR("3x3 MBLD"=C48,"3x3 FMC"=C48)=TRUE,"",
D48=$E$4,$G$6,D48=$K$4,$M$6,D48=$Q$4,$S$6,D48=$W$4,$Y$6,
TRUE,$S$2)</f>
        <v/>
      </c>
      <c r="P48" s="48" t="str">
        <f>IFS(OR(COUNTIF(Info!$A$22:A81,C48)&gt;0,C48=""),"",
OR("3x3 MBLD"=C48,"3x3 FMC"=C48)=TRUE,"",
D48=$E$4,$E$6,D48=$K$4,$K$6,D48=$Q$4,$Q$6,D48=$W$4,$W$6,
TRUE,$Q$2)</f>
        <v/>
      </c>
      <c r="Q48" s="49" t="str">
        <f>IFS(OR(COUNTIF(Info!$A$22:A81,C48)&gt;0,C48=""),"",
OR("3x3 MBLD"=C48,"3x3 FMC"=C48)=TRUE,"",
D48=$E$4,$I$6,D48=$K$4,$O$6,D48=$Q$4,$U$6,D48=$W$4,$AA$6,
TRUE,$U$2)</f>
        <v/>
      </c>
      <c r="R48" s="50" t="str">
        <f>IFERROR(__xludf.DUMMYFUNCTION("IF(C48="""","""",IFERROR(FILTER(Info!$B$22:B81,Info!$A$22:A81=C48)+M48,""?""))"),"")</f>
        <v/>
      </c>
      <c r="S48" s="51" t="str">
        <f>IFS(OR(COUNTIF(Info!$A$22:A81,C48)&gt;0,C48=""),"",
AND(H48="",I48=""),J48,
TRUE,"?")</f>
        <v/>
      </c>
      <c r="T48" s="52" t="str">
        <f>IFS(OR(COUNTIF(Info!$A$22:A81,C48)&gt;0,C48=""),"",
AND(L48&lt;&gt;0,OR(R48="?",R48="")),"Fyll i R-kolumnen",
OR(C48="3x3 FMC",C48="3x3 MBLD"),R48,
AND(L48&lt;&gt;0,OR(S48="?",S48="")),"Fyll i S-kolumnen",
OR(COUNTIF(Info!$A$22:A81,C48)&gt;0,C48=""),"",
TRUE,Y48*R48/L48)</f>
        <v/>
      </c>
      <c r="U48" s="52"/>
      <c r="V48" s="53" t="str">
        <f>IFS(OR(COUNTIF(Info!$A$22:A81,C48)&gt;0,C48=""),"",
OR("3x3 MBLD"=C48,"3x3 FMC"=C48)=TRUE,"",
TRUE,MROUND((J48/N48),0.01))</f>
        <v/>
      </c>
      <c r="W48" s="54" t="str">
        <f>IFS(OR(COUNTIF(Info!$A$22:A81,C48)&gt;0,C48=""),"",
TRUE,L48/N48)</f>
        <v/>
      </c>
      <c r="X48" s="55" t="str">
        <f>IFS(OR(COUNTIF(Info!$A$22:A81,C48)&gt;0,C48=""),"",
OR("3x3 MBLD"=C48,"3x3 FMC"=C48)=TRUE,"",
OR(C48="4x4 BLD",C48="5x5 BLD",C48="4x4 / 5x5 BLD",AND(C48="3x3 BLD",H48&lt;&gt;""))=TRUE,MIN(V48,P48),
TRUE,MIN(P48,V48,MROUND(((V48*2/3)+((Y48-1.625)/2)),0.01)))</f>
        <v/>
      </c>
      <c r="Y48" s="56" t="str">
        <f>IFERROR(__xludf.DUMMYFUNCTION("IFS(OR(COUNTIF(Info!$A$22:A81,C48)&gt;0,C48=""""),"""",
FILTER(Info!$F$2:F81, Info!$A$2:A81 = C48) = ""Yes"",H48/AA48,
""3x3 FMC""=C48,Info!$B$9,""3x3 MBLD""=C48,Info!$B$18,
AND(E48=1,I48="""",H48="""",Q48=""No"",G48&gt;SUMIF(Info!$A$2:A81,C48,Info!$B$2:B81)*1."&amp;"5),
MIN(SUMIF(Info!$A$2:A81,C48,Info!$B$2:B81)*1.1,SUMIF(Info!$A$2:A81,C48,Info!$B$2:B81)*(1.15-(0.15*(SUMIF(Info!$A$2:A81,C48,Info!$B$2:B81)*1.5)/G48))),
AND(E48=1,I48="""",H48="""",Q48=""Yes"",G48&gt;SUMIF(Info!$A$2:A81,C48,Info!$C$2:C81)*1.5),
MIN(SUMIF(I"&amp;"nfo!$A$2:A81,C48,Info!$C$2:C81)*1.1,SUMIF(Info!$A$2:A81,C48,Info!$C$2:C81)*(1.15-(0.15*(SUMIF(Info!$A$2:A81,C48,Info!$C$2:C81)*1.5)/G48))),
Q48=""No"",SUMIF(Info!$A$2:A81,C48,Info!$B$2:B81),
Q48=""Yes"",SUMIF(Info!$A$2:A81,C48,Info!$C$2:C81))"),"")</f>
        <v/>
      </c>
      <c r="Z48" s="57" t="str">
        <f>IFS(OR(COUNTIF(Info!$A$22:A81,C48)&gt;0,C48=""),"",
AND(OR("3x3 FMC"=C48,"3x3 MBLD"=C48),I48&lt;&gt;""),1,
AND(OR(H48&lt;&gt;"",I48&lt;&gt;""),F48="Avg of 5"),2,
F48="Avg of 5",AA48,
AND(OR(H48&lt;&gt;"",I48&lt;&gt;""),F48="Mean of 3",C48="6x6 / 7x7"),2,
AND(OR(H48&lt;&gt;"",I48&lt;&gt;""),F48="Mean of 3"),1,
F48="Mean of 3",AA48,
AND(OR(H48&lt;&gt;"",I48&lt;&gt;""),F48="Best of 3",C48="4x4 / 5x5 BLD"),2,
AND(OR(H48&lt;&gt;"",I48&lt;&gt;""),F48="Best of 3"),1,
F48="Best of 2",AA48,
F48="Best of 1",AA48)</f>
        <v/>
      </c>
      <c r="AA48" s="57" t="str">
        <f>IFS(OR(COUNTIF(Info!$A$22:A81,C48)&gt;0,C48=""),"",
AND(OR("3x3 MBLD"=C48,"3x3 FMC"=C48),F48="Best of 1"=TRUE),1,
AND(OR("3x3 MBLD"=C48,"3x3 FMC"=C48),F48="Best of 2"=TRUE),2,
AND(OR("3x3 MBLD"=C48,"3x3 FMC"=C48),OR(F48="Best of 3",F48="Mean of 3")=TRUE),3,
AND(F48="Mean of 3",C48="6x6 / 7x7"),6,
AND(F48="Best of 3",C48="4x4 / 5x5 BLD"),6,
F48="Avg of 5",5,F48="Mean of 3",3,F48="Best of 3",3,F48="Best of 2",2,F48="Best of 1",1)</f>
        <v/>
      </c>
      <c r="AB48" s="58"/>
    </row>
    <row r="49">
      <c r="A49" s="40">
        <f>IFERROR(__xludf.DUMMYFUNCTION("IFS(indirect(""A""&amp;row()-1)=""Start"",TIME(indirect(""A""&amp;row()-2),indirect(""B""&amp;row()-2),0),
$O$2=""No"",TIME(0,($A$6*60+$B$6)+CEILING(SUM($L$7:indirect(""L""&amp;row()-1)),5),0),
D49=$E$2,TIME(0,($A$6*60+$B$6)+CEILING(SUM(IFERROR(FILTER($L$7:indirect(""L"""&amp;"&amp;row()-1),REGEXMATCH($D$7:indirect(""D""&amp;row()-1),$E$2)),0)),5),0),
TRUE,""=time(hh;mm;ss)"")"),0.375)</f>
        <v>0.375</v>
      </c>
      <c r="B49" s="41">
        <f>IFERROR(__xludf.DUMMYFUNCTION("IFS($O$2=""No"",TIME(0,($A$6*60+$B$6)+CEILING(SUM($L$7:indirect(""L""&amp;row())),5),0),
D49=$E$2,TIME(0,($A$6*60+$B$6)+CEILING(SUM(FILTER($L$7:indirect(""L""&amp;row()),REGEXMATCH($D$7:indirect(""D""&amp;row()),$E$2))),5),0),
A49=""=time(hh;mm;ss)"",CONCATENATE(""Sk"&amp;"riv tid i A""&amp;row()),
AND(A49&lt;&gt;"""",A49&lt;&gt;""=time(hh;mm;ss)""),A49+TIME(0,CEILING(indirect(""L""&amp;row()),5),0))"),0.375)</f>
        <v>0.375</v>
      </c>
      <c r="C49" s="42"/>
      <c r="D49" s="43" t="str">
        <f t="shared" si="3"/>
        <v>Stora salen</v>
      </c>
      <c r="E49" s="43" t="str">
        <f>IFERROR(__xludf.DUMMYFUNCTION("IFS(COUNTIF(Info!$A$22:A81,C49)&gt;0,"""",
AND(OR(""3x3 FMC""=C49,""3x3 MBLD""=C49),COUNTIF($C$7:indirect(""C""&amp;row()),indirect(""C""&amp;row()))&gt;=13),""E - Error"",
AND(OR(""3x3 FMC""=C49,""3x3 MBLD""=C49),COUNTIF($C$7:indirect(""C""&amp;row()),indirect(""C""&amp;row()"&amp;"))=12),""Final - A3"",
AND(OR(""3x3 FMC""=C49,""3x3 MBLD""=C49),COUNTIF($C$7:indirect(""C""&amp;row()),indirect(""C""&amp;row()))=11),""Final - A2"",
AND(OR(""3x3 FMC""=C49,""3x3 MBLD""=C49),COUNTIF($C$7:indirect(""C""&amp;row()),indirect(""C""&amp;row()))=10),""Final - "&amp;"A1"",
AND(OR(""3x3 FMC""=C49,""3x3 MBLD""=C49),COUNTIF($C$7:indirect(""C""&amp;row()),indirect(""C""&amp;row()))=9,
COUNTIF($C$7:$C$61,indirect(""C""&amp;row()))&gt;9),""R3 - A3"",
AND(OR(""3x3 FMC""=C49,""3x3 MBLD""=C49),COUNTIF($C$7:indirect(""C""&amp;row()),indirect(""C"&amp;"""&amp;row()))=9,
COUNTIF($C$7:$C$61,indirect(""C""&amp;row()))&lt;=9),""Final - A3"",
AND(OR(""3x3 FMC""=C49,""3x3 MBLD""=C49),COUNTIF($C$7:indirect(""C""&amp;row()),indirect(""C""&amp;row()))=8,
COUNTIF($C$7:$C$61,indirect(""C""&amp;row()))&gt;9),""R3 - A2"",
AND(OR(""3x3 FMC""="&amp;"C49,""3x3 MBLD""=C49),COUNTIF($C$7:indirect(""C""&amp;row()),indirect(""C""&amp;row()))=8,
COUNTIF($C$7:$C$61,indirect(""C""&amp;row()))&lt;=9),""Final - A2"",
AND(OR(""3x3 FMC""=C49,""3x3 MBLD""=C49),COUNTIF($C$7:indirect(""C""&amp;row()),indirect(""C""&amp;row()))=7,
COUNTIF("&amp;"$C$7:$C$61,indirect(""C""&amp;row()))&gt;9),""R3 - A1"",
AND(OR(""3x3 FMC""=C49,""3x3 MBLD""=C49),COUNTIF($C$7:indirect(""C""&amp;row()),indirect(""C""&amp;row()))=7,
COUNTIF($C$7:$C$61,indirect(""C""&amp;row()))&lt;=9),""Final - A1"",
AND(OR(""3x3 FMC""=C49,""3x3 MBLD""=C49),"&amp;"COUNTIF($C$7:indirect(""C""&amp;row()),indirect(""C""&amp;row()))=6,
COUNTIF($C$7:$C$61,indirect(""C""&amp;row()))&gt;6),""R2 - A3"",
AND(OR(""3x3 FMC""=C49,""3x3 MBLD""=C49),COUNTIF($C$7:indirect(""C""&amp;row()),indirect(""C""&amp;row()))=6,
COUNTIF($C$7:$C$61,indirect(""C""&amp;"&amp;"row()))&lt;=6),""Final - A3"",
AND(OR(""3x3 FMC""=C49,""3x3 MBLD""=C49),COUNTIF($C$7:indirect(""C""&amp;row()),indirect(""C""&amp;row()))=5,
COUNTIF($C$7:$C$61,indirect(""C""&amp;row()))&gt;6),""R2 - A2"",
AND(OR(""3x3 FMC""=C49,""3x3 MBLD""=C49),COUNTIF($C$7:indirect(""C"&amp;"""&amp;row()),indirect(""C""&amp;row()))=5,
COUNTIF($C$7:$C$61,indirect(""C""&amp;row()))&lt;=6),""Final - A2"",
AND(OR(""3x3 FMC""=C49,""3x3 MBLD""=C49),COUNTIF($C$7:indirect(""C""&amp;row()),indirect(""C""&amp;row()))=4,
COUNTIF($C$7:$C$61,indirect(""C""&amp;row()))&gt;6),""R2 - A1"&amp;""",
AND(OR(""3x3 FMC""=C49,""3x3 MBLD""=C49),COUNTIF($C$7:indirect(""C""&amp;row()),indirect(""C""&amp;row()))=4,
COUNTIF($C$7:$C$61,indirect(""C""&amp;row()))&lt;=6),""Final - A1"",
AND(OR(""3x3 FMC""=C49,""3x3 MBLD""=C49),COUNTIF($C$7:indirect(""C""&amp;row()),indirect("""&amp;"C""&amp;row()))=3),""R1 - A3"",
AND(OR(""3x3 FMC""=C49,""3x3 MBLD""=C49),COUNTIF($C$7:indirect(""C""&amp;row()),indirect(""C""&amp;row()))=2),""R1 - A2"",
AND(OR(""3x3 FMC""=C49,""3x3 MBLD""=C49),COUNTIF($C$7:indirect(""C""&amp;row()),indirect(""C""&amp;row()))=1),""R1 -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C49),ROUNDUP((FILTER(Info!$H$2:H81,Info!$A$2:A81=C49)/FILTER(Info!$H$2:H81,Info!$A$2:A81=$K$2))*$I$2)&gt;99),3,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C49),ROUNDUP((FILTER(Info!$H$2:H81,Info!$A$2:A81=C49)/FILTER(Info!$H$2:H81,Info!$A$2:A81=$K$2))*$I$2)&gt;15),2,
AND(COUNTIF($C$7:indirect(""C""&amp;row()),indirect(""C""&amp;row()))=2,COUNTIF($C$7:$C$61,indirect(""C""&amp;row()))=COUNTIF($C$7:indirect("""&amp;"C""&amp;row()),indirect(""C""&amp;row()))),""Final"",
COUNTIF($C$7:indirect(""C""&amp;row()),indirect(""C""&amp;row()))=1,1,
COUNTIF($C$7:indirect(""C""&amp;row()),indirect(""C""&amp;row()))=0,"""")"),"")</f>
        <v/>
      </c>
      <c r="F49" s="44" t="str">
        <f>IFERROR(__xludf.DUMMYFUNCTION("IFS(C49="""","""",
AND(C49=""3x3 FMC"",MOD(COUNTIF($C$7:indirect(""C""&amp;row()),indirect(""C""&amp;row())),3)=0),""Mean of 3"",
AND(C49=""3x3 MBLD"",MOD(COUNTIF($C$7:indirect(""C""&amp;row()),indirect(""C""&amp;row())),3)=0),""Best of 3"",
AND(C49=""3x3 FMC"",MOD(COUNT"&amp;"IF($C$7:indirect(""C""&amp;row()),indirect(""C""&amp;row())),3)=2,
COUNTIF($C$7:$C$61,indirect(""C""&amp;row()))&lt;=COUNTIF($C$7:indirect(""C""&amp;row()),indirect(""C""&amp;row()))),""Best of 2"",
AND(C49=""3x3 FMC"",MOD(COUNTIF($C$7:indirect(""C""&amp;row()),indirect(""C""&amp;row()"&amp;")),3)=2,
COUNTIF($C$7:$C$61,indirect(""C""&amp;row()))&gt;COUNTIF($C$7:indirect(""C""&amp;row()),indirect(""C""&amp;row()))),""Mean of 3"",
AND(C49=""3x3 MBLD"",MOD(COUNTIF($C$7:indirect(""C""&amp;row()),indirect(""C""&amp;row())),3)=2,
COUNTIF($C$7:$C$61,indirect(""C""&amp;row()))"&amp;"&lt;=COUNTIF($C$7:indirect(""C""&amp;row()),indirect(""C""&amp;row()))),""Best of 2"",
AND(C49=""3x3 MBLD"",MOD(COUNTIF($C$7:indirect(""C""&amp;row()),indirect(""C""&amp;row())),3)=2,
COUNTIF($C$7:$C$61,indirect(""C""&amp;row()))&gt;COUNTIF($C$7:indirect(""C""&amp;row()),indirect(""C"&amp;"""&amp;row()))),""Best of 3"",
AND(C49=""3x3 FMC"",MOD(COUNTIF($C$7:indirect(""C""&amp;row()),indirect(""C""&amp;row())),3)=1,
COUNTIF($C$7:$C$61,indirect(""C""&amp;row()))&lt;=COUNTIF($C$7:indirect(""C""&amp;row()),indirect(""C""&amp;row()))),""Best of 1"",
AND(C49=""3x3 FMC"",MOD"&amp;"(COUNTIF($C$7:indirect(""C""&amp;row()),indirect(""C""&amp;row())),3)=1,
COUNTIF($C$7:$C$61,indirect(""C""&amp;row()))=COUNTIF($C$7:indirect(""C""&amp;row()),indirect(""C""&amp;row()))+1),""Best of 2"",
AND(C49=""3x3 FMC"",MOD(COUNTIF($C$7:indirect(""C""&amp;row()),indirect(""C"&amp;"""&amp;row())),3)=1,
COUNTIF($C$7:$C$61,indirect(""C""&amp;row()))&gt;COUNTIF($C$7:indirect(""C""&amp;row()),indirect(""C""&amp;row()))),""Mean of 3"",
AND(C49=""3x3 MBLD"",MOD(COUNTIF($C$7:indirect(""C""&amp;row()),indirect(""C""&amp;row())),3)=1,
COUNTIF($C$7:$C$61,indirect(""C"""&amp;"&amp;row()))&lt;=COUNTIF($C$7:indirect(""C""&amp;row()),indirect(""C""&amp;row()))),""Best of 1"",
AND(C49=""3x3 MBLD"",MOD(COUNTIF($C$7:indirect(""C""&amp;row()),indirect(""C""&amp;row())),3)=1,
COUNTIF($C$7:$C$61,indirect(""C""&amp;row()))=COUNTIF($C$7:indirect(""C""&amp;row()),indir"&amp;"ect(""C""&amp;row()))+1),""Best of 2"",
AND(C49=""3x3 MBLD"",MOD(COUNTIF($C$7:indirect(""C""&amp;row()),indirect(""C""&amp;row())),3)=1,
COUNTIF($C$7:$C$61,indirect(""C""&amp;row()))&gt;COUNTIF($C$7:indirect(""C""&amp;row()),indirect(""C""&amp;row()))),""Best of 3"",
TRUE,(IFERROR("&amp;"FILTER(Info!$D$2:D81, Info!$A$2:A81 = C49), """")))"),"")</f>
        <v/>
      </c>
      <c r="G49" s="45" t="str">
        <f>IFERROR(__xludf.DUMMYFUNCTION("IFS(OR(COUNTIF(Info!$A$22:A81,C49)&gt;0,C49=""""),"""",
OR(""3x3 MBLD""=C49,""3x3 FMC""=C49),60,
AND(E49=1,FILTER(Info!$F$2:F81, Info!$A$2:A81 = C49) = ""No""),FILTER(Info!$P$2:P81, Info!$A$2:A81 = C49),
AND(E49=2,FILTER(Info!$F$2:F81, Info!$A$2:A81 = C49) ="&amp;" ""No""),FILTER(Info!$Q$2:Q81, Info!$A$2:A81 = C49),
AND(E49=3,FILTER(Info!$F$2:F81, Info!$A$2:A81 = C49) = ""No""),FILTER(Info!$R$2:R81, Info!$A$2:A81 = C49),
AND(E49=""Final"",FILTER(Info!$F$2:F81, Info!$A$2:A81 = C49) = ""No""),FILTER(Info!$S$2:S81, In"&amp;"fo!$A$2:A81 = C49),
FILTER(Info!$F$2:F81, Info!$A$2:A81 = C49) = ""Yes"","""")"),"")</f>
        <v/>
      </c>
      <c r="H49" s="45" t="str">
        <f>IFERROR(__xludf.DUMMYFUNCTION("IFS(OR(COUNTIF(Info!$A$22:A81,C49)&gt;0,C49=""""),"""",
OR(""3x3 MBLD""=C49,""3x3 FMC""=C49)=TRUE,"""",
FILTER(Info!$F$2:F81, Info!$A$2:A81 = C49) = ""Yes"",FILTER(Info!$O$2:O81, Info!$A$2:A81 = C49),
FILTER(Info!$F$2:F81, Info!$A$2:A81 = C49) = ""No"",IF(G4"&amp;"9="""",FILTER(Info!$O$2:O81, Info!$A$2:A81 = C49),""""))"),"")</f>
        <v/>
      </c>
      <c r="I49" s="45" t="str">
        <f>IFERROR(__xludf.DUMMYFUNCTION("IFS(OR(COUNTIF(Info!$A$22:A81,C49)&gt;0,C49="""",H49&lt;&gt;""""),"""",
AND(E49&lt;&gt;1,E49&lt;&gt;""R1 - A1"",E49&lt;&gt;""R1 - A2"",E49&lt;&gt;""R1 - A3""),"""",
FILTER(Info!$E$2:E81, Info!$A$2:A81 = C49) = ""Yes"",IF(H49="""",FILTER(Info!$L$2:L81, Info!$A$2:A81 = C49),""""),
FILTER(I"&amp;"nfo!$E$2:E81, Info!$A$2:A81 = C49) = ""No"","""")"),"")</f>
        <v/>
      </c>
      <c r="J49" s="45" t="str">
        <f>IFERROR(__xludf.DUMMYFUNCTION("IFS(OR(COUNTIF(Info!$A$22:A81,C49)&gt;0,C49="""",""3x3 MBLD""=C49,""3x3 FMC""=C49),"""",
AND(E49=1,FILTER(Info!$H$2:H81,Info!$A$2:A81 = C49)&lt;=FILTER(Info!$H$2:H81,Info!$A$2:A81=$K$2)),
ROUNDUP((FILTER(Info!$H$2:H81,Info!$A$2:A81 = C49)/FILTER(Info!$H$2:H81,I"&amp;"nfo!$A$2:A81=$K$2))*$I$2),
AND(E49=1,FILTER(Info!$H$2:H81,Info!$A$2:A81 = C49)&gt;FILTER(Info!$H$2:H81,Info!$A$2:A81=$K$2)),""K2 - Error"",
AND(E49=2,FILTER($J$7:indirect(""J""&amp;row()-1),$C$7:indirect(""C""&amp;row()-1)=C49)&lt;=7),""J - Error"",
E49=2,FLOOR(FILTER("&amp;"$J$7:indirect(""J""&amp;row()-1),$C$7:indirect(""C""&amp;row()-1)=C49)*Info!$T$32),
AND(E49=3,FILTER($J$7:indirect(""J""&amp;row()-1),$C$7:indirect(""C""&amp;row()-1)=C49)&lt;=15),""J - Error"",
E49=3,FLOOR(Info!$T$32*FLOOR(FILTER($J$7:indirect(""J""&amp;row()-1),$C$7:indirect("&amp;"""C""&amp;row()-1)=C49)*Info!$T$32)),
AND(E49=""Final"",COUNTIF($C$7:$C$61,C49)=2,FILTER($J$7:indirect(""J""&amp;row()-1),$C$7:indirect(""C""&amp;row()-1)=C49)&lt;=7),""J - Error"",
AND(E49=""Final"",COUNTIF($C$7:$C$61,C49)=2),
MIN(P49,FLOOR(FILTER($J$7:indirect(""J""&amp;r"&amp;"ow()-1),$C$7:indirect(""C""&amp;row()-1)=C49)*Info!$T$32)),
AND(E49=""Final"",COUNTIF($C$7:$C$61,C49)=3,FILTER($J$7:indirect(""J""&amp;row()-1),$C$7:indirect(""C""&amp;row()-1)=C49)&lt;=15),""J - Error"",
AND(E49=""Final"",COUNTIF($C$7:$C$61,C49)=3),
MIN(P49,FLOOR(Info!"&amp;"$T$32*FLOOR(FILTER($J$7:indirect(""J""&amp;row()-1),$C$7:indirect(""C""&amp;row()-1)=C49)*Info!$T$32))),
AND(E49=""Final"",COUNTIF($C$7:$C$61,C49)&gt;=4,FILTER($J$7:indirect(""J""&amp;row()-1),$C$7:indirect(""C""&amp;row()-1)=C49)&lt;=99),""J - Error"",
AND(E49=""Final"",COUNT"&amp;"IF($C$7:$C$61,C49)&gt;=4),
MIN(P49,FLOOR(Info!$T$32*FLOOR(Info!$T$32*FLOOR(FILTER($J$7:indirect(""J""&amp;row()-1),$C$7:indirect(""C""&amp;row()-1)=C49)*Info!$T$32)))))"),"")</f>
        <v/>
      </c>
      <c r="K49" s="46" t="str">
        <f>IFERROR(__xludf.DUMMYFUNCTION("IFS(AND(indirect(""D""&amp;row()+2)&lt;&gt;$E$2,indirect(""D""&amp;row()+1)=""""),CONCATENATE(""Tom rad! Kopiera hela rad ""&amp;row()&amp;"" dit""),
AND(indirect(""D""&amp;row()-1)&lt;&gt;""Rum"",indirect(""D""&amp;row()-1)=""""),CONCATENATE(""Tom rad! Kopiera hela rad ""&amp;row()&amp;"" dit""),
"&amp;"C49="""","""",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OR(AND(D49&lt;&gt;$E$2,D49&lt;&gt;$E$4,D49&lt;&gt;$K$4,D49&lt;&gt;$Q$4),D49="&amp;"""""),CONCATENATE(""Rum: ""&amp;D49&amp;"" finns ej, byt i D""&amp;row()),
AND(indirect(""D""&amp;row()-1)=""Rum"",C49=""""),CONCATENATE(""För att börja: skriv i cell C""&amp;row()),
AND(C49=""Paus"",M49&lt;=0),CONCATENATE(""Skriv pausens längd i M""&amp;row()),
OR(COUNTIF(Info!$A$"&amp;"22:A81,C49)&gt;0,C49=""""),"""",
AND(D49&lt;&gt;$E$2,$O$2=""Yes"",A49=""=time(hh;mm;ss)""),CONCATENATE(""Skriv starttid för ""&amp;C49&amp;"" i A""&amp;row()),
E49=""E - Error"",CONCATENATE(""För många ""&amp;C49&amp;"" rundor!""),
AND(C49&lt;&gt;""3x3 FMC"",C49&lt;&gt;""3x3 MBLD"",E49&lt;&gt;1,E49&lt;&gt;"&amp;"""Final"",IFERROR(FILTER($E$7:indirect(""E""&amp;row()-1),
$E$7:indirect(""E""&amp;row()-1)=E49-1,$C$7:indirect(""C""&amp;row()-1)=C49))=FALSE),CONCATENATE(""Kan ej vara R""&amp;E49&amp;"", saknar R""&amp;(E49-1)),
AND(indirect(""E""&amp;row()-1)&lt;&gt;""Omgång"",IFERROR(FILTER($E$7:indi"&amp;"rect(""E""&amp;row()-1),
$E$7:indirect(""E""&amp;row()-1)=E49,$C$7:indirect(""C""&amp;row()-1)=C49)=E49)=TRUE),CONCATENATE(""Runda ""&amp;E49&amp;"" i ""&amp;C49&amp;"" finns redan""),
AND(C49&lt;&gt;""3x3 BLD"",C49&lt;&gt;""4x4 BLD"",C49&lt;&gt;""5x5 BLD"",C49&lt;&gt;""4x4 / 5x5 BLD"",OR(E49=2,E49=3,E49="&amp;"""Final""),H49&lt;&gt;""""),CONCATENATE(E49&amp;""-rundor brukar ej ha c.t.l.""),
AND(OR(E49=2,E49=3,E49=""Final""),I49&lt;&gt;""""),CONCATENATE(E49&amp;""-rundor brukar ej ha cutoff""),
AND(OR(C49=""3x3 FMC"",C49=""3x3 MBLD""),OR(E49=1,E49=2,E49=3,E49=""Final"")),CONCATENAT"&amp;"E(C49&amp;""s omgång är Rx - Ax""),
AND(C49&lt;&gt;""3x3 MBLD"",C49&lt;&gt;""3x3 FMC"",FILTER(Info!$D$2:D81, Info!$A$2:A81 = C49)&lt;&gt;F49),CONCATENATE(C49&amp;"" måste ha formatet ""&amp;FILTER(Info!$D$2:D81, Info!$A$2:A81 = C49)),
AND(C49=""3x3 MBLD"",OR(F49=""Avg of 5"",F49=""Mea"&amp;"n of 3"")),CONCATENATE(""Ogiltigt format för ""&amp;C49),
AND(C49=""3x3 FMC"",OR(F49=""Avg of 5"",F49=""Best of 3"")),CONCATENATE(""Ogiltigt format för ""&amp;C49),
AND(OR(F49=""Best of 1"",F49=""Best of 2"",F49=""Best of 3""),I49&lt;&gt;""""),CONCATENATE(F49&amp;""-rundor"&amp;" får ej ha cutoff""),
AND(OR(C49=""3x3 FMC"",C49=""3x3 MBLD""),G49&lt;&gt;60),CONCATENATE(C49&amp;"" måste ha time limit: 60""),
AND(OR(C49=""3x3 FMC"",C49=""3x3 MBLD""),H49&lt;&gt;""""),CONCATENATE(C49&amp;"" kan inte ha c.t.l.""),
AND(G49&lt;&gt;"""",H49&lt;&gt;""""),""Välj time limit"&amp;" ELLER c.t.l"",
AND(C49=""6x6 / 7x7"",G49="""",H49=""""),""Sätt time limit (x / y) eller c.t.l (z)"",
AND(G49="""",H49=""""),""Sätt en time limit eller c.t.l"",
AND(OR(C49=""6x6 / 7x7"",C49=""4x4 / 5x5 BLD""),G49&lt;&gt;"""",REGEXMATCH(TO_TEXT(G49),"" / "")=FAL"&amp;"SE),CONCATENATE(""Time limit måste vara x / y""),
AND(H49&lt;&gt;"""",I49&lt;&gt;""""),CONCATENATE(C49&amp;"" brukar ej ha cutoff OCH c.t.l""),
AND(E49=1,H49="""",I49="""",OR(FILTER(Info!$E$2:E81, Info!$A$2:A81 = C49) = ""Yes"",FILTER(Info!$F$2:F81, Info!$A$2:A81 = C49) "&amp;"= ""Yes""),OR(F49=""Avg of 5"",F49=""Mean of 3"")),CONCATENATE(C49&amp;"" bör ha cutoff eller c.t.l""),
AND(C49=""6x6 / 7x7"",I49&lt;&gt;"""",REGEXMATCH(TO_TEXT(I49),"" / "")=FALSE),CONCATENATE(""Cutoff måste vara x / y""),
AND(H49&lt;&gt;"""",ISNUMBER(H49)=FALSE),""C.t."&amp;"l. måste vara positivt tal (x)"",
AND(C49&lt;&gt;""6x6 / 7x7"",I49&lt;&gt;"""",ISNUMBER(I49)=FALSE),""Cutoff måste vara positivt tal (x)"",
AND(H49&lt;&gt;"""",FILTER(Info!$E$2:E81, Info!$A$2:A81 = C49) = ""No"",FILTER(Info!$F$2:F81, Info!$A$2:A81 = C49) = ""No""),CONCATEN"&amp;"ATE(C49&amp;"" brukar inte ha c.t.l.""),
AND(I49&lt;&gt;"""",FILTER(Info!$E$2:E81, Info!$A$2:A81 = C49) = ""No"",FILTER(Info!$F$2:F81, Info!$A$2:A81 = C49) = ""No""),CONCATENATE(C49&amp;"" brukar inte ha cutoff""),
AND(H49="""",FILTER(Info!$F$2:F81, Info!$A$2:A81 = C49"&amp;") = ""Yes""),CONCATENATE(C49&amp;"" brukar ha c.t.l.""),
AND(C49&lt;&gt;""6x6 / 7x7"",C49&lt;&gt;""4x4 / 5x5 BLD"",G49&lt;&gt;"""",ISNUMBER(G49)=FALSE),""Time limit måste vara positivt tal (x)"",
J49=""J - Error"",CONCATENATE(""För få deltagare i R1 för ""&amp;COUNTIF($C$7:$C$61,i"&amp;"ndirect(""C""&amp;row()))&amp;"" rundor""),
J49=""K2 - Error"",CONCATENATE(C49&amp;"" är mer populär - byt i K2!""),
AND(C49&lt;&gt;""6x6 / 7x7"",C49&lt;&gt;""4x4 / 5x5 BLD"",G49&lt;&gt;"""",I49&lt;&gt;"""",G49&lt;=I49),""Time limit måste vara &gt; cutoff"",
AND(C49&lt;&gt;""6x6 / 7x7"",C49&lt;&gt;""4x4 / 5x"&amp;"5 BLD"",H49&lt;&gt;"""",I49&lt;&gt;"""",H49&lt;=I49),""C.t.l. måste vara &gt; cutoff"",
AND(C49&lt;&gt;""3x3 FMC"",C49&lt;&gt;""3x3 MBLD"",J49=""""),CONCATENATE(""Fyll i antal deltagare i J""&amp;row()),
AND(C49="""",OR(E49&lt;&gt;"""",F49&lt;&gt;"""",G49&lt;&gt;"""",H49&lt;&gt;"""",I49&lt;&gt;"""",J49&lt;&gt;"""")),""Skriv"&amp;" ALLTID gren / aktivitet först"",
AND(I49="""",H49="""",J49&lt;&gt;""""),J49,
OR(""3x3 FMC""=C49,""3x3 MBLD""=C49),J49,
AND(I49&lt;&gt;"""",""6x6 / 7x7""=C49),
IFS(ArrayFormula(SUM(IFERROR(SPLIT(I49,"" / ""))))&lt;(Info!$J$6+Info!$J$7)*2/3,CONCATENATE(""Höj helst cutoff"&amp;"s i ""&amp;C49),
ArrayFormula(SUM(IFERROR(SPLIT(I49,"" / ""))))&lt;=(Info!$J$6+Info!$J$7),ROUNDUP(J49*Info!$J$22),
ArrayFormula(SUM(IFERROR(SPLIT(I49,"" / ""))))&lt;=Info!$J$6+Info!$J$7,ROUNDUP(J49*Info!$K$22),
ArrayFormula(SUM(IFERROR(SPLIT(I49,"" / ""))))&lt;=Info!$"&amp;"K$6+Info!$K$7,ROUNDUP(J49*Info!L$22),
ArrayFormula(SUM(IFERROR(SPLIT(I49,"" / ""))))&lt;=Info!$L$6+Info!$L$7,ROUNDUP(J49*Info!$M$22),
ArrayFormula(SUM(IFERROR(SPLIT(I49,"" / ""))))&lt;=Info!$M$6+Info!$M$7,ROUNDUP(J49*Info!$N$22),
ArrayFormula(SUM(IFERROR(SPLIT("&amp;"I49,"" / ""))))&lt;=(Info!$N$6+Info!$N$7)*3/2,ROUNDUP(J49*Info!$J$26),
ArrayFormula(SUM(IFERROR(SPLIT(I49,"" / ""))))&gt;(Info!$N$6+Info!$N$7)*3/2,CONCATENATE(""Sänk helst cutoffs i ""&amp;C49)),
AND(I49&lt;&gt;"""",FILTER(Info!$E$2:E81, Info!$A$2:A81 = C49) = ""Yes""),
"&amp;"IFS(I49&lt;FILTER(Info!$J$2:J81, Info!$A$2:A81 = C49)*2/3,CONCATENATE(""Höj helst cutoff i ""&amp;C49),
I49&lt;=FILTER(Info!$J$2:J81, Info!$A$2:A81 = C49),ROUNDUP(J49*Info!$J$22),
I49&lt;=FILTER(Info!$K$2:K81, Info!$A$2:A81 = C49),ROUNDUP(J49*Info!$K$22),
I49&lt;=FILTER("&amp;"Info!$L$2:L81, Info!$A$2:A81 = C49),ROUNDUP(J49*Info!L$22),
I49&lt;=FILTER(Info!$M$2:M81, Info!$A$2:A81 = C49),ROUNDUP(J49*Info!$M$22),
I49&lt;=FILTER(Info!$N$2:N81, Info!$A$2:A81 = C49),ROUNDUP(J49*Info!$N$22),
I49&lt;=FILTER(Info!$N$2:N81, Info!$A$2:A81 = C49)*3"&amp;"/2,ROUNDUP(J49*Info!$J$26),
I49&gt;FILTER(Info!$N$2:N81, Info!$A$2:A81 = C49)*3/2,CONCATENATE(""Sänk helst cutoff i ""&amp;C49)),
AND(H49&lt;&gt;"""",""6x6 / 7x7""=C49),
IFS(H49/3&lt;=(Info!$J$6+Info!$J$7)*2/3,""Höj helst cumulative time limit"",
H49/3&lt;=Info!$J$6+Info!$J"&amp;"$7,ROUNDUP(J49*Info!$J$24),
H49/3&lt;=Info!$K$6+Info!$K$7,ROUNDUP(J49*Info!$K$24),
H49/3&lt;=Info!$L$6+Info!$L$7,ROUNDUP(J49*Info!L$24),
H49/3&lt;=Info!$M$6+Info!$M$7,ROUNDUP(J49*Info!$M$24),
H49/3&lt;=Info!$N$6+Info!$N$7,ROUNDUP(J49*Info!$N$24),
H49/3&lt;=(Info!$N$6+In"&amp;"fo!$N$7)*3/2,ROUNDUP(J49*Info!$L$26),
H49/3&gt;(Info!$J$6+Info!$J$7)*3/2,""Sänk helst cumulative time limit""),
AND(H49&lt;&gt;"""",FILTER(Info!$F$2:F81, Info!$A$2:A81 = C49) = ""Yes""),
IFS(H49&lt;=FILTER(Info!$J$2:J81, Info!$A$2:A81 = C49)*2/3,CONCATENATE(""Höj hel"&amp;"st c.t.l. i ""&amp;C49),
H49&lt;=FILTER(Info!$J$2:J81, Info!$A$2:A81 = C49),ROUNDUP(J49*Info!$J$24),
H49&lt;=FILTER(Info!$K$2:K81, Info!$A$2:A81 = C49),ROUNDUP(J49*Info!$K$24),
H49&lt;=FILTER(Info!$L$2:L81, Info!$A$2:A81 = C49),ROUNDUP(J49*Info!L$24),
H49&lt;=FILTER(Info"&amp;"!$M$2:M81, Info!$A$2:A81 = C49),ROUNDUP(J49*Info!$M$24),
H49&lt;=FILTER(Info!$N$2:N81, Info!$A$2:A81 = C49),ROUNDUP(J49*Info!$N$24),
H49&lt;=FILTER(Info!$N$2:N81, Info!$A$2:A81 = C49)*3/2,ROUNDUP(J49*Info!$L$26),
H49&gt;FILTER(Info!$N$2:N81, Info!$A$2:A81 = C49)*3"&amp;"/2,CONCATENATE(""Sänk helst c.t.l. i ""&amp;C49)),
AND(H49&lt;&gt;"""",FILTER(Info!$F$2:F81, Info!$A$2:A81 = C49) = ""No""),
IFS(H49/AA49&lt;=FILTER(Info!$J$2:J81, Info!$A$2:A81 = C49)*2/3,CONCATENATE(""Höj helst c.t.l. i ""&amp;C49),
H49/AA49&lt;=FILTER(Info!$J$2:J81, Info!"&amp;"$A$2:A81 = C49),ROUNDUP(J49*Info!$J$24),
H49/AA49&lt;=FILTER(Info!$K$2:K81, Info!$A$2:A81 = C49),ROUNDUP(J49*Info!$K$24),
H49/AA49&lt;=FILTER(Info!$L$2:L81, Info!$A$2:A81 = C49),ROUNDUP(J49*Info!L$24),
H49/AA49&lt;=FILTER(Info!$M$2:M81, Info!$A$2:A81 = C49),ROUNDU"&amp;"P(J49*Info!$M$24),
H49/AA49&lt;=FILTER(Info!$N$2:N81, Info!$A$2:A81 = C49),ROUNDUP(J49*Info!$N$24),
H49/AA49&lt;=FILTER(Info!$N$2:N81, Info!$A$2:A81 = C49)*3/2,ROUNDUP(J49*Info!$L$26),
H49/AA49&gt;FILTER(Info!$N$2:N81, Info!$A$2:A81 = C49)*3/2,CONCATENATE(""Sänk h"&amp;"elst c.t.l. i ""&amp;C49)),
AND(I49="""",H49&lt;&gt;"""",J49&lt;&gt;""""),ROUNDUP(J49*Info!$T$29),
AND(I49&lt;&gt;"""",H49="""",J49&lt;&gt;""""),ROUNDUP(J49*Info!$T$26))"),"")</f>
        <v/>
      </c>
      <c r="L49" s="47">
        <f>IFERROR(__xludf.DUMMYFUNCTION("IFS(C49="""",0,
C49=""3x3 FMC"",Info!$B$9*N49+M49, C49=""3x3 MBLD"",Info!$B$18*N49+M49,
COUNTIF(Info!$A$22:A81,C49)&gt;0,FILTER(Info!$B$22:B81,Info!$A$22:A81=C49)+M49,
AND(C49&lt;&gt;"""",E49=""""),CONCATENATE(""Fyll i E""&amp;row()),
AND(C49&lt;&gt;"""",E49&lt;&gt;"""",E49&lt;&gt;1,E4"&amp;"9&lt;&gt;2,E49&lt;&gt;3,E49&lt;&gt;""Final""),CONCATENATE(""Fel format på E""&amp;row()),
K49=CONCATENATE(""Runda ""&amp;E49&amp;"" i ""&amp;C49&amp;"" finns redan""),CONCATENATE(""Fel i E""&amp;row()),
AND(C49&lt;&gt;"""",F49=""""),CONCATENATE(""Fyll i F""&amp;row()),
K49=CONCATENATE(C49&amp;"" måste ha forma"&amp;"tet ""&amp;FILTER(Info!$D$2:D81, Info!$A$2:A81 = C49)),CONCATENATE(""Fel format på F""&amp;row()),
AND(C49&lt;&gt;"""",D49=1,H49="""",FILTER(Info!$F$2:F81, Info!$A$2:A81 = C49) = ""Yes""),CONCATENATE(""Fyll i H""&amp;row()),
AND(C49&lt;&gt;"""",D49=1,I49="""",FILTER(Info!$E$2:E8"&amp;"1, Info!$A$2:A81 = C49) = ""Yes""),CONCATENATE(""Fyll i I""&amp;row()),
AND(C49&lt;&gt;"""",J49=""""),CONCATENATE(""Fyll i J""&amp;row()),
AND(C49&lt;&gt;"""",K49="""",OR(H49&lt;&gt;"""",I49&lt;&gt;"""")),CONCATENATE(""Fyll i K""&amp;row()),
AND(C49&lt;&gt;"""",K49=""""),CONCATENATE(""Skriv samma"&amp;" i K""&amp;row()&amp;"" som i J""&amp;row()),
AND(OR(C49=""4x4 BLD"",C49=""5x5 BLD"",C49=""4x4 / 5x5 BLD"")=TRUE,V49&lt;=P49),
MROUND(H49*(Info!$T$20-((Info!$T$20-1)/2)*(1-V49/P49))*(1+((J49/K49)-1)*(1-Info!$J$24))*N49+(Info!$T$11/2)+(N49*Info!$T$11)+(N49*Info!$T$14*(O4"&amp;"9-1)),0.01)+M49,
AND(OR(C49=""4x4 BLD"",C49=""5x5 BLD"",C49=""4x4 / 5x5 BLD"")=TRUE,V49&gt;P49),
MROUND((((J49*Z49+K49*(AA49-Z49))*(H49*Info!$T$20/AA49))/X49)*(1+((J49/K49)-1)*(1-Info!$J$24))*(1+(X49-Info!$T$8)/100)+(Info!$T$11/2)+(N49*Info!$T$11)+(N49*Info!"&amp;"$T$14*(O49-1)),0.01)+M49,
AND(C49=""3x3 BLD"",V49&lt;=P49),
MROUND(H49*(Info!$T$23-((Info!$T$23-1)/2)*(1-V49/P49))*(1+((J49/K49)-1)*(1-Info!$J$24))*N49+(Info!$T$11/2)+(N49*Info!$T$11)+(N49*Info!$T$14*(O49-1)),0.01)+M49,
AND(C49=""3x3 BLD"",V49&gt;P49),
MROUND(("&amp;"((J49*Z49+K49*(AA49-Z49))*(H49*Info!$T$23/AA49))/X49)*(1+((J49/K49)-1)*(1-Info!$J$24))*(1+(X49-Info!$T$8)/100)+(Info!$T$11/2)+(N49*Info!$T$11)+(N49*Info!$T$14*(O49-1)),0.01)+M49,
E49=1,MROUND((((J49*Z49+K49*(AA49-Z49))*Y49)/X49)*(1+(X49-Info!$T$8)/100)+(N"&amp;"49*Info!$T$11)+(N49*Info!$T$14*(O49-1)),0.01)+M49,
AND(E49=""Final"",N49=1,FILTER(Info!$G$2:$G$20,Info!$A$2:$A$20=C49)=""Mycket svår""),
MROUND((((J49*Z49+K49*(AA49-Z49))*(Y49*Info!$T$38))/X49)*(1+(X49-Info!$T$8)/100)+(N49*Info!$T$11)+(N49*Info!$T$14*(O49"&amp;"-1)),0.01)+M49,
AND(E49=""Final"",N49=1,FILTER(Info!$G$2:$G$20,Info!$A$2:$A$20=C49)=""Svår""),
MROUND((((J49*Z49+K49*(AA49-Z49))*(Y49*Info!$T$35))/X49)*(1+(X49-Info!$T$8)/100)+(N49*Info!$T$11)+(N49*Info!$T$14*(O49-1)),0.01)+M49,
E49=""Final"",MROUND((((J4"&amp;"9*Z49+K49*(AA49-Z49))*(Y49*Info!$T$5))/X49)*(1+(X49-Info!$T$8)/100)+(N49*Info!$T$11)+(N49*Info!$T$14*(O49-1)),0.01)+M49,
OR(E49=2,E49=3),MROUND((((J49*Z49+K49*(AA49-Z49))*(Y49*Info!$T$2))/X49)*(1+(X49-Info!$T$8)/100)+(N49*Info!$T$11)+(N49*Info!$T$14*(O49-"&amp;"1)),0.01)+M49)"),0.0)</f>
        <v>0</v>
      </c>
      <c r="M49" s="48">
        <f t="shared" si="4"/>
        <v>0</v>
      </c>
      <c r="N49" s="48" t="str">
        <f>IFS(OR(COUNTIF(Info!$A$22:A81,C49)&gt;0,C49=""),"",
OR(C49="4x4 BLD",C49="5x5 BLD",C49="3x3 MBLD",C49="3x3 FMC",C49="4x4 / 5x5 BLD"),1,
AND(E49="Final",Q49="Yes",MAX(1,ROUNDUP(J49/P49))&gt;1),MAX(2,ROUNDUP(J49/P49)),
AND(E49="Final",Q49="No",MAX(1,ROUNDUP(J49/((P49*2)+2.625-Y49*1.5)))&gt;1),MAX(2,ROUNDUP(J49/((P49*2)+2.625-Y49*1.5))),
E49="Final",1,
Q49="Yes",MAX(2,ROUNDUP(J49/P49)),
TRUE,MAX(2,ROUNDUP(J49/((P49*2)+2.625-Y49*1.5))))</f>
        <v/>
      </c>
      <c r="O49" s="48" t="str">
        <f>IFS(OR(COUNTIF(Info!$A$22:A81,C49)&gt;0,C49=""),"",
OR("3x3 MBLD"=C49,"3x3 FMC"=C49)=TRUE,"",
D49=$E$4,$G$6,D49=$K$4,$M$6,D49=$Q$4,$S$6,D49=$W$4,$Y$6,
TRUE,$S$2)</f>
        <v/>
      </c>
      <c r="P49" s="48" t="str">
        <f>IFS(OR(COUNTIF(Info!$A$22:A81,C49)&gt;0,C49=""),"",
OR("3x3 MBLD"=C49,"3x3 FMC"=C49)=TRUE,"",
D49=$E$4,$E$6,D49=$K$4,$K$6,D49=$Q$4,$Q$6,D49=$W$4,$W$6,
TRUE,$Q$2)</f>
        <v/>
      </c>
      <c r="Q49" s="49" t="str">
        <f>IFS(OR(COUNTIF(Info!$A$22:A81,C49)&gt;0,C49=""),"",
OR("3x3 MBLD"=C49,"3x3 FMC"=C49)=TRUE,"",
D49=$E$4,$I$6,D49=$K$4,$O$6,D49=$Q$4,$U$6,D49=$W$4,$AA$6,
TRUE,$U$2)</f>
        <v/>
      </c>
      <c r="R49" s="50" t="str">
        <f>IFERROR(__xludf.DUMMYFUNCTION("IF(C49="""","""",IFERROR(FILTER(Info!$B$22:B81,Info!$A$22:A81=C49)+M49,""?""))"),"")</f>
        <v/>
      </c>
      <c r="S49" s="51" t="str">
        <f>IFS(OR(COUNTIF(Info!$A$22:A81,C49)&gt;0,C49=""),"",
AND(H49="",I49=""),J49,
TRUE,"?")</f>
        <v/>
      </c>
      <c r="T49" s="52" t="str">
        <f>IFS(OR(COUNTIF(Info!$A$22:A81,C49)&gt;0,C49=""),"",
AND(L49&lt;&gt;0,OR(R49="?",R49="")),"Fyll i R-kolumnen",
OR(C49="3x3 FMC",C49="3x3 MBLD"),R49,
AND(L49&lt;&gt;0,OR(S49="?",S49="")),"Fyll i S-kolumnen",
OR(COUNTIF(Info!$A$22:A81,C49)&gt;0,C49=""),"",
TRUE,Y49*R49/L49)</f>
        <v/>
      </c>
      <c r="U49" s="52"/>
      <c r="V49" s="53" t="str">
        <f>IFS(OR(COUNTIF(Info!$A$22:A81,C49)&gt;0,C49=""),"",
OR("3x3 MBLD"=C49,"3x3 FMC"=C49)=TRUE,"",
TRUE,MROUND((J49/N49),0.01))</f>
        <v/>
      </c>
      <c r="W49" s="54" t="str">
        <f>IFS(OR(COUNTIF(Info!$A$22:A81,C49)&gt;0,C49=""),"",
TRUE,L49/N49)</f>
        <v/>
      </c>
      <c r="X49" s="55" t="str">
        <f>IFS(OR(COUNTIF(Info!$A$22:A81,C49)&gt;0,C49=""),"",
OR("3x3 MBLD"=C49,"3x3 FMC"=C49)=TRUE,"",
OR(C49="4x4 BLD",C49="5x5 BLD",C49="4x4 / 5x5 BLD",AND(C49="3x3 BLD",H49&lt;&gt;""))=TRUE,MIN(V49,P49),
TRUE,MIN(P49,V49,MROUND(((V49*2/3)+((Y49-1.625)/2)),0.01)))</f>
        <v/>
      </c>
      <c r="Y49" s="56" t="str">
        <f>IFERROR(__xludf.DUMMYFUNCTION("IFS(OR(COUNTIF(Info!$A$22:A81,C49)&gt;0,C49=""""),"""",
FILTER(Info!$F$2:F81, Info!$A$2:A81 = C49) = ""Yes"",H49/AA49,
""3x3 FMC""=C49,Info!$B$9,""3x3 MBLD""=C49,Info!$B$18,
AND(E49=1,I49="""",H49="""",Q49=""No"",G49&gt;SUMIF(Info!$A$2:A81,C49,Info!$B$2:B81)*1."&amp;"5),
MIN(SUMIF(Info!$A$2:A81,C49,Info!$B$2:B81)*1.1,SUMIF(Info!$A$2:A81,C49,Info!$B$2:B81)*(1.15-(0.15*(SUMIF(Info!$A$2:A81,C49,Info!$B$2:B81)*1.5)/G49))),
AND(E49=1,I49="""",H49="""",Q49=""Yes"",G49&gt;SUMIF(Info!$A$2:A81,C49,Info!$C$2:C81)*1.5),
MIN(SUMIF(I"&amp;"nfo!$A$2:A81,C49,Info!$C$2:C81)*1.1,SUMIF(Info!$A$2:A81,C49,Info!$C$2:C81)*(1.15-(0.15*(SUMIF(Info!$A$2:A81,C49,Info!$C$2:C81)*1.5)/G49))),
Q49=""No"",SUMIF(Info!$A$2:A81,C49,Info!$B$2:B81),
Q49=""Yes"",SUMIF(Info!$A$2:A81,C49,Info!$C$2:C81))"),"")</f>
        <v/>
      </c>
      <c r="Z49" s="57" t="str">
        <f>IFS(OR(COUNTIF(Info!$A$22:A81,C49)&gt;0,C49=""),"",
AND(OR("3x3 FMC"=C49,"3x3 MBLD"=C49),I49&lt;&gt;""),1,
AND(OR(H49&lt;&gt;"",I49&lt;&gt;""),F49="Avg of 5"),2,
F49="Avg of 5",AA49,
AND(OR(H49&lt;&gt;"",I49&lt;&gt;""),F49="Mean of 3",C49="6x6 / 7x7"),2,
AND(OR(H49&lt;&gt;"",I49&lt;&gt;""),F49="Mean of 3"),1,
F49="Mean of 3",AA49,
AND(OR(H49&lt;&gt;"",I49&lt;&gt;""),F49="Best of 3",C49="4x4 / 5x5 BLD"),2,
AND(OR(H49&lt;&gt;"",I49&lt;&gt;""),F49="Best of 3"),1,
F49="Best of 2",AA49,
F49="Best of 1",AA49)</f>
        <v/>
      </c>
      <c r="AA49" s="57" t="str">
        <f>IFS(OR(COUNTIF(Info!$A$22:A81,C49)&gt;0,C49=""),"",
AND(OR("3x3 MBLD"=C49,"3x3 FMC"=C49),F49="Best of 1"=TRUE),1,
AND(OR("3x3 MBLD"=C49,"3x3 FMC"=C49),F49="Best of 2"=TRUE),2,
AND(OR("3x3 MBLD"=C49,"3x3 FMC"=C49),OR(F49="Best of 3",F49="Mean of 3")=TRUE),3,
AND(F49="Mean of 3",C49="6x6 / 7x7"),6,
AND(F49="Best of 3",C49="4x4 / 5x5 BLD"),6,
F49="Avg of 5",5,F49="Mean of 3",3,F49="Best of 3",3,F49="Best of 2",2,F49="Best of 1",1)</f>
        <v/>
      </c>
      <c r="AB49" s="58"/>
    </row>
    <row r="50">
      <c r="A50" s="40">
        <f>IFERROR(__xludf.DUMMYFUNCTION("IFS(indirect(""A""&amp;row()-1)=""Start"",TIME(indirect(""A""&amp;row()-2),indirect(""B""&amp;row()-2),0),
$O$2=""No"",TIME(0,($A$6*60+$B$6)+CEILING(SUM($L$7:indirect(""L""&amp;row()-1)),5),0),
D50=$E$2,TIME(0,($A$6*60+$B$6)+CEILING(SUM(IFERROR(FILTER($L$7:indirect(""L"""&amp;"&amp;row()-1),REGEXMATCH($D$7:indirect(""D""&amp;row()-1),$E$2)),0)),5),0),
TRUE,""=time(hh;mm;ss)"")"),0.375)</f>
        <v>0.375</v>
      </c>
      <c r="B50" s="41">
        <f>IFERROR(__xludf.DUMMYFUNCTION("IFS($O$2=""No"",TIME(0,($A$6*60+$B$6)+CEILING(SUM($L$7:indirect(""L""&amp;row())),5),0),
D50=$E$2,TIME(0,($A$6*60+$B$6)+CEILING(SUM(FILTER($L$7:indirect(""L""&amp;row()),REGEXMATCH($D$7:indirect(""D""&amp;row()),$E$2))),5),0),
A50=""=time(hh;mm;ss)"",CONCATENATE(""Sk"&amp;"riv tid i A""&amp;row()),
AND(A50&lt;&gt;"""",A50&lt;&gt;""=time(hh;mm;ss)""),A50+TIME(0,CEILING(indirect(""L""&amp;row()),5),0))"),0.375)</f>
        <v>0.375</v>
      </c>
      <c r="C50" s="42"/>
      <c r="D50" s="43" t="str">
        <f t="shared" si="3"/>
        <v>Stora salen</v>
      </c>
      <c r="E50" s="43" t="str">
        <f>IFERROR(__xludf.DUMMYFUNCTION("IFS(COUNTIF(Info!$A$22:A81,C50)&gt;0,"""",
AND(OR(""3x3 FMC""=C50,""3x3 MBLD""=C50),COUNTIF($C$7:indirect(""C""&amp;row()),indirect(""C""&amp;row()))&gt;=13),""E - Error"",
AND(OR(""3x3 FMC""=C50,""3x3 MBLD""=C50),COUNTIF($C$7:indirect(""C""&amp;row()),indirect(""C""&amp;row()"&amp;"))=12),""Final - A3"",
AND(OR(""3x3 FMC""=C50,""3x3 MBLD""=C50),COUNTIF($C$7:indirect(""C""&amp;row()),indirect(""C""&amp;row()))=11),""Final - A2"",
AND(OR(""3x3 FMC""=C50,""3x3 MBLD""=C50),COUNTIF($C$7:indirect(""C""&amp;row()),indirect(""C""&amp;row()))=10),""Final - "&amp;"A1"",
AND(OR(""3x3 FMC""=C50,""3x3 MBLD""=C50),COUNTIF($C$7:indirect(""C""&amp;row()),indirect(""C""&amp;row()))=9,
COUNTIF($C$7:$C$61,indirect(""C""&amp;row()))&gt;9),""R3 - A3"",
AND(OR(""3x3 FMC""=C50,""3x3 MBLD""=C50),COUNTIF($C$7:indirect(""C""&amp;row()),indirect(""C"&amp;"""&amp;row()))=9,
COUNTIF($C$7:$C$61,indirect(""C""&amp;row()))&lt;=9),""Final - A3"",
AND(OR(""3x3 FMC""=C50,""3x3 MBLD""=C50),COUNTIF($C$7:indirect(""C""&amp;row()),indirect(""C""&amp;row()))=8,
COUNTIF($C$7:$C$61,indirect(""C""&amp;row()))&gt;9),""R3 - A2"",
AND(OR(""3x3 FMC""="&amp;"C50,""3x3 MBLD""=C50),COUNTIF($C$7:indirect(""C""&amp;row()),indirect(""C""&amp;row()))=8,
COUNTIF($C$7:$C$61,indirect(""C""&amp;row()))&lt;=9),""Final - A2"",
AND(OR(""3x3 FMC""=C50,""3x3 MBLD""=C50),COUNTIF($C$7:indirect(""C""&amp;row()),indirect(""C""&amp;row()))=7,
COUNTIF("&amp;"$C$7:$C$61,indirect(""C""&amp;row()))&gt;9),""R3 - A1"",
AND(OR(""3x3 FMC""=C50,""3x3 MBLD""=C50),COUNTIF($C$7:indirect(""C""&amp;row()),indirect(""C""&amp;row()))=7,
COUNTIF($C$7:$C$61,indirect(""C""&amp;row()))&lt;=9),""Final - A1"",
AND(OR(""3x3 FMC""=C50,""3x3 MBLD""=C50),"&amp;"COUNTIF($C$7:indirect(""C""&amp;row()),indirect(""C""&amp;row()))=6,
COUNTIF($C$7:$C$61,indirect(""C""&amp;row()))&gt;6),""R2 - A3"",
AND(OR(""3x3 FMC""=C50,""3x3 MBLD""=C50),COUNTIF($C$7:indirect(""C""&amp;row()),indirect(""C""&amp;row()))=6,
COUNTIF($C$7:$C$61,indirect(""C""&amp;"&amp;"row()))&lt;=6),""Final - A3"",
AND(OR(""3x3 FMC""=C50,""3x3 MBLD""=C50),COUNTIF($C$7:indirect(""C""&amp;row()),indirect(""C""&amp;row()))=5,
COUNTIF($C$7:$C$61,indirect(""C""&amp;row()))&gt;6),""R2 - A2"",
AND(OR(""3x3 FMC""=C50,""3x3 MBLD""=C50),COUNTIF($C$7:indirect(""C"&amp;"""&amp;row()),indirect(""C""&amp;row()))=5,
COUNTIF($C$7:$C$61,indirect(""C""&amp;row()))&lt;=6),""Final - A2"",
AND(OR(""3x3 FMC""=C50,""3x3 MBLD""=C50),COUNTIF($C$7:indirect(""C""&amp;row()),indirect(""C""&amp;row()))=4,
COUNTIF($C$7:$C$61,indirect(""C""&amp;row()))&gt;6),""R2 - A1"&amp;""",
AND(OR(""3x3 FMC""=C50,""3x3 MBLD""=C50),COUNTIF($C$7:indirect(""C""&amp;row()),indirect(""C""&amp;row()))=4,
COUNTIF($C$7:$C$61,indirect(""C""&amp;row()))&lt;=6),""Final - A1"",
AND(OR(""3x3 FMC""=C50,""3x3 MBLD""=C50),COUNTIF($C$7:indirect(""C""&amp;row()),indirect("""&amp;"C""&amp;row()))=3),""R1 - A3"",
AND(OR(""3x3 FMC""=C50,""3x3 MBLD""=C50),COUNTIF($C$7:indirect(""C""&amp;row()),indirect(""C""&amp;row()))=2),""R1 - A2"",
AND(OR(""3x3 FMC""=C50,""3x3 MBLD""=C50),COUNTIF($C$7:indirect(""C""&amp;row()),indirect(""C""&amp;row()))=1),""R1 -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C50),ROUNDUP((FILTER(Info!$H$2:H81,Info!$A$2:A81=C50)/FILTER(Info!$H$2:H81,Info!$A$2:A81=$K$2))*$I$2)&gt;99),3,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C50),ROUNDUP((FILTER(Info!$H$2:H81,Info!$A$2:A81=C50)/FILTER(Info!$H$2:H81,Info!$A$2:A81=$K$2))*$I$2)&gt;15),2,
AND(COUNTIF($C$7:indirect(""C""&amp;row()),indirect(""C""&amp;row()))=2,COUNTIF($C$7:$C$61,indirect(""C""&amp;row()))=COUNTIF($C$7:indirect("""&amp;"C""&amp;row()),indirect(""C""&amp;row()))),""Final"",
COUNTIF($C$7:indirect(""C""&amp;row()),indirect(""C""&amp;row()))=1,1,
COUNTIF($C$7:indirect(""C""&amp;row()),indirect(""C""&amp;row()))=0,"""")"),"")</f>
        <v/>
      </c>
      <c r="F50" s="44" t="str">
        <f>IFERROR(__xludf.DUMMYFUNCTION("IFS(C50="""","""",
AND(C50=""3x3 FMC"",MOD(COUNTIF($C$7:indirect(""C""&amp;row()),indirect(""C""&amp;row())),3)=0),""Mean of 3"",
AND(C50=""3x3 MBLD"",MOD(COUNTIF($C$7:indirect(""C""&amp;row()),indirect(""C""&amp;row())),3)=0),""Best of 3"",
AND(C50=""3x3 FMC"",MOD(COUNT"&amp;"IF($C$7:indirect(""C""&amp;row()),indirect(""C""&amp;row())),3)=2,
COUNTIF($C$7:$C$61,indirect(""C""&amp;row()))&lt;=COUNTIF($C$7:indirect(""C""&amp;row()),indirect(""C""&amp;row()))),""Best of 2"",
AND(C50=""3x3 FMC"",MOD(COUNTIF($C$7:indirect(""C""&amp;row()),indirect(""C""&amp;row()"&amp;")),3)=2,
COUNTIF($C$7:$C$61,indirect(""C""&amp;row()))&gt;COUNTIF($C$7:indirect(""C""&amp;row()),indirect(""C""&amp;row()))),""Mean of 3"",
AND(C50=""3x3 MBLD"",MOD(COUNTIF($C$7:indirect(""C""&amp;row()),indirect(""C""&amp;row())),3)=2,
COUNTIF($C$7:$C$61,indirect(""C""&amp;row()))"&amp;"&lt;=COUNTIF($C$7:indirect(""C""&amp;row()),indirect(""C""&amp;row()))),""Best of 2"",
AND(C50=""3x3 MBLD"",MOD(COUNTIF($C$7:indirect(""C""&amp;row()),indirect(""C""&amp;row())),3)=2,
COUNTIF($C$7:$C$61,indirect(""C""&amp;row()))&gt;COUNTIF($C$7:indirect(""C""&amp;row()),indirect(""C"&amp;"""&amp;row()))),""Best of 3"",
AND(C50=""3x3 FMC"",MOD(COUNTIF($C$7:indirect(""C""&amp;row()),indirect(""C""&amp;row())),3)=1,
COUNTIF($C$7:$C$61,indirect(""C""&amp;row()))&lt;=COUNTIF($C$7:indirect(""C""&amp;row()),indirect(""C""&amp;row()))),""Best of 1"",
AND(C50=""3x3 FMC"",MOD"&amp;"(COUNTIF($C$7:indirect(""C""&amp;row()),indirect(""C""&amp;row())),3)=1,
COUNTIF($C$7:$C$61,indirect(""C""&amp;row()))=COUNTIF($C$7:indirect(""C""&amp;row()),indirect(""C""&amp;row()))+1),""Best of 2"",
AND(C50=""3x3 FMC"",MOD(COUNTIF($C$7:indirect(""C""&amp;row()),indirect(""C"&amp;"""&amp;row())),3)=1,
COUNTIF($C$7:$C$61,indirect(""C""&amp;row()))&gt;COUNTIF($C$7:indirect(""C""&amp;row()),indirect(""C""&amp;row()))),""Mean of 3"",
AND(C50=""3x3 MBLD"",MOD(COUNTIF($C$7:indirect(""C""&amp;row()),indirect(""C""&amp;row())),3)=1,
COUNTIF($C$7:$C$61,indirect(""C"""&amp;"&amp;row()))&lt;=COUNTIF($C$7:indirect(""C""&amp;row()),indirect(""C""&amp;row()))),""Best of 1"",
AND(C50=""3x3 MBLD"",MOD(COUNTIF($C$7:indirect(""C""&amp;row()),indirect(""C""&amp;row())),3)=1,
COUNTIF($C$7:$C$61,indirect(""C""&amp;row()))=COUNTIF($C$7:indirect(""C""&amp;row()),indir"&amp;"ect(""C""&amp;row()))+1),""Best of 2"",
AND(C50=""3x3 MBLD"",MOD(COUNTIF($C$7:indirect(""C""&amp;row()),indirect(""C""&amp;row())),3)=1,
COUNTIF($C$7:$C$61,indirect(""C""&amp;row()))&gt;COUNTIF($C$7:indirect(""C""&amp;row()),indirect(""C""&amp;row()))),""Best of 3"",
TRUE,(IFERROR("&amp;"FILTER(Info!$D$2:D81, Info!$A$2:A81 = C50), """")))"),"")</f>
        <v/>
      </c>
      <c r="G50" s="45" t="str">
        <f>IFERROR(__xludf.DUMMYFUNCTION("IFS(OR(COUNTIF(Info!$A$22:A81,C50)&gt;0,C50=""""),"""",
OR(""3x3 MBLD""=C50,""3x3 FMC""=C50),60,
AND(E50=1,FILTER(Info!$F$2:F81, Info!$A$2:A81 = C50) = ""No""),FILTER(Info!$P$2:P81, Info!$A$2:A81 = C50),
AND(E50=2,FILTER(Info!$F$2:F81, Info!$A$2:A81 = C50) ="&amp;" ""No""),FILTER(Info!$Q$2:Q81, Info!$A$2:A81 = C50),
AND(E50=3,FILTER(Info!$F$2:F81, Info!$A$2:A81 = C50) = ""No""),FILTER(Info!$R$2:R81, Info!$A$2:A81 = C50),
AND(E50=""Final"",FILTER(Info!$F$2:F81, Info!$A$2:A81 = C50) = ""No""),FILTER(Info!$S$2:S81, In"&amp;"fo!$A$2:A81 = C50),
FILTER(Info!$F$2:F81, Info!$A$2:A81 = C50) = ""Yes"","""")"),"")</f>
        <v/>
      </c>
      <c r="H50" s="45" t="str">
        <f>IFERROR(__xludf.DUMMYFUNCTION("IFS(OR(COUNTIF(Info!$A$22:A81,C50)&gt;0,C50=""""),"""",
OR(""3x3 MBLD""=C50,""3x3 FMC""=C50)=TRUE,"""",
FILTER(Info!$F$2:F81, Info!$A$2:A81 = C50) = ""Yes"",FILTER(Info!$O$2:O81, Info!$A$2:A81 = C50),
FILTER(Info!$F$2:F81, Info!$A$2:A81 = C50) = ""No"",IF(G5"&amp;"0="""",FILTER(Info!$O$2:O81, Info!$A$2:A81 = C50),""""))"),"")</f>
        <v/>
      </c>
      <c r="I50" s="45" t="str">
        <f>IFERROR(__xludf.DUMMYFUNCTION("IFS(OR(COUNTIF(Info!$A$22:A81,C50)&gt;0,C50="""",H50&lt;&gt;""""),"""",
AND(E50&lt;&gt;1,E50&lt;&gt;""R1 - A1"",E50&lt;&gt;""R1 - A2"",E50&lt;&gt;""R1 - A3""),"""",
FILTER(Info!$E$2:E81, Info!$A$2:A81 = C50) = ""Yes"",IF(H50="""",FILTER(Info!$L$2:L81, Info!$A$2:A81 = C50),""""),
FILTER(I"&amp;"nfo!$E$2:E81, Info!$A$2:A81 = C50) = ""No"","""")"),"")</f>
        <v/>
      </c>
      <c r="J50" s="45" t="str">
        <f>IFERROR(__xludf.DUMMYFUNCTION("IFS(OR(COUNTIF(Info!$A$22:A81,C50)&gt;0,C50="""",""3x3 MBLD""=C50,""3x3 FMC""=C50),"""",
AND(E50=1,FILTER(Info!$H$2:H81,Info!$A$2:A81 = C50)&lt;=FILTER(Info!$H$2:H81,Info!$A$2:A81=$K$2)),
ROUNDUP((FILTER(Info!$H$2:H81,Info!$A$2:A81 = C50)/FILTER(Info!$H$2:H81,I"&amp;"nfo!$A$2:A81=$K$2))*$I$2),
AND(E50=1,FILTER(Info!$H$2:H81,Info!$A$2:A81 = C50)&gt;FILTER(Info!$H$2:H81,Info!$A$2:A81=$K$2)),""K2 - Error"",
AND(E50=2,FILTER($J$7:indirect(""J""&amp;row()-1),$C$7:indirect(""C""&amp;row()-1)=C50)&lt;=7),""J - Error"",
E50=2,FLOOR(FILTER("&amp;"$J$7:indirect(""J""&amp;row()-1),$C$7:indirect(""C""&amp;row()-1)=C50)*Info!$T$32),
AND(E50=3,FILTER($J$7:indirect(""J""&amp;row()-1),$C$7:indirect(""C""&amp;row()-1)=C50)&lt;=15),""J - Error"",
E50=3,FLOOR(Info!$T$32*FLOOR(FILTER($J$7:indirect(""J""&amp;row()-1),$C$7:indirect("&amp;"""C""&amp;row()-1)=C50)*Info!$T$32)),
AND(E50=""Final"",COUNTIF($C$7:$C$61,C50)=2,FILTER($J$7:indirect(""J""&amp;row()-1),$C$7:indirect(""C""&amp;row()-1)=C50)&lt;=7),""J - Error"",
AND(E50=""Final"",COUNTIF($C$7:$C$61,C50)=2),
MIN(P50,FLOOR(FILTER($J$7:indirect(""J""&amp;r"&amp;"ow()-1),$C$7:indirect(""C""&amp;row()-1)=C50)*Info!$T$32)),
AND(E50=""Final"",COUNTIF($C$7:$C$61,C50)=3,FILTER($J$7:indirect(""J""&amp;row()-1),$C$7:indirect(""C""&amp;row()-1)=C50)&lt;=15),""J - Error"",
AND(E50=""Final"",COUNTIF($C$7:$C$61,C50)=3),
MIN(P50,FLOOR(Info!"&amp;"$T$32*FLOOR(FILTER($J$7:indirect(""J""&amp;row()-1),$C$7:indirect(""C""&amp;row()-1)=C50)*Info!$T$32))),
AND(E50=""Final"",COUNTIF($C$7:$C$61,C50)&gt;=4,FILTER($J$7:indirect(""J""&amp;row()-1),$C$7:indirect(""C""&amp;row()-1)=C50)&lt;=99),""J - Error"",
AND(E50=""Final"",COUNT"&amp;"IF($C$7:$C$61,C50)&gt;=4),
MIN(P50,FLOOR(Info!$T$32*FLOOR(Info!$T$32*FLOOR(FILTER($J$7:indirect(""J""&amp;row()-1),$C$7:indirect(""C""&amp;row()-1)=C50)*Info!$T$32)))))"),"")</f>
        <v/>
      </c>
      <c r="K50" s="46" t="str">
        <f>IFERROR(__xludf.DUMMYFUNCTION("IFS(AND(indirect(""D""&amp;row()+2)&lt;&gt;$E$2,indirect(""D""&amp;row()+1)=""""),CONCATENATE(""Tom rad! Kopiera hela rad ""&amp;row()&amp;"" dit""),
AND(indirect(""D""&amp;row()-1)&lt;&gt;""Rum"",indirect(""D""&amp;row()-1)=""""),CONCATENATE(""Tom rad! Kopiera hela rad ""&amp;row()&amp;"" dit""),
"&amp;"C50="""","""",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OR(AND(D50&lt;&gt;$E$2,D50&lt;&gt;$E$4,D50&lt;&gt;$K$4,D50&lt;&gt;$Q$4),D50="&amp;"""""),CONCATENATE(""Rum: ""&amp;D50&amp;"" finns ej, byt i D""&amp;row()),
AND(indirect(""D""&amp;row()-1)=""Rum"",C50=""""),CONCATENATE(""För att börja: skriv i cell C""&amp;row()),
AND(C50=""Paus"",M50&lt;=0),CONCATENATE(""Skriv pausens längd i M""&amp;row()),
OR(COUNTIF(Info!$A$"&amp;"22:A81,C50)&gt;0,C50=""""),"""",
AND(D50&lt;&gt;$E$2,$O$2=""Yes"",A50=""=time(hh;mm;ss)""),CONCATENATE(""Skriv starttid för ""&amp;C50&amp;"" i A""&amp;row()),
E50=""E - Error"",CONCATENATE(""För många ""&amp;C50&amp;"" rundor!""),
AND(C50&lt;&gt;""3x3 FMC"",C50&lt;&gt;""3x3 MBLD"",E50&lt;&gt;1,E50&lt;&gt;"&amp;"""Final"",IFERROR(FILTER($E$7:indirect(""E""&amp;row()-1),
$E$7:indirect(""E""&amp;row()-1)=E50-1,$C$7:indirect(""C""&amp;row()-1)=C50))=FALSE),CONCATENATE(""Kan ej vara R""&amp;E50&amp;"", saknar R""&amp;(E50-1)),
AND(indirect(""E""&amp;row()-1)&lt;&gt;""Omgång"",IFERROR(FILTER($E$7:indi"&amp;"rect(""E""&amp;row()-1),
$E$7:indirect(""E""&amp;row()-1)=E50,$C$7:indirect(""C""&amp;row()-1)=C50)=E50)=TRUE),CONCATENATE(""Runda ""&amp;E50&amp;"" i ""&amp;C50&amp;"" finns redan""),
AND(C50&lt;&gt;""3x3 BLD"",C50&lt;&gt;""4x4 BLD"",C50&lt;&gt;""5x5 BLD"",C50&lt;&gt;""4x4 / 5x5 BLD"",OR(E50=2,E50=3,E50="&amp;"""Final""),H50&lt;&gt;""""),CONCATENATE(E50&amp;""-rundor brukar ej ha c.t.l.""),
AND(OR(E50=2,E50=3,E50=""Final""),I50&lt;&gt;""""),CONCATENATE(E50&amp;""-rundor brukar ej ha cutoff""),
AND(OR(C50=""3x3 FMC"",C50=""3x3 MBLD""),OR(E50=1,E50=2,E50=3,E50=""Final"")),CONCATENAT"&amp;"E(C50&amp;""s omgång är Rx - Ax""),
AND(C50&lt;&gt;""3x3 MBLD"",C50&lt;&gt;""3x3 FMC"",FILTER(Info!$D$2:D81, Info!$A$2:A81 = C50)&lt;&gt;F50),CONCATENATE(C50&amp;"" måste ha formatet ""&amp;FILTER(Info!$D$2:D81, Info!$A$2:A81 = C50)),
AND(C50=""3x3 MBLD"",OR(F50=""Avg of 5"",F50=""Mea"&amp;"n of 3"")),CONCATENATE(""Ogiltigt format för ""&amp;C50),
AND(C50=""3x3 FMC"",OR(F50=""Avg of 5"",F50=""Best of 3"")),CONCATENATE(""Ogiltigt format för ""&amp;C50),
AND(OR(F50=""Best of 1"",F50=""Best of 2"",F50=""Best of 3""),I50&lt;&gt;""""),CONCATENATE(F50&amp;""-rundor"&amp;" får ej ha cutoff""),
AND(OR(C50=""3x3 FMC"",C50=""3x3 MBLD""),G50&lt;&gt;60),CONCATENATE(C50&amp;"" måste ha time limit: 60""),
AND(OR(C50=""3x3 FMC"",C50=""3x3 MBLD""),H50&lt;&gt;""""),CONCATENATE(C50&amp;"" kan inte ha c.t.l.""),
AND(G50&lt;&gt;"""",H50&lt;&gt;""""),""Välj time limit"&amp;" ELLER c.t.l"",
AND(C50=""6x6 / 7x7"",G50="""",H50=""""),""Sätt time limit (x / y) eller c.t.l (z)"",
AND(G50="""",H50=""""),""Sätt en time limit eller c.t.l"",
AND(OR(C50=""6x6 / 7x7"",C50=""4x4 / 5x5 BLD""),G50&lt;&gt;"""",REGEXMATCH(TO_TEXT(G50),"" / "")=FAL"&amp;"SE),CONCATENATE(""Time limit måste vara x / y""),
AND(H50&lt;&gt;"""",I50&lt;&gt;""""),CONCATENATE(C50&amp;"" brukar ej ha cutoff OCH c.t.l""),
AND(E50=1,H50="""",I50="""",OR(FILTER(Info!$E$2:E81, Info!$A$2:A81 = C50) = ""Yes"",FILTER(Info!$F$2:F81, Info!$A$2:A81 = C50) "&amp;"= ""Yes""),OR(F50=""Avg of 5"",F50=""Mean of 3"")),CONCATENATE(C50&amp;"" bör ha cutoff eller c.t.l""),
AND(C50=""6x6 / 7x7"",I50&lt;&gt;"""",REGEXMATCH(TO_TEXT(I50),"" / "")=FALSE),CONCATENATE(""Cutoff måste vara x / y""),
AND(H50&lt;&gt;"""",ISNUMBER(H50)=FALSE),""C.t."&amp;"l. måste vara positivt tal (x)"",
AND(C50&lt;&gt;""6x6 / 7x7"",I50&lt;&gt;"""",ISNUMBER(I50)=FALSE),""Cutoff måste vara positivt tal (x)"",
AND(H50&lt;&gt;"""",FILTER(Info!$E$2:E81, Info!$A$2:A81 = C50) = ""No"",FILTER(Info!$F$2:F81, Info!$A$2:A81 = C50) = ""No""),CONCATEN"&amp;"ATE(C50&amp;"" brukar inte ha c.t.l.""),
AND(I50&lt;&gt;"""",FILTER(Info!$E$2:E81, Info!$A$2:A81 = C50) = ""No"",FILTER(Info!$F$2:F81, Info!$A$2:A81 = C50) = ""No""),CONCATENATE(C50&amp;"" brukar inte ha cutoff""),
AND(H50="""",FILTER(Info!$F$2:F81, Info!$A$2:A81 = C50"&amp;") = ""Yes""),CONCATENATE(C50&amp;"" brukar ha c.t.l.""),
AND(C50&lt;&gt;""6x6 / 7x7"",C50&lt;&gt;""4x4 / 5x5 BLD"",G50&lt;&gt;"""",ISNUMBER(G50)=FALSE),""Time limit måste vara positivt tal (x)"",
J50=""J - Error"",CONCATENATE(""För få deltagare i R1 för ""&amp;COUNTIF($C$7:$C$61,i"&amp;"ndirect(""C""&amp;row()))&amp;"" rundor""),
J50=""K2 - Error"",CONCATENATE(C50&amp;"" är mer populär - byt i K2!""),
AND(C50&lt;&gt;""6x6 / 7x7"",C50&lt;&gt;""4x4 / 5x5 BLD"",G50&lt;&gt;"""",I50&lt;&gt;"""",G50&lt;=I50),""Time limit måste vara &gt; cutoff"",
AND(C50&lt;&gt;""6x6 / 7x7"",C50&lt;&gt;""4x4 / 5x"&amp;"5 BLD"",H50&lt;&gt;"""",I50&lt;&gt;"""",H50&lt;=I50),""C.t.l. måste vara &gt; cutoff"",
AND(C50&lt;&gt;""3x3 FMC"",C50&lt;&gt;""3x3 MBLD"",J50=""""),CONCATENATE(""Fyll i antal deltagare i J""&amp;row()),
AND(C50="""",OR(E50&lt;&gt;"""",F50&lt;&gt;"""",G50&lt;&gt;"""",H50&lt;&gt;"""",I50&lt;&gt;"""",J50&lt;&gt;"""")),""Skriv"&amp;" ALLTID gren / aktivitet först"",
AND(I50="""",H50="""",J50&lt;&gt;""""),J50,
OR(""3x3 FMC""=C50,""3x3 MBLD""=C50),J50,
AND(I50&lt;&gt;"""",""6x6 / 7x7""=C50),
IFS(ArrayFormula(SUM(IFERROR(SPLIT(I50,"" / ""))))&lt;(Info!$J$6+Info!$J$7)*2/3,CONCATENATE(""Höj helst cutoff"&amp;"s i ""&amp;C50),
ArrayFormula(SUM(IFERROR(SPLIT(I50,"" / ""))))&lt;=(Info!$J$6+Info!$J$7),ROUNDUP(J50*Info!$J$22),
ArrayFormula(SUM(IFERROR(SPLIT(I50,"" / ""))))&lt;=Info!$J$6+Info!$J$7,ROUNDUP(J50*Info!$K$22),
ArrayFormula(SUM(IFERROR(SPLIT(I50,"" / ""))))&lt;=Info!$"&amp;"K$6+Info!$K$7,ROUNDUP(J50*Info!L$22),
ArrayFormula(SUM(IFERROR(SPLIT(I50,"" / ""))))&lt;=Info!$L$6+Info!$L$7,ROUNDUP(J50*Info!$M$22),
ArrayFormula(SUM(IFERROR(SPLIT(I50,"" / ""))))&lt;=Info!$M$6+Info!$M$7,ROUNDUP(J50*Info!$N$22),
ArrayFormula(SUM(IFERROR(SPLIT("&amp;"I50,"" / ""))))&lt;=(Info!$N$6+Info!$N$7)*3/2,ROUNDUP(J50*Info!$J$26),
ArrayFormula(SUM(IFERROR(SPLIT(I50,"" / ""))))&gt;(Info!$N$6+Info!$N$7)*3/2,CONCATENATE(""Sänk helst cutoffs i ""&amp;C50)),
AND(I50&lt;&gt;"""",FILTER(Info!$E$2:E81, Info!$A$2:A81 = C50) = ""Yes""),
"&amp;"IFS(I50&lt;FILTER(Info!$J$2:J81, Info!$A$2:A81 = C50)*2/3,CONCATENATE(""Höj helst cutoff i ""&amp;C50),
I50&lt;=FILTER(Info!$J$2:J81, Info!$A$2:A81 = C50),ROUNDUP(J50*Info!$J$22),
I50&lt;=FILTER(Info!$K$2:K81, Info!$A$2:A81 = C50),ROUNDUP(J50*Info!$K$22),
I50&lt;=FILTER("&amp;"Info!$L$2:L81, Info!$A$2:A81 = C50),ROUNDUP(J50*Info!L$22),
I50&lt;=FILTER(Info!$M$2:M81, Info!$A$2:A81 = C50),ROUNDUP(J50*Info!$M$22),
I50&lt;=FILTER(Info!$N$2:N81, Info!$A$2:A81 = C50),ROUNDUP(J50*Info!$N$22),
I50&lt;=FILTER(Info!$N$2:N81, Info!$A$2:A81 = C50)*3"&amp;"/2,ROUNDUP(J50*Info!$J$26),
I50&gt;FILTER(Info!$N$2:N81, Info!$A$2:A81 = C50)*3/2,CONCATENATE(""Sänk helst cutoff i ""&amp;C50)),
AND(H50&lt;&gt;"""",""6x6 / 7x7""=C50),
IFS(H50/3&lt;=(Info!$J$6+Info!$J$7)*2/3,""Höj helst cumulative time limit"",
H50/3&lt;=Info!$J$6+Info!$J"&amp;"$7,ROUNDUP(J50*Info!$J$24),
H50/3&lt;=Info!$K$6+Info!$K$7,ROUNDUP(J50*Info!$K$24),
H50/3&lt;=Info!$L$6+Info!$L$7,ROUNDUP(J50*Info!L$24),
H50/3&lt;=Info!$M$6+Info!$M$7,ROUNDUP(J50*Info!$M$24),
H50/3&lt;=Info!$N$6+Info!$N$7,ROUNDUP(J50*Info!$N$24),
H50/3&lt;=(Info!$N$6+In"&amp;"fo!$N$7)*3/2,ROUNDUP(J50*Info!$L$26),
H50/3&gt;(Info!$J$6+Info!$J$7)*3/2,""Sänk helst cumulative time limit""),
AND(H50&lt;&gt;"""",FILTER(Info!$F$2:F81, Info!$A$2:A81 = C50) = ""Yes""),
IFS(H50&lt;=FILTER(Info!$J$2:J81, Info!$A$2:A81 = C50)*2/3,CONCATENATE(""Höj hel"&amp;"st c.t.l. i ""&amp;C50),
H50&lt;=FILTER(Info!$J$2:J81, Info!$A$2:A81 = C50),ROUNDUP(J50*Info!$J$24),
H50&lt;=FILTER(Info!$K$2:K81, Info!$A$2:A81 = C50),ROUNDUP(J50*Info!$K$24),
H50&lt;=FILTER(Info!$L$2:L81, Info!$A$2:A81 = C50),ROUNDUP(J50*Info!L$24),
H50&lt;=FILTER(Info"&amp;"!$M$2:M81, Info!$A$2:A81 = C50),ROUNDUP(J50*Info!$M$24),
H50&lt;=FILTER(Info!$N$2:N81, Info!$A$2:A81 = C50),ROUNDUP(J50*Info!$N$24),
H50&lt;=FILTER(Info!$N$2:N81, Info!$A$2:A81 = C50)*3/2,ROUNDUP(J50*Info!$L$26),
H50&gt;FILTER(Info!$N$2:N81, Info!$A$2:A81 = C50)*3"&amp;"/2,CONCATENATE(""Sänk helst c.t.l. i ""&amp;C50)),
AND(H50&lt;&gt;"""",FILTER(Info!$F$2:F81, Info!$A$2:A81 = C50) = ""No""),
IFS(H50/AA50&lt;=FILTER(Info!$J$2:J81, Info!$A$2:A81 = C50)*2/3,CONCATENATE(""Höj helst c.t.l. i ""&amp;C50),
H50/AA50&lt;=FILTER(Info!$J$2:J81, Info!"&amp;"$A$2:A81 = C50),ROUNDUP(J50*Info!$J$24),
H50/AA50&lt;=FILTER(Info!$K$2:K81, Info!$A$2:A81 = C50),ROUNDUP(J50*Info!$K$24),
H50/AA50&lt;=FILTER(Info!$L$2:L81, Info!$A$2:A81 = C50),ROUNDUP(J50*Info!L$24),
H50/AA50&lt;=FILTER(Info!$M$2:M81, Info!$A$2:A81 = C50),ROUNDU"&amp;"P(J50*Info!$M$24),
H50/AA50&lt;=FILTER(Info!$N$2:N81, Info!$A$2:A81 = C50),ROUNDUP(J50*Info!$N$24),
H50/AA50&lt;=FILTER(Info!$N$2:N81, Info!$A$2:A81 = C50)*3/2,ROUNDUP(J50*Info!$L$26),
H50/AA50&gt;FILTER(Info!$N$2:N81, Info!$A$2:A81 = C50)*3/2,CONCATENATE(""Sänk h"&amp;"elst c.t.l. i ""&amp;C50)),
AND(I50="""",H50&lt;&gt;"""",J50&lt;&gt;""""),ROUNDUP(J50*Info!$T$29),
AND(I50&lt;&gt;"""",H50="""",J50&lt;&gt;""""),ROUNDUP(J50*Info!$T$26))"),"")</f>
        <v/>
      </c>
      <c r="L50" s="47">
        <f>IFERROR(__xludf.DUMMYFUNCTION("IFS(C50="""",0,
C50=""3x3 FMC"",Info!$B$9*N50+M50, C50=""3x3 MBLD"",Info!$B$18*N50+M50,
COUNTIF(Info!$A$22:A81,C50)&gt;0,FILTER(Info!$B$22:B81,Info!$A$22:A81=C50)+M50,
AND(C50&lt;&gt;"""",E50=""""),CONCATENATE(""Fyll i E""&amp;row()),
AND(C50&lt;&gt;"""",E50&lt;&gt;"""",E50&lt;&gt;1,E5"&amp;"0&lt;&gt;2,E50&lt;&gt;3,E50&lt;&gt;""Final""),CONCATENATE(""Fel format på E""&amp;row()),
K50=CONCATENATE(""Runda ""&amp;E50&amp;"" i ""&amp;C50&amp;"" finns redan""),CONCATENATE(""Fel i E""&amp;row()),
AND(C50&lt;&gt;"""",F50=""""),CONCATENATE(""Fyll i F""&amp;row()),
K50=CONCATENATE(C50&amp;"" måste ha forma"&amp;"tet ""&amp;FILTER(Info!$D$2:D81, Info!$A$2:A81 = C50)),CONCATENATE(""Fel format på F""&amp;row()),
AND(C50&lt;&gt;"""",D50=1,H50="""",FILTER(Info!$F$2:F81, Info!$A$2:A81 = C50) = ""Yes""),CONCATENATE(""Fyll i H""&amp;row()),
AND(C50&lt;&gt;"""",D50=1,I50="""",FILTER(Info!$E$2:E8"&amp;"1, Info!$A$2:A81 = C50) = ""Yes""),CONCATENATE(""Fyll i I""&amp;row()),
AND(C50&lt;&gt;"""",J50=""""),CONCATENATE(""Fyll i J""&amp;row()),
AND(C50&lt;&gt;"""",K50="""",OR(H50&lt;&gt;"""",I50&lt;&gt;"""")),CONCATENATE(""Fyll i K""&amp;row()),
AND(C50&lt;&gt;"""",K50=""""),CONCATENATE(""Skriv samma"&amp;" i K""&amp;row()&amp;"" som i J""&amp;row()),
AND(OR(C50=""4x4 BLD"",C50=""5x5 BLD"",C50=""4x4 / 5x5 BLD"")=TRUE,V50&lt;=P50),
MROUND(H50*(Info!$T$20-((Info!$T$20-1)/2)*(1-V50/P50))*(1+((J50/K50)-1)*(1-Info!$J$24))*N50+(Info!$T$11/2)+(N50*Info!$T$11)+(N50*Info!$T$14*(O5"&amp;"0-1)),0.01)+M50,
AND(OR(C50=""4x4 BLD"",C50=""5x5 BLD"",C50=""4x4 / 5x5 BLD"")=TRUE,V50&gt;P50),
MROUND((((J50*Z50+K50*(AA50-Z50))*(H50*Info!$T$20/AA50))/X50)*(1+((J50/K50)-1)*(1-Info!$J$24))*(1+(X50-Info!$T$8)/100)+(Info!$T$11/2)+(N50*Info!$T$11)+(N50*Info!"&amp;"$T$14*(O50-1)),0.01)+M50,
AND(C50=""3x3 BLD"",V50&lt;=P50),
MROUND(H50*(Info!$T$23-((Info!$T$23-1)/2)*(1-V50/P50))*(1+((J50/K50)-1)*(1-Info!$J$24))*N50+(Info!$T$11/2)+(N50*Info!$T$11)+(N50*Info!$T$14*(O50-1)),0.01)+M50,
AND(C50=""3x3 BLD"",V50&gt;P50),
MROUND(("&amp;"((J50*Z50+K50*(AA50-Z50))*(H50*Info!$T$23/AA50))/X50)*(1+((J50/K50)-1)*(1-Info!$J$24))*(1+(X50-Info!$T$8)/100)+(Info!$T$11/2)+(N50*Info!$T$11)+(N50*Info!$T$14*(O50-1)),0.01)+M50,
E50=1,MROUND((((J50*Z50+K50*(AA50-Z50))*Y50)/X50)*(1+(X50-Info!$T$8)/100)+(N"&amp;"50*Info!$T$11)+(N50*Info!$T$14*(O50-1)),0.01)+M50,
AND(E50=""Final"",N50=1,FILTER(Info!$G$2:$G$20,Info!$A$2:$A$20=C50)=""Mycket svår""),
MROUND((((J50*Z50+K50*(AA50-Z50))*(Y50*Info!$T$38))/X50)*(1+(X50-Info!$T$8)/100)+(N50*Info!$T$11)+(N50*Info!$T$14*(O50"&amp;"-1)),0.01)+M50,
AND(E50=""Final"",N50=1,FILTER(Info!$G$2:$G$20,Info!$A$2:$A$20=C50)=""Svår""),
MROUND((((J50*Z50+K50*(AA50-Z50))*(Y50*Info!$T$35))/X50)*(1+(X50-Info!$T$8)/100)+(N50*Info!$T$11)+(N50*Info!$T$14*(O50-1)),0.01)+M50,
E50=""Final"",MROUND((((J5"&amp;"0*Z50+K50*(AA50-Z50))*(Y50*Info!$T$5))/X50)*(1+(X50-Info!$T$8)/100)+(N50*Info!$T$11)+(N50*Info!$T$14*(O50-1)),0.01)+M50,
OR(E50=2,E50=3),MROUND((((J50*Z50+K50*(AA50-Z50))*(Y50*Info!$T$2))/X50)*(1+(X50-Info!$T$8)/100)+(N50*Info!$T$11)+(N50*Info!$T$14*(O50-"&amp;"1)),0.01)+M50)"),0.0)</f>
        <v>0</v>
      </c>
      <c r="M50" s="48">
        <f t="shared" si="4"/>
        <v>0</v>
      </c>
      <c r="N50" s="48" t="str">
        <f>IFS(OR(COUNTIF(Info!$A$22:A81,C50)&gt;0,C50=""),"",
OR(C50="4x4 BLD",C50="5x5 BLD",C50="3x3 MBLD",C50="3x3 FMC",C50="4x4 / 5x5 BLD"),1,
AND(E50="Final",Q50="Yes",MAX(1,ROUNDUP(J50/P50))&gt;1),MAX(2,ROUNDUP(J50/P50)),
AND(E50="Final",Q50="No",MAX(1,ROUNDUP(J50/((P50*2)+2.625-Y50*1.5)))&gt;1),MAX(2,ROUNDUP(J50/((P50*2)+2.625-Y50*1.5))),
E50="Final",1,
Q50="Yes",MAX(2,ROUNDUP(J50/P50)),
TRUE,MAX(2,ROUNDUP(J50/((P50*2)+2.625-Y50*1.5))))</f>
        <v/>
      </c>
      <c r="O50" s="48" t="str">
        <f>IFS(OR(COUNTIF(Info!$A$22:A81,C50)&gt;0,C50=""),"",
OR("3x3 MBLD"=C50,"3x3 FMC"=C50)=TRUE,"",
D50=$E$4,$G$6,D50=$K$4,$M$6,D50=$Q$4,$S$6,D50=$W$4,$Y$6,
TRUE,$S$2)</f>
        <v/>
      </c>
      <c r="P50" s="48" t="str">
        <f>IFS(OR(COUNTIF(Info!$A$22:A81,C50)&gt;0,C50=""),"",
OR("3x3 MBLD"=C50,"3x3 FMC"=C50)=TRUE,"",
D50=$E$4,$E$6,D50=$K$4,$K$6,D50=$Q$4,$Q$6,D50=$W$4,$W$6,
TRUE,$Q$2)</f>
        <v/>
      </c>
      <c r="Q50" s="49" t="str">
        <f>IFS(OR(COUNTIF(Info!$A$22:A81,C50)&gt;0,C50=""),"",
OR("3x3 MBLD"=C50,"3x3 FMC"=C50)=TRUE,"",
D50=$E$4,$I$6,D50=$K$4,$O$6,D50=$Q$4,$U$6,D50=$W$4,$AA$6,
TRUE,$U$2)</f>
        <v/>
      </c>
      <c r="R50" s="50" t="str">
        <f>IFERROR(__xludf.DUMMYFUNCTION("IF(C50="""","""",IFERROR(FILTER(Info!$B$22:B81,Info!$A$22:A81=C50)+M50,""?""))"),"")</f>
        <v/>
      </c>
      <c r="S50" s="51" t="str">
        <f>IFS(OR(COUNTIF(Info!$A$22:A81,C50)&gt;0,C50=""),"",
AND(H50="",I50=""),J50,
TRUE,"?")</f>
        <v/>
      </c>
      <c r="T50" s="52" t="str">
        <f>IFS(OR(COUNTIF(Info!$A$22:A81,C50)&gt;0,C50=""),"",
AND(L50&lt;&gt;0,OR(R50="?",R50="")),"Fyll i R-kolumnen",
OR(C50="3x3 FMC",C50="3x3 MBLD"),R50,
AND(L50&lt;&gt;0,OR(S50="?",S50="")),"Fyll i S-kolumnen",
OR(COUNTIF(Info!$A$22:A81,C50)&gt;0,C50=""),"",
TRUE,Y50*R50/L50)</f>
        <v/>
      </c>
      <c r="U50" s="52"/>
      <c r="V50" s="53" t="str">
        <f>IFS(OR(COUNTIF(Info!$A$22:A81,C50)&gt;0,C50=""),"",
OR("3x3 MBLD"=C50,"3x3 FMC"=C50)=TRUE,"",
TRUE,MROUND((J50/N50),0.01))</f>
        <v/>
      </c>
      <c r="W50" s="54" t="str">
        <f>IFS(OR(COUNTIF(Info!$A$22:A81,C50)&gt;0,C50=""),"",
TRUE,L50/N50)</f>
        <v/>
      </c>
      <c r="X50" s="55" t="str">
        <f>IFS(OR(COUNTIF(Info!$A$22:A81,C50)&gt;0,C50=""),"",
OR("3x3 MBLD"=C50,"3x3 FMC"=C50)=TRUE,"",
OR(C50="4x4 BLD",C50="5x5 BLD",C50="4x4 / 5x5 BLD",AND(C50="3x3 BLD",H50&lt;&gt;""))=TRUE,MIN(V50,P50),
TRUE,MIN(P50,V50,MROUND(((V50*2/3)+((Y50-1.625)/2)),0.01)))</f>
        <v/>
      </c>
      <c r="Y50" s="56" t="str">
        <f>IFERROR(__xludf.DUMMYFUNCTION("IFS(OR(COUNTIF(Info!$A$22:A81,C50)&gt;0,C50=""""),"""",
FILTER(Info!$F$2:F81, Info!$A$2:A81 = C50) = ""Yes"",H50/AA50,
""3x3 FMC""=C50,Info!$B$9,""3x3 MBLD""=C50,Info!$B$18,
AND(E50=1,I50="""",H50="""",Q50=""No"",G50&gt;SUMIF(Info!$A$2:A81,C50,Info!$B$2:B81)*1."&amp;"5),
MIN(SUMIF(Info!$A$2:A81,C50,Info!$B$2:B81)*1.1,SUMIF(Info!$A$2:A81,C50,Info!$B$2:B81)*(1.15-(0.15*(SUMIF(Info!$A$2:A81,C50,Info!$B$2:B81)*1.5)/G50))),
AND(E50=1,I50="""",H50="""",Q50=""Yes"",G50&gt;SUMIF(Info!$A$2:A81,C50,Info!$C$2:C81)*1.5),
MIN(SUMIF(I"&amp;"nfo!$A$2:A81,C50,Info!$C$2:C81)*1.1,SUMIF(Info!$A$2:A81,C50,Info!$C$2:C81)*(1.15-(0.15*(SUMIF(Info!$A$2:A81,C50,Info!$C$2:C81)*1.5)/G50))),
Q50=""No"",SUMIF(Info!$A$2:A81,C50,Info!$B$2:B81),
Q50=""Yes"",SUMIF(Info!$A$2:A81,C50,Info!$C$2:C81))"),"")</f>
        <v/>
      </c>
      <c r="Z50" s="57" t="str">
        <f>IFS(OR(COUNTIF(Info!$A$22:A81,C50)&gt;0,C50=""),"",
AND(OR("3x3 FMC"=C50,"3x3 MBLD"=C50),I50&lt;&gt;""),1,
AND(OR(H50&lt;&gt;"",I50&lt;&gt;""),F50="Avg of 5"),2,
F50="Avg of 5",AA50,
AND(OR(H50&lt;&gt;"",I50&lt;&gt;""),F50="Mean of 3",C50="6x6 / 7x7"),2,
AND(OR(H50&lt;&gt;"",I50&lt;&gt;""),F50="Mean of 3"),1,
F50="Mean of 3",AA50,
AND(OR(H50&lt;&gt;"",I50&lt;&gt;""),F50="Best of 3",C50="4x4 / 5x5 BLD"),2,
AND(OR(H50&lt;&gt;"",I50&lt;&gt;""),F50="Best of 3"),1,
F50="Best of 2",AA50,
F50="Best of 1",AA50)</f>
        <v/>
      </c>
      <c r="AA50" s="57" t="str">
        <f>IFS(OR(COUNTIF(Info!$A$22:A81,C50)&gt;0,C50=""),"",
AND(OR("3x3 MBLD"=C50,"3x3 FMC"=C50),F50="Best of 1"=TRUE),1,
AND(OR("3x3 MBLD"=C50,"3x3 FMC"=C50),F50="Best of 2"=TRUE),2,
AND(OR("3x3 MBLD"=C50,"3x3 FMC"=C50),OR(F50="Best of 3",F50="Mean of 3")=TRUE),3,
AND(F50="Mean of 3",C50="6x6 / 7x7"),6,
AND(F50="Best of 3",C50="4x4 / 5x5 BLD"),6,
F50="Avg of 5",5,F50="Mean of 3",3,F50="Best of 3",3,F50="Best of 2",2,F50="Best of 1",1)</f>
        <v/>
      </c>
      <c r="AB50" s="58"/>
    </row>
    <row r="51">
      <c r="A51" s="59" t="s">
        <v>28</v>
      </c>
      <c r="B51" s="59"/>
      <c r="C51" s="60"/>
      <c r="D51" s="61"/>
      <c r="E51" s="6"/>
      <c r="F51" s="62"/>
      <c r="G51" s="63"/>
      <c r="H51" s="63"/>
      <c r="I51" s="63"/>
      <c r="J51" s="63"/>
      <c r="K51" s="63"/>
      <c r="L51" s="64"/>
      <c r="M51" s="71"/>
      <c r="N51" s="71"/>
      <c r="O51" s="71"/>
      <c r="P51" s="71"/>
      <c r="Q51" s="71"/>
      <c r="R51" s="64" t="str">
        <f>$L$51</f>
        <v/>
      </c>
      <c r="S51" s="63"/>
      <c r="T51" s="71"/>
      <c r="U51" s="71"/>
      <c r="V51" s="71"/>
      <c r="W51" s="71"/>
      <c r="X51" s="71"/>
      <c r="Y51" s="71"/>
      <c r="Z51" s="71"/>
      <c r="AA51" s="71"/>
      <c r="AB51" s="64"/>
    </row>
    <row r="52">
      <c r="A52" s="29">
        <v>8.0</v>
      </c>
      <c r="B52" s="29">
        <v>45.0</v>
      </c>
      <c r="C52" s="65">
        <v>44564.0</v>
      </c>
      <c r="D52" s="66" t="str">
        <f>$E$2</f>
        <v>Stora salen</v>
      </c>
      <c r="E52" s="67"/>
      <c r="F52" s="29"/>
      <c r="G52" s="68"/>
      <c r="H52" s="68"/>
      <c r="I52" s="68"/>
      <c r="J52" s="68"/>
      <c r="K52" s="68"/>
      <c r="L52" s="69">
        <f>IFERROR(__xludf.DUMMYFUNCTION("IF($O$2=""No"",2880-($A$6*60+$B$6)-SUM($L$7:indirect(""L""&amp;row()-2))+($A$52*60+$B$52),
2880-($A$6*60+$B$6)-SUM(FILTER($L$7:indirect(""L""&amp;row()-2),REGEXMATCH($D$7:indirect(""D""&amp;row()-2),$E$2)))+($A$52*60+$B$52))"),1425.0)</f>
        <v>1425</v>
      </c>
      <c r="M52" s="72"/>
      <c r="N52" s="72"/>
      <c r="O52" s="72"/>
      <c r="P52" s="72"/>
      <c r="Q52" s="72"/>
      <c r="R52" s="69">
        <f>$L$52</f>
        <v>1425</v>
      </c>
      <c r="S52" s="68"/>
      <c r="T52" s="72"/>
      <c r="U52" s="72"/>
      <c r="V52" s="72"/>
      <c r="W52" s="72"/>
      <c r="X52" s="72"/>
      <c r="Y52" s="72"/>
      <c r="Z52" s="72"/>
      <c r="AA52" s="72"/>
      <c r="AB52" s="69"/>
    </row>
    <row r="53">
      <c r="A53" s="33" t="s">
        <v>33</v>
      </c>
      <c r="B53" s="33" t="s">
        <v>34</v>
      </c>
      <c r="C53" s="19" t="s">
        <v>35</v>
      </c>
      <c r="D53" s="20" t="s">
        <v>36</v>
      </c>
      <c r="E53" s="35" t="s">
        <v>37</v>
      </c>
      <c r="F53" s="20" t="s">
        <v>38</v>
      </c>
      <c r="G53" s="20" t="s">
        <v>39</v>
      </c>
      <c r="H53" s="20" t="s">
        <v>40</v>
      </c>
      <c r="I53" s="35" t="s">
        <v>41</v>
      </c>
      <c r="J53" s="35" t="s">
        <v>42</v>
      </c>
      <c r="K53" s="20" t="s">
        <v>59</v>
      </c>
      <c r="L53" s="33" t="s">
        <v>44</v>
      </c>
      <c r="M53" s="17" t="s">
        <v>45</v>
      </c>
      <c r="N53" s="17" t="s">
        <v>46</v>
      </c>
      <c r="O53" s="17" t="s">
        <v>47</v>
      </c>
      <c r="P53" s="17" t="s">
        <v>48</v>
      </c>
      <c r="Q53" s="17" t="s">
        <v>32</v>
      </c>
      <c r="R53" s="36" t="s">
        <v>49</v>
      </c>
      <c r="S53" s="36"/>
      <c r="T53" s="37" t="s">
        <v>51</v>
      </c>
      <c r="U53" s="37"/>
      <c r="V53" s="18" t="s">
        <v>53</v>
      </c>
      <c r="W53" s="38" t="s">
        <v>54</v>
      </c>
      <c r="X53" s="18" t="s">
        <v>55</v>
      </c>
      <c r="Y53" s="39" t="s">
        <v>60</v>
      </c>
      <c r="Z53" s="39" t="s">
        <v>57</v>
      </c>
      <c r="AA53" s="39" t="s">
        <v>58</v>
      </c>
      <c r="AB53" s="70"/>
    </row>
    <row r="54">
      <c r="A54" s="40">
        <f>IFERROR(__xludf.DUMMYFUNCTION("IFS(indirect(""A""&amp;row()-1)=""Start"",TIME(indirect(""A""&amp;row()-2),indirect(""B""&amp;row()-2),0),
$O$2=""No"",TIME(0,($A$6*60+$B$6)+CEILING(SUM($L$7:indirect(""L""&amp;row()-1)),5),0),
D54=$E$2,TIME(0,($A$6*60+$B$6)+CEILING(SUM(IFERROR(FILTER($L$7:indirect(""L"""&amp;"&amp;row()-1),REGEXMATCH($D$7:indirect(""D""&amp;row()-1),$E$2)),0)),5),0),
TRUE,""=time(hh;mm;ss)"")"),0.3645833333333333)</f>
        <v>0.3645833333</v>
      </c>
      <c r="B54" s="41">
        <f>IFERROR(__xludf.DUMMYFUNCTION("IFS($O$2=""No"",TIME(0,($A$6*60+$B$6)+CEILING(SUM($L$7:indirect(""L""&amp;row())),5),0),
D54=$E$2,TIME(0,($A$6*60+$B$6)+CEILING(SUM(FILTER($L$7:indirect(""L""&amp;row()),REGEXMATCH($D$7:indirect(""D""&amp;row()),$E$2))),5),0),
A54=""=time(hh;mm;ss)"",CONCATENATE(""Sk"&amp;"riv tid i A""&amp;row()),
AND(A54&lt;&gt;"""",A54&lt;&gt;""=time(hh;mm;ss)""),A54+TIME(0,CEILING(indirect(""L""&amp;row()),5),0))"),0.3645833333333335)</f>
        <v>0.3645833333</v>
      </c>
      <c r="C54" s="42"/>
      <c r="D54" s="43" t="str">
        <f t="shared" ref="D54:D55" si="5">IFS($M$2=1,$E$2,
AND($M$2&gt;1,OR(C54="4x4 BLD",C54="5x5 BLD",C54="3x3 MBLD",C54="4x4 / 5x5 BLD")),$E$4,
$M$2&gt;1,$E$2)</f>
        <v>Stora salen</v>
      </c>
      <c r="E54" s="43" t="str">
        <f>IFERROR(__xludf.DUMMYFUNCTION("IFS(COUNTIF(Info!$A$22:A81,C54)&gt;0,"""",
AND(OR(""3x3 FMC""=C54,""3x3 MBLD""=C54),COUNTIF($C$7:indirect(""C""&amp;row()),indirect(""C""&amp;row()))&gt;=13),""E - Error"",
AND(OR(""3x3 FMC""=C54,""3x3 MBLD""=C54),COUNTIF($C$7:indirect(""C""&amp;row()),indirect(""C""&amp;row()"&amp;"))=12),""Final - A3"",
AND(OR(""3x3 FMC""=C54,""3x3 MBLD""=C54),COUNTIF($C$7:indirect(""C""&amp;row()),indirect(""C""&amp;row()))=11),""Final - A2"",
AND(OR(""3x3 FMC""=C54,""3x3 MBLD""=C54),COUNTIF($C$7:indirect(""C""&amp;row()),indirect(""C""&amp;row()))=10),""Final - "&amp;"A1"",
AND(OR(""3x3 FMC""=C54,""3x3 MBLD""=C54),COUNTIF($C$7:indirect(""C""&amp;row()),indirect(""C""&amp;row()))=9,
COUNTIF($C$7:$C$61,indirect(""C""&amp;row()))&gt;9),""R3 - A3"",
AND(OR(""3x3 FMC""=C54,""3x3 MBLD""=C54),COUNTIF($C$7:indirect(""C""&amp;row()),indirect(""C"&amp;"""&amp;row()))=9,
COUNTIF($C$7:$C$61,indirect(""C""&amp;row()))&lt;=9),""Final - A3"",
AND(OR(""3x3 FMC""=C54,""3x3 MBLD""=C54),COUNTIF($C$7:indirect(""C""&amp;row()),indirect(""C""&amp;row()))=8,
COUNTIF($C$7:$C$61,indirect(""C""&amp;row()))&gt;9),""R3 - A2"",
AND(OR(""3x3 FMC""="&amp;"C54,""3x3 MBLD""=C54),COUNTIF($C$7:indirect(""C""&amp;row()),indirect(""C""&amp;row()))=8,
COUNTIF($C$7:$C$61,indirect(""C""&amp;row()))&lt;=9),""Final - A2"",
AND(OR(""3x3 FMC""=C54,""3x3 MBLD""=C54),COUNTIF($C$7:indirect(""C""&amp;row()),indirect(""C""&amp;row()))=7,
COUNTIF("&amp;"$C$7:$C$61,indirect(""C""&amp;row()))&gt;9),""R3 - A1"",
AND(OR(""3x3 FMC""=C54,""3x3 MBLD""=C54),COUNTIF($C$7:indirect(""C""&amp;row()),indirect(""C""&amp;row()))=7,
COUNTIF($C$7:$C$61,indirect(""C""&amp;row()))&lt;=9),""Final - A1"",
AND(OR(""3x3 FMC""=C54,""3x3 MBLD""=C54),"&amp;"COUNTIF($C$7:indirect(""C""&amp;row()),indirect(""C""&amp;row()))=6,
COUNTIF($C$7:$C$61,indirect(""C""&amp;row()))&gt;6),""R2 - A3"",
AND(OR(""3x3 FMC""=C54,""3x3 MBLD""=C54),COUNTIF($C$7:indirect(""C""&amp;row()),indirect(""C""&amp;row()))=6,
COUNTIF($C$7:$C$61,indirect(""C""&amp;"&amp;"row()))&lt;=6),""Final - A3"",
AND(OR(""3x3 FMC""=C54,""3x3 MBLD""=C54),COUNTIF($C$7:indirect(""C""&amp;row()),indirect(""C""&amp;row()))=5,
COUNTIF($C$7:$C$61,indirect(""C""&amp;row()))&gt;6),""R2 - A2"",
AND(OR(""3x3 FMC""=C54,""3x3 MBLD""=C54),COUNTIF($C$7:indirect(""C"&amp;"""&amp;row()),indirect(""C""&amp;row()))=5,
COUNTIF($C$7:$C$61,indirect(""C""&amp;row()))&lt;=6),""Final - A2"",
AND(OR(""3x3 FMC""=C54,""3x3 MBLD""=C54),COUNTIF($C$7:indirect(""C""&amp;row()),indirect(""C""&amp;row()))=4,
COUNTIF($C$7:$C$61,indirect(""C""&amp;row()))&gt;6),""R2 - A1"&amp;""",
AND(OR(""3x3 FMC""=C54,""3x3 MBLD""=C54),COUNTIF($C$7:indirect(""C""&amp;row()),indirect(""C""&amp;row()))=4,
COUNTIF($C$7:$C$61,indirect(""C""&amp;row()))&lt;=6),""Final - A1"",
AND(OR(""3x3 FMC""=C54,""3x3 MBLD""=C54),COUNTIF($C$7:indirect(""C""&amp;row()),indirect("""&amp;"C""&amp;row()))=3),""R1 - A3"",
AND(OR(""3x3 FMC""=C54,""3x3 MBLD""=C54),COUNTIF($C$7:indirect(""C""&amp;row()),indirect(""C""&amp;row()))=2),""R1 - A2"",
AND(OR(""3x3 FMC""=C54,""3x3 MBLD""=C54),COUNTIF($C$7:indirect(""C""&amp;row()),indirect(""C""&amp;row()))=1),""R1 -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C54),ROUNDUP((FILTER(Info!$H$2:H81,Info!$A$2:A81=C54)/FILTER(Info!$H$2:H81,Info!$A$2:A81=$K$2))*$I$2)&gt;99),3,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C54),ROUNDUP((FILTER(Info!$H$2:H81,Info!$A$2:A81=C54)/FILTER(Info!$H$2:H81,Info!$A$2:A81=$K$2))*$I$2)&gt;15),2,
AND(COUNTIF($C$7:indirect(""C""&amp;row()),indirect(""C""&amp;row()))=2,COUNTIF($C$7:$C$61,indirect(""C""&amp;row()))=COUNTIF($C$7:indirect("""&amp;"C""&amp;row()),indirect(""C""&amp;row()))),""Final"",
COUNTIF($C$7:indirect(""C""&amp;row()),indirect(""C""&amp;row()))=1,1,
COUNTIF($C$7:indirect(""C""&amp;row()),indirect(""C""&amp;row()))=0,"""")"),"")</f>
        <v/>
      </c>
      <c r="F54" s="44" t="str">
        <f>IFERROR(__xludf.DUMMYFUNCTION("IFS(C54="""","""",
AND(C54=""3x3 FMC"",MOD(COUNTIF($C$7:indirect(""C""&amp;row()),indirect(""C""&amp;row())),3)=0),""Mean of 3"",
AND(C54=""3x3 MBLD"",MOD(COUNTIF($C$7:indirect(""C""&amp;row()),indirect(""C""&amp;row())),3)=0),""Best of 3"",
AND(C54=""3x3 FMC"",MOD(COUNT"&amp;"IF($C$7:indirect(""C""&amp;row()),indirect(""C""&amp;row())),3)=2,
COUNTIF($C$7:$C$61,indirect(""C""&amp;row()))&lt;=COUNTIF($C$7:indirect(""C""&amp;row()),indirect(""C""&amp;row()))),""Best of 2"",
AND(C54=""3x3 FMC"",MOD(COUNTIF($C$7:indirect(""C""&amp;row()),indirect(""C""&amp;row()"&amp;")),3)=2,
COUNTIF($C$7:$C$61,indirect(""C""&amp;row()))&gt;COUNTIF($C$7:indirect(""C""&amp;row()),indirect(""C""&amp;row()))),""Mean of 3"",
AND(C54=""3x3 MBLD"",MOD(COUNTIF($C$7:indirect(""C""&amp;row()),indirect(""C""&amp;row())),3)=2,
COUNTIF($C$7:$C$61,indirect(""C""&amp;row()))"&amp;"&lt;=COUNTIF($C$7:indirect(""C""&amp;row()),indirect(""C""&amp;row()))),""Best of 2"",
AND(C54=""3x3 MBLD"",MOD(COUNTIF($C$7:indirect(""C""&amp;row()),indirect(""C""&amp;row())),3)=2,
COUNTIF($C$7:$C$61,indirect(""C""&amp;row()))&gt;COUNTIF($C$7:indirect(""C""&amp;row()),indirect(""C"&amp;"""&amp;row()))),""Best of 3"",
AND(C54=""3x3 FMC"",MOD(COUNTIF($C$7:indirect(""C""&amp;row()),indirect(""C""&amp;row())),3)=1,
COUNTIF($C$7:$C$61,indirect(""C""&amp;row()))&lt;=COUNTIF($C$7:indirect(""C""&amp;row()),indirect(""C""&amp;row()))),""Best of 1"",
AND(C54=""3x3 FMC"",MOD"&amp;"(COUNTIF($C$7:indirect(""C""&amp;row()),indirect(""C""&amp;row())),3)=1,
COUNTIF($C$7:$C$61,indirect(""C""&amp;row()))=COUNTIF($C$7:indirect(""C""&amp;row()),indirect(""C""&amp;row()))+1),""Best of 2"",
AND(C54=""3x3 FMC"",MOD(COUNTIF($C$7:indirect(""C""&amp;row()),indirect(""C"&amp;"""&amp;row())),3)=1,
COUNTIF($C$7:$C$61,indirect(""C""&amp;row()))&gt;COUNTIF($C$7:indirect(""C""&amp;row()),indirect(""C""&amp;row()))),""Mean of 3"",
AND(C54=""3x3 MBLD"",MOD(COUNTIF($C$7:indirect(""C""&amp;row()),indirect(""C""&amp;row())),3)=1,
COUNTIF($C$7:$C$61,indirect(""C"""&amp;"&amp;row()))&lt;=COUNTIF($C$7:indirect(""C""&amp;row()),indirect(""C""&amp;row()))),""Best of 1"",
AND(C54=""3x3 MBLD"",MOD(COUNTIF($C$7:indirect(""C""&amp;row()),indirect(""C""&amp;row())),3)=1,
COUNTIF($C$7:$C$61,indirect(""C""&amp;row()))=COUNTIF($C$7:indirect(""C""&amp;row()),indir"&amp;"ect(""C""&amp;row()))+1),""Best of 2"",
AND(C54=""3x3 MBLD"",MOD(COUNTIF($C$7:indirect(""C""&amp;row()),indirect(""C""&amp;row())),3)=1,
COUNTIF($C$7:$C$61,indirect(""C""&amp;row()))&gt;COUNTIF($C$7:indirect(""C""&amp;row()),indirect(""C""&amp;row()))),""Best of 3"",
TRUE,(IFERROR("&amp;"FILTER(Info!$D$2:D81, Info!$A$2:A81 = C54), """")))"),"")</f>
        <v/>
      </c>
      <c r="G54" s="45" t="str">
        <f>IFERROR(__xludf.DUMMYFUNCTION("IFS(OR(COUNTIF(Info!$A$22:A81,C54)&gt;0,C54=""""),"""",
OR(""3x3 MBLD""=C54,""3x3 FMC""=C54),60,
AND(E54=1,FILTER(Info!$F$2:F81, Info!$A$2:A81 = C54) = ""No""),FILTER(Info!$P$2:P81, Info!$A$2:A81 = C54),
AND(E54=2,FILTER(Info!$F$2:F81, Info!$A$2:A81 = C54) ="&amp;" ""No""),FILTER(Info!$Q$2:Q81, Info!$A$2:A81 = C54),
AND(E54=3,FILTER(Info!$F$2:F81, Info!$A$2:A81 = C54) = ""No""),FILTER(Info!$R$2:R81, Info!$A$2:A81 = C54),
AND(E54=""Final"",FILTER(Info!$F$2:F81, Info!$A$2:A81 = C54) = ""No""),FILTER(Info!$S$2:S81, In"&amp;"fo!$A$2:A81 = C54),
FILTER(Info!$F$2:F81, Info!$A$2:A81 = C54) = ""Yes"","""")"),"")</f>
        <v/>
      </c>
      <c r="H54" s="45" t="str">
        <f>IFERROR(__xludf.DUMMYFUNCTION("IFS(OR(COUNTIF(Info!$A$22:A81,C54)&gt;0,C54=""""),"""",
OR(""3x3 MBLD""=C54,""3x3 FMC""=C54)=TRUE,"""",
FILTER(Info!$F$2:F81, Info!$A$2:A81 = C54) = ""Yes"",FILTER(Info!$O$2:O81, Info!$A$2:A81 = C54),
FILTER(Info!$F$2:F81, Info!$A$2:A81 = C54) = ""No"",IF(G5"&amp;"4="""",FILTER(Info!$O$2:O81, Info!$A$2:A81 = C54),""""))"),"")</f>
        <v/>
      </c>
      <c r="I54" s="45" t="str">
        <f>IFERROR(__xludf.DUMMYFUNCTION("IFS(OR(COUNTIF(Info!$A$22:A81,C54)&gt;0,C54="""",H54&lt;&gt;""""),"""",
AND(E54&lt;&gt;1,E54&lt;&gt;""R1 - A1"",E54&lt;&gt;""R1 - A2"",E54&lt;&gt;""R1 - A3""),"""",
FILTER(Info!$E$2:E81, Info!$A$2:A81 = C54) = ""Yes"",IF(H54="""",FILTER(Info!$L$2:L81, Info!$A$2:A81 = C54),""""),
FILTER(I"&amp;"nfo!$E$2:E81, Info!$A$2:A81 = C54) = ""No"","""")"),"")</f>
        <v/>
      </c>
      <c r="J54" s="45" t="str">
        <f>IFERROR(__xludf.DUMMYFUNCTION("IFS(OR(COUNTIF(Info!$A$22:A81,C54)&gt;0,C54="""",""3x3 MBLD""=C54,""3x3 FMC""=C54),"""",
AND(E54=1,FILTER(Info!$H$2:H81,Info!$A$2:A81 = C54)&lt;=FILTER(Info!$H$2:H81,Info!$A$2:A81=$K$2)),
ROUNDUP((FILTER(Info!$H$2:H81,Info!$A$2:A81 = C54)/FILTER(Info!$H$2:H81,I"&amp;"nfo!$A$2:A81=$K$2))*$I$2),
AND(E54=1,FILTER(Info!$H$2:H81,Info!$A$2:A81 = C54)&gt;FILTER(Info!$H$2:H81,Info!$A$2:A81=$K$2)),""K2 - Error"",
AND(E54=2,FILTER($J$7:indirect(""J""&amp;row()-1),$C$7:indirect(""C""&amp;row()-1)=C54)&lt;=7),""J - Error"",
E54=2,FLOOR(FILTER("&amp;"$J$7:indirect(""J""&amp;row()-1),$C$7:indirect(""C""&amp;row()-1)=C54)*Info!$T$32),
AND(E54=3,FILTER($J$7:indirect(""J""&amp;row()-1),$C$7:indirect(""C""&amp;row()-1)=C54)&lt;=15),""J - Error"",
E54=3,FLOOR(Info!$T$32*FLOOR(FILTER($J$7:indirect(""J""&amp;row()-1),$C$7:indirect("&amp;"""C""&amp;row()-1)=C54)*Info!$T$32)),
AND(E54=""Final"",COUNTIF($C$7:$C$61,C54)=2,FILTER($J$7:indirect(""J""&amp;row()-1),$C$7:indirect(""C""&amp;row()-1)=C54)&lt;=7),""J - Error"",
AND(E54=""Final"",COUNTIF($C$7:$C$61,C54)=2),
MIN(P54,FLOOR(FILTER($J$7:indirect(""J""&amp;r"&amp;"ow()-1),$C$7:indirect(""C""&amp;row()-1)=C54)*Info!$T$32)),
AND(E54=""Final"",COUNTIF($C$7:$C$61,C54)=3,FILTER($J$7:indirect(""J""&amp;row()-1),$C$7:indirect(""C""&amp;row()-1)=C54)&lt;=15),""J - Error"",
AND(E54=""Final"",COUNTIF($C$7:$C$61,C54)=3),
MIN(P54,FLOOR(Info!"&amp;"$T$32*FLOOR(FILTER($J$7:indirect(""J""&amp;row()-1),$C$7:indirect(""C""&amp;row()-1)=C54)*Info!$T$32))),
AND(E54=""Final"",COUNTIF($C$7:$C$61,C54)&gt;=4,FILTER($J$7:indirect(""J""&amp;row()-1),$C$7:indirect(""C""&amp;row()-1)=C54)&lt;=99),""J - Error"",
AND(E54=""Final"",COUNT"&amp;"IF($C$7:$C$61,C54)&gt;=4),
MIN(P54,FLOOR(Info!$T$32*FLOOR(Info!$T$32*FLOOR(FILTER($J$7:indirect(""J""&amp;row()-1),$C$7:indirect(""C""&amp;row()-1)=C54)*Info!$T$32)))))"),"")</f>
        <v/>
      </c>
      <c r="K54" s="46" t="str">
        <f>IFERROR(__xludf.DUMMYFUNCTION("IFS(AND(indirect(""D""&amp;row()+2)&lt;&gt;$E$2,indirect(""D""&amp;row()+1)=""""),CONCATENATE(""Tom rad! Kopiera hela rad ""&amp;row()&amp;"" dit""),
AND(indirect(""D""&amp;row()-1)&lt;&gt;""Rum"",indirect(""D""&amp;row()-1)=""""),CONCATENATE(""Tom rad! Kopiera hela rad ""&amp;row()&amp;"" dit""),
"&amp;"C54="""","""",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OR(AND(D54&lt;&gt;$E$2,D54&lt;&gt;$E$4,D54&lt;&gt;$K$4,D54&lt;&gt;$Q$4),D54="&amp;"""""),CONCATENATE(""Rum: ""&amp;D54&amp;"" finns ej, byt i D""&amp;row()),
AND(indirect(""D""&amp;row()-1)=""Rum"",C54=""""),CONCATENATE(""För att börja: skriv i cell C""&amp;row()),
AND(C54=""Paus"",M54&lt;=0),CONCATENATE(""Skriv pausens längd i M""&amp;row()),
OR(COUNTIF(Info!$A$"&amp;"22:A81,C54)&gt;0,C54=""""),"""",
AND(D54&lt;&gt;$E$2,$O$2=""Yes"",A54=""=time(hh;mm;ss)""),CONCATENATE(""Skriv starttid för ""&amp;C54&amp;"" i A""&amp;row()),
E54=""E - Error"",CONCATENATE(""För många ""&amp;C54&amp;"" rundor!""),
AND(C54&lt;&gt;""3x3 FMC"",C54&lt;&gt;""3x3 MBLD"",E54&lt;&gt;1,E54&lt;&gt;"&amp;"""Final"",IFERROR(FILTER($E$7:indirect(""E""&amp;row()-1),
$E$7:indirect(""E""&amp;row()-1)=E54-1,$C$7:indirect(""C""&amp;row()-1)=C54))=FALSE),CONCATENATE(""Kan ej vara R""&amp;E54&amp;"", saknar R""&amp;(E54-1)),
AND(indirect(""E""&amp;row()-1)&lt;&gt;""Omgång"",IFERROR(FILTER($E$7:indi"&amp;"rect(""E""&amp;row()-1),
$E$7:indirect(""E""&amp;row()-1)=E54,$C$7:indirect(""C""&amp;row()-1)=C54)=E54)=TRUE),CONCATENATE(""Runda ""&amp;E54&amp;"" i ""&amp;C54&amp;"" finns redan""),
AND(C54&lt;&gt;""3x3 BLD"",C54&lt;&gt;""4x4 BLD"",C54&lt;&gt;""5x5 BLD"",C54&lt;&gt;""4x4 / 5x5 BLD"",OR(E54=2,E54=3,E54="&amp;"""Final""),H54&lt;&gt;""""),CONCATENATE(E54&amp;""-rundor brukar ej ha c.t.l.""),
AND(OR(E54=2,E54=3,E54=""Final""),I54&lt;&gt;""""),CONCATENATE(E54&amp;""-rundor brukar ej ha cutoff""),
AND(OR(C54=""3x3 FMC"",C54=""3x3 MBLD""),OR(E54=1,E54=2,E54=3,E54=""Final"")),CONCATENAT"&amp;"E(C54&amp;""s omgång är Rx - Ax""),
AND(C54&lt;&gt;""3x3 MBLD"",C54&lt;&gt;""3x3 FMC"",FILTER(Info!$D$2:D81, Info!$A$2:A81 = C54)&lt;&gt;F54),CONCATENATE(C54&amp;"" måste ha formatet ""&amp;FILTER(Info!$D$2:D81, Info!$A$2:A81 = C54)),
AND(C54=""3x3 MBLD"",OR(F54=""Avg of 5"",F54=""Mea"&amp;"n of 3"")),CONCATENATE(""Ogiltigt format för ""&amp;C54),
AND(C54=""3x3 FMC"",OR(F54=""Avg of 5"",F54=""Best of 3"")),CONCATENATE(""Ogiltigt format för ""&amp;C54),
AND(OR(F54=""Best of 1"",F54=""Best of 2"",F54=""Best of 3""),I54&lt;&gt;""""),CONCATENATE(F54&amp;""-rundor"&amp;" får ej ha cutoff""),
AND(OR(C54=""3x3 FMC"",C54=""3x3 MBLD""),G54&lt;&gt;60),CONCATENATE(C54&amp;"" måste ha time limit: 60""),
AND(OR(C54=""3x3 FMC"",C54=""3x3 MBLD""),H54&lt;&gt;""""),CONCATENATE(C54&amp;"" kan inte ha c.t.l.""),
AND(G54&lt;&gt;"""",H54&lt;&gt;""""),""Välj time limit"&amp;" ELLER c.t.l"",
AND(C54=""6x6 / 7x7"",G54="""",H54=""""),""Sätt time limit (x / y) eller c.t.l (z)"",
AND(G54="""",H54=""""),""Sätt en time limit eller c.t.l"",
AND(OR(C54=""6x6 / 7x7"",C54=""4x4 / 5x5 BLD""),G54&lt;&gt;"""",REGEXMATCH(TO_TEXT(G54),"" / "")=FAL"&amp;"SE),CONCATENATE(""Time limit måste vara x / y""),
AND(H54&lt;&gt;"""",I54&lt;&gt;""""),CONCATENATE(C54&amp;"" brukar ej ha cutoff OCH c.t.l""),
AND(E54=1,H54="""",I54="""",OR(FILTER(Info!$E$2:E81, Info!$A$2:A81 = C54) = ""Yes"",FILTER(Info!$F$2:F81, Info!$A$2:A81 = C54) "&amp;"= ""Yes""),OR(F54=""Avg of 5"",F54=""Mean of 3"")),CONCATENATE(C54&amp;"" bör ha cutoff eller c.t.l""),
AND(C54=""6x6 / 7x7"",I54&lt;&gt;"""",REGEXMATCH(TO_TEXT(I54),"" / "")=FALSE),CONCATENATE(""Cutoff måste vara x / y""),
AND(H54&lt;&gt;"""",ISNUMBER(H54)=FALSE),""C.t."&amp;"l. måste vara positivt tal (x)"",
AND(C54&lt;&gt;""6x6 / 7x7"",I54&lt;&gt;"""",ISNUMBER(I54)=FALSE),""Cutoff måste vara positivt tal (x)"",
AND(H54&lt;&gt;"""",FILTER(Info!$E$2:E81, Info!$A$2:A81 = C54) = ""No"",FILTER(Info!$F$2:F81, Info!$A$2:A81 = C54) = ""No""),CONCATEN"&amp;"ATE(C54&amp;"" brukar inte ha c.t.l.""),
AND(I54&lt;&gt;"""",FILTER(Info!$E$2:E81, Info!$A$2:A81 = C54) = ""No"",FILTER(Info!$F$2:F81, Info!$A$2:A81 = C54) = ""No""),CONCATENATE(C54&amp;"" brukar inte ha cutoff""),
AND(H54="""",FILTER(Info!$F$2:F81, Info!$A$2:A81 = C54"&amp;") = ""Yes""),CONCATENATE(C54&amp;"" brukar ha c.t.l.""),
AND(C54&lt;&gt;""6x6 / 7x7"",C54&lt;&gt;""4x4 / 5x5 BLD"",G54&lt;&gt;"""",ISNUMBER(G54)=FALSE),""Time limit måste vara positivt tal (x)"",
J54=""J - Error"",CONCATENATE(""För få deltagare i R1 för ""&amp;COUNTIF($C$7:$C$61,i"&amp;"ndirect(""C""&amp;row()))&amp;"" rundor""),
J54=""K2 - Error"",CONCATENATE(C54&amp;"" är mer populär - byt i K2!""),
AND(C54&lt;&gt;""6x6 / 7x7"",C54&lt;&gt;""4x4 / 5x5 BLD"",G54&lt;&gt;"""",I54&lt;&gt;"""",G54&lt;=I54),""Time limit måste vara &gt; cutoff"",
AND(C54&lt;&gt;""6x6 / 7x7"",C54&lt;&gt;""4x4 / 5x"&amp;"5 BLD"",H54&lt;&gt;"""",I54&lt;&gt;"""",H54&lt;=I54),""C.t.l. måste vara &gt; cutoff"",
AND(C54&lt;&gt;""3x3 FMC"",C54&lt;&gt;""3x3 MBLD"",J54=""""),CONCATENATE(""Fyll i antal deltagare i J""&amp;row()),
AND(C54="""",OR(E54&lt;&gt;"""",F54&lt;&gt;"""",G54&lt;&gt;"""",H54&lt;&gt;"""",I54&lt;&gt;"""",J54&lt;&gt;"""")),""Skriv"&amp;" ALLTID gren / aktivitet först"",
AND(I54="""",H54="""",J54&lt;&gt;""""),J54,
OR(""3x3 FMC""=C54,""3x3 MBLD""=C54),J54,
AND(I54&lt;&gt;"""",""6x6 / 7x7""=C54),
IFS(ArrayFormula(SUM(IFERROR(SPLIT(I54,"" / ""))))&lt;(Info!$J$6+Info!$J$7)*2/3,CONCATENATE(""Höj helst cutoff"&amp;"s i ""&amp;C54),
ArrayFormula(SUM(IFERROR(SPLIT(I54,"" / ""))))&lt;=(Info!$J$6+Info!$J$7),ROUNDUP(J54*Info!$J$22),
ArrayFormula(SUM(IFERROR(SPLIT(I54,"" / ""))))&lt;=Info!$J$6+Info!$J$7,ROUNDUP(J54*Info!$K$22),
ArrayFormula(SUM(IFERROR(SPLIT(I54,"" / ""))))&lt;=Info!$"&amp;"K$6+Info!$K$7,ROUNDUP(J54*Info!L$22),
ArrayFormula(SUM(IFERROR(SPLIT(I54,"" / ""))))&lt;=Info!$L$6+Info!$L$7,ROUNDUP(J54*Info!$M$22),
ArrayFormula(SUM(IFERROR(SPLIT(I54,"" / ""))))&lt;=Info!$M$6+Info!$M$7,ROUNDUP(J54*Info!$N$22),
ArrayFormula(SUM(IFERROR(SPLIT("&amp;"I54,"" / ""))))&lt;=(Info!$N$6+Info!$N$7)*3/2,ROUNDUP(J54*Info!$J$26),
ArrayFormula(SUM(IFERROR(SPLIT(I54,"" / ""))))&gt;(Info!$N$6+Info!$N$7)*3/2,CONCATENATE(""Sänk helst cutoffs i ""&amp;C54)),
AND(I54&lt;&gt;"""",FILTER(Info!$E$2:E81, Info!$A$2:A81 = C54) = ""Yes""),
"&amp;"IFS(I54&lt;FILTER(Info!$J$2:J81, Info!$A$2:A81 = C54)*2/3,CONCATENATE(""Höj helst cutoff i ""&amp;C54),
I54&lt;=FILTER(Info!$J$2:J81, Info!$A$2:A81 = C54),ROUNDUP(J54*Info!$J$22),
I54&lt;=FILTER(Info!$K$2:K81, Info!$A$2:A81 = C54),ROUNDUP(J54*Info!$K$22),
I54&lt;=FILTER("&amp;"Info!$L$2:L81, Info!$A$2:A81 = C54),ROUNDUP(J54*Info!L$22),
I54&lt;=FILTER(Info!$M$2:M81, Info!$A$2:A81 = C54),ROUNDUP(J54*Info!$M$22),
I54&lt;=FILTER(Info!$N$2:N81, Info!$A$2:A81 = C54),ROUNDUP(J54*Info!$N$22),
I54&lt;=FILTER(Info!$N$2:N81, Info!$A$2:A81 = C54)*3"&amp;"/2,ROUNDUP(J54*Info!$J$26),
I54&gt;FILTER(Info!$N$2:N81, Info!$A$2:A81 = C54)*3/2,CONCATENATE(""Sänk helst cutoff i ""&amp;C54)),
AND(H54&lt;&gt;"""",""6x6 / 7x7""=C54),
IFS(H54/3&lt;=(Info!$J$6+Info!$J$7)*2/3,""Höj helst cumulative time limit"",
H54/3&lt;=Info!$J$6+Info!$J"&amp;"$7,ROUNDUP(J54*Info!$J$24),
H54/3&lt;=Info!$K$6+Info!$K$7,ROUNDUP(J54*Info!$K$24),
H54/3&lt;=Info!$L$6+Info!$L$7,ROUNDUP(J54*Info!L$24),
H54/3&lt;=Info!$M$6+Info!$M$7,ROUNDUP(J54*Info!$M$24),
H54/3&lt;=Info!$N$6+Info!$N$7,ROUNDUP(J54*Info!$N$24),
H54/3&lt;=(Info!$N$6+In"&amp;"fo!$N$7)*3/2,ROUNDUP(J54*Info!$L$26),
H54/3&gt;(Info!$J$6+Info!$J$7)*3/2,""Sänk helst cumulative time limit""),
AND(H54&lt;&gt;"""",FILTER(Info!$F$2:F81, Info!$A$2:A81 = C54) = ""Yes""),
IFS(H54&lt;=FILTER(Info!$J$2:J81, Info!$A$2:A81 = C54)*2/3,CONCATENATE(""Höj hel"&amp;"st c.t.l. i ""&amp;C54),
H54&lt;=FILTER(Info!$J$2:J81, Info!$A$2:A81 = C54),ROUNDUP(J54*Info!$J$24),
H54&lt;=FILTER(Info!$K$2:K81, Info!$A$2:A81 = C54),ROUNDUP(J54*Info!$K$24),
H54&lt;=FILTER(Info!$L$2:L81, Info!$A$2:A81 = C54),ROUNDUP(J54*Info!L$24),
H54&lt;=FILTER(Info"&amp;"!$M$2:M81, Info!$A$2:A81 = C54),ROUNDUP(J54*Info!$M$24),
H54&lt;=FILTER(Info!$N$2:N81, Info!$A$2:A81 = C54),ROUNDUP(J54*Info!$N$24),
H54&lt;=FILTER(Info!$N$2:N81, Info!$A$2:A81 = C54)*3/2,ROUNDUP(J54*Info!$L$26),
H54&gt;FILTER(Info!$N$2:N81, Info!$A$2:A81 = C54)*3"&amp;"/2,CONCATENATE(""Sänk helst c.t.l. i ""&amp;C54)),
AND(H54&lt;&gt;"""",FILTER(Info!$F$2:F81, Info!$A$2:A81 = C54) = ""No""),
IFS(H54/AA54&lt;=FILTER(Info!$J$2:J81, Info!$A$2:A81 = C54)*2/3,CONCATENATE(""Höj helst c.t.l. i ""&amp;C54),
H54/AA54&lt;=FILTER(Info!$J$2:J81, Info!"&amp;"$A$2:A81 = C54),ROUNDUP(J54*Info!$J$24),
H54/AA54&lt;=FILTER(Info!$K$2:K81, Info!$A$2:A81 = C54),ROUNDUP(J54*Info!$K$24),
H54/AA54&lt;=FILTER(Info!$L$2:L81, Info!$A$2:A81 = C54),ROUNDUP(J54*Info!L$24),
H54/AA54&lt;=FILTER(Info!$M$2:M81, Info!$A$2:A81 = C54),ROUNDU"&amp;"P(J54*Info!$M$24),
H54/AA54&lt;=FILTER(Info!$N$2:N81, Info!$A$2:A81 = C54),ROUNDUP(J54*Info!$N$24),
H54/AA54&lt;=FILTER(Info!$N$2:N81, Info!$A$2:A81 = C54)*3/2,ROUNDUP(J54*Info!$L$26),
H54/AA54&gt;FILTER(Info!$N$2:N81, Info!$A$2:A81 = C54)*3/2,CONCATENATE(""Sänk h"&amp;"elst c.t.l. i ""&amp;C54)),
AND(I54="""",H54&lt;&gt;"""",J54&lt;&gt;""""),ROUNDUP(J54*Info!$T$29),
AND(I54&lt;&gt;"""",H54="""",J54&lt;&gt;""""),ROUNDUP(J54*Info!$T$26))"),"")</f>
        <v/>
      </c>
      <c r="L54" s="47">
        <f>IFERROR(__xludf.DUMMYFUNCTION("IFS(C54="""",0,
C54=""3x3 FMC"",Info!$B$9*N54+M54, C54=""3x3 MBLD"",Info!$B$18*N54+M54,
COUNTIF(Info!$A$22:A81,C54)&gt;0,FILTER(Info!$B$22:B81,Info!$A$22:A81=C54)+M54,
AND(C54&lt;&gt;"""",E54=""""),CONCATENATE(""Fyll i E""&amp;row()),
AND(C54&lt;&gt;"""",E54&lt;&gt;"""",E54&lt;&gt;1,E5"&amp;"4&lt;&gt;2,E54&lt;&gt;3,E54&lt;&gt;""Final""),CONCATENATE(""Fel format på E""&amp;row()),
K54=CONCATENATE(""Runda ""&amp;E54&amp;"" i ""&amp;C54&amp;"" finns redan""),CONCATENATE(""Fel i E""&amp;row()),
AND(C54&lt;&gt;"""",F54=""""),CONCATENATE(""Fyll i F""&amp;row()),
K54=CONCATENATE(C54&amp;"" måste ha forma"&amp;"tet ""&amp;FILTER(Info!$D$2:D81, Info!$A$2:A81 = C54)),CONCATENATE(""Fel format på F""&amp;row()),
AND(C54&lt;&gt;"""",D54=1,H54="""",FILTER(Info!$F$2:F81, Info!$A$2:A81 = C54) = ""Yes""),CONCATENATE(""Fyll i H""&amp;row()),
AND(C54&lt;&gt;"""",D54=1,I54="""",FILTER(Info!$E$2:E8"&amp;"1, Info!$A$2:A81 = C54) = ""Yes""),CONCATENATE(""Fyll i I""&amp;row()),
AND(C54&lt;&gt;"""",J54=""""),CONCATENATE(""Fyll i J""&amp;row()),
AND(C54&lt;&gt;"""",K54="""",OR(H54&lt;&gt;"""",I54&lt;&gt;"""")),CONCATENATE(""Fyll i K""&amp;row()),
AND(C54&lt;&gt;"""",K54=""""),CONCATENATE(""Skriv samma"&amp;" i K""&amp;row()&amp;"" som i J""&amp;row()),
AND(OR(C54=""4x4 BLD"",C54=""5x5 BLD"",C54=""4x4 / 5x5 BLD"")=TRUE,V54&lt;=P54),
MROUND(H54*(Info!$T$20-((Info!$T$20-1)/2)*(1-V54/P54))*(1+((J54/K54)-1)*(1-Info!$J$24))*N54+(Info!$T$11/2)+(N54*Info!$T$11)+(N54*Info!$T$14*(O5"&amp;"4-1)),0.01)+M54,
AND(OR(C54=""4x4 BLD"",C54=""5x5 BLD"",C54=""4x4 / 5x5 BLD"")=TRUE,V54&gt;P54),
MROUND((((J54*Z54+K54*(AA54-Z54))*(H54*Info!$T$20/AA54))/X54)*(1+((J54/K54)-1)*(1-Info!$J$24))*(1+(X54-Info!$T$8)/100)+(Info!$T$11/2)+(N54*Info!$T$11)+(N54*Info!"&amp;"$T$14*(O54-1)),0.01)+M54,
AND(C54=""3x3 BLD"",V54&lt;=P54),
MROUND(H54*(Info!$T$23-((Info!$T$23-1)/2)*(1-V54/P54))*(1+((J54/K54)-1)*(1-Info!$J$24))*N54+(Info!$T$11/2)+(N54*Info!$T$11)+(N54*Info!$T$14*(O54-1)),0.01)+M54,
AND(C54=""3x3 BLD"",V54&gt;P54),
MROUND(("&amp;"((J54*Z54+K54*(AA54-Z54))*(H54*Info!$T$23/AA54))/X54)*(1+((J54/K54)-1)*(1-Info!$J$24))*(1+(X54-Info!$T$8)/100)+(Info!$T$11/2)+(N54*Info!$T$11)+(N54*Info!$T$14*(O54-1)),0.01)+M54,
E54=1,MROUND((((J54*Z54+K54*(AA54-Z54))*Y54)/X54)*(1+(X54-Info!$T$8)/100)+(N"&amp;"54*Info!$T$11)+(N54*Info!$T$14*(O54-1)),0.01)+M54,
AND(E54=""Final"",N54=1,FILTER(Info!$G$2:$G$20,Info!$A$2:$A$20=C54)=""Mycket svår""),
MROUND((((J54*Z54+K54*(AA54-Z54))*(Y54*Info!$T$38))/X54)*(1+(X54-Info!$T$8)/100)+(N54*Info!$T$11)+(N54*Info!$T$14*(O54"&amp;"-1)),0.01)+M54,
AND(E54=""Final"",N54=1,FILTER(Info!$G$2:$G$20,Info!$A$2:$A$20=C54)=""Svår""),
MROUND((((J54*Z54+K54*(AA54-Z54))*(Y54*Info!$T$35))/X54)*(1+(X54-Info!$T$8)/100)+(N54*Info!$T$11)+(N54*Info!$T$14*(O54-1)),0.01)+M54,
E54=""Final"",MROUND((((J5"&amp;"4*Z54+K54*(AA54-Z54))*(Y54*Info!$T$5))/X54)*(1+(X54-Info!$T$8)/100)+(N54*Info!$T$11)+(N54*Info!$T$14*(O54-1)),0.01)+M54,
OR(E54=2,E54=3),MROUND((((J54*Z54+K54*(AA54-Z54))*(Y54*Info!$T$2))/X54)*(1+(X54-Info!$T$8)/100)+(N54*Info!$T$11)+(N54*Info!$T$14*(O54-"&amp;"1)),0.01)+M54)"),0.0)</f>
        <v>0</v>
      </c>
      <c r="M54" s="48">
        <f t="shared" ref="M54:M55" si="6">$W$2</f>
        <v>0</v>
      </c>
      <c r="N54" s="48" t="str">
        <f>IFS(OR(COUNTIF(Info!$A$22:A81,C54)&gt;0,C54=""),"",
OR(C54="4x4 BLD",C54="5x5 BLD",C54="3x3 MBLD",C54="3x3 FMC",C54="4x4 / 5x5 BLD"),1,
AND(E54="Final",Q54="Yes",MAX(1,ROUNDUP(J54/P54))&gt;1),MAX(2,ROUNDUP(J54/P54)),
AND(E54="Final",Q54="No",MAX(1,ROUNDUP(J54/((P54*2)+2.625-Y54*1.5)))&gt;1),MAX(2,ROUNDUP(J54/((P54*2)+2.625-Y54*1.5))),
E54="Final",1,
Q54="Yes",MAX(2,ROUNDUP(J54/P54)),
TRUE,MAX(2,ROUNDUP(J54/((P54*2)+2.625-Y54*1.5))))</f>
        <v/>
      </c>
      <c r="O54" s="48" t="str">
        <f>IFS(OR(COUNTIF(Info!$A$22:A81,C54)&gt;0,C54=""),"",
OR("3x3 MBLD"=C54,"3x3 FMC"=C54)=TRUE,"",
D54=$E$4,$G$6,D54=$K$4,$M$6,D54=$Q$4,$S$6,D54=$W$4,$Y$6,
TRUE,$S$2)</f>
        <v/>
      </c>
      <c r="P54" s="48" t="str">
        <f>IFS(OR(COUNTIF(Info!$A$22:A81,C54)&gt;0,C54=""),"",
OR("3x3 MBLD"=C54,"3x3 FMC"=C54)=TRUE,"",
D54=$E$4,$E$6,D54=$K$4,$K$6,D54=$Q$4,$Q$6,D54=$W$4,$W$6,
TRUE,$Q$2)</f>
        <v/>
      </c>
      <c r="Q54" s="49" t="str">
        <f>IFS(OR(COUNTIF(Info!$A$22:A81,C54)&gt;0,C54=""),"",
OR("3x3 MBLD"=C54,"3x3 FMC"=C54)=TRUE,"",
D54=$E$4,$I$6,D54=$K$4,$O$6,D54=$Q$4,$U$6,D54=$W$4,$AA$6,
TRUE,$U$2)</f>
        <v/>
      </c>
      <c r="R54" s="50" t="str">
        <f>IFERROR(__xludf.DUMMYFUNCTION("IF(C54="""","""",IFERROR(FILTER(Info!$B$22:B81,Info!$A$22:A81=C54)+M54,""?""))"),"")</f>
        <v/>
      </c>
      <c r="S54" s="51" t="str">
        <f>IFS(OR(COUNTIF(Info!$A$22:A81,C54)&gt;0,C54=""),"",
AND(H54="",I54=""),J54,
TRUE,"?")</f>
        <v/>
      </c>
      <c r="T54" s="52" t="str">
        <f>IFS(OR(COUNTIF(Info!$A$22:A81,C54)&gt;0,C54=""),"",
AND(L54&lt;&gt;0,OR(R54="?",R54="")),"Fyll i R-kolumnen",
OR(C54="3x3 FMC",C54="3x3 MBLD"),R54,
AND(L54&lt;&gt;0,OR(S54="?",S54="")),"Fyll i S-kolumnen",
OR(COUNTIF(Info!$A$22:A81,C54)&gt;0,C54=""),"",
TRUE,Y54*R54/L54)</f>
        <v/>
      </c>
      <c r="U54" s="52"/>
      <c r="V54" s="53" t="str">
        <f>IFS(OR(COUNTIF(Info!$A$22:A81,C54)&gt;0,C54=""),"",
OR("3x3 MBLD"=C54,"3x3 FMC"=C54)=TRUE,"",
TRUE,MROUND((J54/N54),0.01))</f>
        <v/>
      </c>
      <c r="W54" s="54" t="str">
        <f>IFS(OR(COUNTIF(Info!$A$22:A81,C54)&gt;0,C54=""),"",
TRUE,L54/N54)</f>
        <v/>
      </c>
      <c r="X54" s="55" t="str">
        <f>IFS(OR(COUNTIF(Info!$A$22:A81,C54)&gt;0,C54=""),"",
OR("3x3 MBLD"=C54,"3x3 FMC"=C54)=TRUE,"",
OR(C54="4x4 BLD",C54="5x5 BLD",C54="4x4 / 5x5 BLD",AND(C54="3x3 BLD",H54&lt;&gt;""))=TRUE,MIN(V54,P54),
TRUE,MIN(P54,V54,MROUND(((V54*2/3)+((Y54-1.625)/2)),0.01)))</f>
        <v/>
      </c>
      <c r="Y54" s="56" t="str">
        <f>IFERROR(__xludf.DUMMYFUNCTION("IFS(OR(COUNTIF(Info!$A$22:A81,C54)&gt;0,C54=""""),"""",
FILTER(Info!$F$2:F81, Info!$A$2:A81 = C54) = ""Yes"",H54/AA54,
""3x3 FMC""=C54,Info!$B$9,""3x3 MBLD""=C54,Info!$B$18,
AND(E54=1,I54="""",H54="""",Q54=""No"",G54&gt;SUMIF(Info!$A$2:A81,C54,Info!$B$2:B81)*1."&amp;"5),
MIN(SUMIF(Info!$A$2:A81,C54,Info!$B$2:B81)*1.1,SUMIF(Info!$A$2:A81,C54,Info!$B$2:B81)*(1.15-(0.15*(SUMIF(Info!$A$2:A81,C54,Info!$B$2:B81)*1.5)/G54))),
AND(E54=1,I54="""",H54="""",Q54=""Yes"",G54&gt;SUMIF(Info!$A$2:A81,C54,Info!$C$2:C81)*1.5),
MIN(SUMIF(I"&amp;"nfo!$A$2:A81,C54,Info!$C$2:C81)*1.1,SUMIF(Info!$A$2:A81,C54,Info!$C$2:C81)*(1.15-(0.15*(SUMIF(Info!$A$2:A81,C54,Info!$C$2:C81)*1.5)/G54))),
Q54=""No"",SUMIF(Info!$A$2:A81,C54,Info!$B$2:B81),
Q54=""Yes"",SUMIF(Info!$A$2:A81,C54,Info!$C$2:C81))"),"")</f>
        <v/>
      </c>
      <c r="Z54" s="57" t="str">
        <f>IFS(OR(COUNTIF(Info!$A$22:A81,C54)&gt;0,C54=""),"",
AND(OR("3x3 FMC"=C54,"3x3 MBLD"=C54),I54&lt;&gt;""),1,
AND(OR(H54&lt;&gt;"",I54&lt;&gt;""),F54="Avg of 5"),2,
F54="Avg of 5",AA54,
AND(OR(H54&lt;&gt;"",I54&lt;&gt;""),F54="Mean of 3",C54="6x6 / 7x7"),2,
AND(OR(H54&lt;&gt;"",I54&lt;&gt;""),F54="Mean of 3"),1,
F54="Mean of 3",AA54,
AND(OR(H54&lt;&gt;"",I54&lt;&gt;""),F54="Best of 3",C54="4x4 / 5x5 BLD"),2,
AND(OR(H54&lt;&gt;"",I54&lt;&gt;""),F54="Best of 3"),1,
F54="Best of 2",AA54,
F54="Best of 1",AA54)</f>
        <v/>
      </c>
      <c r="AA54" s="57" t="str">
        <f>IFS(OR(COUNTIF(Info!$A$22:A81,C54)&gt;0,C54=""),"",
AND(OR("3x3 MBLD"=C54,"3x3 FMC"=C54),F54="Best of 1"=TRUE),1,
AND(OR("3x3 MBLD"=C54,"3x3 FMC"=C54),F54="Best of 2"=TRUE),2,
AND(OR("3x3 MBLD"=C54,"3x3 FMC"=C54),OR(F54="Best of 3",F54="Mean of 3")=TRUE),3,
AND(F54="Mean of 3",C54="6x6 / 7x7"),6,
AND(F54="Best of 3",C54="4x4 / 5x5 BLD"),6,
F54="Avg of 5",5,F54="Mean of 3",3,F54="Best of 3",3,F54="Best of 2",2,F54="Best of 1",1)</f>
        <v/>
      </c>
      <c r="AB54" s="58"/>
    </row>
    <row r="55">
      <c r="A55" s="40">
        <f>IFERROR(__xludf.DUMMYFUNCTION("IFS(indirect(""A""&amp;row()-1)=""Start"",TIME(indirect(""A""&amp;row()-2),indirect(""B""&amp;row()-2),0),
$O$2=""No"",TIME(0,($A$6*60+$B$6)+CEILING(SUM($L$7:indirect(""L""&amp;row()-1)),5),0),
D55=$E$2,TIME(0,($A$6*60+$B$6)+CEILING(SUM(IFERROR(FILTER($L$7:indirect(""L"""&amp;"&amp;row()-1),REGEXMATCH($D$7:indirect(""D""&amp;row()-1),$E$2)),0)),5),0),
TRUE,""=time(hh;mm;ss)"")"),0.3645833333333335)</f>
        <v>0.3645833333</v>
      </c>
      <c r="B55" s="41">
        <f>IFERROR(__xludf.DUMMYFUNCTION("IFS($O$2=""No"",TIME(0,($A$6*60+$B$6)+CEILING(SUM($L$7:indirect(""L""&amp;row())),5),0),
D55=$E$2,TIME(0,($A$6*60+$B$6)+CEILING(SUM(FILTER($L$7:indirect(""L""&amp;row()),REGEXMATCH($D$7:indirect(""D""&amp;row()),$E$2))),5),0),
A55=""=time(hh;mm;ss)"",CONCATENATE(""Sk"&amp;"riv tid i A""&amp;row()),
AND(A55&lt;&gt;"""",A55&lt;&gt;""=time(hh;mm;ss)""),A55+TIME(0,CEILING(indirect(""L""&amp;row()),5),0))"),0.3645833333333335)</f>
        <v>0.3645833333</v>
      </c>
      <c r="C55" s="42"/>
      <c r="D55" s="43" t="str">
        <f t="shared" si="5"/>
        <v>Stora salen</v>
      </c>
      <c r="E55" s="43" t="str">
        <f>IFERROR(__xludf.DUMMYFUNCTION("IFS(COUNTIF(Info!$A$22:A81,C55)&gt;0,"""",
AND(OR(""3x3 FMC""=C55,""3x3 MBLD""=C55),COUNTIF($C$7:indirect(""C""&amp;row()),indirect(""C""&amp;row()))&gt;=13),""E - Error"",
AND(OR(""3x3 FMC""=C55,""3x3 MBLD""=C55),COUNTIF($C$7:indirect(""C""&amp;row()),indirect(""C""&amp;row()"&amp;"))=12),""Final - A3"",
AND(OR(""3x3 FMC""=C55,""3x3 MBLD""=C55),COUNTIF($C$7:indirect(""C""&amp;row()),indirect(""C""&amp;row()))=11),""Final - A2"",
AND(OR(""3x3 FMC""=C55,""3x3 MBLD""=C55),COUNTIF($C$7:indirect(""C""&amp;row()),indirect(""C""&amp;row()))=10),""Final - "&amp;"A1"",
AND(OR(""3x3 FMC""=C55,""3x3 MBLD""=C55),COUNTIF($C$7:indirect(""C""&amp;row()),indirect(""C""&amp;row()))=9,
COUNTIF($C$7:$C$61,indirect(""C""&amp;row()))&gt;9),""R3 - A3"",
AND(OR(""3x3 FMC""=C55,""3x3 MBLD""=C55),COUNTIF($C$7:indirect(""C""&amp;row()),indirect(""C"&amp;"""&amp;row()))=9,
COUNTIF($C$7:$C$61,indirect(""C""&amp;row()))&lt;=9),""Final - A3"",
AND(OR(""3x3 FMC""=C55,""3x3 MBLD""=C55),COUNTIF($C$7:indirect(""C""&amp;row()),indirect(""C""&amp;row()))=8,
COUNTIF($C$7:$C$61,indirect(""C""&amp;row()))&gt;9),""R3 - A2"",
AND(OR(""3x3 FMC""="&amp;"C55,""3x3 MBLD""=C55),COUNTIF($C$7:indirect(""C""&amp;row()),indirect(""C""&amp;row()))=8,
COUNTIF($C$7:$C$61,indirect(""C""&amp;row()))&lt;=9),""Final - A2"",
AND(OR(""3x3 FMC""=C55,""3x3 MBLD""=C55),COUNTIF($C$7:indirect(""C""&amp;row()),indirect(""C""&amp;row()))=7,
COUNTIF("&amp;"$C$7:$C$61,indirect(""C""&amp;row()))&gt;9),""R3 - A1"",
AND(OR(""3x3 FMC""=C55,""3x3 MBLD""=C55),COUNTIF($C$7:indirect(""C""&amp;row()),indirect(""C""&amp;row()))=7,
COUNTIF($C$7:$C$61,indirect(""C""&amp;row()))&lt;=9),""Final - A1"",
AND(OR(""3x3 FMC""=C55,""3x3 MBLD""=C55),"&amp;"COUNTIF($C$7:indirect(""C""&amp;row()),indirect(""C""&amp;row()))=6,
COUNTIF($C$7:$C$61,indirect(""C""&amp;row()))&gt;6),""R2 - A3"",
AND(OR(""3x3 FMC""=C55,""3x3 MBLD""=C55),COUNTIF($C$7:indirect(""C""&amp;row()),indirect(""C""&amp;row()))=6,
COUNTIF($C$7:$C$61,indirect(""C""&amp;"&amp;"row()))&lt;=6),""Final - A3"",
AND(OR(""3x3 FMC""=C55,""3x3 MBLD""=C55),COUNTIF($C$7:indirect(""C""&amp;row()),indirect(""C""&amp;row()))=5,
COUNTIF($C$7:$C$61,indirect(""C""&amp;row()))&gt;6),""R2 - A2"",
AND(OR(""3x3 FMC""=C55,""3x3 MBLD""=C55),COUNTIF($C$7:indirect(""C"&amp;"""&amp;row()),indirect(""C""&amp;row()))=5,
COUNTIF($C$7:$C$61,indirect(""C""&amp;row()))&lt;=6),""Final - A2"",
AND(OR(""3x3 FMC""=C55,""3x3 MBLD""=C55),COUNTIF($C$7:indirect(""C""&amp;row()),indirect(""C""&amp;row()))=4,
COUNTIF($C$7:$C$61,indirect(""C""&amp;row()))&gt;6),""R2 - A1"&amp;""",
AND(OR(""3x3 FMC""=C55,""3x3 MBLD""=C55),COUNTIF($C$7:indirect(""C""&amp;row()),indirect(""C""&amp;row()))=4,
COUNTIF($C$7:$C$61,indirect(""C""&amp;row()))&lt;=6),""Final - A1"",
AND(OR(""3x3 FMC""=C55,""3x3 MBLD""=C55),COUNTIF($C$7:indirect(""C""&amp;row()),indirect("""&amp;"C""&amp;row()))=3),""R1 - A3"",
AND(OR(""3x3 FMC""=C55,""3x3 MBLD""=C55),COUNTIF($C$7:indirect(""C""&amp;row()),indirect(""C""&amp;row()))=2),""R1 - A2"",
AND(OR(""3x3 FMC""=C55,""3x3 MBLD""=C55),COUNTIF($C$7:indirect(""C""&amp;row()),indirect(""C""&amp;row()))=1),""R1 -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C55),ROUNDUP((FILTER(Info!$H$2:H81,Info!$A$2:A81=C55)/FILTER(Info!$H$2:H81,Info!$A$2:A81=$K$2))*$I$2)&gt;99),3,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C55),ROUNDUP((FILTER(Info!$H$2:H81,Info!$A$2:A81=C55)/FILTER(Info!$H$2:H81,Info!$A$2:A81=$K$2))*$I$2)&gt;15),2,
AND(COUNTIF($C$7:indirect(""C""&amp;row()),indirect(""C""&amp;row()))=2,COUNTIF($C$7:$C$61,indirect(""C""&amp;row()))=COUNTIF($C$7:indirect("""&amp;"C""&amp;row()),indirect(""C""&amp;row()))),""Final"",
COUNTIF($C$7:indirect(""C""&amp;row()),indirect(""C""&amp;row()))=1,1,
COUNTIF($C$7:indirect(""C""&amp;row()),indirect(""C""&amp;row()))=0,"""")"),"")</f>
        <v/>
      </c>
      <c r="F55" s="44" t="str">
        <f>IFERROR(__xludf.DUMMYFUNCTION("IFS(C55="""","""",
AND(C55=""3x3 FMC"",MOD(COUNTIF($C$7:indirect(""C""&amp;row()),indirect(""C""&amp;row())),3)=0),""Mean of 3"",
AND(C55=""3x3 MBLD"",MOD(COUNTIF($C$7:indirect(""C""&amp;row()),indirect(""C""&amp;row())),3)=0),""Best of 3"",
AND(C55=""3x3 FMC"",MOD(COUNT"&amp;"IF($C$7:indirect(""C""&amp;row()),indirect(""C""&amp;row())),3)=2,
COUNTIF($C$7:$C$61,indirect(""C""&amp;row()))&lt;=COUNTIF($C$7:indirect(""C""&amp;row()),indirect(""C""&amp;row()))),""Best of 2"",
AND(C55=""3x3 FMC"",MOD(COUNTIF($C$7:indirect(""C""&amp;row()),indirect(""C""&amp;row()"&amp;")),3)=2,
COUNTIF($C$7:$C$61,indirect(""C""&amp;row()))&gt;COUNTIF($C$7:indirect(""C""&amp;row()),indirect(""C""&amp;row()))),""Mean of 3"",
AND(C55=""3x3 MBLD"",MOD(COUNTIF($C$7:indirect(""C""&amp;row()),indirect(""C""&amp;row())),3)=2,
COUNTIF($C$7:$C$61,indirect(""C""&amp;row()))"&amp;"&lt;=COUNTIF($C$7:indirect(""C""&amp;row()),indirect(""C""&amp;row()))),""Best of 2"",
AND(C55=""3x3 MBLD"",MOD(COUNTIF($C$7:indirect(""C""&amp;row()),indirect(""C""&amp;row())),3)=2,
COUNTIF($C$7:$C$61,indirect(""C""&amp;row()))&gt;COUNTIF($C$7:indirect(""C""&amp;row()),indirect(""C"&amp;"""&amp;row()))),""Best of 3"",
AND(C55=""3x3 FMC"",MOD(COUNTIF($C$7:indirect(""C""&amp;row()),indirect(""C""&amp;row())),3)=1,
COUNTIF($C$7:$C$61,indirect(""C""&amp;row()))&lt;=COUNTIF($C$7:indirect(""C""&amp;row()),indirect(""C""&amp;row()))),""Best of 1"",
AND(C55=""3x3 FMC"",MOD"&amp;"(COUNTIF($C$7:indirect(""C""&amp;row()),indirect(""C""&amp;row())),3)=1,
COUNTIF($C$7:$C$61,indirect(""C""&amp;row()))=COUNTIF($C$7:indirect(""C""&amp;row()),indirect(""C""&amp;row()))+1),""Best of 2"",
AND(C55=""3x3 FMC"",MOD(COUNTIF($C$7:indirect(""C""&amp;row()),indirect(""C"&amp;"""&amp;row())),3)=1,
COUNTIF($C$7:$C$61,indirect(""C""&amp;row()))&gt;COUNTIF($C$7:indirect(""C""&amp;row()),indirect(""C""&amp;row()))),""Mean of 3"",
AND(C55=""3x3 MBLD"",MOD(COUNTIF($C$7:indirect(""C""&amp;row()),indirect(""C""&amp;row())),3)=1,
COUNTIF($C$7:$C$61,indirect(""C"""&amp;"&amp;row()))&lt;=COUNTIF($C$7:indirect(""C""&amp;row()),indirect(""C""&amp;row()))),""Best of 1"",
AND(C55=""3x3 MBLD"",MOD(COUNTIF($C$7:indirect(""C""&amp;row()),indirect(""C""&amp;row())),3)=1,
COUNTIF($C$7:$C$61,indirect(""C""&amp;row()))=COUNTIF($C$7:indirect(""C""&amp;row()),indir"&amp;"ect(""C""&amp;row()))+1),""Best of 2"",
AND(C55=""3x3 MBLD"",MOD(COUNTIF($C$7:indirect(""C""&amp;row()),indirect(""C""&amp;row())),3)=1,
COUNTIF($C$7:$C$61,indirect(""C""&amp;row()))&gt;COUNTIF($C$7:indirect(""C""&amp;row()),indirect(""C""&amp;row()))),""Best of 3"",
TRUE,(IFERROR("&amp;"FILTER(Info!$D$2:D81, Info!$A$2:A81 = C55), """")))"),"")</f>
        <v/>
      </c>
      <c r="G55" s="45" t="str">
        <f>IFERROR(__xludf.DUMMYFUNCTION("IFS(OR(COUNTIF(Info!$A$22:A81,C55)&gt;0,C55=""""),"""",
OR(""3x3 MBLD""=C55,""3x3 FMC""=C55),60,
AND(E55=1,FILTER(Info!$F$2:F81, Info!$A$2:A81 = C55) = ""No""),FILTER(Info!$P$2:P81, Info!$A$2:A81 = C55),
AND(E55=2,FILTER(Info!$F$2:F81, Info!$A$2:A81 = C55) ="&amp;" ""No""),FILTER(Info!$Q$2:Q81, Info!$A$2:A81 = C55),
AND(E55=3,FILTER(Info!$F$2:F81, Info!$A$2:A81 = C55) = ""No""),FILTER(Info!$R$2:R81, Info!$A$2:A81 = C55),
AND(E55=""Final"",FILTER(Info!$F$2:F81, Info!$A$2:A81 = C55) = ""No""),FILTER(Info!$S$2:S81, In"&amp;"fo!$A$2:A81 = C55),
FILTER(Info!$F$2:F81, Info!$A$2:A81 = C55) = ""Yes"","""")"),"")</f>
        <v/>
      </c>
      <c r="H55" s="45" t="str">
        <f>IFERROR(__xludf.DUMMYFUNCTION("IFS(OR(COUNTIF(Info!$A$22:A81,C55)&gt;0,C55=""""),"""",
OR(""3x3 MBLD""=C55,""3x3 FMC""=C55)=TRUE,"""",
FILTER(Info!$F$2:F81, Info!$A$2:A81 = C55) = ""Yes"",FILTER(Info!$O$2:O81, Info!$A$2:A81 = C55),
FILTER(Info!$F$2:F81, Info!$A$2:A81 = C55) = ""No"",IF(G5"&amp;"5="""",FILTER(Info!$O$2:O81, Info!$A$2:A81 = C55),""""))"),"")</f>
        <v/>
      </c>
      <c r="I55" s="45" t="str">
        <f>IFERROR(__xludf.DUMMYFUNCTION("IFS(OR(COUNTIF(Info!$A$22:A81,C55)&gt;0,C55="""",H55&lt;&gt;""""),"""",
AND(E55&lt;&gt;1,E55&lt;&gt;""R1 - A1"",E55&lt;&gt;""R1 - A2"",E55&lt;&gt;""R1 - A3""),"""",
FILTER(Info!$E$2:E81, Info!$A$2:A81 = C55) = ""Yes"",IF(H55="""",FILTER(Info!$L$2:L81, Info!$A$2:A81 = C55),""""),
FILTER(I"&amp;"nfo!$E$2:E81, Info!$A$2:A81 = C55) = ""No"","""")"),"")</f>
        <v/>
      </c>
      <c r="J55" s="45" t="str">
        <f>IFERROR(__xludf.DUMMYFUNCTION("IFS(OR(COUNTIF(Info!$A$22:A81,C55)&gt;0,C55="""",""3x3 MBLD""=C55,""3x3 FMC""=C55),"""",
AND(E55=1,FILTER(Info!$H$2:H81,Info!$A$2:A81 = C55)&lt;=FILTER(Info!$H$2:H81,Info!$A$2:A81=$K$2)),
ROUNDUP((FILTER(Info!$H$2:H81,Info!$A$2:A81 = C55)/FILTER(Info!$H$2:H81,I"&amp;"nfo!$A$2:A81=$K$2))*$I$2),
AND(E55=1,FILTER(Info!$H$2:H81,Info!$A$2:A81 = C55)&gt;FILTER(Info!$H$2:H81,Info!$A$2:A81=$K$2)),""K2 - Error"",
AND(E55=2,FILTER($J$7:indirect(""J""&amp;row()-1),$C$7:indirect(""C""&amp;row()-1)=C55)&lt;=7),""J - Error"",
E55=2,FLOOR(FILTER("&amp;"$J$7:indirect(""J""&amp;row()-1),$C$7:indirect(""C""&amp;row()-1)=C55)*Info!$T$32),
AND(E55=3,FILTER($J$7:indirect(""J""&amp;row()-1),$C$7:indirect(""C""&amp;row()-1)=C55)&lt;=15),""J - Error"",
E55=3,FLOOR(Info!$T$32*FLOOR(FILTER($J$7:indirect(""J""&amp;row()-1),$C$7:indirect("&amp;"""C""&amp;row()-1)=C55)*Info!$T$32)),
AND(E55=""Final"",COUNTIF($C$7:$C$61,C55)=2,FILTER($J$7:indirect(""J""&amp;row()-1),$C$7:indirect(""C""&amp;row()-1)=C55)&lt;=7),""J - Error"",
AND(E55=""Final"",COUNTIF($C$7:$C$61,C55)=2),
MIN(P55,FLOOR(FILTER($J$7:indirect(""J""&amp;r"&amp;"ow()-1),$C$7:indirect(""C""&amp;row()-1)=C55)*Info!$T$32)),
AND(E55=""Final"",COUNTIF($C$7:$C$61,C55)=3,FILTER($J$7:indirect(""J""&amp;row()-1),$C$7:indirect(""C""&amp;row()-1)=C55)&lt;=15),""J - Error"",
AND(E55=""Final"",COUNTIF($C$7:$C$61,C55)=3),
MIN(P55,FLOOR(Info!"&amp;"$T$32*FLOOR(FILTER($J$7:indirect(""J""&amp;row()-1),$C$7:indirect(""C""&amp;row()-1)=C55)*Info!$T$32))),
AND(E55=""Final"",COUNTIF($C$7:$C$61,C55)&gt;=4,FILTER($J$7:indirect(""J""&amp;row()-1),$C$7:indirect(""C""&amp;row()-1)=C55)&lt;=99),""J - Error"",
AND(E55=""Final"",COUNT"&amp;"IF($C$7:$C$61,C55)&gt;=4),
MIN(P55,FLOOR(Info!$T$32*FLOOR(Info!$T$32*FLOOR(FILTER($J$7:indirect(""J""&amp;row()-1),$C$7:indirect(""C""&amp;row()-1)=C55)*Info!$T$32)))))"),"")</f>
        <v/>
      </c>
      <c r="K55" s="46" t="str">
        <f>IFERROR(__xludf.DUMMYFUNCTION("IFS(AND(indirect(""D""&amp;row()+2)&lt;&gt;$E$2,indirect(""D""&amp;row()+1)=""""),CONCATENATE(""Tom rad! Kopiera hela rad ""&amp;row()&amp;"" dit""),
AND(indirect(""D""&amp;row()-1)&lt;&gt;""Rum"",indirect(""D""&amp;row()-1)=""""),CONCATENATE(""Tom rad! Kopiera hela rad ""&amp;row()&amp;"" dit""),
"&amp;"C55="""","""",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OR(AND(D55&lt;&gt;$E$2,D55&lt;&gt;$E$4,D55&lt;&gt;$K$4,D55&lt;&gt;$Q$4),D55="&amp;"""""),CONCATENATE(""Rum: ""&amp;D55&amp;"" finns ej, byt i D""&amp;row()),
AND(indirect(""D""&amp;row()-1)=""Rum"",C55=""""),CONCATENATE(""För att börja: skriv i cell C""&amp;row()),
AND(C55=""Paus"",M55&lt;=0),CONCATENATE(""Skriv pausens längd i M""&amp;row()),
OR(COUNTIF(Info!$A$"&amp;"22:A81,C55)&gt;0,C55=""""),"""",
AND(D55&lt;&gt;$E$2,$O$2=""Yes"",A55=""=time(hh;mm;ss)""),CONCATENATE(""Skriv starttid för ""&amp;C55&amp;"" i A""&amp;row()),
E55=""E - Error"",CONCATENATE(""För många ""&amp;C55&amp;"" rundor!""),
AND(C55&lt;&gt;""3x3 FMC"",C55&lt;&gt;""3x3 MBLD"",E55&lt;&gt;1,E55&lt;&gt;"&amp;"""Final"",IFERROR(FILTER($E$7:indirect(""E""&amp;row()-1),
$E$7:indirect(""E""&amp;row()-1)=E55-1,$C$7:indirect(""C""&amp;row()-1)=C55))=FALSE),CONCATENATE(""Kan ej vara R""&amp;E55&amp;"", saknar R""&amp;(E55-1)),
AND(indirect(""E""&amp;row()-1)&lt;&gt;""Omgång"",IFERROR(FILTER($E$7:indi"&amp;"rect(""E""&amp;row()-1),
$E$7:indirect(""E""&amp;row()-1)=E55,$C$7:indirect(""C""&amp;row()-1)=C55)=E55)=TRUE),CONCATENATE(""Runda ""&amp;E55&amp;"" i ""&amp;C55&amp;"" finns redan""),
AND(C55&lt;&gt;""3x3 BLD"",C55&lt;&gt;""4x4 BLD"",C55&lt;&gt;""5x5 BLD"",C55&lt;&gt;""4x4 / 5x5 BLD"",OR(E55=2,E55=3,E55="&amp;"""Final""),H55&lt;&gt;""""),CONCATENATE(E55&amp;""-rundor brukar ej ha c.t.l.""),
AND(OR(E55=2,E55=3,E55=""Final""),I55&lt;&gt;""""),CONCATENATE(E55&amp;""-rundor brukar ej ha cutoff""),
AND(OR(C55=""3x3 FMC"",C55=""3x3 MBLD""),OR(E55=1,E55=2,E55=3,E55=""Final"")),CONCATENAT"&amp;"E(C55&amp;""s omgång är Rx - Ax""),
AND(C55&lt;&gt;""3x3 MBLD"",C55&lt;&gt;""3x3 FMC"",FILTER(Info!$D$2:D81, Info!$A$2:A81 = C55)&lt;&gt;F55),CONCATENATE(C55&amp;"" måste ha formatet ""&amp;FILTER(Info!$D$2:D81, Info!$A$2:A81 = C55)),
AND(C55=""3x3 MBLD"",OR(F55=""Avg of 5"",F55=""Mea"&amp;"n of 3"")),CONCATENATE(""Ogiltigt format för ""&amp;C55),
AND(C55=""3x3 FMC"",OR(F55=""Avg of 5"",F55=""Best of 3"")),CONCATENATE(""Ogiltigt format för ""&amp;C55),
AND(OR(F55=""Best of 1"",F55=""Best of 2"",F55=""Best of 3""),I55&lt;&gt;""""),CONCATENATE(F55&amp;""-rundor"&amp;" får ej ha cutoff""),
AND(OR(C55=""3x3 FMC"",C55=""3x3 MBLD""),G55&lt;&gt;60),CONCATENATE(C55&amp;"" måste ha time limit: 60""),
AND(OR(C55=""3x3 FMC"",C55=""3x3 MBLD""),H55&lt;&gt;""""),CONCATENATE(C55&amp;"" kan inte ha c.t.l.""),
AND(G55&lt;&gt;"""",H55&lt;&gt;""""),""Välj time limit"&amp;" ELLER c.t.l"",
AND(C55=""6x6 / 7x7"",G55="""",H55=""""),""Sätt time limit (x / y) eller c.t.l (z)"",
AND(G55="""",H55=""""),""Sätt en time limit eller c.t.l"",
AND(OR(C55=""6x6 / 7x7"",C55=""4x4 / 5x5 BLD""),G55&lt;&gt;"""",REGEXMATCH(TO_TEXT(G55),"" / "")=FAL"&amp;"SE),CONCATENATE(""Time limit måste vara x / y""),
AND(H55&lt;&gt;"""",I55&lt;&gt;""""),CONCATENATE(C55&amp;"" brukar ej ha cutoff OCH c.t.l""),
AND(E55=1,H55="""",I55="""",OR(FILTER(Info!$E$2:E81, Info!$A$2:A81 = C55) = ""Yes"",FILTER(Info!$F$2:F81, Info!$A$2:A81 = C55) "&amp;"= ""Yes""),OR(F55=""Avg of 5"",F55=""Mean of 3"")),CONCATENATE(C55&amp;"" bör ha cutoff eller c.t.l""),
AND(C55=""6x6 / 7x7"",I55&lt;&gt;"""",REGEXMATCH(TO_TEXT(I55),"" / "")=FALSE),CONCATENATE(""Cutoff måste vara x / y""),
AND(H55&lt;&gt;"""",ISNUMBER(H55)=FALSE),""C.t."&amp;"l. måste vara positivt tal (x)"",
AND(C55&lt;&gt;""6x6 / 7x7"",I55&lt;&gt;"""",ISNUMBER(I55)=FALSE),""Cutoff måste vara positivt tal (x)"",
AND(H55&lt;&gt;"""",FILTER(Info!$E$2:E81, Info!$A$2:A81 = C55) = ""No"",FILTER(Info!$F$2:F81, Info!$A$2:A81 = C55) = ""No""),CONCATEN"&amp;"ATE(C55&amp;"" brukar inte ha c.t.l.""),
AND(I55&lt;&gt;"""",FILTER(Info!$E$2:E81, Info!$A$2:A81 = C55) = ""No"",FILTER(Info!$F$2:F81, Info!$A$2:A81 = C55) = ""No""),CONCATENATE(C55&amp;"" brukar inte ha cutoff""),
AND(H55="""",FILTER(Info!$F$2:F81, Info!$A$2:A81 = C55"&amp;") = ""Yes""),CONCATENATE(C55&amp;"" brukar ha c.t.l.""),
AND(C55&lt;&gt;""6x6 / 7x7"",C55&lt;&gt;""4x4 / 5x5 BLD"",G55&lt;&gt;"""",ISNUMBER(G55)=FALSE),""Time limit måste vara positivt tal (x)"",
J55=""J - Error"",CONCATENATE(""För få deltagare i R1 för ""&amp;COUNTIF($C$7:$C$61,i"&amp;"ndirect(""C""&amp;row()))&amp;"" rundor""),
J55=""K2 - Error"",CONCATENATE(C55&amp;"" är mer populär - byt i K2!""),
AND(C55&lt;&gt;""6x6 / 7x7"",C55&lt;&gt;""4x4 / 5x5 BLD"",G55&lt;&gt;"""",I55&lt;&gt;"""",G55&lt;=I55),""Time limit måste vara &gt; cutoff"",
AND(C55&lt;&gt;""6x6 / 7x7"",C55&lt;&gt;""4x4 / 5x"&amp;"5 BLD"",H55&lt;&gt;"""",I55&lt;&gt;"""",H55&lt;=I55),""C.t.l. måste vara &gt; cutoff"",
AND(C55&lt;&gt;""3x3 FMC"",C55&lt;&gt;""3x3 MBLD"",J55=""""),CONCATENATE(""Fyll i antal deltagare i J""&amp;row()),
AND(C55="""",OR(E55&lt;&gt;"""",F55&lt;&gt;"""",G55&lt;&gt;"""",H55&lt;&gt;"""",I55&lt;&gt;"""",J55&lt;&gt;"""")),""Skriv"&amp;" ALLTID gren / aktivitet först"",
AND(I55="""",H55="""",J55&lt;&gt;""""),J55,
OR(""3x3 FMC""=C55,""3x3 MBLD""=C55),J55,
AND(I55&lt;&gt;"""",""6x6 / 7x7""=C55),
IFS(ArrayFormula(SUM(IFERROR(SPLIT(I55,"" / ""))))&lt;(Info!$J$6+Info!$J$7)*2/3,CONCATENATE(""Höj helst cutoff"&amp;"s i ""&amp;C55),
ArrayFormula(SUM(IFERROR(SPLIT(I55,"" / ""))))&lt;=(Info!$J$6+Info!$J$7),ROUNDUP(J55*Info!$J$22),
ArrayFormula(SUM(IFERROR(SPLIT(I55,"" / ""))))&lt;=Info!$J$6+Info!$J$7,ROUNDUP(J55*Info!$K$22),
ArrayFormula(SUM(IFERROR(SPLIT(I55,"" / ""))))&lt;=Info!$"&amp;"K$6+Info!$K$7,ROUNDUP(J55*Info!L$22),
ArrayFormula(SUM(IFERROR(SPLIT(I55,"" / ""))))&lt;=Info!$L$6+Info!$L$7,ROUNDUP(J55*Info!$M$22),
ArrayFormula(SUM(IFERROR(SPLIT(I55,"" / ""))))&lt;=Info!$M$6+Info!$M$7,ROUNDUP(J55*Info!$N$22),
ArrayFormula(SUM(IFERROR(SPLIT("&amp;"I55,"" / ""))))&lt;=(Info!$N$6+Info!$N$7)*3/2,ROUNDUP(J55*Info!$J$26),
ArrayFormula(SUM(IFERROR(SPLIT(I55,"" / ""))))&gt;(Info!$N$6+Info!$N$7)*3/2,CONCATENATE(""Sänk helst cutoffs i ""&amp;C55)),
AND(I55&lt;&gt;"""",FILTER(Info!$E$2:E81, Info!$A$2:A81 = C55) = ""Yes""),
"&amp;"IFS(I55&lt;FILTER(Info!$J$2:J81, Info!$A$2:A81 = C55)*2/3,CONCATENATE(""Höj helst cutoff i ""&amp;C55),
I55&lt;=FILTER(Info!$J$2:J81, Info!$A$2:A81 = C55),ROUNDUP(J55*Info!$J$22),
I55&lt;=FILTER(Info!$K$2:K81, Info!$A$2:A81 = C55),ROUNDUP(J55*Info!$K$22),
I55&lt;=FILTER("&amp;"Info!$L$2:L81, Info!$A$2:A81 = C55),ROUNDUP(J55*Info!L$22),
I55&lt;=FILTER(Info!$M$2:M81, Info!$A$2:A81 = C55),ROUNDUP(J55*Info!$M$22),
I55&lt;=FILTER(Info!$N$2:N81, Info!$A$2:A81 = C55),ROUNDUP(J55*Info!$N$22),
I55&lt;=FILTER(Info!$N$2:N81, Info!$A$2:A81 = C55)*3"&amp;"/2,ROUNDUP(J55*Info!$J$26),
I55&gt;FILTER(Info!$N$2:N81, Info!$A$2:A81 = C55)*3/2,CONCATENATE(""Sänk helst cutoff i ""&amp;C55)),
AND(H55&lt;&gt;"""",""6x6 / 7x7""=C55),
IFS(H55/3&lt;=(Info!$J$6+Info!$J$7)*2/3,""Höj helst cumulative time limit"",
H55/3&lt;=Info!$J$6+Info!$J"&amp;"$7,ROUNDUP(J55*Info!$J$24),
H55/3&lt;=Info!$K$6+Info!$K$7,ROUNDUP(J55*Info!$K$24),
H55/3&lt;=Info!$L$6+Info!$L$7,ROUNDUP(J55*Info!L$24),
H55/3&lt;=Info!$M$6+Info!$M$7,ROUNDUP(J55*Info!$M$24),
H55/3&lt;=Info!$N$6+Info!$N$7,ROUNDUP(J55*Info!$N$24),
H55/3&lt;=(Info!$N$6+In"&amp;"fo!$N$7)*3/2,ROUNDUP(J55*Info!$L$26),
H55/3&gt;(Info!$J$6+Info!$J$7)*3/2,""Sänk helst cumulative time limit""),
AND(H55&lt;&gt;"""",FILTER(Info!$F$2:F81, Info!$A$2:A81 = C55) = ""Yes""),
IFS(H55&lt;=FILTER(Info!$J$2:J81, Info!$A$2:A81 = C55)*2/3,CONCATENATE(""Höj hel"&amp;"st c.t.l. i ""&amp;C55),
H55&lt;=FILTER(Info!$J$2:J81, Info!$A$2:A81 = C55),ROUNDUP(J55*Info!$J$24),
H55&lt;=FILTER(Info!$K$2:K81, Info!$A$2:A81 = C55),ROUNDUP(J55*Info!$K$24),
H55&lt;=FILTER(Info!$L$2:L81, Info!$A$2:A81 = C55),ROUNDUP(J55*Info!L$24),
H55&lt;=FILTER(Info"&amp;"!$M$2:M81, Info!$A$2:A81 = C55),ROUNDUP(J55*Info!$M$24),
H55&lt;=FILTER(Info!$N$2:N81, Info!$A$2:A81 = C55),ROUNDUP(J55*Info!$N$24),
H55&lt;=FILTER(Info!$N$2:N81, Info!$A$2:A81 = C55)*3/2,ROUNDUP(J55*Info!$L$26),
H55&gt;FILTER(Info!$N$2:N81, Info!$A$2:A81 = C55)*3"&amp;"/2,CONCATENATE(""Sänk helst c.t.l. i ""&amp;C55)),
AND(H55&lt;&gt;"""",FILTER(Info!$F$2:F81, Info!$A$2:A81 = C55) = ""No""),
IFS(H55/AA55&lt;=FILTER(Info!$J$2:J81, Info!$A$2:A81 = C55)*2/3,CONCATENATE(""Höj helst c.t.l. i ""&amp;C55),
H55/AA55&lt;=FILTER(Info!$J$2:J81, Info!"&amp;"$A$2:A81 = C55),ROUNDUP(J55*Info!$J$24),
H55/AA55&lt;=FILTER(Info!$K$2:K81, Info!$A$2:A81 = C55),ROUNDUP(J55*Info!$K$24),
H55/AA55&lt;=FILTER(Info!$L$2:L81, Info!$A$2:A81 = C55),ROUNDUP(J55*Info!L$24),
H55/AA55&lt;=FILTER(Info!$M$2:M81, Info!$A$2:A81 = C55),ROUNDU"&amp;"P(J55*Info!$M$24),
H55/AA55&lt;=FILTER(Info!$N$2:N81, Info!$A$2:A81 = C55),ROUNDUP(J55*Info!$N$24),
H55/AA55&lt;=FILTER(Info!$N$2:N81, Info!$A$2:A81 = C55)*3/2,ROUNDUP(J55*Info!$L$26),
H55/AA55&gt;FILTER(Info!$N$2:N81, Info!$A$2:A81 = C55)*3/2,CONCATENATE(""Sänk h"&amp;"elst c.t.l. i ""&amp;C55)),
AND(I55="""",H55&lt;&gt;"""",J55&lt;&gt;""""),ROUNDUP(J55*Info!$T$29),
AND(I55&lt;&gt;"""",H55="""",J55&lt;&gt;""""),ROUNDUP(J55*Info!$T$26))"),"")</f>
        <v/>
      </c>
      <c r="L55" s="47">
        <f>IFERROR(__xludf.DUMMYFUNCTION("IFS(C55="""",0,
C55=""3x3 FMC"",Info!$B$9*N55+M55, C55=""3x3 MBLD"",Info!$B$18*N55+M55,
COUNTIF(Info!$A$22:A81,C55)&gt;0,FILTER(Info!$B$22:B81,Info!$A$22:A81=C55)+M55,
AND(C55&lt;&gt;"""",E55=""""),CONCATENATE(""Fyll i E""&amp;row()),
AND(C55&lt;&gt;"""",E55&lt;&gt;"""",E55&lt;&gt;1,E5"&amp;"5&lt;&gt;2,E55&lt;&gt;3,E55&lt;&gt;""Final""),CONCATENATE(""Fel format på E""&amp;row()),
K55=CONCATENATE(""Runda ""&amp;E55&amp;"" i ""&amp;C55&amp;"" finns redan""),CONCATENATE(""Fel i E""&amp;row()),
AND(C55&lt;&gt;"""",F55=""""),CONCATENATE(""Fyll i F""&amp;row()),
K55=CONCATENATE(C55&amp;"" måste ha forma"&amp;"tet ""&amp;FILTER(Info!$D$2:D81, Info!$A$2:A81 = C55)),CONCATENATE(""Fel format på F""&amp;row()),
AND(C55&lt;&gt;"""",D55=1,H55="""",FILTER(Info!$F$2:F81, Info!$A$2:A81 = C55) = ""Yes""),CONCATENATE(""Fyll i H""&amp;row()),
AND(C55&lt;&gt;"""",D55=1,I55="""",FILTER(Info!$E$2:E8"&amp;"1, Info!$A$2:A81 = C55) = ""Yes""),CONCATENATE(""Fyll i I""&amp;row()),
AND(C55&lt;&gt;"""",J55=""""),CONCATENATE(""Fyll i J""&amp;row()),
AND(C55&lt;&gt;"""",K55="""",OR(H55&lt;&gt;"""",I55&lt;&gt;"""")),CONCATENATE(""Fyll i K""&amp;row()),
AND(C55&lt;&gt;"""",K55=""""),CONCATENATE(""Skriv samma"&amp;" i K""&amp;row()&amp;"" som i J""&amp;row()),
AND(OR(C55=""4x4 BLD"",C55=""5x5 BLD"",C55=""4x4 / 5x5 BLD"")=TRUE,V55&lt;=P55),
MROUND(H55*(Info!$T$20-((Info!$T$20-1)/2)*(1-V55/P55))*(1+((J55/K55)-1)*(1-Info!$J$24))*N55+(Info!$T$11/2)+(N55*Info!$T$11)+(N55*Info!$T$14*(O5"&amp;"5-1)),0.01)+M55,
AND(OR(C55=""4x4 BLD"",C55=""5x5 BLD"",C55=""4x4 / 5x5 BLD"")=TRUE,V55&gt;P55),
MROUND((((J55*Z55+K55*(AA55-Z55))*(H55*Info!$T$20/AA55))/X55)*(1+((J55/K55)-1)*(1-Info!$J$24))*(1+(X55-Info!$T$8)/100)+(Info!$T$11/2)+(N55*Info!$T$11)+(N55*Info!"&amp;"$T$14*(O55-1)),0.01)+M55,
AND(C55=""3x3 BLD"",V55&lt;=P55),
MROUND(H55*(Info!$T$23-((Info!$T$23-1)/2)*(1-V55/P55))*(1+((J55/K55)-1)*(1-Info!$J$24))*N55+(Info!$T$11/2)+(N55*Info!$T$11)+(N55*Info!$T$14*(O55-1)),0.01)+M55,
AND(C55=""3x3 BLD"",V55&gt;P55),
MROUND(("&amp;"((J55*Z55+K55*(AA55-Z55))*(H55*Info!$T$23/AA55))/X55)*(1+((J55/K55)-1)*(1-Info!$J$24))*(1+(X55-Info!$T$8)/100)+(Info!$T$11/2)+(N55*Info!$T$11)+(N55*Info!$T$14*(O55-1)),0.01)+M55,
E55=1,MROUND((((J55*Z55+K55*(AA55-Z55))*Y55)/X55)*(1+(X55-Info!$T$8)/100)+(N"&amp;"55*Info!$T$11)+(N55*Info!$T$14*(O55-1)),0.01)+M55,
AND(E55=""Final"",N55=1,FILTER(Info!$G$2:$G$20,Info!$A$2:$A$20=C55)=""Mycket svår""),
MROUND((((J55*Z55+K55*(AA55-Z55))*(Y55*Info!$T$38))/X55)*(1+(X55-Info!$T$8)/100)+(N55*Info!$T$11)+(N55*Info!$T$14*(O55"&amp;"-1)),0.01)+M55,
AND(E55=""Final"",N55=1,FILTER(Info!$G$2:$G$20,Info!$A$2:$A$20=C55)=""Svår""),
MROUND((((J55*Z55+K55*(AA55-Z55))*(Y55*Info!$T$35))/X55)*(1+(X55-Info!$T$8)/100)+(N55*Info!$T$11)+(N55*Info!$T$14*(O55-1)),0.01)+M55,
E55=""Final"",MROUND((((J5"&amp;"5*Z55+K55*(AA55-Z55))*(Y55*Info!$T$5))/X55)*(1+(X55-Info!$T$8)/100)+(N55*Info!$T$11)+(N55*Info!$T$14*(O55-1)),0.01)+M55,
OR(E55=2,E55=3),MROUND((((J55*Z55+K55*(AA55-Z55))*(Y55*Info!$T$2))/X55)*(1+(X55-Info!$T$8)/100)+(N55*Info!$T$11)+(N55*Info!$T$14*(O55-"&amp;"1)),0.01)+M55)"),0.0)</f>
        <v>0</v>
      </c>
      <c r="M55" s="48">
        <f t="shared" si="6"/>
        <v>0</v>
      </c>
      <c r="N55" s="48" t="str">
        <f>IFS(OR(COUNTIF(Info!$A$22:A81,C55)&gt;0,C55=""),"",
OR(C55="4x4 BLD",C55="5x5 BLD",C55="3x3 MBLD",C55="3x3 FMC",C55="4x4 / 5x5 BLD"),1,
AND(E55="Final",Q55="Yes",MAX(1,ROUNDUP(J55/P55))&gt;1),MAX(2,ROUNDUP(J55/P55)),
AND(E55="Final",Q55="No",MAX(1,ROUNDUP(J55/((P55*2)+2.625-Y55*1.5)))&gt;1),MAX(2,ROUNDUP(J55/((P55*2)+2.625-Y55*1.5))),
E55="Final",1,
Q55="Yes",MAX(2,ROUNDUP(J55/P55)),
TRUE,MAX(2,ROUNDUP(J55/((P55*2)+2.625-Y55*1.5))))</f>
        <v/>
      </c>
      <c r="O55" s="48" t="str">
        <f>IFS(OR(COUNTIF(Info!$A$22:A81,C55)&gt;0,C55=""),"",
OR("3x3 MBLD"=C55,"3x3 FMC"=C55)=TRUE,"",
D55=$E$4,$G$6,D55=$K$4,$M$6,D55=$Q$4,$S$6,D55=$W$4,$Y$6,
TRUE,$S$2)</f>
        <v/>
      </c>
      <c r="P55" s="48" t="str">
        <f>IFS(OR(COUNTIF(Info!$A$22:A81,C55)&gt;0,C55=""),"",
OR("3x3 MBLD"=C55,"3x3 FMC"=C55)=TRUE,"",
D55=$E$4,$E$6,D55=$K$4,$K$6,D55=$Q$4,$Q$6,D55=$W$4,$W$6,
TRUE,$Q$2)</f>
        <v/>
      </c>
      <c r="Q55" s="49" t="str">
        <f>IFS(OR(COUNTIF(Info!$A$22:A81,C55)&gt;0,C55=""),"",
OR("3x3 MBLD"=C55,"3x3 FMC"=C55)=TRUE,"",
D55=$E$4,$I$6,D55=$K$4,$O$6,D55=$Q$4,$U$6,D55=$W$4,$AA$6,
TRUE,$U$2)</f>
        <v/>
      </c>
      <c r="R55" s="50" t="str">
        <f>IFERROR(__xludf.DUMMYFUNCTION("IF(C55="""","""",IFERROR(FILTER(Info!$B$22:B81,Info!$A$22:A81=C55)+M55,""?""))"),"")</f>
        <v/>
      </c>
      <c r="S55" s="51" t="str">
        <f>IFS(OR(COUNTIF(Info!$A$22:A81,C55)&gt;0,C55=""),"",
AND(H55="",I55=""),J55,
TRUE,"?")</f>
        <v/>
      </c>
      <c r="T55" s="52" t="str">
        <f>IFS(OR(COUNTIF(Info!$A$22:A81,C55)&gt;0,C55=""),"",
AND(L55&lt;&gt;0,OR(R55="?",R55="")),"Fyll i R-kolumnen",
OR(C55="3x3 FMC",C55="3x3 MBLD"),R55,
AND(L55&lt;&gt;0,OR(S55="?",S55="")),"Fyll i S-kolumnen",
OR(COUNTIF(Info!$A$22:A81,C55)&gt;0,C55=""),"",
TRUE,Y55*R55/L55)</f>
        <v/>
      </c>
      <c r="U55" s="52"/>
      <c r="V55" s="53" t="str">
        <f>IFS(OR(COUNTIF(Info!$A$22:A81,C55)&gt;0,C55=""),"",
OR("3x3 MBLD"=C55,"3x3 FMC"=C55)=TRUE,"",
TRUE,MROUND((J55/N55),0.01))</f>
        <v/>
      </c>
      <c r="W55" s="54" t="str">
        <f>IFS(OR(COUNTIF(Info!$A$22:A81,C55)&gt;0,C55=""),"",
TRUE,L55/N55)</f>
        <v/>
      </c>
      <c r="X55" s="55" t="str">
        <f>IFS(OR(COUNTIF(Info!$A$22:A81,C55)&gt;0,C55=""),"",
OR("3x3 MBLD"=C55,"3x3 FMC"=C55)=TRUE,"",
OR(C55="4x4 BLD",C55="5x5 BLD",C55="4x4 / 5x5 BLD",AND(C55="3x3 BLD",H55&lt;&gt;""))=TRUE,MIN(V55,P55),
TRUE,MIN(P55,V55,MROUND(((V55*2/3)+((Y55-1.625)/2)),0.01)))</f>
        <v/>
      </c>
      <c r="Y55" s="56" t="str">
        <f>IFERROR(__xludf.DUMMYFUNCTION("IFS(OR(COUNTIF(Info!$A$22:A81,C55)&gt;0,C55=""""),"""",
FILTER(Info!$F$2:F81, Info!$A$2:A81 = C55) = ""Yes"",H55/AA55,
""3x3 FMC""=C55,Info!$B$9,""3x3 MBLD""=C55,Info!$B$18,
AND(E55=1,I55="""",H55="""",Q55=""No"",G55&gt;SUMIF(Info!$A$2:A81,C55,Info!$B$2:B81)*1."&amp;"5),
MIN(SUMIF(Info!$A$2:A81,C55,Info!$B$2:B81)*1.1,SUMIF(Info!$A$2:A81,C55,Info!$B$2:B81)*(1.15-(0.15*(SUMIF(Info!$A$2:A81,C55,Info!$B$2:B81)*1.5)/G55))),
AND(E55=1,I55="""",H55="""",Q55=""Yes"",G55&gt;SUMIF(Info!$A$2:A81,C55,Info!$C$2:C81)*1.5),
MIN(SUMIF(I"&amp;"nfo!$A$2:A81,C55,Info!$C$2:C81)*1.1,SUMIF(Info!$A$2:A81,C55,Info!$C$2:C81)*(1.15-(0.15*(SUMIF(Info!$A$2:A81,C55,Info!$C$2:C81)*1.5)/G55))),
Q55=""No"",SUMIF(Info!$A$2:A81,C55,Info!$B$2:B81),
Q55=""Yes"",SUMIF(Info!$A$2:A81,C55,Info!$C$2:C81))"),"")</f>
        <v/>
      </c>
      <c r="Z55" s="57" t="str">
        <f>IFS(OR(COUNTIF(Info!$A$22:A81,C55)&gt;0,C55=""),"",
AND(OR("3x3 FMC"=C55,"3x3 MBLD"=C55),I55&lt;&gt;""),1,
AND(OR(H55&lt;&gt;"",I55&lt;&gt;""),F55="Avg of 5"),2,
F55="Avg of 5",AA55,
AND(OR(H55&lt;&gt;"",I55&lt;&gt;""),F55="Mean of 3",C55="6x6 / 7x7"),2,
AND(OR(H55&lt;&gt;"",I55&lt;&gt;""),F55="Mean of 3"),1,
F55="Mean of 3",AA55,
AND(OR(H55&lt;&gt;"",I55&lt;&gt;""),F55="Best of 3",C55="4x4 / 5x5 BLD"),2,
AND(OR(H55&lt;&gt;"",I55&lt;&gt;""),F55="Best of 3"),1,
F55="Best of 2",AA55,
F55="Best of 1",AA55)</f>
        <v/>
      </c>
      <c r="AA55" s="57" t="str">
        <f>IFS(OR(COUNTIF(Info!$A$22:A81,C55)&gt;0,C55=""),"",
AND(OR("3x3 MBLD"=C55,"3x3 FMC"=C55),F55="Best of 1"=TRUE),1,
AND(OR("3x3 MBLD"=C55,"3x3 FMC"=C55),F55="Best of 2"=TRUE),2,
AND(OR("3x3 MBLD"=C55,"3x3 FMC"=C55),OR(F55="Best of 3",F55="Mean of 3")=TRUE),3,
AND(F55="Mean of 3",C55="6x6 / 7x7"),6,
AND(F55="Best of 3",C55="4x4 / 5x5 BLD"),6,
F55="Avg of 5",5,F55="Mean of 3",3,F55="Best of 3",3,F55="Best of 2",2,F55="Best of 1",1)</f>
        <v/>
      </c>
      <c r="AB55" s="58"/>
    </row>
    <row r="56">
      <c r="A56" s="59" t="s">
        <v>28</v>
      </c>
      <c r="B56" s="59"/>
      <c r="C56" s="60"/>
      <c r="D56" s="61"/>
      <c r="E56" s="6"/>
      <c r="F56" s="62"/>
      <c r="G56" s="63"/>
      <c r="H56" s="63"/>
      <c r="I56" s="63"/>
      <c r="J56" s="63"/>
      <c r="K56" s="63"/>
      <c r="L56" s="64"/>
      <c r="M56" s="71"/>
      <c r="N56" s="71"/>
      <c r="O56" s="71"/>
      <c r="P56" s="71"/>
      <c r="Q56" s="71"/>
      <c r="R56" s="64" t="str">
        <f>$L$51</f>
        <v/>
      </c>
      <c r="S56" s="63"/>
      <c r="T56" s="71"/>
      <c r="U56" s="71"/>
      <c r="V56" s="71"/>
      <c r="W56" s="71"/>
      <c r="X56" s="71"/>
      <c r="Y56" s="71"/>
      <c r="Z56" s="71"/>
      <c r="AA56" s="71"/>
      <c r="AB56" s="64"/>
    </row>
    <row r="57">
      <c r="A57" s="29">
        <v>8.0</v>
      </c>
      <c r="B57" s="29">
        <v>30.0</v>
      </c>
      <c r="C57" s="65">
        <v>44565.0</v>
      </c>
      <c r="D57" s="66" t="str">
        <f>$E$2</f>
        <v>Stora salen</v>
      </c>
      <c r="E57" s="67"/>
      <c r="F57" s="29"/>
      <c r="G57" s="68"/>
      <c r="H57" s="68"/>
      <c r="I57" s="68"/>
      <c r="J57" s="68"/>
      <c r="K57" s="68"/>
      <c r="L57" s="69">
        <f>IFERROR(__xludf.DUMMYFUNCTION("IF($O$2=""No"",4320-($A$6*60+$B$6)-SUM($L$7:indirect(""L""&amp;row()-2))+($A$57*60+$B$57),
4320-($A$6*60+$B$6)-SUM(FILTER($L$7:indirect(""L""&amp;row()-2),REGEXMATCH($D$7:indirect(""D""&amp;row()-2),$E$2)))+($A$57*60+$B$57))"),1425.0)</f>
        <v>1425</v>
      </c>
      <c r="M57" s="72"/>
      <c r="N57" s="72"/>
      <c r="O57" s="72"/>
      <c r="P57" s="72"/>
      <c r="Q57" s="72"/>
      <c r="R57" s="69">
        <f>$L$57</f>
        <v>1425</v>
      </c>
      <c r="S57" s="68"/>
      <c r="T57" s="72"/>
      <c r="U57" s="72"/>
      <c r="V57" s="72"/>
      <c r="W57" s="72"/>
      <c r="X57" s="72"/>
      <c r="Y57" s="72"/>
      <c r="Z57" s="72"/>
      <c r="AA57" s="72"/>
      <c r="AB57" s="69"/>
    </row>
    <row r="58">
      <c r="A58" s="33" t="s">
        <v>33</v>
      </c>
      <c r="B58" s="33" t="s">
        <v>34</v>
      </c>
      <c r="C58" s="19" t="s">
        <v>35</v>
      </c>
      <c r="D58" s="20" t="s">
        <v>36</v>
      </c>
      <c r="E58" s="35" t="s">
        <v>37</v>
      </c>
      <c r="F58" s="20" t="s">
        <v>38</v>
      </c>
      <c r="G58" s="20" t="s">
        <v>39</v>
      </c>
      <c r="H58" s="20" t="s">
        <v>40</v>
      </c>
      <c r="I58" s="35" t="s">
        <v>41</v>
      </c>
      <c r="J58" s="35" t="s">
        <v>42</v>
      </c>
      <c r="K58" s="20" t="s">
        <v>59</v>
      </c>
      <c r="L58" s="33" t="s">
        <v>44</v>
      </c>
      <c r="M58" s="17" t="s">
        <v>45</v>
      </c>
      <c r="N58" s="17" t="s">
        <v>46</v>
      </c>
      <c r="O58" s="17" t="s">
        <v>47</v>
      </c>
      <c r="P58" s="17" t="s">
        <v>48</v>
      </c>
      <c r="Q58" s="17" t="s">
        <v>32</v>
      </c>
      <c r="R58" s="36" t="s">
        <v>49</v>
      </c>
      <c r="S58" s="36"/>
      <c r="T58" s="37" t="s">
        <v>51</v>
      </c>
      <c r="U58" s="37"/>
      <c r="V58" s="18" t="s">
        <v>53</v>
      </c>
      <c r="W58" s="38" t="s">
        <v>54</v>
      </c>
      <c r="X58" s="18" t="s">
        <v>55</v>
      </c>
      <c r="Y58" s="39" t="s">
        <v>60</v>
      </c>
      <c r="Z58" s="39" t="s">
        <v>57</v>
      </c>
      <c r="AA58" s="39" t="s">
        <v>58</v>
      </c>
      <c r="AB58" s="70"/>
    </row>
    <row r="59">
      <c r="A59" s="40">
        <f>IFERROR(__xludf.DUMMYFUNCTION("IFS(indirect(""A""&amp;row()-1)=""Start"",TIME(indirect(""A""&amp;row()-2),indirect(""B""&amp;row()-2),0),
$O$2=""No"",TIME(0,($A$6*60+$B$6)+CEILING(SUM($L$7:indirect(""L""&amp;row()-1)),5),0),
D59=$E$2,TIME(0,($A$6*60+$B$6)+CEILING(SUM(IFERROR(FILTER($L$7:indirect(""L"""&amp;"&amp;row()-1),REGEXMATCH($D$7:indirect(""D""&amp;row()-1),$E$2)),0)),5),0),
TRUE,""=time(hh;mm;ss)"")"),0.3541666666666667)</f>
        <v>0.3541666667</v>
      </c>
      <c r="B59" s="41">
        <f>IFERROR(__xludf.DUMMYFUNCTION("IFS($O$2=""No"",TIME(0,($A$6*60+$B$6)+CEILING(SUM($L$7:indirect(""L""&amp;row())),5),0),
D59=$E$2,TIME(0,($A$6*60+$B$6)+CEILING(SUM(FILTER($L$7:indirect(""L""&amp;row()),REGEXMATCH($D$7:indirect(""D""&amp;row()),$E$2))),5),0),
A59=""=time(hh;mm;ss)"",CONCATENATE(""Sk"&amp;"riv tid i A""&amp;row()),
AND(A59&lt;&gt;"""",A59&lt;&gt;""=time(hh;mm;ss)""),A59+TIME(0,CEILING(indirect(""L""&amp;row()),5),0))"),0.3541666666666665)</f>
        <v>0.3541666667</v>
      </c>
      <c r="C59" s="42"/>
      <c r="D59" s="43" t="str">
        <f t="shared" ref="D59:D60" si="7">IFS($M$2=1,$E$2,
AND($M$2&gt;1,OR(C59="4x4 BLD",C59="5x5 BLD",C59="3x3 MBLD",C59="4x4 / 5x5 BLD")),$E$4,
$M$2&gt;1,$E$2)</f>
        <v>Stora salen</v>
      </c>
      <c r="E59" s="43" t="str">
        <f>IFERROR(__xludf.DUMMYFUNCTION("IFS(COUNTIF(Info!$A$22:A81,C59)&gt;0,"""",
AND(OR(""3x3 FMC""=C59,""3x3 MBLD""=C59),COUNTIF($C$7:indirect(""C""&amp;row()),indirect(""C""&amp;row()))&gt;=13),""E - Error"",
AND(OR(""3x3 FMC""=C59,""3x3 MBLD""=C59),COUNTIF($C$7:indirect(""C""&amp;row()),indirect(""C""&amp;row()"&amp;"))=12),""Final - A3"",
AND(OR(""3x3 FMC""=C59,""3x3 MBLD""=C59),COUNTIF($C$7:indirect(""C""&amp;row()),indirect(""C""&amp;row()))=11),""Final - A2"",
AND(OR(""3x3 FMC""=C59,""3x3 MBLD""=C59),COUNTIF($C$7:indirect(""C""&amp;row()),indirect(""C""&amp;row()))=10),""Final - "&amp;"A1"",
AND(OR(""3x3 FMC""=C59,""3x3 MBLD""=C59),COUNTIF($C$7:indirect(""C""&amp;row()),indirect(""C""&amp;row()))=9,
COUNTIF($C$7:$C$61,indirect(""C""&amp;row()))&gt;9),""R3 - A3"",
AND(OR(""3x3 FMC""=C59,""3x3 MBLD""=C59),COUNTIF($C$7:indirect(""C""&amp;row()),indirect(""C"&amp;"""&amp;row()))=9,
COUNTIF($C$7:$C$61,indirect(""C""&amp;row()))&lt;=9),""Final - A3"",
AND(OR(""3x3 FMC""=C59,""3x3 MBLD""=C59),COUNTIF($C$7:indirect(""C""&amp;row()),indirect(""C""&amp;row()))=8,
COUNTIF($C$7:$C$61,indirect(""C""&amp;row()))&gt;9),""R3 - A2"",
AND(OR(""3x3 FMC""="&amp;"C59,""3x3 MBLD""=C59),COUNTIF($C$7:indirect(""C""&amp;row()),indirect(""C""&amp;row()))=8,
COUNTIF($C$7:$C$61,indirect(""C""&amp;row()))&lt;=9),""Final - A2"",
AND(OR(""3x3 FMC""=C59,""3x3 MBLD""=C59),COUNTIF($C$7:indirect(""C""&amp;row()),indirect(""C""&amp;row()))=7,
COUNTIF("&amp;"$C$7:$C$61,indirect(""C""&amp;row()))&gt;9),""R3 - A1"",
AND(OR(""3x3 FMC""=C59,""3x3 MBLD""=C59),COUNTIF($C$7:indirect(""C""&amp;row()),indirect(""C""&amp;row()))=7,
COUNTIF($C$7:$C$61,indirect(""C""&amp;row()))&lt;=9),""Final - A1"",
AND(OR(""3x3 FMC""=C59,""3x3 MBLD""=C59),"&amp;"COUNTIF($C$7:indirect(""C""&amp;row()),indirect(""C""&amp;row()))=6,
COUNTIF($C$7:$C$61,indirect(""C""&amp;row()))&gt;6),""R2 - A3"",
AND(OR(""3x3 FMC""=C59,""3x3 MBLD""=C59),COUNTIF($C$7:indirect(""C""&amp;row()),indirect(""C""&amp;row()))=6,
COUNTIF($C$7:$C$61,indirect(""C""&amp;"&amp;"row()))&lt;=6),""Final - A3"",
AND(OR(""3x3 FMC""=C59,""3x3 MBLD""=C59),COUNTIF($C$7:indirect(""C""&amp;row()),indirect(""C""&amp;row()))=5,
COUNTIF($C$7:$C$61,indirect(""C""&amp;row()))&gt;6),""R2 - A2"",
AND(OR(""3x3 FMC""=C59,""3x3 MBLD""=C59),COUNTIF($C$7:indirect(""C"&amp;"""&amp;row()),indirect(""C""&amp;row()))=5,
COUNTIF($C$7:$C$61,indirect(""C""&amp;row()))&lt;=6),""Final - A2"",
AND(OR(""3x3 FMC""=C59,""3x3 MBLD""=C59),COUNTIF($C$7:indirect(""C""&amp;row()),indirect(""C""&amp;row()))=4,
COUNTIF($C$7:$C$61,indirect(""C""&amp;row()))&gt;6),""R2 - A1"&amp;""",
AND(OR(""3x3 FMC""=C59,""3x3 MBLD""=C59),COUNTIF($C$7:indirect(""C""&amp;row()),indirect(""C""&amp;row()))=4,
COUNTIF($C$7:$C$61,indirect(""C""&amp;row()))&lt;=6),""Final - A1"",
AND(OR(""3x3 FMC""=C59,""3x3 MBLD""=C59),COUNTIF($C$7:indirect(""C""&amp;row()),indirect("""&amp;"C""&amp;row()))=3),""R1 - A3"",
AND(OR(""3x3 FMC""=C59,""3x3 MBLD""=C59),COUNTIF($C$7:indirect(""C""&amp;row()),indirect(""C""&amp;row()))=2),""R1 - A2"",
AND(OR(""3x3 FMC""=C59,""3x3 MBLD""=C59),COUNTIF($C$7:indirect(""C""&amp;row()),indirect(""C""&amp;row()))=1),""R1 -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C59),ROUNDUP((FILTER(Info!$H$2:H81,Info!$A$2:A81=C59)/FILTER(Info!$H$2:H81,Info!$A$2:A81=$K$2))*$I$2)&gt;99),3,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C59),ROUNDUP((FILTER(Info!$H$2:H81,Info!$A$2:A81=C59)/FILTER(Info!$H$2:H81,Info!$A$2:A81=$K$2))*$I$2)&gt;15),2,
AND(COUNTIF($C$7:indirect(""C""&amp;row()),indirect(""C""&amp;row()))=2,COUNTIF($C$7:$C$61,indirect(""C""&amp;row()))=COUNTIF($C$7:indirect("""&amp;"C""&amp;row()),indirect(""C""&amp;row()))),""Final"",
COUNTIF($C$7:indirect(""C""&amp;row()),indirect(""C""&amp;row()))=1,1,
COUNTIF($C$7:indirect(""C""&amp;row()),indirect(""C""&amp;row()))=0,"""")"),"")</f>
        <v/>
      </c>
      <c r="F59" s="44" t="str">
        <f>IFERROR(__xludf.DUMMYFUNCTION("IFS(C59="""","""",
AND(C59=""3x3 FMC"",MOD(COUNTIF($C$7:indirect(""C""&amp;row()),indirect(""C""&amp;row())),3)=0),""Mean of 3"",
AND(C59=""3x3 MBLD"",MOD(COUNTIF($C$7:indirect(""C""&amp;row()),indirect(""C""&amp;row())),3)=0),""Best of 3"",
AND(C59=""3x3 FMC"",MOD(COUNT"&amp;"IF($C$7:indirect(""C""&amp;row()),indirect(""C""&amp;row())),3)=2,
COUNTIF($C$7:$C$61,indirect(""C""&amp;row()))&lt;=COUNTIF($C$7:indirect(""C""&amp;row()),indirect(""C""&amp;row()))),""Best of 2"",
AND(C59=""3x3 FMC"",MOD(COUNTIF($C$7:indirect(""C""&amp;row()),indirect(""C""&amp;row()"&amp;")),3)=2,
COUNTIF($C$7:$C$61,indirect(""C""&amp;row()))&gt;COUNTIF($C$7:indirect(""C""&amp;row()),indirect(""C""&amp;row()))),""Mean of 3"",
AND(C59=""3x3 MBLD"",MOD(COUNTIF($C$7:indirect(""C""&amp;row()),indirect(""C""&amp;row())),3)=2,
COUNTIF($C$7:$C$61,indirect(""C""&amp;row()))"&amp;"&lt;=COUNTIF($C$7:indirect(""C""&amp;row()),indirect(""C""&amp;row()))),""Best of 2"",
AND(C59=""3x3 MBLD"",MOD(COUNTIF($C$7:indirect(""C""&amp;row()),indirect(""C""&amp;row())),3)=2,
COUNTIF($C$7:$C$61,indirect(""C""&amp;row()))&gt;COUNTIF($C$7:indirect(""C""&amp;row()),indirect(""C"&amp;"""&amp;row()))),""Best of 3"",
AND(C59=""3x3 FMC"",MOD(COUNTIF($C$7:indirect(""C""&amp;row()),indirect(""C""&amp;row())),3)=1,
COUNTIF($C$7:$C$61,indirect(""C""&amp;row()))&lt;=COUNTIF($C$7:indirect(""C""&amp;row()),indirect(""C""&amp;row()))),""Best of 1"",
AND(C59=""3x3 FMC"",MOD"&amp;"(COUNTIF($C$7:indirect(""C""&amp;row()),indirect(""C""&amp;row())),3)=1,
COUNTIF($C$7:$C$61,indirect(""C""&amp;row()))=COUNTIF($C$7:indirect(""C""&amp;row()),indirect(""C""&amp;row()))+1),""Best of 2"",
AND(C59=""3x3 FMC"",MOD(COUNTIF($C$7:indirect(""C""&amp;row()),indirect(""C"&amp;"""&amp;row())),3)=1,
COUNTIF($C$7:$C$61,indirect(""C""&amp;row()))&gt;COUNTIF($C$7:indirect(""C""&amp;row()),indirect(""C""&amp;row()))),""Mean of 3"",
AND(C59=""3x3 MBLD"",MOD(COUNTIF($C$7:indirect(""C""&amp;row()),indirect(""C""&amp;row())),3)=1,
COUNTIF($C$7:$C$61,indirect(""C"""&amp;"&amp;row()))&lt;=COUNTIF($C$7:indirect(""C""&amp;row()),indirect(""C""&amp;row()))),""Best of 1"",
AND(C59=""3x3 MBLD"",MOD(COUNTIF($C$7:indirect(""C""&amp;row()),indirect(""C""&amp;row())),3)=1,
COUNTIF($C$7:$C$61,indirect(""C""&amp;row()))=COUNTIF($C$7:indirect(""C""&amp;row()),indir"&amp;"ect(""C""&amp;row()))+1),""Best of 2"",
AND(C59=""3x3 MBLD"",MOD(COUNTIF($C$7:indirect(""C""&amp;row()),indirect(""C""&amp;row())),3)=1,
COUNTIF($C$7:$C$61,indirect(""C""&amp;row()))&gt;COUNTIF($C$7:indirect(""C""&amp;row()),indirect(""C""&amp;row()))),""Best of 3"",
TRUE,(IFERROR("&amp;"FILTER(Info!$D$2:D81, Info!$A$2:A81 = C59), """")))"),"")</f>
        <v/>
      </c>
      <c r="G59" s="45" t="str">
        <f>IFERROR(__xludf.DUMMYFUNCTION("IFS(OR(COUNTIF(Info!$A$22:A81,C59)&gt;0,C59=""""),"""",
OR(""3x3 MBLD""=C59,""3x3 FMC""=C59),60,
AND(E59=1,FILTER(Info!$F$2:F81, Info!$A$2:A81 = C59) = ""No""),FILTER(Info!$P$2:P81, Info!$A$2:A81 = C59),
AND(E59=2,FILTER(Info!$F$2:F81, Info!$A$2:A81 = C59) ="&amp;" ""No""),FILTER(Info!$Q$2:Q81, Info!$A$2:A81 = C59),
AND(E59=3,FILTER(Info!$F$2:F81, Info!$A$2:A81 = C59) = ""No""),FILTER(Info!$R$2:R81, Info!$A$2:A81 = C59),
AND(E59=""Final"",FILTER(Info!$F$2:F81, Info!$A$2:A81 = C59) = ""No""),FILTER(Info!$S$2:S81, In"&amp;"fo!$A$2:A81 = C59),
FILTER(Info!$F$2:F81, Info!$A$2:A81 = C59) = ""Yes"","""")"),"")</f>
        <v/>
      </c>
      <c r="H59" s="45" t="str">
        <f>IFERROR(__xludf.DUMMYFUNCTION("IFS(OR(COUNTIF(Info!$A$22:A81,C59)&gt;0,C59=""""),"""",
OR(""3x3 MBLD""=C59,""3x3 FMC""=C59)=TRUE,"""",
FILTER(Info!$F$2:F81, Info!$A$2:A81 = C59) = ""Yes"",FILTER(Info!$O$2:O81, Info!$A$2:A81 = C59),
FILTER(Info!$F$2:F81, Info!$A$2:A81 = C59) = ""No"",IF(G5"&amp;"9="""",FILTER(Info!$O$2:O81, Info!$A$2:A81 = C59),""""))"),"")</f>
        <v/>
      </c>
      <c r="I59" s="45" t="str">
        <f>IFERROR(__xludf.DUMMYFUNCTION("IFS(OR(COUNTIF(Info!$A$22:A81,C59)&gt;0,C59="""",H59&lt;&gt;""""),"""",
AND(E59&lt;&gt;1,E59&lt;&gt;""R1 - A1"",E59&lt;&gt;""R1 - A2"",E59&lt;&gt;""R1 - A3""),"""",
FILTER(Info!$E$2:E81, Info!$A$2:A81 = C59) = ""Yes"",IF(H59="""",FILTER(Info!$L$2:L81, Info!$A$2:A81 = C59),""""),
FILTER(I"&amp;"nfo!$E$2:E81, Info!$A$2:A81 = C59) = ""No"","""")"),"")</f>
        <v/>
      </c>
      <c r="J59" s="45" t="str">
        <f>IFERROR(__xludf.DUMMYFUNCTION("IFS(OR(COUNTIF(Info!$A$22:A81,C59)&gt;0,C59="""",""3x3 MBLD""=C59,""3x3 FMC""=C59),"""",
AND(E59=1,FILTER(Info!$H$2:H81,Info!$A$2:A81 = C59)&lt;=FILTER(Info!$H$2:H81,Info!$A$2:A81=$K$2)),
ROUNDUP((FILTER(Info!$H$2:H81,Info!$A$2:A81 = C59)/FILTER(Info!$H$2:H81,I"&amp;"nfo!$A$2:A81=$K$2))*$I$2),
AND(E59=1,FILTER(Info!$H$2:H81,Info!$A$2:A81 = C59)&gt;FILTER(Info!$H$2:H81,Info!$A$2:A81=$K$2)),""K2 - Error"",
AND(E59=2,FILTER($J$7:indirect(""J""&amp;row()-1),$C$7:indirect(""C""&amp;row()-1)=C59)&lt;=7),""J - Error"",
E59=2,FLOOR(FILTER("&amp;"$J$7:indirect(""J""&amp;row()-1),$C$7:indirect(""C""&amp;row()-1)=C59)*Info!$T$32),
AND(E59=3,FILTER($J$7:indirect(""J""&amp;row()-1),$C$7:indirect(""C""&amp;row()-1)=C59)&lt;=15),""J - Error"",
E59=3,FLOOR(Info!$T$32*FLOOR(FILTER($J$7:indirect(""J""&amp;row()-1),$C$7:indirect("&amp;"""C""&amp;row()-1)=C59)*Info!$T$32)),
AND(E59=""Final"",COUNTIF($C$7:$C$61,C59)=2,FILTER($J$7:indirect(""J""&amp;row()-1),$C$7:indirect(""C""&amp;row()-1)=C59)&lt;=7),""J - Error"",
AND(E59=""Final"",COUNTIF($C$7:$C$61,C59)=2),
MIN(P59,FLOOR(FILTER($J$7:indirect(""J""&amp;r"&amp;"ow()-1),$C$7:indirect(""C""&amp;row()-1)=C59)*Info!$T$32)),
AND(E59=""Final"",COUNTIF($C$7:$C$61,C59)=3,FILTER($J$7:indirect(""J""&amp;row()-1),$C$7:indirect(""C""&amp;row()-1)=C59)&lt;=15),""J - Error"",
AND(E59=""Final"",COUNTIF($C$7:$C$61,C59)=3),
MIN(P59,FLOOR(Info!"&amp;"$T$32*FLOOR(FILTER($J$7:indirect(""J""&amp;row()-1),$C$7:indirect(""C""&amp;row()-1)=C59)*Info!$T$32))),
AND(E59=""Final"",COUNTIF($C$7:$C$61,C59)&gt;=4,FILTER($J$7:indirect(""J""&amp;row()-1),$C$7:indirect(""C""&amp;row()-1)=C59)&lt;=99),""J - Error"",
AND(E59=""Final"",COUNT"&amp;"IF($C$7:$C$61,C59)&gt;=4),
MIN(P59,FLOOR(Info!$T$32*FLOOR(Info!$T$32*FLOOR(FILTER($J$7:indirect(""J""&amp;row()-1),$C$7:indirect(""C""&amp;row()-1)=C59)*Info!$T$32)))))"),"")</f>
        <v/>
      </c>
      <c r="K59" s="46" t="str">
        <f>IFERROR(__xludf.DUMMYFUNCTION("IFS(AND(indirect(""D""&amp;row()+2)&lt;&gt;$E$2,indirect(""D""&amp;row()+1)=""""),CONCATENATE(""Tom rad! Kopiera hela rad ""&amp;row()&amp;"" dit""),
AND(indirect(""D""&amp;row()-1)&lt;&gt;""Rum"",indirect(""D""&amp;row()-1)=""""),CONCATENATE(""Tom rad! Kopiera hela rad ""&amp;row()&amp;"" dit""),
"&amp;"C59="""","""",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OR(AND(D59&lt;&gt;$E$2,D59&lt;&gt;$E$4,D59&lt;&gt;$K$4,D59&lt;&gt;$Q$4),D59="&amp;"""""),CONCATENATE(""Rum: ""&amp;D59&amp;"" finns ej, byt i D""&amp;row()),
AND(indirect(""D""&amp;row()-1)=""Rum"",C59=""""),CONCATENATE(""För att börja: skriv i cell C""&amp;row()),
AND(C59=""Paus"",M59&lt;=0),CONCATENATE(""Skriv pausens längd i M""&amp;row()),
OR(COUNTIF(Info!$A$"&amp;"22:A81,C59)&gt;0,C59=""""),"""",
AND(D59&lt;&gt;$E$2,$O$2=""Yes"",A59=""=time(hh;mm;ss)""),CONCATENATE(""Skriv starttid för ""&amp;C59&amp;"" i A""&amp;row()),
E59=""E - Error"",CONCATENATE(""För många ""&amp;C59&amp;"" rundor!""),
AND(C59&lt;&gt;""3x3 FMC"",C59&lt;&gt;""3x3 MBLD"",E59&lt;&gt;1,E59&lt;&gt;"&amp;"""Final"",IFERROR(FILTER($E$7:indirect(""E""&amp;row()-1),
$E$7:indirect(""E""&amp;row()-1)=E59-1,$C$7:indirect(""C""&amp;row()-1)=C59))=FALSE),CONCATENATE(""Kan ej vara R""&amp;E59&amp;"", saknar R""&amp;(E59-1)),
AND(indirect(""E""&amp;row()-1)&lt;&gt;""Omgång"",IFERROR(FILTER($E$7:indi"&amp;"rect(""E""&amp;row()-1),
$E$7:indirect(""E""&amp;row()-1)=E59,$C$7:indirect(""C""&amp;row()-1)=C59)=E59)=TRUE),CONCATENATE(""Runda ""&amp;E59&amp;"" i ""&amp;C59&amp;"" finns redan""),
AND(C59&lt;&gt;""3x3 BLD"",C59&lt;&gt;""4x4 BLD"",C59&lt;&gt;""5x5 BLD"",C59&lt;&gt;""4x4 / 5x5 BLD"",OR(E59=2,E59=3,E59="&amp;"""Final""),H59&lt;&gt;""""),CONCATENATE(E59&amp;""-rundor brukar ej ha c.t.l.""),
AND(OR(E59=2,E59=3,E59=""Final""),I59&lt;&gt;""""),CONCATENATE(E59&amp;""-rundor brukar ej ha cutoff""),
AND(OR(C59=""3x3 FMC"",C59=""3x3 MBLD""),OR(E59=1,E59=2,E59=3,E59=""Final"")),CONCATENAT"&amp;"E(C59&amp;""s omgång är Rx - Ax""),
AND(C59&lt;&gt;""3x3 MBLD"",C59&lt;&gt;""3x3 FMC"",FILTER(Info!$D$2:D81, Info!$A$2:A81 = C59)&lt;&gt;F59),CONCATENATE(C59&amp;"" måste ha formatet ""&amp;FILTER(Info!$D$2:D81, Info!$A$2:A81 = C59)),
AND(C59=""3x3 MBLD"",OR(F59=""Avg of 5"",F59=""Mea"&amp;"n of 3"")),CONCATENATE(""Ogiltigt format för ""&amp;C59),
AND(C59=""3x3 FMC"",OR(F59=""Avg of 5"",F59=""Best of 3"")),CONCATENATE(""Ogiltigt format för ""&amp;C59),
AND(OR(F59=""Best of 1"",F59=""Best of 2"",F59=""Best of 3""),I59&lt;&gt;""""),CONCATENATE(F59&amp;""-rundor"&amp;" får ej ha cutoff""),
AND(OR(C59=""3x3 FMC"",C59=""3x3 MBLD""),G59&lt;&gt;60),CONCATENATE(C59&amp;"" måste ha time limit: 60""),
AND(OR(C59=""3x3 FMC"",C59=""3x3 MBLD""),H59&lt;&gt;""""),CONCATENATE(C59&amp;"" kan inte ha c.t.l.""),
AND(G59&lt;&gt;"""",H59&lt;&gt;""""),""Välj time limit"&amp;" ELLER c.t.l"",
AND(C59=""6x6 / 7x7"",G59="""",H59=""""),""Sätt time limit (x / y) eller c.t.l (z)"",
AND(G59="""",H59=""""),""Sätt en time limit eller c.t.l"",
AND(OR(C59=""6x6 / 7x7"",C59=""4x4 / 5x5 BLD""),G59&lt;&gt;"""",REGEXMATCH(TO_TEXT(G59),"" / "")=FAL"&amp;"SE),CONCATENATE(""Time limit måste vara x / y""),
AND(H59&lt;&gt;"""",I59&lt;&gt;""""),CONCATENATE(C59&amp;"" brukar ej ha cutoff OCH c.t.l""),
AND(E59=1,H59="""",I59="""",OR(FILTER(Info!$E$2:E81, Info!$A$2:A81 = C59) = ""Yes"",FILTER(Info!$F$2:F81, Info!$A$2:A81 = C59) "&amp;"= ""Yes""),OR(F59=""Avg of 5"",F59=""Mean of 3"")),CONCATENATE(C59&amp;"" bör ha cutoff eller c.t.l""),
AND(C59=""6x6 / 7x7"",I59&lt;&gt;"""",REGEXMATCH(TO_TEXT(I59),"" / "")=FALSE),CONCATENATE(""Cutoff måste vara x / y""),
AND(H59&lt;&gt;"""",ISNUMBER(H59)=FALSE),""C.t."&amp;"l. måste vara positivt tal (x)"",
AND(C59&lt;&gt;""6x6 / 7x7"",I59&lt;&gt;"""",ISNUMBER(I59)=FALSE),""Cutoff måste vara positivt tal (x)"",
AND(H59&lt;&gt;"""",FILTER(Info!$E$2:E81, Info!$A$2:A81 = C59) = ""No"",FILTER(Info!$F$2:F81, Info!$A$2:A81 = C59) = ""No""),CONCATEN"&amp;"ATE(C59&amp;"" brukar inte ha c.t.l.""),
AND(I59&lt;&gt;"""",FILTER(Info!$E$2:E81, Info!$A$2:A81 = C59) = ""No"",FILTER(Info!$F$2:F81, Info!$A$2:A81 = C59) = ""No""),CONCATENATE(C59&amp;"" brukar inte ha cutoff""),
AND(H59="""",FILTER(Info!$F$2:F81, Info!$A$2:A81 = C59"&amp;") = ""Yes""),CONCATENATE(C59&amp;"" brukar ha c.t.l.""),
AND(C59&lt;&gt;""6x6 / 7x7"",C59&lt;&gt;""4x4 / 5x5 BLD"",G59&lt;&gt;"""",ISNUMBER(G59)=FALSE),""Time limit måste vara positivt tal (x)"",
J59=""J - Error"",CONCATENATE(""För få deltagare i R1 för ""&amp;COUNTIF($C$7:$C$61,i"&amp;"ndirect(""C""&amp;row()))&amp;"" rundor""),
J59=""K2 - Error"",CONCATENATE(C59&amp;"" är mer populär - byt i K2!""),
AND(C59&lt;&gt;""6x6 / 7x7"",C59&lt;&gt;""4x4 / 5x5 BLD"",G59&lt;&gt;"""",I59&lt;&gt;"""",G59&lt;=I59),""Time limit måste vara &gt; cutoff"",
AND(C59&lt;&gt;""6x6 / 7x7"",C59&lt;&gt;""4x4 / 5x"&amp;"5 BLD"",H59&lt;&gt;"""",I59&lt;&gt;"""",H59&lt;=I59),""C.t.l. måste vara &gt; cutoff"",
AND(C59&lt;&gt;""3x3 FMC"",C59&lt;&gt;""3x3 MBLD"",J59=""""),CONCATENATE(""Fyll i antal deltagare i J""&amp;row()),
AND(C59="""",OR(E59&lt;&gt;"""",F59&lt;&gt;"""",G59&lt;&gt;"""",H59&lt;&gt;"""",I59&lt;&gt;"""",J59&lt;&gt;"""")),""Skriv"&amp;" ALLTID gren / aktivitet först"",
AND(I59="""",H59="""",J59&lt;&gt;""""),J59,
OR(""3x3 FMC""=C59,""3x3 MBLD""=C59),J59,
AND(I59&lt;&gt;"""",""6x6 / 7x7""=C59),
IFS(ArrayFormula(SUM(IFERROR(SPLIT(I59,"" / ""))))&lt;(Info!$J$6+Info!$J$7)*2/3,CONCATENATE(""Höj helst cutoff"&amp;"s i ""&amp;C59),
ArrayFormula(SUM(IFERROR(SPLIT(I59,"" / ""))))&lt;=(Info!$J$6+Info!$J$7),ROUNDUP(J59*Info!$J$22),
ArrayFormula(SUM(IFERROR(SPLIT(I59,"" / ""))))&lt;=Info!$J$6+Info!$J$7,ROUNDUP(J59*Info!$K$22),
ArrayFormula(SUM(IFERROR(SPLIT(I59,"" / ""))))&lt;=Info!$"&amp;"K$6+Info!$K$7,ROUNDUP(J59*Info!L$22),
ArrayFormula(SUM(IFERROR(SPLIT(I59,"" / ""))))&lt;=Info!$L$6+Info!$L$7,ROUNDUP(J59*Info!$M$22),
ArrayFormula(SUM(IFERROR(SPLIT(I59,"" / ""))))&lt;=Info!$M$6+Info!$M$7,ROUNDUP(J59*Info!$N$22),
ArrayFormula(SUM(IFERROR(SPLIT("&amp;"I59,"" / ""))))&lt;=(Info!$N$6+Info!$N$7)*3/2,ROUNDUP(J59*Info!$J$26),
ArrayFormula(SUM(IFERROR(SPLIT(I59,"" / ""))))&gt;(Info!$N$6+Info!$N$7)*3/2,CONCATENATE(""Sänk helst cutoffs i ""&amp;C59)),
AND(I59&lt;&gt;"""",FILTER(Info!$E$2:E81, Info!$A$2:A81 = C59) = ""Yes""),
"&amp;"IFS(I59&lt;FILTER(Info!$J$2:J81, Info!$A$2:A81 = C59)*2/3,CONCATENATE(""Höj helst cutoff i ""&amp;C59),
I59&lt;=FILTER(Info!$J$2:J81, Info!$A$2:A81 = C59),ROUNDUP(J59*Info!$J$22),
I59&lt;=FILTER(Info!$K$2:K81, Info!$A$2:A81 = C59),ROUNDUP(J59*Info!$K$22),
I59&lt;=FILTER("&amp;"Info!$L$2:L81, Info!$A$2:A81 = C59),ROUNDUP(J59*Info!L$22),
I59&lt;=FILTER(Info!$M$2:M81, Info!$A$2:A81 = C59),ROUNDUP(J59*Info!$M$22),
I59&lt;=FILTER(Info!$N$2:N81, Info!$A$2:A81 = C59),ROUNDUP(J59*Info!$N$22),
I59&lt;=FILTER(Info!$N$2:N81, Info!$A$2:A81 = C59)*3"&amp;"/2,ROUNDUP(J59*Info!$J$26),
I59&gt;FILTER(Info!$N$2:N81, Info!$A$2:A81 = C59)*3/2,CONCATENATE(""Sänk helst cutoff i ""&amp;C59)),
AND(H59&lt;&gt;"""",""6x6 / 7x7""=C59),
IFS(H59/3&lt;=(Info!$J$6+Info!$J$7)*2/3,""Höj helst cumulative time limit"",
H59/3&lt;=Info!$J$6+Info!$J"&amp;"$7,ROUNDUP(J59*Info!$J$24),
H59/3&lt;=Info!$K$6+Info!$K$7,ROUNDUP(J59*Info!$K$24),
H59/3&lt;=Info!$L$6+Info!$L$7,ROUNDUP(J59*Info!L$24),
H59/3&lt;=Info!$M$6+Info!$M$7,ROUNDUP(J59*Info!$M$24),
H59/3&lt;=Info!$N$6+Info!$N$7,ROUNDUP(J59*Info!$N$24),
H59/3&lt;=(Info!$N$6+In"&amp;"fo!$N$7)*3/2,ROUNDUP(J59*Info!$L$26),
H59/3&gt;(Info!$J$6+Info!$J$7)*3/2,""Sänk helst cumulative time limit""),
AND(H59&lt;&gt;"""",FILTER(Info!$F$2:F81, Info!$A$2:A81 = C59) = ""Yes""),
IFS(H59&lt;=FILTER(Info!$J$2:J81, Info!$A$2:A81 = C59)*2/3,CONCATENATE(""Höj hel"&amp;"st c.t.l. i ""&amp;C59),
H59&lt;=FILTER(Info!$J$2:J81, Info!$A$2:A81 = C59),ROUNDUP(J59*Info!$J$24),
H59&lt;=FILTER(Info!$K$2:K81, Info!$A$2:A81 = C59),ROUNDUP(J59*Info!$K$24),
H59&lt;=FILTER(Info!$L$2:L81, Info!$A$2:A81 = C59),ROUNDUP(J59*Info!L$24),
H59&lt;=FILTER(Info"&amp;"!$M$2:M81, Info!$A$2:A81 = C59),ROUNDUP(J59*Info!$M$24),
H59&lt;=FILTER(Info!$N$2:N81, Info!$A$2:A81 = C59),ROUNDUP(J59*Info!$N$24),
H59&lt;=FILTER(Info!$N$2:N81, Info!$A$2:A81 = C59)*3/2,ROUNDUP(J59*Info!$L$26),
H59&gt;FILTER(Info!$N$2:N81, Info!$A$2:A81 = C59)*3"&amp;"/2,CONCATENATE(""Sänk helst c.t.l. i ""&amp;C59)),
AND(H59&lt;&gt;"""",FILTER(Info!$F$2:F81, Info!$A$2:A81 = C59) = ""No""),
IFS(H59/AA59&lt;=FILTER(Info!$J$2:J81, Info!$A$2:A81 = C59)*2/3,CONCATENATE(""Höj helst c.t.l. i ""&amp;C59),
H59/AA59&lt;=FILTER(Info!$J$2:J81, Info!"&amp;"$A$2:A81 = C59),ROUNDUP(J59*Info!$J$24),
H59/AA59&lt;=FILTER(Info!$K$2:K81, Info!$A$2:A81 = C59),ROUNDUP(J59*Info!$K$24),
H59/AA59&lt;=FILTER(Info!$L$2:L81, Info!$A$2:A81 = C59),ROUNDUP(J59*Info!L$24),
H59/AA59&lt;=FILTER(Info!$M$2:M81, Info!$A$2:A81 = C59),ROUNDU"&amp;"P(J59*Info!$M$24),
H59/AA59&lt;=FILTER(Info!$N$2:N81, Info!$A$2:A81 = C59),ROUNDUP(J59*Info!$N$24),
H59/AA59&lt;=FILTER(Info!$N$2:N81, Info!$A$2:A81 = C59)*3/2,ROUNDUP(J59*Info!$L$26),
H59/AA59&gt;FILTER(Info!$N$2:N81, Info!$A$2:A81 = C59)*3/2,CONCATENATE(""Sänk h"&amp;"elst c.t.l. i ""&amp;C59)),
AND(I59="""",H59&lt;&gt;"""",J59&lt;&gt;""""),ROUNDUP(J59*Info!$T$29),
AND(I59&lt;&gt;"""",H59="""",J59&lt;&gt;""""),ROUNDUP(J59*Info!$T$26))"),"")</f>
        <v/>
      </c>
      <c r="L59" s="47">
        <f>IFERROR(__xludf.DUMMYFUNCTION("IFS(C59="""",0,
C59=""3x3 FMC"",Info!$B$9*N59+M59, C59=""3x3 MBLD"",Info!$B$18*N59+M59,
COUNTIF(Info!$A$22:A81,C59)&gt;0,FILTER(Info!$B$22:B81,Info!$A$22:A81=C59)+M59,
AND(C59&lt;&gt;"""",E59=""""),CONCATENATE(""Fyll i E""&amp;row()),
AND(C59&lt;&gt;"""",E59&lt;&gt;"""",E59&lt;&gt;1,E5"&amp;"9&lt;&gt;2,E59&lt;&gt;3,E59&lt;&gt;""Final""),CONCATENATE(""Fel format på E""&amp;row()),
K59=CONCATENATE(""Runda ""&amp;E59&amp;"" i ""&amp;C59&amp;"" finns redan""),CONCATENATE(""Fel i E""&amp;row()),
AND(C59&lt;&gt;"""",F59=""""),CONCATENATE(""Fyll i F""&amp;row()),
K59=CONCATENATE(C59&amp;"" måste ha forma"&amp;"tet ""&amp;FILTER(Info!$D$2:D81, Info!$A$2:A81 = C59)),CONCATENATE(""Fel format på F""&amp;row()),
AND(C59&lt;&gt;"""",D59=1,H59="""",FILTER(Info!$F$2:F81, Info!$A$2:A81 = C59) = ""Yes""),CONCATENATE(""Fyll i H""&amp;row()),
AND(C59&lt;&gt;"""",D59=1,I59="""",FILTER(Info!$E$2:E8"&amp;"1, Info!$A$2:A81 = C59) = ""Yes""),CONCATENATE(""Fyll i I""&amp;row()),
AND(C59&lt;&gt;"""",J59=""""),CONCATENATE(""Fyll i J""&amp;row()),
AND(C59&lt;&gt;"""",K59="""",OR(H59&lt;&gt;"""",I59&lt;&gt;"""")),CONCATENATE(""Fyll i K""&amp;row()),
AND(C59&lt;&gt;"""",K59=""""),CONCATENATE(""Skriv samma"&amp;" i K""&amp;row()&amp;"" som i J""&amp;row()),
AND(OR(C59=""4x4 BLD"",C59=""5x5 BLD"",C59=""4x4 / 5x5 BLD"")=TRUE,V59&lt;=P59),
MROUND(H59*(Info!$T$20-((Info!$T$20-1)/2)*(1-V59/P59))*(1+((J59/K59)-1)*(1-Info!$J$24))*N59+(Info!$T$11/2)+(N59*Info!$T$11)+(N59*Info!$T$14*(O5"&amp;"9-1)),0.01)+M59,
AND(OR(C59=""4x4 BLD"",C59=""5x5 BLD"",C59=""4x4 / 5x5 BLD"")=TRUE,V59&gt;P59),
MROUND((((J59*Z59+K59*(AA59-Z59))*(H59*Info!$T$20/AA59))/X59)*(1+((J59/K59)-1)*(1-Info!$J$24))*(1+(X59-Info!$T$8)/100)+(Info!$T$11/2)+(N59*Info!$T$11)+(N59*Info!"&amp;"$T$14*(O59-1)),0.01)+M59,
AND(C59=""3x3 BLD"",V59&lt;=P59),
MROUND(H59*(Info!$T$23-((Info!$T$23-1)/2)*(1-V59/P59))*(1+((J59/K59)-1)*(1-Info!$J$24))*N59+(Info!$T$11/2)+(N59*Info!$T$11)+(N59*Info!$T$14*(O59-1)),0.01)+M59,
AND(C59=""3x3 BLD"",V59&gt;P59),
MROUND(("&amp;"((J59*Z59+K59*(AA59-Z59))*(H59*Info!$T$23/AA59))/X59)*(1+((J59/K59)-1)*(1-Info!$J$24))*(1+(X59-Info!$T$8)/100)+(Info!$T$11/2)+(N59*Info!$T$11)+(N59*Info!$T$14*(O59-1)),0.01)+M59,
E59=1,MROUND((((J59*Z59+K59*(AA59-Z59))*Y59)/X59)*(1+(X59-Info!$T$8)/100)+(N"&amp;"59*Info!$T$11)+(N59*Info!$T$14*(O59-1)),0.01)+M59,
AND(E59=""Final"",N59=1,FILTER(Info!$G$2:$G$20,Info!$A$2:$A$20=C59)=""Mycket svår""),
MROUND((((J59*Z59+K59*(AA59-Z59))*(Y59*Info!$T$38))/X59)*(1+(X59-Info!$T$8)/100)+(N59*Info!$T$11)+(N59*Info!$T$14*(O59"&amp;"-1)),0.01)+M59,
AND(E59=""Final"",N59=1,FILTER(Info!$G$2:$G$20,Info!$A$2:$A$20=C59)=""Svår""),
MROUND((((J59*Z59+K59*(AA59-Z59))*(Y59*Info!$T$35))/X59)*(1+(X59-Info!$T$8)/100)+(N59*Info!$T$11)+(N59*Info!$T$14*(O59-1)),0.01)+M59,
E59=""Final"",MROUND((((J5"&amp;"9*Z59+K59*(AA59-Z59))*(Y59*Info!$T$5))/X59)*(1+(X59-Info!$T$8)/100)+(N59*Info!$T$11)+(N59*Info!$T$14*(O59-1)),0.01)+M59,
OR(E59=2,E59=3),MROUND((((J59*Z59+K59*(AA59-Z59))*(Y59*Info!$T$2))/X59)*(1+(X59-Info!$T$8)/100)+(N59*Info!$T$11)+(N59*Info!$T$14*(O59-"&amp;"1)),0.01)+M59)"),0.0)</f>
        <v>0</v>
      </c>
      <c r="M59" s="48">
        <f t="shared" ref="M59:M60" si="8">$W$2</f>
        <v>0</v>
      </c>
      <c r="N59" s="48" t="str">
        <f>IFS(OR(COUNTIF(Info!$A$22:A81,C59)&gt;0,C59=""),"",
OR(C59="4x4 BLD",C59="5x5 BLD",C59="3x3 MBLD",C59="3x3 FMC",C59="4x4 / 5x5 BLD"),1,
AND(E59="Final",Q59="Yes",MAX(1,ROUNDUP(J59/P59))&gt;1),MAX(2,ROUNDUP(J59/P59)),
AND(E59="Final",Q59="No",MAX(1,ROUNDUP(J59/((P59*2)+2.625-Y59*1.5)))&gt;1),MAX(2,ROUNDUP(J59/((P59*2)+2.625-Y59*1.5))),
E59="Final",1,
Q59="Yes",MAX(2,ROUNDUP(J59/P59)),
TRUE,MAX(2,ROUNDUP(J59/((P59*2)+2.625-Y59*1.5))))</f>
        <v/>
      </c>
      <c r="O59" s="48" t="str">
        <f>IFS(OR(COUNTIF(Info!$A$22:A81,C59)&gt;0,C59=""),"",
OR("3x3 MBLD"=C59,"3x3 FMC"=C59)=TRUE,"",
D59=$E$4,$G$6,D59=$K$4,$M$6,D59=$Q$4,$S$6,D59=$W$4,$Y$6,
TRUE,$S$2)</f>
        <v/>
      </c>
      <c r="P59" s="48" t="str">
        <f>IFS(OR(COUNTIF(Info!$A$22:A81,C59)&gt;0,C59=""),"",
OR("3x3 MBLD"=C59,"3x3 FMC"=C59)=TRUE,"",
D59=$E$4,$E$6,D59=$K$4,$K$6,D59=$Q$4,$Q$6,D59=$W$4,$W$6,
TRUE,$Q$2)</f>
        <v/>
      </c>
      <c r="Q59" s="49" t="str">
        <f>IFS(OR(COUNTIF(Info!$A$22:A81,C59)&gt;0,C59=""),"",
OR("3x3 MBLD"=C59,"3x3 FMC"=C59)=TRUE,"",
D59=$E$4,$I$6,D59=$K$4,$O$6,D59=$Q$4,$U$6,D59=$W$4,$AA$6,
TRUE,$U$2)</f>
        <v/>
      </c>
      <c r="R59" s="50" t="str">
        <f>IFERROR(__xludf.DUMMYFUNCTION("IF(C59="""","""",IFERROR(FILTER(Info!$B$22:B81,Info!$A$22:A81=C59)+M59,""?""))"),"")</f>
        <v/>
      </c>
      <c r="S59" s="51" t="str">
        <f>IFS(OR(COUNTIF(Info!$A$22:A81,C59)&gt;0,C59=""),"",
AND(H59="",I59=""),J59,
TRUE,"?")</f>
        <v/>
      </c>
      <c r="T59" s="52" t="str">
        <f>IFS(OR(COUNTIF(Info!$A$22:A81,C59)&gt;0,C59=""),"",
AND(L59&lt;&gt;0,OR(R59="?",R59="")),"Fyll i R-kolumnen",
OR(C59="3x3 FMC",C59="3x3 MBLD"),R59,
AND(L59&lt;&gt;0,OR(S59="?",S59="")),"Fyll i S-kolumnen",
OR(COUNTIF(Info!$A$22:A81,C59)&gt;0,C59=""),"",
TRUE,Y59*R59/L59)</f>
        <v/>
      </c>
      <c r="U59" s="52"/>
      <c r="V59" s="53" t="str">
        <f>IFS(OR(COUNTIF(Info!$A$22:A81,C59)&gt;0,C59=""),"",
OR("3x3 MBLD"=C59,"3x3 FMC"=C59)=TRUE,"",
TRUE,MROUND((J59/N59),0.01))</f>
        <v/>
      </c>
      <c r="W59" s="54" t="str">
        <f>IFS(OR(COUNTIF(Info!$A$22:A81,C59)&gt;0,C59=""),"",
TRUE,L59/N59)</f>
        <v/>
      </c>
      <c r="X59" s="55" t="str">
        <f>IFS(OR(COUNTIF(Info!$A$22:A81,C59)&gt;0,C59=""),"",
OR("3x3 MBLD"=C59,"3x3 FMC"=C59)=TRUE,"",
OR(C59="4x4 BLD",C59="5x5 BLD",C59="4x4 / 5x5 BLD",AND(C59="3x3 BLD",H59&lt;&gt;""))=TRUE,MIN(V59,P59),
TRUE,MIN(P59,V59,MROUND(((V59*2/3)+((Y59-1.625)/2)),0.01)))</f>
        <v/>
      </c>
      <c r="Y59" s="56" t="str">
        <f>IFERROR(__xludf.DUMMYFUNCTION("IFS(OR(COUNTIF(Info!$A$22:A81,C59)&gt;0,C59=""""),"""",
FILTER(Info!$F$2:F81, Info!$A$2:A81 = C59) = ""Yes"",H59/AA59,
""3x3 FMC""=C59,Info!$B$9,""3x3 MBLD""=C59,Info!$B$18,
AND(E59=1,I59="""",H59="""",Q59=""No"",G59&gt;SUMIF(Info!$A$2:A81,C59,Info!$B$2:B81)*1."&amp;"5),
MIN(SUMIF(Info!$A$2:A81,C59,Info!$B$2:B81)*1.1,SUMIF(Info!$A$2:A81,C59,Info!$B$2:B81)*(1.15-(0.15*(SUMIF(Info!$A$2:A81,C59,Info!$B$2:B81)*1.5)/G59))),
AND(E59=1,I59="""",H59="""",Q59=""Yes"",G59&gt;SUMIF(Info!$A$2:A81,C59,Info!$C$2:C81)*1.5),
MIN(SUMIF(I"&amp;"nfo!$A$2:A81,C59,Info!$C$2:C81)*1.1,SUMIF(Info!$A$2:A81,C59,Info!$C$2:C81)*(1.15-(0.15*(SUMIF(Info!$A$2:A81,C59,Info!$C$2:C81)*1.5)/G59))),
Q59=""No"",SUMIF(Info!$A$2:A81,C59,Info!$B$2:B81),
Q59=""Yes"",SUMIF(Info!$A$2:A81,C59,Info!$C$2:C81))"),"")</f>
        <v/>
      </c>
      <c r="Z59" s="57" t="str">
        <f>IFS(OR(COUNTIF(Info!$A$22:A81,C59)&gt;0,C59=""),"",
AND(OR("3x3 FMC"=C59,"3x3 MBLD"=C59),I59&lt;&gt;""),1,
AND(OR(H59&lt;&gt;"",I59&lt;&gt;""),F59="Avg of 5"),2,
F59="Avg of 5",AA59,
AND(OR(H59&lt;&gt;"",I59&lt;&gt;""),F59="Mean of 3",C59="6x6 / 7x7"),2,
AND(OR(H59&lt;&gt;"",I59&lt;&gt;""),F59="Mean of 3"),1,
F59="Mean of 3",AA59,
AND(OR(H59&lt;&gt;"",I59&lt;&gt;""),F59="Best of 3",C59="4x4 / 5x5 BLD"),2,
AND(OR(H59&lt;&gt;"",I59&lt;&gt;""),F59="Best of 3"),1,
F59="Best of 2",AA59,
F59="Best of 1",AA59)</f>
        <v/>
      </c>
      <c r="AA59" s="57" t="str">
        <f>IFS(OR(COUNTIF(Info!$A$22:A81,C59)&gt;0,C59=""),"",
AND(OR("3x3 MBLD"=C59,"3x3 FMC"=C59),F59="Best of 1"=TRUE),1,
AND(OR("3x3 MBLD"=C59,"3x3 FMC"=C59),F59="Best of 2"=TRUE),2,
AND(OR("3x3 MBLD"=C59,"3x3 FMC"=C59),OR(F59="Best of 3",F59="Mean of 3")=TRUE),3,
AND(F59="Mean of 3",C59="6x6 / 7x7"),6,
AND(F59="Best of 3",C59="4x4 / 5x5 BLD"),6,
F59="Avg of 5",5,F59="Mean of 3",3,F59="Best of 3",3,F59="Best of 2",2,F59="Best of 1",1)</f>
        <v/>
      </c>
      <c r="AB59" s="58"/>
    </row>
    <row r="60">
      <c r="A60" s="40">
        <f>IFERROR(__xludf.DUMMYFUNCTION("IFS(indirect(""A""&amp;row()-1)=""Start"",TIME(indirect(""A""&amp;row()-2),indirect(""B""&amp;row()-2),0),
$O$2=""No"",TIME(0,($A$6*60+$B$6)+CEILING(SUM($L$7:indirect(""L""&amp;row()-1)),5),0),
D60=$E$2,TIME(0,($A$6*60+$B$6)+CEILING(SUM(IFERROR(FILTER($L$7:indirect(""L"""&amp;"&amp;row()-1),REGEXMATCH($D$7:indirect(""D""&amp;row()-1),$E$2)),0)),5),0),
TRUE,""=time(hh;mm;ss)"")"),0.3541666666666665)</f>
        <v>0.3541666667</v>
      </c>
      <c r="B60" s="41">
        <f>IFERROR(__xludf.DUMMYFUNCTION("IFS($O$2=""No"",TIME(0,($A$6*60+$B$6)+CEILING(SUM($L$7:indirect(""L""&amp;row())),5),0),
D60=$E$2,TIME(0,($A$6*60+$B$6)+CEILING(SUM(FILTER($L$7:indirect(""L""&amp;row()),REGEXMATCH($D$7:indirect(""D""&amp;row()),$E$2))),5),0),
A60=""=time(hh;mm;ss)"",CONCATENATE(""Sk"&amp;"riv tid i A""&amp;row()),
AND(A60&lt;&gt;"""",A60&lt;&gt;""=time(hh;mm;ss)""),A60+TIME(0,CEILING(indirect(""L""&amp;row()),5),0))"),0.3541666666666665)</f>
        <v>0.3541666667</v>
      </c>
      <c r="C60" s="42"/>
      <c r="D60" s="43" t="str">
        <f t="shared" si="7"/>
        <v>Stora salen</v>
      </c>
      <c r="E60" s="43" t="str">
        <f>IFERROR(__xludf.DUMMYFUNCTION("IFS(COUNTIF(Info!$A$22:A81,C60)&gt;0,"""",
AND(OR(""3x3 FMC""=C60,""3x3 MBLD""=C60),COUNTIF($C$7:indirect(""C""&amp;row()),indirect(""C""&amp;row()))&gt;=13),""E - Error"",
AND(OR(""3x3 FMC""=C60,""3x3 MBLD""=C60),COUNTIF($C$7:indirect(""C""&amp;row()),indirect(""C""&amp;row()"&amp;"))=12),""Final - A3"",
AND(OR(""3x3 FMC""=C60,""3x3 MBLD""=C60),COUNTIF($C$7:indirect(""C""&amp;row()),indirect(""C""&amp;row()))=11),""Final - A2"",
AND(OR(""3x3 FMC""=C60,""3x3 MBLD""=C60),COUNTIF($C$7:indirect(""C""&amp;row()),indirect(""C""&amp;row()))=10),""Final - "&amp;"A1"",
AND(OR(""3x3 FMC""=C60,""3x3 MBLD""=C60),COUNTIF($C$7:indirect(""C""&amp;row()),indirect(""C""&amp;row()))=9,
COUNTIF($C$7:$C$61,indirect(""C""&amp;row()))&gt;9),""R3 - A3"",
AND(OR(""3x3 FMC""=C60,""3x3 MBLD""=C60),COUNTIF($C$7:indirect(""C""&amp;row()),indirect(""C"&amp;"""&amp;row()))=9,
COUNTIF($C$7:$C$61,indirect(""C""&amp;row()))&lt;=9),""Final - A3"",
AND(OR(""3x3 FMC""=C60,""3x3 MBLD""=C60),COUNTIF($C$7:indirect(""C""&amp;row()),indirect(""C""&amp;row()))=8,
COUNTIF($C$7:$C$61,indirect(""C""&amp;row()))&gt;9),""R3 - A2"",
AND(OR(""3x3 FMC""="&amp;"C60,""3x3 MBLD""=C60),COUNTIF($C$7:indirect(""C""&amp;row()),indirect(""C""&amp;row()))=8,
COUNTIF($C$7:$C$61,indirect(""C""&amp;row()))&lt;=9),""Final - A2"",
AND(OR(""3x3 FMC""=C60,""3x3 MBLD""=C60),COUNTIF($C$7:indirect(""C""&amp;row()),indirect(""C""&amp;row()))=7,
COUNTIF("&amp;"$C$7:$C$61,indirect(""C""&amp;row()))&gt;9),""R3 - A1"",
AND(OR(""3x3 FMC""=C60,""3x3 MBLD""=C60),COUNTIF($C$7:indirect(""C""&amp;row()),indirect(""C""&amp;row()))=7,
COUNTIF($C$7:$C$61,indirect(""C""&amp;row()))&lt;=9),""Final - A1"",
AND(OR(""3x3 FMC""=C60,""3x3 MBLD""=C60),"&amp;"COUNTIF($C$7:indirect(""C""&amp;row()),indirect(""C""&amp;row()))=6,
COUNTIF($C$7:$C$61,indirect(""C""&amp;row()))&gt;6),""R2 - A3"",
AND(OR(""3x3 FMC""=C60,""3x3 MBLD""=C60),COUNTIF($C$7:indirect(""C""&amp;row()),indirect(""C""&amp;row()))=6,
COUNTIF($C$7:$C$61,indirect(""C""&amp;"&amp;"row()))&lt;=6),""Final - A3"",
AND(OR(""3x3 FMC""=C60,""3x3 MBLD""=C60),COUNTIF($C$7:indirect(""C""&amp;row()),indirect(""C""&amp;row()))=5,
COUNTIF($C$7:$C$61,indirect(""C""&amp;row()))&gt;6),""R2 - A2"",
AND(OR(""3x3 FMC""=C60,""3x3 MBLD""=C60),COUNTIF($C$7:indirect(""C"&amp;"""&amp;row()),indirect(""C""&amp;row()))=5,
COUNTIF($C$7:$C$61,indirect(""C""&amp;row()))&lt;=6),""Final - A2"",
AND(OR(""3x3 FMC""=C60,""3x3 MBLD""=C60),COUNTIF($C$7:indirect(""C""&amp;row()),indirect(""C""&amp;row()))=4,
COUNTIF($C$7:$C$61,indirect(""C""&amp;row()))&gt;6),""R2 - A1"&amp;""",
AND(OR(""3x3 FMC""=C60,""3x3 MBLD""=C60),COUNTIF($C$7:indirect(""C""&amp;row()),indirect(""C""&amp;row()))=4,
COUNTIF($C$7:$C$61,indirect(""C""&amp;row()))&lt;=6),""Final - A1"",
AND(OR(""3x3 FMC""=C60,""3x3 MBLD""=C60),COUNTIF($C$7:indirect(""C""&amp;row()),indirect("""&amp;"C""&amp;row()))=3),""R1 - A3"",
AND(OR(""3x3 FMC""=C60,""3x3 MBLD""=C60),COUNTIF($C$7:indirect(""C""&amp;row()),indirect(""C""&amp;row()))=2),""R1 - A2"",
AND(OR(""3x3 FMC""=C60,""3x3 MBLD""=C60),COUNTIF($C$7:indirect(""C""&amp;row()),indirect(""C""&amp;row()))=1),""R1 - A1"&amp;""",
COUNTIF($C$7:indirect(""C""&amp;row()),indirect(""C""&amp;row()))&gt;4,""E - Error"",
COUNTIF($C$7:indirect(""C""&amp;row()),indirect(""C""&amp;row()))=4,""Final"",
AND(COUNTIF($C$7:indirect(""C""&amp;row()),indirect(""C""&amp;row()))=3,COUNTIF($C$7:$C$61,indirect(""C""&amp;row()))"&amp;"&gt;COUNTIF($C$7:indirect(""C""&amp;row()),indirect(""C""&amp;row()))),3,
AND(COUNTIF($C$7:indirect(""C""&amp;row()),indirect(""C""&amp;row()))=3,COUNTIF($C$7:$C$61,indirect(""C""&amp;row()))=COUNTIF($C$7:indirect(""C""&amp;row()),indirect(""C""&amp;row())),COUNTIF($C$7:indirect(""C""&amp;"&amp;"row()),indirect(""C""&amp;row()))&lt;FILTER(Info!$I$2:I81, Info!$A$2:A81 = C60),ROUNDUP((FILTER(Info!$H$2:H81,Info!$A$2:A81=C60)/FILTER(Info!$H$2:H81,Info!$A$2:A81=$K$2))*$I$2)&gt;99),3,
AND(COUNTIF($C$7:indirect(""C""&amp;row()),indirect(""C""&amp;row()))=3,COUNTIF($C$7:$"&amp;"C$61,indirect(""C""&amp;row()))=COUNTIF($C$7:indirect(""C""&amp;row()),indirect(""C""&amp;row()))),""Final"",
AND(COUNTIF($C$7:indirect(""C""&amp;row()),indirect(""C""&amp;row()))=2,COUNTIF($C$7:$C$61,indirect(""C""&amp;row()))&gt;COUNTIF($C$7:indirect(""C""&amp;row()),indirect(""C""&amp;r"&amp;"ow()))),2,
AND(COUNTIF($C$7:indirect(""C""&amp;row()),indirect(""C""&amp;row()))=2,COUNTIF($C$7:$C$61,indirect(""C""&amp;row()))=COUNTIF($C$7:indirect(""C""&amp;row()),indirect(""C""&amp;row())),COUNTIF($C$7:indirect(""C""&amp;row()),indirect(""C""&amp;row()))&lt;FILTER(Info!$I$2:I81, "&amp;"Info!$A$2:A81 = C60),ROUNDUP((FILTER(Info!$H$2:H81,Info!$A$2:A81=C60)/FILTER(Info!$H$2:H81,Info!$A$2:A81=$K$2))*$I$2)&gt;15),2,
AND(COUNTIF($C$7:indirect(""C""&amp;row()),indirect(""C""&amp;row()))=2,COUNTIF($C$7:$C$61,indirect(""C""&amp;row()))=COUNTIF($C$7:indirect("""&amp;"C""&amp;row()),indirect(""C""&amp;row()))),""Final"",
COUNTIF($C$7:indirect(""C""&amp;row()),indirect(""C""&amp;row()))=1,1,
COUNTIF($C$7:indirect(""C""&amp;row()),indirect(""C""&amp;row()))=0,"""")"),"")</f>
        <v/>
      </c>
      <c r="F60" s="44" t="str">
        <f>IFERROR(__xludf.DUMMYFUNCTION("IFS(C60="""","""",
AND(C60=""3x3 FMC"",MOD(COUNTIF($C$7:indirect(""C""&amp;row()),indirect(""C""&amp;row())),3)=0),""Mean of 3"",
AND(C60=""3x3 MBLD"",MOD(COUNTIF($C$7:indirect(""C""&amp;row()),indirect(""C""&amp;row())),3)=0),""Best of 3"",
AND(C60=""3x3 FMC"",MOD(COUNT"&amp;"IF($C$7:indirect(""C""&amp;row()),indirect(""C""&amp;row())),3)=2,
COUNTIF($C$7:$C$61,indirect(""C""&amp;row()))&lt;=COUNTIF($C$7:indirect(""C""&amp;row()),indirect(""C""&amp;row()))),""Best of 2"",
AND(C60=""3x3 FMC"",MOD(COUNTIF($C$7:indirect(""C""&amp;row()),indirect(""C""&amp;row()"&amp;")),3)=2,
COUNTIF($C$7:$C$61,indirect(""C""&amp;row()))&gt;COUNTIF($C$7:indirect(""C""&amp;row()),indirect(""C""&amp;row()))),""Mean of 3"",
AND(C60=""3x3 MBLD"",MOD(COUNTIF($C$7:indirect(""C""&amp;row()),indirect(""C""&amp;row())),3)=2,
COUNTIF($C$7:$C$61,indirect(""C""&amp;row()))"&amp;"&lt;=COUNTIF($C$7:indirect(""C""&amp;row()),indirect(""C""&amp;row()))),""Best of 2"",
AND(C60=""3x3 MBLD"",MOD(COUNTIF($C$7:indirect(""C""&amp;row()),indirect(""C""&amp;row())),3)=2,
COUNTIF($C$7:$C$61,indirect(""C""&amp;row()))&gt;COUNTIF($C$7:indirect(""C""&amp;row()),indirect(""C"&amp;"""&amp;row()))),""Best of 3"",
AND(C60=""3x3 FMC"",MOD(COUNTIF($C$7:indirect(""C""&amp;row()),indirect(""C""&amp;row())),3)=1,
COUNTIF($C$7:$C$61,indirect(""C""&amp;row()))&lt;=COUNTIF($C$7:indirect(""C""&amp;row()),indirect(""C""&amp;row()))),""Best of 1"",
AND(C60=""3x3 FMC"",MOD"&amp;"(COUNTIF($C$7:indirect(""C""&amp;row()),indirect(""C""&amp;row())),3)=1,
COUNTIF($C$7:$C$61,indirect(""C""&amp;row()))=COUNTIF($C$7:indirect(""C""&amp;row()),indirect(""C""&amp;row()))+1),""Best of 2"",
AND(C60=""3x3 FMC"",MOD(COUNTIF($C$7:indirect(""C""&amp;row()),indirect(""C"&amp;"""&amp;row())),3)=1,
COUNTIF($C$7:$C$61,indirect(""C""&amp;row()))&gt;COUNTIF($C$7:indirect(""C""&amp;row()),indirect(""C""&amp;row()))),""Mean of 3"",
AND(C60=""3x3 MBLD"",MOD(COUNTIF($C$7:indirect(""C""&amp;row()),indirect(""C""&amp;row())),3)=1,
COUNTIF($C$7:$C$61,indirect(""C"""&amp;"&amp;row()))&lt;=COUNTIF($C$7:indirect(""C""&amp;row()),indirect(""C""&amp;row()))),""Best of 1"",
AND(C60=""3x3 MBLD"",MOD(COUNTIF($C$7:indirect(""C""&amp;row()),indirect(""C""&amp;row())),3)=1,
COUNTIF($C$7:$C$61,indirect(""C""&amp;row()))=COUNTIF($C$7:indirect(""C""&amp;row()),indir"&amp;"ect(""C""&amp;row()))+1),""Best of 2"",
AND(C60=""3x3 MBLD"",MOD(COUNTIF($C$7:indirect(""C""&amp;row()),indirect(""C""&amp;row())),3)=1,
COUNTIF($C$7:$C$61,indirect(""C""&amp;row()))&gt;COUNTIF($C$7:indirect(""C""&amp;row()),indirect(""C""&amp;row()))),""Best of 3"",
TRUE,(IFERROR("&amp;"FILTER(Info!$D$2:D81, Info!$A$2:A81 = C60), """")))"),"")</f>
        <v/>
      </c>
      <c r="G60" s="45" t="str">
        <f>IFERROR(__xludf.DUMMYFUNCTION("IFS(OR(COUNTIF(Info!$A$22:A81,C60)&gt;0,C60=""""),"""",
OR(""3x3 MBLD""=C60,""3x3 FMC""=C60),60,
AND(E60=1,FILTER(Info!$F$2:F81, Info!$A$2:A81 = C60) = ""No""),FILTER(Info!$P$2:P81, Info!$A$2:A81 = C60),
AND(E60=2,FILTER(Info!$F$2:F81, Info!$A$2:A81 = C60) ="&amp;" ""No""),FILTER(Info!$Q$2:Q81, Info!$A$2:A81 = C60),
AND(E60=3,FILTER(Info!$F$2:F81, Info!$A$2:A81 = C60) = ""No""),FILTER(Info!$R$2:R81, Info!$A$2:A81 = C60),
AND(E60=""Final"",FILTER(Info!$F$2:F81, Info!$A$2:A81 = C60) = ""No""),FILTER(Info!$S$2:S81, In"&amp;"fo!$A$2:A81 = C60),
FILTER(Info!$F$2:F81, Info!$A$2:A81 = C60) = ""Yes"","""")"),"")</f>
        <v/>
      </c>
      <c r="H60" s="45" t="str">
        <f>IFERROR(__xludf.DUMMYFUNCTION("IFS(OR(COUNTIF(Info!$A$22:A81,C60)&gt;0,C60=""""),"""",
OR(""3x3 MBLD""=C60,""3x3 FMC""=C60)=TRUE,"""",
FILTER(Info!$F$2:F81, Info!$A$2:A81 = C60) = ""Yes"",FILTER(Info!$O$2:O81, Info!$A$2:A81 = C60),
FILTER(Info!$F$2:F81, Info!$A$2:A81 = C60) = ""No"",IF(G6"&amp;"0="""",FILTER(Info!$O$2:O81, Info!$A$2:A81 = C60),""""))"),"")</f>
        <v/>
      </c>
      <c r="I60" s="45" t="str">
        <f>IFERROR(__xludf.DUMMYFUNCTION("IFS(OR(COUNTIF(Info!$A$22:A81,C60)&gt;0,C60="""",H60&lt;&gt;""""),"""",
AND(E60&lt;&gt;1,E60&lt;&gt;""R1 - A1"",E60&lt;&gt;""R1 - A2"",E60&lt;&gt;""R1 - A3""),"""",
FILTER(Info!$E$2:E81, Info!$A$2:A81 = C60) = ""Yes"",IF(H60="""",FILTER(Info!$L$2:L81, Info!$A$2:A81 = C60),""""),
FILTER(I"&amp;"nfo!$E$2:E81, Info!$A$2:A81 = C60) = ""No"","""")"),"")</f>
        <v/>
      </c>
      <c r="J60" s="45" t="str">
        <f>IFERROR(__xludf.DUMMYFUNCTION("IFS(OR(COUNTIF(Info!$A$22:A81,C60)&gt;0,C60="""",""3x3 MBLD""=C60,""3x3 FMC""=C60),"""",
AND(E60=1,FILTER(Info!$H$2:H81,Info!$A$2:A81 = C60)&lt;=FILTER(Info!$H$2:H81,Info!$A$2:A81=$K$2)),
ROUNDUP((FILTER(Info!$H$2:H81,Info!$A$2:A81 = C60)/FILTER(Info!$H$2:H81,I"&amp;"nfo!$A$2:A81=$K$2))*$I$2),
AND(E60=1,FILTER(Info!$H$2:H81,Info!$A$2:A81 = C60)&gt;FILTER(Info!$H$2:H81,Info!$A$2:A81=$K$2)),""K2 - Error"",
AND(E60=2,FILTER($J$7:indirect(""J""&amp;row()-1),$C$7:indirect(""C""&amp;row()-1)=C60)&lt;=7),""J - Error"",
E60=2,FLOOR(FILTER("&amp;"$J$7:indirect(""J""&amp;row()-1),$C$7:indirect(""C""&amp;row()-1)=C60)*Info!$T$32),
AND(E60=3,FILTER($J$7:indirect(""J""&amp;row()-1),$C$7:indirect(""C""&amp;row()-1)=C60)&lt;=15),""J - Error"",
E60=3,FLOOR(Info!$T$32*FLOOR(FILTER($J$7:indirect(""J""&amp;row()-1),$C$7:indirect("&amp;"""C""&amp;row()-1)=C60)*Info!$T$32)),
AND(E60=""Final"",COUNTIF($C$7:$C$61,C60)=2,FILTER($J$7:indirect(""J""&amp;row()-1),$C$7:indirect(""C""&amp;row()-1)=C60)&lt;=7),""J - Error"",
AND(E60=""Final"",COUNTIF($C$7:$C$61,C60)=2),
MIN(P60,FLOOR(FILTER($J$7:indirect(""J""&amp;r"&amp;"ow()-1),$C$7:indirect(""C""&amp;row()-1)=C60)*Info!$T$32)),
AND(E60=""Final"",COUNTIF($C$7:$C$61,C60)=3,FILTER($J$7:indirect(""J""&amp;row()-1),$C$7:indirect(""C""&amp;row()-1)=C60)&lt;=15),""J - Error"",
AND(E60=""Final"",COUNTIF($C$7:$C$61,C60)=3),
MIN(P60,FLOOR(Info!"&amp;"$T$32*FLOOR(FILTER($J$7:indirect(""J""&amp;row()-1),$C$7:indirect(""C""&amp;row()-1)=C60)*Info!$T$32))),
AND(E60=""Final"",COUNTIF($C$7:$C$61,C60)&gt;=4,FILTER($J$7:indirect(""J""&amp;row()-1),$C$7:indirect(""C""&amp;row()-1)=C60)&lt;=99),""J - Error"",
AND(E60=""Final"",COUNT"&amp;"IF($C$7:$C$61,C60)&gt;=4),
MIN(P60,FLOOR(Info!$T$32*FLOOR(Info!$T$32*FLOOR(FILTER($J$7:indirect(""J""&amp;row()-1),$C$7:indirect(""C""&amp;row()-1)=C60)*Info!$T$32)))))"),"")</f>
        <v/>
      </c>
      <c r="K60" s="46" t="str">
        <f>IFERROR(__xludf.DUMMYFUNCTION("IFS(AND(indirect(""D""&amp;row()+2)&lt;&gt;$E$2,indirect(""D""&amp;row()+1)=""""),CONCATENATE(""Tom rad! Kopiera hela rad ""&amp;row()&amp;"" dit""),
AND(indirect(""D""&amp;row()-1)&lt;&gt;""Rum"",indirect(""D""&amp;row()-1)=""""),CONCATENATE(""Tom rad! Kopiera hela rad ""&amp;row()&amp;"" dit""),
"&amp;"C60="""","""",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OR(AND(D60&lt;&gt;$E$2,D60&lt;&gt;$E$4,D60&lt;&gt;$K$4,D60&lt;&gt;$Q$4),D60="&amp;"""""),CONCATENATE(""Rum: ""&amp;D60&amp;"" finns ej, byt i D""&amp;row()),
AND(indirect(""D""&amp;row()-1)=""Rum"",C60=""""),CONCATENATE(""För att börja: skriv i cell C""&amp;row()),
AND(C60=""Paus"",M60&lt;=0),CONCATENATE(""Skriv pausens längd i M""&amp;row()),
OR(COUNTIF(Info!$A$"&amp;"22:A81,C60)&gt;0,C60=""""),"""",
AND(D60&lt;&gt;$E$2,$O$2=""Yes"",A60=""=time(hh;mm;ss)""),CONCATENATE(""Skriv starttid för ""&amp;C60&amp;"" i A""&amp;row()),
E60=""E - Error"",CONCATENATE(""För många ""&amp;C60&amp;"" rundor!""),
AND(C60&lt;&gt;""3x3 FMC"",C60&lt;&gt;""3x3 MBLD"",E60&lt;&gt;1,E60&lt;&gt;"&amp;"""Final"",IFERROR(FILTER($E$7:indirect(""E""&amp;row()-1),
$E$7:indirect(""E""&amp;row()-1)=E60-1,$C$7:indirect(""C""&amp;row()-1)=C60))=FALSE),CONCATENATE(""Kan ej vara R""&amp;E60&amp;"", saknar R""&amp;(E60-1)),
AND(indirect(""E""&amp;row()-1)&lt;&gt;""Omgång"",IFERROR(FILTER($E$7:indi"&amp;"rect(""E""&amp;row()-1),
$E$7:indirect(""E""&amp;row()-1)=E60,$C$7:indirect(""C""&amp;row()-1)=C60)=E60)=TRUE),CONCATENATE(""Runda ""&amp;E60&amp;"" i ""&amp;C60&amp;"" finns redan""),
AND(C60&lt;&gt;""3x3 BLD"",C60&lt;&gt;""4x4 BLD"",C60&lt;&gt;""5x5 BLD"",C60&lt;&gt;""4x4 / 5x5 BLD"",OR(E60=2,E60=3,E60="&amp;"""Final""),H60&lt;&gt;""""),CONCATENATE(E60&amp;""-rundor brukar ej ha c.t.l.""),
AND(OR(E60=2,E60=3,E60=""Final""),I60&lt;&gt;""""),CONCATENATE(E60&amp;""-rundor brukar ej ha cutoff""),
AND(OR(C60=""3x3 FMC"",C60=""3x3 MBLD""),OR(E60=1,E60=2,E60=3,E60=""Final"")),CONCATENAT"&amp;"E(C60&amp;""s omgång är Rx - Ax""),
AND(C60&lt;&gt;""3x3 MBLD"",C60&lt;&gt;""3x3 FMC"",FILTER(Info!$D$2:D81, Info!$A$2:A81 = C60)&lt;&gt;F60),CONCATENATE(C60&amp;"" måste ha formatet ""&amp;FILTER(Info!$D$2:D81, Info!$A$2:A81 = C60)),
AND(C60=""3x3 MBLD"",OR(F60=""Avg of 5"",F60=""Mea"&amp;"n of 3"")),CONCATENATE(""Ogiltigt format för ""&amp;C60),
AND(C60=""3x3 FMC"",OR(F60=""Avg of 5"",F60=""Best of 3"")),CONCATENATE(""Ogiltigt format för ""&amp;C60),
AND(OR(F60=""Best of 1"",F60=""Best of 2"",F60=""Best of 3""),I60&lt;&gt;""""),CONCATENATE(F60&amp;""-rundor"&amp;" får ej ha cutoff""),
AND(OR(C60=""3x3 FMC"",C60=""3x3 MBLD""),G60&lt;&gt;60),CONCATENATE(C60&amp;"" måste ha time limit: 60""),
AND(OR(C60=""3x3 FMC"",C60=""3x3 MBLD""),H60&lt;&gt;""""),CONCATENATE(C60&amp;"" kan inte ha c.t.l.""),
AND(G60&lt;&gt;"""",H60&lt;&gt;""""),""Välj time limit"&amp;" ELLER c.t.l"",
AND(C60=""6x6 / 7x7"",G60="""",H60=""""),""Sätt time limit (x / y) eller c.t.l (z)"",
AND(G60="""",H60=""""),""Sätt en time limit eller c.t.l"",
AND(OR(C60=""6x6 / 7x7"",C60=""4x4 / 5x5 BLD""),G60&lt;&gt;"""",REGEXMATCH(TO_TEXT(G60),"" / "")=FAL"&amp;"SE),CONCATENATE(""Time limit måste vara x / y""),
AND(H60&lt;&gt;"""",I60&lt;&gt;""""),CONCATENATE(C60&amp;"" brukar ej ha cutoff OCH c.t.l""),
AND(E60=1,H60="""",I60="""",OR(FILTER(Info!$E$2:E81, Info!$A$2:A81 = C60) = ""Yes"",FILTER(Info!$F$2:F81, Info!$A$2:A81 = C60) "&amp;"= ""Yes""),OR(F60=""Avg of 5"",F60=""Mean of 3"")),CONCATENATE(C60&amp;"" bör ha cutoff eller c.t.l""),
AND(C60=""6x6 / 7x7"",I60&lt;&gt;"""",REGEXMATCH(TO_TEXT(I60),"" / "")=FALSE),CONCATENATE(""Cutoff måste vara x / y""),
AND(H60&lt;&gt;"""",ISNUMBER(H60)=FALSE),""C.t."&amp;"l. måste vara positivt tal (x)"",
AND(C60&lt;&gt;""6x6 / 7x7"",I60&lt;&gt;"""",ISNUMBER(I60)=FALSE),""Cutoff måste vara positivt tal (x)"",
AND(H60&lt;&gt;"""",FILTER(Info!$E$2:E81, Info!$A$2:A81 = C60) = ""No"",FILTER(Info!$F$2:F81, Info!$A$2:A81 = C60) = ""No""),CONCATEN"&amp;"ATE(C60&amp;"" brukar inte ha c.t.l.""),
AND(I60&lt;&gt;"""",FILTER(Info!$E$2:E81, Info!$A$2:A81 = C60) = ""No"",FILTER(Info!$F$2:F81, Info!$A$2:A81 = C60) = ""No""),CONCATENATE(C60&amp;"" brukar inte ha cutoff""),
AND(H60="""",FILTER(Info!$F$2:F81, Info!$A$2:A81 = C60"&amp;") = ""Yes""),CONCATENATE(C60&amp;"" brukar ha c.t.l.""),
AND(C60&lt;&gt;""6x6 / 7x7"",C60&lt;&gt;""4x4 / 5x5 BLD"",G60&lt;&gt;"""",ISNUMBER(G60)=FALSE),""Time limit måste vara positivt tal (x)"",
J60=""J - Error"",CONCATENATE(""För få deltagare i R1 för ""&amp;COUNTIF($C$7:$C$61,i"&amp;"ndirect(""C""&amp;row()))&amp;"" rundor""),
J60=""K2 - Error"",CONCATENATE(C60&amp;"" är mer populär - byt i K2!""),
AND(C60&lt;&gt;""6x6 / 7x7"",C60&lt;&gt;""4x4 / 5x5 BLD"",G60&lt;&gt;"""",I60&lt;&gt;"""",G60&lt;=I60),""Time limit måste vara &gt; cutoff"",
AND(C60&lt;&gt;""6x6 / 7x7"",C60&lt;&gt;""4x4 / 5x"&amp;"5 BLD"",H60&lt;&gt;"""",I60&lt;&gt;"""",H60&lt;=I60),""C.t.l. måste vara &gt; cutoff"",
AND(C60&lt;&gt;""3x3 FMC"",C60&lt;&gt;""3x3 MBLD"",J60=""""),CONCATENATE(""Fyll i antal deltagare i J""&amp;row()),
AND(C60="""",OR(E60&lt;&gt;"""",F60&lt;&gt;"""",G60&lt;&gt;"""",H60&lt;&gt;"""",I60&lt;&gt;"""",J60&lt;&gt;"""")),""Skriv"&amp;" ALLTID gren / aktivitet först"",
AND(I60="""",H60="""",J60&lt;&gt;""""),J60,
OR(""3x3 FMC""=C60,""3x3 MBLD""=C60),J60,
AND(I60&lt;&gt;"""",""6x6 / 7x7""=C60),
IFS(ArrayFormula(SUM(IFERROR(SPLIT(I60,"" / ""))))&lt;(Info!$J$6+Info!$J$7)*2/3,CONCATENATE(""Höj helst cutoff"&amp;"s i ""&amp;C60),
ArrayFormula(SUM(IFERROR(SPLIT(I60,"" / ""))))&lt;=(Info!$J$6+Info!$J$7),ROUNDUP(J60*Info!$J$22),
ArrayFormula(SUM(IFERROR(SPLIT(I60,"" / ""))))&lt;=Info!$J$6+Info!$J$7,ROUNDUP(J60*Info!$K$22),
ArrayFormula(SUM(IFERROR(SPLIT(I60,"" / ""))))&lt;=Info!$"&amp;"K$6+Info!$K$7,ROUNDUP(J60*Info!L$22),
ArrayFormula(SUM(IFERROR(SPLIT(I60,"" / ""))))&lt;=Info!$L$6+Info!$L$7,ROUNDUP(J60*Info!$M$22),
ArrayFormula(SUM(IFERROR(SPLIT(I60,"" / ""))))&lt;=Info!$M$6+Info!$M$7,ROUNDUP(J60*Info!$N$22),
ArrayFormula(SUM(IFERROR(SPLIT("&amp;"I60,"" / ""))))&lt;=(Info!$N$6+Info!$N$7)*3/2,ROUNDUP(J60*Info!$J$26),
ArrayFormula(SUM(IFERROR(SPLIT(I60,"" / ""))))&gt;(Info!$N$6+Info!$N$7)*3/2,CONCATENATE(""Sänk helst cutoffs i ""&amp;C60)),
AND(I60&lt;&gt;"""",FILTER(Info!$E$2:E81, Info!$A$2:A81 = C60) = ""Yes""),
"&amp;"IFS(I60&lt;FILTER(Info!$J$2:J81, Info!$A$2:A81 = C60)*2/3,CONCATENATE(""Höj helst cutoff i ""&amp;C60),
I60&lt;=FILTER(Info!$J$2:J81, Info!$A$2:A81 = C60),ROUNDUP(J60*Info!$J$22),
I60&lt;=FILTER(Info!$K$2:K81, Info!$A$2:A81 = C60),ROUNDUP(J60*Info!$K$22),
I60&lt;=FILTER("&amp;"Info!$L$2:L81, Info!$A$2:A81 = C60),ROUNDUP(J60*Info!L$22),
I60&lt;=FILTER(Info!$M$2:M81, Info!$A$2:A81 = C60),ROUNDUP(J60*Info!$M$22),
I60&lt;=FILTER(Info!$N$2:N81, Info!$A$2:A81 = C60),ROUNDUP(J60*Info!$N$22),
I60&lt;=FILTER(Info!$N$2:N81, Info!$A$2:A81 = C60)*3"&amp;"/2,ROUNDUP(J60*Info!$J$26),
I60&gt;FILTER(Info!$N$2:N81, Info!$A$2:A81 = C60)*3/2,CONCATENATE(""Sänk helst cutoff i ""&amp;C60)),
AND(H60&lt;&gt;"""",""6x6 / 7x7""=C60),
IFS(H60/3&lt;=(Info!$J$6+Info!$J$7)*2/3,""Höj helst cumulative time limit"",
H60/3&lt;=Info!$J$6+Info!$J"&amp;"$7,ROUNDUP(J60*Info!$J$24),
H60/3&lt;=Info!$K$6+Info!$K$7,ROUNDUP(J60*Info!$K$24),
H60/3&lt;=Info!$L$6+Info!$L$7,ROUNDUP(J60*Info!L$24),
H60/3&lt;=Info!$M$6+Info!$M$7,ROUNDUP(J60*Info!$M$24),
H60/3&lt;=Info!$N$6+Info!$N$7,ROUNDUP(J60*Info!$N$24),
H60/3&lt;=(Info!$N$6+In"&amp;"fo!$N$7)*3/2,ROUNDUP(J60*Info!$L$26),
H60/3&gt;(Info!$J$6+Info!$J$7)*3/2,""Sänk helst cumulative time limit""),
AND(H60&lt;&gt;"""",FILTER(Info!$F$2:F81, Info!$A$2:A81 = C60) = ""Yes""),
IFS(H60&lt;=FILTER(Info!$J$2:J81, Info!$A$2:A81 = C60)*2/3,CONCATENATE(""Höj hel"&amp;"st c.t.l. i ""&amp;C60),
H60&lt;=FILTER(Info!$J$2:J81, Info!$A$2:A81 = C60),ROUNDUP(J60*Info!$J$24),
H60&lt;=FILTER(Info!$K$2:K81, Info!$A$2:A81 = C60),ROUNDUP(J60*Info!$K$24),
H60&lt;=FILTER(Info!$L$2:L81, Info!$A$2:A81 = C60),ROUNDUP(J60*Info!L$24),
H60&lt;=FILTER(Info"&amp;"!$M$2:M81, Info!$A$2:A81 = C60),ROUNDUP(J60*Info!$M$24),
H60&lt;=FILTER(Info!$N$2:N81, Info!$A$2:A81 = C60),ROUNDUP(J60*Info!$N$24),
H60&lt;=FILTER(Info!$N$2:N81, Info!$A$2:A81 = C60)*3/2,ROUNDUP(J60*Info!$L$26),
H60&gt;FILTER(Info!$N$2:N81, Info!$A$2:A81 = C60)*3"&amp;"/2,CONCATENATE(""Sänk helst c.t.l. i ""&amp;C60)),
AND(H60&lt;&gt;"""",FILTER(Info!$F$2:F81, Info!$A$2:A81 = C60) = ""No""),
IFS(H60/AA60&lt;=FILTER(Info!$J$2:J81, Info!$A$2:A81 = C60)*2/3,CONCATENATE(""Höj helst c.t.l. i ""&amp;C60),
H60/AA60&lt;=FILTER(Info!$J$2:J81, Info!"&amp;"$A$2:A81 = C60),ROUNDUP(J60*Info!$J$24),
H60/AA60&lt;=FILTER(Info!$K$2:K81, Info!$A$2:A81 = C60),ROUNDUP(J60*Info!$K$24),
H60/AA60&lt;=FILTER(Info!$L$2:L81, Info!$A$2:A81 = C60),ROUNDUP(J60*Info!L$24),
H60/AA60&lt;=FILTER(Info!$M$2:M81, Info!$A$2:A81 = C60),ROUNDU"&amp;"P(J60*Info!$M$24),
H60/AA60&lt;=FILTER(Info!$N$2:N81, Info!$A$2:A81 = C60),ROUNDUP(J60*Info!$N$24),
H60/AA60&lt;=FILTER(Info!$N$2:N81, Info!$A$2:A81 = C60)*3/2,ROUNDUP(J60*Info!$L$26),
H60/AA60&gt;FILTER(Info!$N$2:N81, Info!$A$2:A81 = C60)*3/2,CONCATENATE(""Sänk h"&amp;"elst c.t.l. i ""&amp;C60)),
AND(I60="""",H60&lt;&gt;"""",J60&lt;&gt;""""),ROUNDUP(J60*Info!$T$29),
AND(I60&lt;&gt;"""",H60="""",J60&lt;&gt;""""),ROUNDUP(J60*Info!$T$26))"),"")</f>
        <v/>
      </c>
      <c r="L60" s="47">
        <f>IFERROR(__xludf.DUMMYFUNCTION("IFS(C60="""",0,
C60=""3x3 FMC"",Info!$B$9*N60+M60, C60=""3x3 MBLD"",Info!$B$18*N60+M60,
COUNTIF(Info!$A$22:A81,C60)&gt;0,FILTER(Info!$B$22:B81,Info!$A$22:A81=C60)+M60,
AND(C60&lt;&gt;"""",E60=""""),CONCATENATE(""Fyll i E""&amp;row()),
AND(C60&lt;&gt;"""",E60&lt;&gt;"""",E60&lt;&gt;1,E6"&amp;"0&lt;&gt;2,E60&lt;&gt;3,E60&lt;&gt;""Final""),CONCATENATE(""Fel format på E""&amp;row()),
K60=CONCATENATE(""Runda ""&amp;E60&amp;"" i ""&amp;C60&amp;"" finns redan""),CONCATENATE(""Fel i E""&amp;row()),
AND(C60&lt;&gt;"""",F60=""""),CONCATENATE(""Fyll i F""&amp;row()),
K60=CONCATENATE(C60&amp;"" måste ha forma"&amp;"tet ""&amp;FILTER(Info!$D$2:D81, Info!$A$2:A81 = C60)),CONCATENATE(""Fel format på F""&amp;row()),
AND(C60&lt;&gt;"""",D60=1,H60="""",FILTER(Info!$F$2:F81, Info!$A$2:A81 = C60) = ""Yes""),CONCATENATE(""Fyll i H""&amp;row()),
AND(C60&lt;&gt;"""",D60=1,I60="""",FILTER(Info!$E$2:E8"&amp;"1, Info!$A$2:A81 = C60) = ""Yes""),CONCATENATE(""Fyll i I""&amp;row()),
AND(C60&lt;&gt;"""",J60=""""),CONCATENATE(""Fyll i J""&amp;row()),
AND(C60&lt;&gt;"""",K60="""",OR(H60&lt;&gt;"""",I60&lt;&gt;"""")),CONCATENATE(""Fyll i K""&amp;row()),
AND(C60&lt;&gt;"""",K60=""""),CONCATENATE(""Skriv samma"&amp;" i K""&amp;row()&amp;"" som i J""&amp;row()),
AND(OR(C60=""4x4 BLD"",C60=""5x5 BLD"",C60=""4x4 / 5x5 BLD"")=TRUE,V60&lt;=P60),
MROUND(H60*(Info!$T$20-((Info!$T$20-1)/2)*(1-V60/P60))*(1+((J60/K60)-1)*(1-Info!$J$24))*N60+(Info!$T$11/2)+(N60*Info!$T$11)+(N60*Info!$T$14*(O6"&amp;"0-1)),0.01)+M60,
AND(OR(C60=""4x4 BLD"",C60=""5x5 BLD"",C60=""4x4 / 5x5 BLD"")=TRUE,V60&gt;P60),
MROUND((((J60*Z60+K60*(AA60-Z60))*(H60*Info!$T$20/AA60))/X60)*(1+((J60/K60)-1)*(1-Info!$J$24))*(1+(X60-Info!$T$8)/100)+(Info!$T$11/2)+(N60*Info!$T$11)+(N60*Info!"&amp;"$T$14*(O60-1)),0.01)+M60,
AND(C60=""3x3 BLD"",V60&lt;=P60),
MROUND(H60*(Info!$T$23-((Info!$T$23-1)/2)*(1-V60/P60))*(1+((J60/K60)-1)*(1-Info!$J$24))*N60+(Info!$T$11/2)+(N60*Info!$T$11)+(N60*Info!$T$14*(O60-1)),0.01)+M60,
AND(C60=""3x3 BLD"",V60&gt;P60),
MROUND(("&amp;"((J60*Z60+K60*(AA60-Z60))*(H60*Info!$T$23/AA60))/X60)*(1+((J60/K60)-1)*(1-Info!$J$24))*(1+(X60-Info!$T$8)/100)+(Info!$T$11/2)+(N60*Info!$T$11)+(N60*Info!$T$14*(O60-1)),0.01)+M60,
E60=1,MROUND((((J60*Z60+K60*(AA60-Z60))*Y60)/X60)*(1+(X60-Info!$T$8)/100)+(N"&amp;"60*Info!$T$11)+(N60*Info!$T$14*(O60-1)),0.01)+M60,
AND(E60=""Final"",N60=1,FILTER(Info!$G$2:$G$20,Info!$A$2:$A$20=C60)=""Mycket svår""),
MROUND((((J60*Z60+K60*(AA60-Z60))*(Y60*Info!$T$38))/X60)*(1+(X60-Info!$T$8)/100)+(N60*Info!$T$11)+(N60*Info!$T$14*(O60"&amp;"-1)),0.01)+M60,
AND(E60=""Final"",N60=1,FILTER(Info!$G$2:$G$20,Info!$A$2:$A$20=C60)=""Svår""),
MROUND((((J60*Z60+K60*(AA60-Z60))*(Y60*Info!$T$35))/X60)*(1+(X60-Info!$T$8)/100)+(N60*Info!$T$11)+(N60*Info!$T$14*(O60-1)),0.01)+M60,
E60=""Final"",MROUND((((J6"&amp;"0*Z60+K60*(AA60-Z60))*(Y60*Info!$T$5))/X60)*(1+(X60-Info!$T$8)/100)+(N60*Info!$T$11)+(N60*Info!$T$14*(O60-1)),0.01)+M60,
OR(E60=2,E60=3),MROUND((((J60*Z60+K60*(AA60-Z60))*(Y60*Info!$T$2))/X60)*(1+(X60-Info!$T$8)/100)+(N60*Info!$T$11)+(N60*Info!$T$14*(O60-"&amp;"1)),0.01)+M60)"),0.0)</f>
        <v>0</v>
      </c>
      <c r="M60" s="48">
        <f t="shared" si="8"/>
        <v>0</v>
      </c>
      <c r="N60" s="48" t="str">
        <f>IFS(OR(COUNTIF(Info!$A$22:A81,C60)&gt;0,C60=""),"",
OR(C60="4x4 BLD",C60="5x5 BLD",C60="3x3 MBLD",C60="3x3 FMC",C60="4x4 / 5x5 BLD"),1,
AND(E60="Final",Q60="Yes",MAX(1,ROUNDUP(J60/P60))&gt;1),MAX(2,ROUNDUP(J60/P60)),
AND(E60="Final",Q60="No",MAX(1,ROUNDUP(J60/((P60*2)+2.625-Y60*1.5)))&gt;1),MAX(2,ROUNDUP(J60/((P60*2)+2.625-Y60*1.5))),
E60="Final",1,
Q60="Yes",MAX(2,ROUNDUP(J60/P60)),
TRUE,MAX(2,ROUNDUP(J60/((P60*2)+2.625-Y60*1.5))))</f>
        <v/>
      </c>
      <c r="O60" s="48" t="str">
        <f>IFS(OR(COUNTIF(Info!$A$22:A81,C60)&gt;0,C60=""),"",
OR("3x3 MBLD"=C60,"3x3 FMC"=C60)=TRUE,"",
D60=$E$4,$G$6,D60=$K$4,$M$6,D60=$Q$4,$S$6,D60=$W$4,$Y$6,
TRUE,$S$2)</f>
        <v/>
      </c>
      <c r="P60" s="48" t="str">
        <f>IFS(OR(COUNTIF(Info!$A$22:A81,C60)&gt;0,C60=""),"",
OR("3x3 MBLD"=C60,"3x3 FMC"=C60)=TRUE,"",
D60=$E$4,$E$6,D60=$K$4,$K$6,D60=$Q$4,$Q$6,D60=$W$4,$W$6,
TRUE,$Q$2)</f>
        <v/>
      </c>
      <c r="Q60" s="49" t="str">
        <f>IFS(OR(COUNTIF(Info!$A$22:A81,C60)&gt;0,C60=""),"",
OR("3x3 MBLD"=C60,"3x3 FMC"=C60)=TRUE,"",
D60=$E$4,$I$6,D60=$K$4,$O$6,D60=$Q$4,$U$6,D60=$W$4,$AA$6,
TRUE,$U$2)</f>
        <v/>
      </c>
      <c r="R60" s="50" t="str">
        <f>IFERROR(__xludf.DUMMYFUNCTION("IF(C60="""","""",IFERROR(FILTER(Info!$B$22:B81,Info!$A$22:A81=C60)+M60,""?""))"),"")</f>
        <v/>
      </c>
      <c r="S60" s="51" t="str">
        <f>IFS(OR(COUNTIF(Info!$A$22:A81,C60)&gt;0,C60=""),"",
AND(H60="",I60=""),J60,
TRUE,"?")</f>
        <v/>
      </c>
      <c r="T60" s="52" t="str">
        <f>IFS(OR(COUNTIF(Info!$A$22:A81,C60)&gt;0,C60=""),"",
AND(L60&lt;&gt;0,OR(R60="?",R60="")),"Fyll i R-kolumnen",
OR(C60="3x3 FMC",C60="3x3 MBLD"),R60,
AND(L60&lt;&gt;0,OR(S60="?",S60="")),"Fyll i S-kolumnen",
OR(COUNTIF(Info!$A$22:A81,C60)&gt;0,C60=""),"",
TRUE,Y60*R60/L60)</f>
        <v/>
      </c>
      <c r="U60" s="52"/>
      <c r="V60" s="53" t="str">
        <f>IFS(OR(COUNTIF(Info!$A$22:A81,C60)&gt;0,C60=""),"",
OR("3x3 MBLD"=C60,"3x3 FMC"=C60)=TRUE,"",
TRUE,MROUND((J60/N60),0.01))</f>
        <v/>
      </c>
      <c r="W60" s="54" t="str">
        <f>IFS(OR(COUNTIF(Info!$A$22:A81,C60)&gt;0,C60=""),"",
TRUE,L60/N60)</f>
        <v/>
      </c>
      <c r="X60" s="55" t="str">
        <f>IFS(OR(COUNTIF(Info!$A$22:A81,C60)&gt;0,C60=""),"",
OR("3x3 MBLD"=C60,"3x3 FMC"=C60)=TRUE,"",
OR(C60="4x4 BLD",C60="5x5 BLD",C60="4x4 / 5x5 BLD",AND(C60="3x3 BLD",H60&lt;&gt;""))=TRUE,MIN(V60,P60),
TRUE,MIN(P60,V60,MROUND(((V60*2/3)+((Y60-1.625)/2)),0.01)))</f>
        <v/>
      </c>
      <c r="Y60" s="56" t="str">
        <f>IFERROR(__xludf.DUMMYFUNCTION("IFS(OR(COUNTIF(Info!$A$22:A81,C60)&gt;0,C60=""""),"""",
FILTER(Info!$F$2:F81, Info!$A$2:A81 = C60) = ""Yes"",H60/AA60,
""3x3 FMC""=C60,Info!$B$9,""3x3 MBLD""=C60,Info!$B$18,
AND(E60=1,I60="""",H60="""",Q60=""No"",G60&gt;SUMIF(Info!$A$2:A81,C60,Info!$B$2:B81)*1."&amp;"5),
MIN(SUMIF(Info!$A$2:A81,C60,Info!$B$2:B81)*1.1,SUMIF(Info!$A$2:A81,C60,Info!$B$2:B81)*(1.15-(0.15*(SUMIF(Info!$A$2:A81,C60,Info!$B$2:B81)*1.5)/G60))),
AND(E60=1,I60="""",H60="""",Q60=""Yes"",G60&gt;SUMIF(Info!$A$2:A81,C60,Info!$C$2:C81)*1.5),
MIN(SUMIF(I"&amp;"nfo!$A$2:A81,C60,Info!$C$2:C81)*1.1,SUMIF(Info!$A$2:A81,C60,Info!$C$2:C81)*(1.15-(0.15*(SUMIF(Info!$A$2:A81,C60,Info!$C$2:C81)*1.5)/G60))),
Q60=""No"",SUMIF(Info!$A$2:A81,C60,Info!$B$2:B81),
Q60=""Yes"",SUMIF(Info!$A$2:A81,C60,Info!$C$2:C81))"),"")</f>
        <v/>
      </c>
      <c r="Z60" s="57" t="str">
        <f>IFS(OR(COUNTIF(Info!$A$22:A81,C60)&gt;0,C60=""),"",
AND(OR("3x3 FMC"=C60,"3x3 MBLD"=C60),I60&lt;&gt;""),1,
AND(OR(H60&lt;&gt;"",I60&lt;&gt;""),F60="Avg of 5"),2,
F60="Avg of 5",AA60,
AND(OR(H60&lt;&gt;"",I60&lt;&gt;""),F60="Mean of 3",C60="6x6 / 7x7"),2,
AND(OR(H60&lt;&gt;"",I60&lt;&gt;""),F60="Mean of 3"),1,
F60="Mean of 3",AA60,
AND(OR(H60&lt;&gt;"",I60&lt;&gt;""),F60="Best of 3",C60="4x4 / 5x5 BLD"),2,
AND(OR(H60&lt;&gt;"",I60&lt;&gt;""),F60="Best of 3"),1,
F60="Best of 2",AA60,
F60="Best of 1",AA60)</f>
        <v/>
      </c>
      <c r="AA60" s="57" t="str">
        <f>IFS(OR(COUNTIF(Info!$A$22:A81,C60)&gt;0,C60=""),"",
AND(OR("3x3 MBLD"=C60,"3x3 FMC"=C60),F60="Best of 1"=TRUE),1,
AND(OR("3x3 MBLD"=C60,"3x3 FMC"=C60),F60="Best of 2"=TRUE),2,
AND(OR("3x3 MBLD"=C60,"3x3 FMC"=C60),OR(F60="Best of 3",F60="Mean of 3")=TRUE),3,
AND(F60="Mean of 3",C60="6x6 / 7x7"),6,
AND(F60="Best of 3",C60="4x4 / 5x5 BLD"),6,
F60="Avg of 5",5,F60="Mean of 3",3,F60="Best of 3",3,F60="Best of 2",2,F60="Best of 1",1)</f>
        <v/>
      </c>
      <c r="AB60" s="58"/>
    </row>
    <row r="61">
      <c r="A61" s="73" t="s">
        <v>61</v>
      </c>
      <c r="B61" s="3"/>
      <c r="C61" s="74" t="str">
        <f>CONCATENATE("Klistra in ev. extra
dag ovanför rad "&amp;row(),)</f>
        <v>Klistra in ev. extra
dag ovanför rad 61</v>
      </c>
      <c r="D61" s="75"/>
      <c r="E61" s="6"/>
      <c r="F61" s="62"/>
      <c r="G61" s="63"/>
      <c r="H61" s="63"/>
      <c r="I61" s="63"/>
      <c r="J61" s="63"/>
      <c r="K61" s="63"/>
      <c r="L61" s="64"/>
      <c r="M61" s="71"/>
      <c r="N61" s="71"/>
      <c r="O61" s="71"/>
      <c r="P61" s="71"/>
      <c r="Q61" s="71"/>
      <c r="R61" s="64" t="str">
        <f>$L$51</f>
        <v/>
      </c>
      <c r="S61" s="63"/>
      <c r="T61" s="71"/>
      <c r="U61" s="71"/>
      <c r="V61" s="71"/>
      <c r="W61" s="71"/>
      <c r="X61" s="71"/>
      <c r="Y61" s="71"/>
      <c r="Z61" s="71"/>
      <c r="AA61" s="71"/>
      <c r="AB61" s="64"/>
    </row>
    <row r="62">
      <c r="A62" s="10"/>
      <c r="B62" s="11"/>
      <c r="C62" s="10"/>
      <c r="D62" s="76" t="str">
        <f>$E$2</f>
        <v>Stora salen</v>
      </c>
      <c r="E62" s="67"/>
      <c r="F62" s="29"/>
      <c r="G62" s="77"/>
      <c r="H62" s="77"/>
      <c r="I62" s="77"/>
      <c r="J62" s="77"/>
      <c r="K62" s="77"/>
      <c r="L62" s="78">
        <f>IFERROR(__xludf.DUMMYFUNCTION("IF($O$2=""No"",5760-($A$6*60+$B$6)-SUM($L$7:indirect(""L""&amp;row()-2)),
5760-($A$6*60+$B$6)-SUM(FILTER($L$7:indirect(""L""&amp;row()-2),REGEXMATCH($D$7:indirect(""D""&amp;row()-2),$E$2))))"),930.0)</f>
        <v>930</v>
      </c>
      <c r="M62" s="72"/>
      <c r="N62" s="72"/>
      <c r="O62" s="79"/>
      <c r="P62" s="79"/>
      <c r="Q62" s="72"/>
      <c r="R62" s="69">
        <f>$L$62</f>
        <v>930</v>
      </c>
      <c r="S62" s="68"/>
      <c r="T62" s="72"/>
      <c r="U62" s="72"/>
      <c r="V62" s="72"/>
      <c r="W62" s="72"/>
      <c r="X62" s="72"/>
      <c r="Y62" s="79"/>
      <c r="Z62" s="79"/>
      <c r="AA62" s="72"/>
      <c r="AB62" s="69"/>
    </row>
    <row r="63">
      <c r="A63" s="80" t="str">
        <f>CONCATENATE("Tävlingen tog totalt:")</f>
        <v>Tävlingen tog totalt:</v>
      </c>
      <c r="C63" s="81">
        <f>$C$6</f>
        <v>44562</v>
      </c>
      <c r="E63" s="81">
        <f>$C$29</f>
        <v>44563</v>
      </c>
      <c r="G63" s="82">
        <f>$C$52</f>
        <v>44564</v>
      </c>
      <c r="H63" s="2"/>
      <c r="I63" s="82">
        <f>$C$57</f>
        <v>44565</v>
      </c>
      <c r="J63" s="3"/>
      <c r="K63" s="83" t="s">
        <v>62</v>
      </c>
      <c r="L63" s="2"/>
      <c r="M63" s="83" t="s">
        <v>63</v>
      </c>
      <c r="N63" s="3"/>
      <c r="O63" s="83" t="s">
        <v>64</v>
      </c>
      <c r="P63" s="3"/>
      <c r="Q63" s="83" t="s">
        <v>65</v>
      </c>
      <c r="R63" s="2"/>
      <c r="S63" s="83" t="s">
        <v>66</v>
      </c>
      <c r="T63" s="3"/>
      <c r="U63" s="83" t="s">
        <v>67</v>
      </c>
      <c r="V63" s="3"/>
      <c r="W63" s="83" t="str">
        <f>CONCATENATE("Rundor med fler än "&amp;Info!$T$8&amp;" timers")</f>
        <v>Rundor med fler än 16 timers</v>
      </c>
      <c r="X63" s="3"/>
      <c r="Y63" s="83" t="s">
        <v>68</v>
      </c>
      <c r="Z63" s="3"/>
      <c r="AA63" s="83" t="s">
        <v>69</v>
      </c>
      <c r="AB63" s="3"/>
    </row>
    <row r="64">
      <c r="A64" s="84" t="str">
        <f>IFERROR(__xludf.DUMMYFUNCTION("IFS(SUM($L$7:$L$61)=$L$29+$L$52+$L$57,""Tom tävling - lägg till grenar!"",
IFERROR(FILTER($T$7:$T$61,$T$7:$T$61=""Fyll i R-kolumnen"")=""Fyll i R-kolumnen"")=TRUE,""Fyll först i kolumn R"",
SUM($L$7:$L$61)&lt;=SUM($R$7:$R$61),CONCATENATE((MROUND(SUM($R$7:$R$"&amp;"61)-SUM($L$7:$L$61),0.01))&amp;"" min längre än planerat""),
TRUE,CONCATENATE((MROUND(SUM($L$7:$L$61)-SUM($R$7:$R$61),0.01))&amp;"" min kortare än planerat""))"),"Tom tävling - lägg till grenar!")</f>
        <v>Tom tävling - lägg till grenar!</v>
      </c>
      <c r="B64" s="10"/>
      <c r="C64" s="84" t="str">
        <f>IFERROR(__xludf.DUMMYFUNCTION("IFS(SUM($L$7:$L$28)=0,""Tom tävling - lägg till grenar!"",
IFERROR(FILTER($T$7:$T$28,$T$7:$T$28=""Fyll i R-kolumnen"")=""Fyll i R-kolumnen"")=TRUE,""Fyll först i kolumn R"", 
SUM($L$7:$L$28)&lt;=SUM($R$7:$R$28),CONCATENATE((MROUND(SUM($R$7:$R$28)-SUM($L$7:$L"&amp;"$28),0.01))&amp;"" min längre än plan""),
TRUE,CONCATENATE((MROUND(SUM($L$7:$L$28)-SUM($R$7:$R$28),0.01))&amp;"" min kortare än plan""))"),"Tom tävling - lägg till grenar!")</f>
        <v>Tom tävling - lägg till grenar!</v>
      </c>
      <c r="D64" s="10"/>
      <c r="E64" s="85" t="str">
        <f>IFERROR(__xludf.DUMMYFUNCTION("IFS(SUM($L$30:$L$51)=0,""Ej tävling denna dag"",
IFERROR(FILTER($T$30:$T$51,$T$30:$T$51=""Fyll i R-kolumnen"")=""Fyll i R-kolumnen"")=TRUE,""Fyll först i kolumn R"",
SUM($L$30:$L$51)&lt;=SUM($R$30:$R$51),CONCATENATE((MROUND(SUM($R$30:$R$51)-SUM($L$30:$L$51),"&amp;"0.01))&amp;"" min längre än plan""),
TRUE,CONCATENATE((MROUND(SUM($L$30:$L$51)-SUM($R$30:$R$51),0.01))&amp;"" min kortare än plan""))"),"Ej tävling denna dag")</f>
        <v>Ej tävling denna dag</v>
      </c>
      <c r="F64" s="10"/>
      <c r="G64" s="86" t="str">
        <f>IFERROR(__xludf.DUMMYFUNCTION("IFS(SUM($L$53:$L$56)=0,""Ej tävling denna dag"",
IFERROR(FILTER($T$53:$T$56,$T$53:$T$56=""Fyll i R-kolumnen"")=""Fyll i R-kolumnen"")=TRUE,""Fyll först i kolumn R"",
SUM($L$53:$L$56)&lt;=SUM($R$53:$R$56),CONCATENATE((MROUND(SUM($R$53:$R$56)-SUM($L$53:$L$56),"&amp;"0.01))&amp;"" min längre än plan""),
TRUE,CONCATENATE((MROUND(SUM($L$53:$L$56)-SUM($R$53:$R$56),0.01))&amp;"" min kortare än plan""))"),"Ej tävling denna dag")</f>
        <v>Ej tävling denna dag</v>
      </c>
      <c r="H64" s="10"/>
      <c r="I64" s="86" t="str">
        <f>IFERROR(__xludf.DUMMYFUNCTION("IFS(SUM($L$58:$L$61)=0,""Ej tävling denna dag"",
IFERROR(FILTER($T$58:$T$61,$T$58:$T$61=""Fyll i R-kolumnen"")=""Fyll i R-kolumnen"")=TRUE,""Fyll först i kolumn R"",
SUM($L$58:$L$61)&lt;=SUM($R$58:$R$61),CONCATENATE((MROUND(SUM($R$58:$R$61)-SUM($L$58:$L$61),"&amp;"0.01))&amp;"" min längre än plan""),
TRUE,CONCATENATE((MROUND(SUM($L$58:$L$61)-SUM($R$58:$R$61),0.01))&amp;"" min kortare än plan""))"),"Ej tävling denna dag")</f>
        <v>Ej tävling denna dag</v>
      </c>
      <c r="J64" s="11"/>
      <c r="K64" s="87" t="str">
        <f>IFERROR(__xludf.DUMMYFUNCTION("IFS(SUM($L$7:$L$61)=$L$29+$L$52+$L$57,""Tom tävling - lägg till grenar!"",
IFERROR(FILTER($T$7:$T$61,$T$7:$T$61=""Fyll i R-kolumnen"")=""Fyll i R-kolumnen"")=TRUE,""Fyll först i kolumn R"",
SUMIF($E$7:$E$61,1,$L$7:$L$61)&lt;=SUMIF($E$7:$E$61,1,$R$7:$R$61),CO"&amp;"NCATENATE((MROUND(SUMIF($E$7:$E$61,1,$R$7:$R$61)-SUMIF($E$7:$E$61,1,$L$7:$L$61),0.01))&amp;"" min längre än planerat""),
TRUE,CONCATENATE((MROUND(SUMIF($E$7:$E$61,1,$L$7:$L$61)-SUMIF($E$7:$E$61,1,$R$7:$R$61),0.01))&amp;"" min kortare än planerat""))"),"Tom tävling - lägg till grenar!")</f>
        <v>Tom tävling - lägg till grenar!</v>
      </c>
      <c r="M64" s="21" t="str">
        <f>IFERROR(__xludf.DUMMYFUNCTION("IFS(SUMIF($E$7:$E$61,3,$L$7:$L$61)=0,""Finns inga 3:e-rundor"",
IFERROR(FILTER($T$7:$T$61,$T$7:$T$61=""Fyll i R-kolumnen"")=""Fyll i R-kolumnen"")=TRUE,""Fyll först i kolumn R"",
SUMIF($E$7:$E$61,3,$L$7:$L$61)&lt;=SUMIF($E$7:$E$61,3,$R$7:$R$61),CONCATENATE(("&amp;"MROUND(SUMIF($E$7:$E$61,3,$R$7:$R$61)-SUMIF($E$7:$E$61,3,$L$7:$L$61),0.01))&amp;"" min längre än planerat""),
TRUE,CONCATENATE((MROUND(SUMIF($E$7:$E$61,3,$L$7:$L$61)-SUMIF($E$7:$E$61,3,$R$7:$R$61),0.01))&amp;"" min kortare än planerat""))"),"Finns inga 3:e-rundor")</f>
        <v>Finns inga 3:e-rundor</v>
      </c>
      <c r="N64" s="24"/>
      <c r="O64" s="21" t="str">
        <f>IFERROR(__xludf.DUMMYFUNCTION("IFS((SUMIFS($L$7:$L$61,$E$7:$E$61,""Final"",$C$7:$C$61,""6x6"")+SUMIFS($L$7:$L$61,$E$7:$E$61,""Final"",$C$7:$C$61,""7x7"")+SUMIFS($L$7:$L$61,$E$7:$E$61,""Final"",$C$7:$C$61,""6x6 / 7x7"")+SUMIFS($L$7:$L$61,$E$7:$E$61,""Final"",$C$7:$C$61,""Megaminx"")+SUM"&amp;"IFS($L$7:$L$61,$E$7:$E$61,""Final"",$C$7:$C$61,""Square-1""))=0,""Finns inga svårblandade finaler"",
IFERROR(FILTER($T$7:$T$61,$T$7:$T$61=""Fyll i R-kolumnen"")=""Fyll i R-kolumnen"")=TRUE,""Fyll först i kolumn R"",
(SUMIFS($L$7:$L$61,$E$7:$E$61,""Final"""&amp;",$C$7:$C$61,""6x6"")+SUMIFS($L$7:$L$61,$E$7:$E$61,""Final"",$C$7:$C$61,""7x7"")+SUMIFS($L$7:$L$61,$E$7:$E$61,""Final"",$C$7:$C$61,""6x6 / 7x7"")+SUMIFS($L$7:$L$61,$E$7:$E$61,""Final"",$C$7:$C$61,""Megaminx"")+SUMIFS($L$7:$L$61,$E$7:$E$61,""Final"",$C$7:$C"&amp;"$61,""Square-1""))&lt;=(SUMIFS($R$7:$R$61,$E$7:$E$61,""Final"",$C$7:$C$61,""6x6"")+SUMIFS($R$7:$R$61,$E$7:$E$61,""Final"",$C$7:$C$61,""7x7"")+SUMIFS($R$7:$R$61,$E$7:$E$61,""Final"",$C$7:$C$61,""6x6 / 7x7"")+SUMIFS($R$7:$R$61,$E$7:$E$61,""Final"",$C$7:$C$61,"&amp;"""Megaminx"")+SUMIFS($R$7:$R$61,$E$7:$E$61,""Final"",$C$7:$C$61,""Square-1"")),CONCATENATE((MROUND((SUMIFS($R$7:$R$61,$E$7:$E$61,""Final"",$C$7:$C$61,""6x6"")+SUMIFS($R$7:$R$61,$E$7:$E$61,""Final"",$C$7:$C$61,""7x7"")+SUMIFS($R$7:$R$61,$E$7:$E$61,""Final"&amp;""",$C$7:$C$61,""6x6 / 7x7"")+SUMIFS($R$7:$R$61,$E$7:$E$61,""Final"",$C$7:$C$61,""Megaminx"")+SUMIFS($R$7:$R$61,$E$7:$E$61,""Final"",$C$7:$C$61,""Square-1""))-(SUMIFS($L$7:$L$61,$E$7:$E$61,""Final"",$C$7:$C$61,""6x6"")+SUMIFS($L$7:$L$61,$E$7:$E$61,""Final"&amp;""",$C$7:$C$61,""7x7"")+SUMIFS($L$7:$L$61,$E$7:$E$61,""Final"",$C$7:$C$61,""6x6 / 7x7"")+SUMIFS($L$7:$L$61,$E$7:$E$61,""Final"",$C$7:$C$61,""Megaminx"")+SUMIFS($L$7:$L$61,$E$7:$E$61,""Final"",$C$7:$C$61,""Square-1"")),0.01))&amp;"" min längre än planerat""),
T"&amp;"RUE,CONCATENATE((MROUND((SUMIFS($L$7:$L$61,$E$7:$E$61,""Final"",$C$7:$C$61,""6x6"")+SUMIFS($L$7:$L$61,$E$7:$E$61,""Final"",$C$7:$C$61,""7x7"")+SUMIFS($L$7:$L$61,$E$7:$E$61,""Final"",$C$7:$C$61,""6x6 / 7x7"")+SUMIFS($L$7:$L$61,$E$7:$E$61,""Final"",$C$7:$C$"&amp;"61,""Megaminx"")+SUMIFS($L$7:$L$61,$E$7:$E$61,""Final"",$C$7:$C$61,""Square-1""))-(SUMIFS($R$7:$R$61,$E$7:$E$61,""Final"",$C$7:$C$61,""6x6"")+SUMIFS($R$7:$R$61,$E$7:$E$61,""Final"",$C$7:$C$61,""7x7"")+SUMIFS($R$7:$R$61,$E$7:$E$61,""Final"",$C$7:$C$61,""6x"&amp;"6 / 7x7"")+SUMIFS($R$7:$R$61,$E$7:$E$61,""Final"",$C$7:$C$61,""Megaminx"")+SUMIFS($R$7:$R$61,$E$7:$E$61,""Final"",$C$7:$C$61,""Square-1"")),0.01))&amp;"" min kortare än planerat""))"),"Finns inga svårblandade finaler")</f>
        <v>Finns inga svårblandade finaler</v>
      </c>
      <c r="P64" s="24"/>
      <c r="Q64" s="21" t="str">
        <f>IFERROR(__xludf.DUMMYFUNCTION("IFS(SUMIFS($L$7:$L$61,$I$7:$I$61,""&gt;0"")=0,""Inga rundor påverkas av cutoff"",
IFERROR(FILTER($T$7:$T$61,$T$7:$T$61=""Fyll i R-kolumnen"")=""Fyll i R-kolumnen"")=TRUE,""Fyll först i kolumn R"",
SUMIFS($L$7:$L$61,$I$7:$I$61,""&gt;0"")&lt;=SUMIFS($R$7:$R$61,$I$7:"&amp;"$I$61,""&gt;0""),CONCATENATE((MROUND(SUMIFS($R$7:$R$61,$I$7:$I$61,""&gt;0"")-SUMIFS($L$7:$L$61,$I$7:$I$61,""&gt;0""),0.01))&amp;"" min längre än planerat""),
TRUE,CONCATENATE((MROUND(SUMIFS($L$7:$L$61,$I$7:$I$61,""&gt;0"")-SUMIFS($R$7:$R$61,$I$7:$I$61,""&gt;0""),0.01))&amp;"" m"&amp;"in kortare än planerat""))"),"Inga rundor påverkas av cutoff")</f>
        <v>Inga rundor påverkas av cutoff</v>
      </c>
      <c r="S64" s="21" t="str">
        <f>IFERROR(__xludf.DUMMYFUNCTION("IFS((SUMIFS($L$7:$L$61,$E$7:$E$61,1,$C$7:$C$61,""3x3"")+SUMIFS($L$7:$L$61,$E$7:$E$61,1,$C$7:$C$61,""2x2"")+SUMIFS($L$7:$L$61,$E$7:$E$61,1,$C$7:$C$61,""Pyraminx"")+SUMIFS($L$7:$L$61,$E$7:$E$61,1,$C$7:$C$61,""Skewb""))=0,""Finns inga sådana rundor"",
IFERRO"&amp;"R(FILTER($T$7:$T$61,$T$7:$T$61=""Fyll i R-kolumnen"")=""Fyll i R-kolumnen"")=TRUE,""Fyll först i kolumn R"",
(SUMIFS($L$7:$L$61,$E$7:$E$61,1,$C$7:$C$61,""3x3"")+SUMIFS($L$7:$L$61,$E$7:$E$61,1,$C$7:$C$61,""2x2"")+SUMIFS($L$7:$L$61,$E$7:$E$61,1,$C$7:$C$61,"&amp;"""Pyraminx"")+SUMIFS($L$7:$L$61,$E$7:$E$61,1,$C$7:$C$61,""Skewb""))&lt;=(SUMIFS($R$7:$R$61,$E$7:$E$61,1,$C$7:$C$61,""3x3"")+SUMIFS($R$7:$R$61,$E$7:$E$61,1,$C$7:$C$61,""2x2"")+SUMIFS($R$7:$R$61,$E$7:$E$61,1,$C$7:$C$61,""Pyraminx"")+SUMIFS($R$7:$R$61,$E$7:$E$6"&amp;"1,1,$C$7:$C$61,""Skewb"")),CONCATENATE((MROUND((SUMIFS($R$7:$R$61,$E$7:$E$61,1,$C$7:$C$61,""3x3"")+SUMIFS($R$7:$R$61,$E$7:$E$61,1,$C$7:$C$61,""2x2"")+SUMIFS($R$7:$R$61,$E$7:$E$61,1,$C$7:$C$61,""Pyraminx"")+SUMIFS($R$7:$R$61,$E$7:$E$61,1,$C$7:$C$61,""Skewb"&amp;"""))-(SUMIFS($L$7:$L$61,$E$7:$E$61,1,$C$7:$C$61,""3x3"")+SUMIFS($L$7:$L$61,$E$7:$E$61,1,$C$7:$C$61,""2x2"")+SUMIFS($L$7:$L$61,$E$7:$E$61,1,$C$7:$C$61,""Pyraminx"")+SUMIFS($L$7:$L$61,$E$7:$E$61,1,$C$7:$C$61,""Skewb"")),0.01))&amp;"" min längre än planerat""),
"&amp;"TRUE,CONCATENATE((MROUND((SUMIFS($L$7:$L$61,$E$7:$E$61,1,$C$7:$C$61,""3x3"")+SUMIFS($L$7:$L$61,$E$7:$E$61,1,$C$7:$C$61,""2x2"")+SUMIFS($L$7:$L$61,$E$7:$E$61,1,$C$7:$C$61,""Pyraminx"")+SUMIFS($L$7:$L$61,$E$7:$E$61,1,$C$7:$C$61,""Skewb""))-(SUMIFS($R$7:$R$6"&amp;"1,$E$7:$E$61,1,$C$7:$C$61,""3x3"")+SUMIFS($R$7:$R$61,$E$7:$E$61,1,$C$7:$C$61,""2x2"")+SUMIFS($R$7:$R$61,$E$7:$E$61,1,$C$7:$C$61,""Pyraminx"")+SUMIFS($R$7:$R$61,$E$7:$E$61,1,$C$7:$C$61,""Skewb"")),0.01))&amp;"" min kortare än planerat""))"),"Finns inga sådana rundor")</f>
        <v>Finns inga sådana rundor</v>
      </c>
      <c r="T64" s="24"/>
      <c r="U64" s="21" t="str">
        <f>IFERROR(__xludf.DUMMYFUNCTION("IFS(SUMIF($Q$7:$Q$61,""No"",$L$7:$L$61)=0,""Inga rundor utan fixed seating"",
IFERROR(FILTER($T$7:$T$61,$T$7:$T$61=""Fyll i R-kolumnen"")=""Fyll i R-kolumnen"")=TRUE,""Fyll först i kolumn R"",
SUMIF($Q$7:$Q$61,""No"",$L$7:$L$61)&lt;=SUMIF($Q$7:$Q$61,""No"",$"&amp;"R$7:$R$61),CONCATENATE((MROUND(SUMIF($Q$7:$Q$61,""No"",$R$7:$R$61)-SUMIF($Q$7:$Q$61,""No"",$L$7:$L$61),0.01))&amp;"" min längre än planerat""),
TRUE,CONCATENATE((MROUND(SUMIF($Q$7:$Q$61,""No"",$L$7:$L$61)-SUMIF($Q$7:$Q$61,""No"",$R$7:$R$61),0.01))&amp;"" min kort"&amp;"are än planerat""))"),"Inga rundor utan fixed seating")</f>
        <v>Inga rundor utan fixed seating</v>
      </c>
      <c r="V64" s="24"/>
      <c r="W64" s="21" t="str">
        <f>IFERROR(__xludf.DUMMYFUNCTION("IFS(SUMIF($X$7:$X$61,""&gt;16"",$L$7:$L$61)=0,""Inga rundor med fler än 16 timers"",
IFERROR(FILTER($T$7:$T$61,$T$7:$T$61=""Fyll i R-kolumnen"")=""Fyll i R-kolumnen"")=TRUE,""Fyll först i kolumn R"",
SUMIF($X$7:$X$61,""&gt;16"",$L$7:$L$61)&lt;=SUMIF($X$7:$X$61,""&gt;"&amp;"16"",$R$7:$R$61),CONCATENATE((MROUND(SUMIF($X$7:$X$61,""&gt;16"",$R$7:$R$61)-SUMIF($X$7:$X$61,""&gt;16"",$L$7:$L$61),0.01))&amp;"" min längre än planerat""),
TRUE,CONCATENATE((MROUND(SUMIF($X$7:$X$61,""&gt;16"",$L$7:$L$61)-SUMIF($X$7:$X$61,""&gt;16"",$R$7:$R$61),0.01))&amp;"&amp;""" min kortare än planerat""))"),"Inga rundor med fler än 16 timers")</f>
        <v>Inga rundor med fler än 16 timers</v>
      </c>
      <c r="X64" s="24"/>
      <c r="Y64" s="21" t="str">
        <f>IFERROR(__xludf.DUMMYFUNCTION("IFS((SUMIF($C$7:$C$61,""4x4 BLD"",$L$7:$L$61)+SUMIF($C$7:$C$61,""5x5 BLD"",$L$7:$L$61)+SUMIF($C$7:$C$61,""4x4 / 5x5 BLD"",$L$7:$L$61))=0,""Inga långa blindgrenar"",
IFERROR(FILTER($T$7:$T$61,$T$7:$T$61=""Fyll i R-kolumnen"")=""Fyll i R-kolumnen"")=TRUE,"""&amp;"Fyll först i kolumn R"",
(SUMIF($C$7:$C$61,""4x4 BLD"",$L$7:$L$61)+SUMIF($C$7:$C$61,""5x5 BLD"",$L$7:$L$61)+SUMIF($C$7:$C$61,""4x4 / 5x5 BLD"",$L$7:$L$61))&lt;=(SUMIF($C$7:$C$61,""4x4 BLD"",$R$7:$R$61)+SUMIF($C$7:$C$61,""5x5 BLD"",$R$7:$R$61)+SUMIF($C$7:$C$6"&amp;"1,""4x4 / 5x5 BLD"",$R$7:$R$61)),CONCATENATE((MROUND((SUMIF($C$7:$C$61,""4x4 BLD"",$R$7:$R$61)+SUMIF($C$7:$C$61,""5x5 BLD"",$R$7:$R$61)+SUMIF($C$7:$C$61,""4x4 / 5x5 BLD"",$R$7:$R$61))-(SUMIF($C$7:$C$61,""4x4 BLD"",$L$7:$L$61)+SUMIF($C$7:$C$61,""5x5 BLD"","&amp;"$L$7:$L$61)+SUMIF($C$7:$C$61,""4x4 / 5x5 BLD"",$L$7:$L$61)),0.01))&amp;"" min längre än planerat""),
TRUE,CONCATENATE((MROUND((SUMIF($C$7:$C$61,""4x4 BLD"",$L$7:$L$61)+SUMIF($C$7:$C$61,""5x5 BLD"",$L$7:$L$61)+SUMIF($C$7:$C$61,""4x4 / 5x5 BLD"",$L$7:$L$61))-(S"&amp;"UMIF($C$7:$C$61,""4x4 BLD"",$R$7:$R$61)+SUMIF($C$7:$C$61,""5x5 BLD"",$R$7:$R$61)+SUMIF($C$7:$C$61,""4x4 / 5x5 BLD"",$R$7:$R$61)),0.01))&amp;"" min kortare än planerat""))"),"Inga långa blindgrenar")</f>
        <v>Inga långa blindgrenar</v>
      </c>
      <c r="Z64" s="24"/>
      <c r="AA64" s="21" t="str">
        <f>IFERROR(__xludf.DUMMYFUNCTION("IFS(SUMIF($C$7:$C$61,""3x3 FMC"",$L$7:$L$61)=0,""Inga rundor 3x3 FMC"",
IFERROR(FILTER($T$7:$T$61,$T$7:$T$61=""Fyll i R-kolumnen"")=""Fyll i R-kolumnen"")=TRUE,""Fyll först i kolumn R"",
SUMIF($C$7:$C$61,""3x3 FMC"",$L$7:$L$61)&lt;=SUMIF($C$7:$C$61,""3x3 FMC"&amp;""",$R$7:$R$61),CONCATENATE((MROUND(SUMIF($C$7:$C$61,""3x3 FMC"",$R$7:$R$61)-SUMIF($C$7:$C$61,""3x3 FMC"",$L$7:$L$61),0.01))&amp;"" min längre än plan""),
TRUE,CONCATENATE((MROUND(SUMIF($C$7:$C$61,""3x3 FMC"",$L$7:$L$61)-SUMIF($C$7:$C$61,""3x3 FMC"",$R$7:$R$61"&amp;"),0.01))&amp;"" min kortare än plan""))  "),"Inga rundor 3x3 FMC")</f>
        <v>Inga rundor 3x3 FMC</v>
      </c>
      <c r="AB64" s="24"/>
    </row>
    <row r="65">
      <c r="A65" s="80" t="str">
        <f>CONCATENATE("Grenarna i "&amp;$E$2&amp;":")</f>
        <v>Grenarna i Stora salen:</v>
      </c>
      <c r="C65" s="80" t="str">
        <f>CONCATENATE("Grenarna i "&amp;$E$4&amp;":")</f>
        <v>Grenarna i :</v>
      </c>
      <c r="E65" s="80" t="str">
        <f>CONCATENATE("Grenarna i "&amp;$K$4&amp;":")</f>
        <v>Grenarna i :</v>
      </c>
      <c r="G65" s="80" t="str">
        <f>CONCATENATE("Grenarna i "&amp;$Q$4&amp;":")</f>
        <v>Grenarna i :</v>
      </c>
      <c r="I65" s="80" t="str">
        <f>CONCATENATE("Grenarna i "&amp;$W$4&amp;":")</f>
        <v>Grenarna i :</v>
      </c>
      <c r="K65" s="88" t="s">
        <v>70</v>
      </c>
      <c r="M65" s="89" t="s">
        <v>71</v>
      </c>
      <c r="N65" s="24"/>
      <c r="O65" s="89" t="s">
        <v>72</v>
      </c>
      <c r="P65" s="24"/>
      <c r="Q65" s="89" t="s">
        <v>73</v>
      </c>
      <c r="S65" s="89" t="s">
        <v>74</v>
      </c>
      <c r="T65" s="24"/>
      <c r="U65" s="89" t="s">
        <v>75</v>
      </c>
      <c r="V65" s="24"/>
      <c r="W65" s="89" t="str">
        <f>CONCATENATE("Rundor med färre än "&amp;Info!$T$8&amp;" timers")</f>
        <v>Rundor med färre än 16 timers</v>
      </c>
      <c r="X65" s="24"/>
      <c r="Y65" s="89" t="s">
        <v>76</v>
      </c>
      <c r="Z65" s="24"/>
      <c r="AA65" s="89" t="s">
        <v>77</v>
      </c>
      <c r="AB65" s="24"/>
    </row>
    <row r="66">
      <c r="A66" s="90" t="str">
        <f>IFERROR(__xludf.DUMMYFUNCTION("IFS(SUMIF($D$7:$D$61,$E$2,$L$7:$L$28)=$L$29+$L$52+$L$57,""Tom tävling - lägg till grenar!"",
IFERROR(FILTER($T$7:$T$61,$T$7:$T$61=""Fyll i R-kolumnen"")=""Fyll i R-kolumnen"")=TRUE,""Fyll först i kolumn R"",
(SUMIF($D$7:$D$28,$E$2,$L$7:$L$28)+SUMIF($D$30:"&amp;"$D$51,$E$2,$L$30:$L$51)+SUMIF($D$53:$D$56,$E$2,$L$53:$L$56)+SUMIF($D$58:$D$61,$E$2,$L$58:$L$61))&lt;=(SUMIF($D$7:$D$28,$E$2,$R$7:$R$28)+SUMIF($D$30:$D$51,$E$2,$R$30:$R$51)+SUMIF($D$53:$D$56,$E$2,$R$53:$R$56)+SUMIF($D$58:$D$61,$E$2,$R$58:$R$61)),CONCATENATE(("&amp;"MROUND((SUMIF($D$7:$D$28,$E$2,$R$7:$R$28)+SUMIF($D$30:$D$51,$E$2,$R$30:$R$51)+SUMIF($D$53:$D$56,$E$2,$R$53:$R$56)+SUMIF($D$58:$D$61,$E$2,$R$58:$R$61))-(SUMIF($D$7:$D$28,$E$2,$L$7:$L$28)+SUMIF($D$30:$D$51,$E$2,$L$30:$L$51)+SUMIF($D$53:$D$56,$E$2,$L$53:$L$5"&amp;"6)+SUMIF($D$58:$D$61,$E$2,$L$58:$L$61)),0.01))&amp;"" min längre än planerat""),
TRUE,CONCATENATE((MROUND((SUMIF($D$7:$D$28,$E$2,$L$7:$L$28)+SUMIF($D$30:$D$51,$E$2,$L$30:$L$51)+SUMIF($D$53:$D$56,$E$2,$L$53:$L$56)+SUMIF($D$58:$D$61,$E$2,$L$58:$L$61))-(SUMIF($D"&amp;"$7:$D$28,$E$2,$R$7:$R$28)+SUMIF($D$30:$D$51,$E$2,$R$30:$R$51)+SUMIF($D$53:$D$56,$E$2,$R$53:$R$56)+SUMIF($D$58:$D$61,$E$2,$R$58:$R$61)),0.01))&amp;"" min kortare än planerat""))"),"Tom tävling - lägg till grenar!")</f>
        <v>Tom tävling - lägg till grenar!</v>
      </c>
      <c r="C66" s="21" t="str">
        <f>IFERROR(__xludf.DUMMYFUNCTION("IFS($E$4="""",""Rummet användes ej"",
IFERROR(FILTER($T$7:$T$61,$T$7:$T$61=""Fyll i R-kolumnen"")=""Fyll i R-kolumnen"")=TRUE,""Fyll först i kolumn R"",
(SUMIF($D$7:$D$28,$E$4,$L$7:$L$28)+SUMIF($D$30:$D$51,$E$4,$L$30:$L$51)+SUMIF($D$53:$D$56,$E$4,$L$53:$L"&amp;"$56)+SUMIF($D$58:$D$61,$E$4,$L$58:$L$61))&lt;=(SUMIF($D$7:$D$28,$E$4,$R$7:$R$28)+SUMIF($D$30:$D$51,$E$4,$R$30:$R$51)+SUMIF($D$53:$D$56,$E$4,$R$53:$R$56)+SUMIF($D$58:$D$61,$E$4,$R$58:$R$61)),CONCATENATE((MROUND((SUMIF($D$7:$D$28,$E$4,$R$7:$R$28)+SUMIF($D$30:$"&amp;"D$51,$E$4,$R$30:$R$51)+SUMIF($D$53:$D$56,$E$4,$R$53:$R$56)+SUMIF($D$58:$D$61,$E$4,$R$58:$R$61))-(SUMIF($D$7:$D$28,$E$4,$L$7:$L$28)+SUMIF($D$30:$D$51,$E$4,$L$30:$L$51)+SUMIF($D$53:$D$56,$E$4,$L$53:$L$56)+SUMIF($D$58:$D$61,$E$4,$L$58:$L$61)),0.01))&amp;"" min l"&amp;"ängre än planerat""),
TRUE,CONCATENATE((MROUND((SUMIF($D$7:$D$28,$E$4,$L$7:$L$28)+SUMIF($D$30:$D$51,$E$4,$L$30:$L$51)+SUMIF($D$53:$D$56,$E$4,$L$53:$L$56)+SUMIF($D$58:$D$61,$E$4,$L$58:$L$61))-(SUMIF($D$7:$D$28,$E$4,$R$7:$R$28)+SUMIF($D$30:$D$51,$E$4,$R$30:"&amp;"$R$51)+SUMIF($D$53:$D$56,$E$4,$R$53:$R$56)+SUMIF($D$58:$D$61,$E$4,$R$58:$R$61)),0.01))&amp;"" min kortare än planerat""))"),"Rummet användes ej")</f>
        <v>Rummet användes ej</v>
      </c>
      <c r="E66" s="21" t="str">
        <f>IFERROR(__xludf.DUMMYFUNCTION("IFS($K$4="""",""Rummet användes ej"",
IFERROR(FILTER($T$7:$T$61,$T$7:$T$61=""Fyll i R-kolumnen"")=""Fyll i R-kolumnen"")=TRUE,""Fyll först i kolumn R"",
(SUMIF($D$7:$D$28,$K$4,$L$7:$L$28)+SUMIF($D$30:$D$51,$K$4,$L$30:$L$51)+SUMIF($D$53:$D$56,$K$4,$L$53:$L"&amp;"$56)+SUMIF($D$58:$D$61,$K$4,$L$58:$L$61))&lt;=(SUMIF($D$7:$D$28,$K$4,$R$7:$R$28)+SUMIF($D$30:$D$51,$K$4,$R$30:$R$51)+SUMIF($D$53:$D$56,$K$4,$R$53:$R$56)+SUMIF($D$58:$D$61,$K$4,$R$58:$R$61)),CONCATENATE((MROUND((SUMIF($D$7:$D$28,$K$4,$R$7:$R$28)+SUMIF($D$30:$"&amp;"D$51,$K$4,$R$30:$R$51)+SUMIF($D$53:$D$56,$K$4,$R$53:$R$56)+SUMIF($D$58:$D$61,$K$4,$R$58:$R$61))-(SUMIF($D$7:$D$28,$K$4,$L$7:$L$28)+SUMIF($D$30:$D$51,$K$4,$L$30:$L$51)+SUMIF($D$53:$D$56,$K$4,$L$53:$L$56)+SUMIF($D$58:$D$61,$K$4,$L$58:$L$61)),0.01))&amp;"" min l"&amp;"ängre än planerat""),
TRUE,CONCATENATE((MROUND((SUMIF($D$7:$D$28,$K$4,$L$7:$L$28)+SUMIF($D$30:$D$51,$K$4,$L$30:$L$51)+SUMIF($D$53:$D$56,$K$4,$L$53:$L$56)+SUMIF($D$58:$D$61,$K$4,$L$58:$L$61))-(SUMIF($D$7:$D$28,$K$4,$R$7:$R$28)+SUMIF($D$30:$D$51,$K$4,$R$30:"&amp;"$R$51)+SUMIF($D$53:$D$56,$K$4,$R$53:$R$56)+SUMIF($D$58:$D$61,$K$4,$R$58:$R$61)),0.01))&amp;"" min kortare än planerat""))"),"Rummet användes ej")</f>
        <v>Rummet användes ej</v>
      </c>
      <c r="G66" s="21" t="str">
        <f>IFERROR(__xludf.DUMMYFUNCTION("IFS($Q$4="""",""Rummet användes ej"",
IFERROR(FILTER($T$7:$T$61,$T$7:$T$61=""Fyll i R-kolumnen"")=""Fyll i R-kolumnen"")=TRUE,""Fyll först i kolumn R"",
(SUMIF($D$7:$D$28,$Q$4,$L$7:$L$28)+SUMIF($D$30:$D$51,$Q$4,$L$30:$L$51)+SUMIF($D$53:$D$56,$Q$4,$L$53:$L"&amp;"$56)+SUMIF($D$58:$D$61,$Q$4,$L$58:$L$61))&lt;=(SUMIF($D$7:$D$28,$Q$4,$R$7:$R$28)+SUMIF($D$30:$D$51,$Q$4,$R$30:$R$51)+SUMIF($D$53:$D$56,$Q$4,$R$53:$R$56)+SUMIF($D$58:$D$61,$Q$4,$R$58:$R$61)),CONCATENATE((MROUND((SUMIF($D$7:$D$28,$Q$4,$R$7:$R$28)+SUMIF($D$30:$"&amp;"D$51,$Q$4,$R$30:$R$51)+SUMIF($D$53:$D$56,$Q$4,$R$53:$R$56)+SUMIF($D$58:$D$61,$Q$4,$R$58:$R$61))-(SUMIF($D$7:$D$28,$Q$4,$L$7:$L$28)+SUMIF($D$30:$D$51,$Q$4,$L$30:$L$51)+SUMIF($D$53:$D$56,$Q$4,$L$53:$L$56)+SUMIF($D$58:$D$61,$Q$4,$L$58:$L$61)),0.01))&amp;"" min l"&amp;"ängre än planerat""),
TRUE,CONCATENATE((MROUND((SUMIF($D$7:$D$28,$Q$4,$L$7:$L$28)+SUMIF($D$30:$D$51,$Q$4,$L$30:$L$51)+SUMIF($D$53:$D$56,$Q$4,$L$53:$L$56)+SUMIF($D$58:$D$61,$Q$4,$L$58:$L$61))-(SUMIF($D$7:$D$28,$Q$4,$R$7:$R$28)+SUMIF($D$30:$D$51,$Q$4,$R$30:"&amp;"$R$51)+SUMIF($D$53:$D$56,$Q$4,$R$53:$R$56)+SUMIF($D$58:$D$61,$Q$4,$R$58:$R$61)),0.01))&amp;"" min kortare än planerat""))"),"Rummet användes ej")</f>
        <v>Rummet användes ej</v>
      </c>
      <c r="I66" s="21" t="str">
        <f>IFERROR(__xludf.DUMMYFUNCTION("IFS($W$4="""",""Rummet användes ej"",
IFERROR(FILTER($T$7:$T$61,$T$7:$T$61=""Fyll i R-kolumnen"")=""Fyll i R-kolumnen"")=TRUE,""Fyll först i kolumn R"",
(SUMIF($D$7:$D$28,$W$4,$L$7:$L$28)+SUMIF($D$30:$D$51,$W$4,$L$30:$L$51)+SUMIF($D$53:$D$56,$W$4,$L$53:$L"&amp;"$56)+SUMIF($D$58:$D$61,$W$4,$L$58:$L$61))&lt;=(SUMIF($D$7:$D$28,$W$4,$R$7:$R$28)+SUMIF($D$30:$D$51,$W$4,$R$30:$R$51)+SUMIF($D$53:$D$56,$W$4,$R$53:$R$56)+SUMIF($D$58:$D$61,$W$4,$R$58:$R$61)),CONCATENATE((MROUND((SUMIF($D$7:$D$28,$W$4,$R$7:$R$28)+SUMIF($D$30:$"&amp;"D$51,$W$4,$R$30:$R$51)+SUMIF($D$53:$D$56,$W$4,$R$53:$R$56)+SUMIF($D$58:$D$61,$W$4,$R$58:$R$61))-(SUMIF($D$7:$D$28,$W$4,$L$7:$L$28)+SUMIF($D$30:$D$51,$W$4,$L$30:$L$51)+SUMIF($D$53:$D$56,$W$4,$L$53:$L$56)+SUMIF($D$58:$D$61,$W$4,$L$58:$L$61)),0.01))&amp;"" min l"&amp;"ängre än planerat""),
TRUE,CONCATENATE((MROUND((SUMIF($D$7:$D$28,$W$4,$L$7:$L$28)+SUMIF($D$30:$D$51,$W$4,$L$30:$L$51)+SUMIF($D$53:$D$56,$W$4,$L$53:$L$56)+SUMIF($D$58:$D$61,$W$4,$L$58:$L$61))-(SUMIF($D$7:$D$28,$W$4,$R$7:$R$28)+SUMIF($D$30:$D$51,$W$4,$R$30:"&amp;"$R$51)+SUMIF($D$53:$D$56,$W$4,$R$53:$R$56)+SUMIF($D$58:$D$61,$W$4,$R$58:$R$61)),0.01))&amp;"" min kortare än planerat""))"),"Rummet användes ej")</f>
        <v>Rummet användes ej</v>
      </c>
      <c r="K66" s="91" t="str">
        <f>IFERROR(__xludf.DUMMYFUNCTION("IFS(SUMIF($E$7:$E$61,2,$L$7:$L$61)=0,""Finns inga 2:a-rundor"",
IFERROR(FILTER($T$7:$T$61,$T$7:$T$61=""Fyll i R-kolumnen"")=""Fyll i R-kolumnen"")=TRUE,""Fyll först i kolumn R"",
SUMIF($E$7:$E$61,2,$L$7:$L$61)&lt;=SUMIF($E$7:$E$61,2,$R$7:$R$61),CONCATENATE(("&amp;"MROUND(SUMIF($E$7:$E$61,2,$R$7:$R$61)-SUMIF($E$7:$E$61,2,$L$7:$L$61),0.01))&amp;"" min längre än planerat""),
TRUE,CONCATENATE((MROUND(SUMIF($E$7:$E$61,2,$L$7:$L$61)-SUMIF($E$7:$E$61,2,$R$7:$R$61),0.01))&amp;"" min kortare än planerat""))"),"Finns inga 2:a-rundor")</f>
        <v>Finns inga 2:a-rundor</v>
      </c>
      <c r="L66" s="10"/>
      <c r="M66" s="21" t="str">
        <f>IFERROR(__xludf.DUMMYFUNCTION("IFS(SUMIF($E$7:$E$61,""Final"",$L$7:$L$61)=0,""Finns inga finalrundor"",
IFERROR(FILTER($T$7:$T$61,$T$7:$T$61=""Fyll i R-kolumnen"")=""Fyll i R-kolumnen"")=TRUE,""Fyll först i kolumn R"",
SUMIF($E$7:$E$61,""Final"",$L$7:$L$61)&lt;=SUMIF($E$7:$E$61,""Final"","&amp;"$R$7:$R$61),CONCATENATE((MROUND(SUMIF($E$7:$E$61,""Final"",$R$7:$R$61)-SUMIF($E$7:$E$61,""Final"",$L$7:$L$61),0.01))&amp;"" min längre än planerat""),
TRUE,CONCATENATE((MROUND(SUMIF($E$7:$E$61,""Final"",$L$7:$L$61)-SUMIF($E$7:$E$61,""Final"",$R$7:$R$61),0.01)"&amp;")&amp;"" min kortare än planerat""))"),"Finns inga finalrundor")</f>
        <v>Finns inga finalrundor</v>
      </c>
      <c r="N66" s="24"/>
      <c r="O66" s="85" t="str">
        <f>IFERROR(__xludf.DUMMYFUNCTION("IFS((SUMIFS($L$7:$L$61,$E$7:$E$61,""Final"",$C$7:$C$61,""5x5"")+SUMIFS($L$7:$L$61,$E$7:$E$61,""Final"",$C$7:$C$61,""Clock""))=0,""Finns inga MYCKET svårblandade finaler"",
IFERROR(FILTER($T$7:$T$61,$T$7:$T$61=""Fyll i R-kolumnen"")=""Fyll i R-kolumnen"")="&amp;"TRUE,""Fyll först i kolumn R"",
(SUMIFS($L$7:$L$61,$E$7:$E$61,""Final"",$C$7:$C$61,""5x5"")+SUMIFS($L$7:$L$61,$E$7:$E$61,""Final"",$C$7:$C$61,""Clock""))&lt;=(SUMIFS($R$7:$R$61,$E$7:$E$61,""Final"",$C$7:$C$61,""5x5"")+SUMIFS($R$7:$R$61,$E$7:$E$61,""Final"",$"&amp;"C$7:$C$61,""Clock"")),CONCATENATE((MROUND((SUMIFS($R$7:$R$61,$E$7:$E$61,""Final"",$C$7:$C$61,""5x5"")+SUMIFS($R$7:$R$61,$E$7:$E$61,""Final"",$C$7:$C$61,""Clock""))-(SUMIFS($L$7:$L$61,$E$7:$E$61,""Final"",$C$7:$C$61,""5x5"")+SUMIFS($L$7:$L$61,$E$7:$E$61,"""&amp;"Final"",$C$7:$C$61,""Clock"")),0.01))&amp;"" min längre än planerat""),
TRUE,CONCATENATE((MROUND((SUMIFS($L$7:$L$61,$E$7:$E$61,""Final"",$C$7:$C$61,""5x5"")+SUMIFS($L$7:$L$61,$E$7:$E$61,""Final"",$C$7:$C$61,""Clock""))-(SUMIFS($R$7:$R$61,$E$7:$E$61,""Final"","&amp;"$C$7:$C$61,""5x5"")+SUMIFS($R$7:$R$61,$E$7:$E$61,""Final"",$C$7:$C$61,""Clock"")),0.01))&amp;"" min kortare än planerat""))"),"Finns inga MYCKET svårblandade finaler")</f>
        <v>Finns inga MYCKET svårblandade finaler</v>
      </c>
      <c r="P66" s="11"/>
      <c r="Q66" s="85" t="str">
        <f>IFERROR(__xludf.DUMMYFUNCTION("IFS(SUMIFS($L$7:$L$61,$H$7:$H$61,""&gt;0"")=0,""Inga rundor påverkas av c.t.l."",
IFERROR(FILTER($T$7:$T$61,$T$7:$T$61=""Fyll i R-kolumnen"")=""Fyll i R-kolumnen"")=TRUE,""Fyll först i kolumn R"",
SUMIFS($L$7:$L$61,$H$7:$H$61,""&gt;0"")&lt;=SUMIFS($R$7:$R$61,$H$7:"&amp;"$H$61,""&gt;0""),CONCATENATE((MROUND(SUMIFS($R$7:$R$61,$H$7:$H$61,""&gt;0"")-SUMIFS($L$7:$L$61,$H$7:$H$61,""&gt;0""),0.01))&amp;"" min längre än planerat""),
TRUE,CONCATENATE((MROUND(SUMIFS($L$7:$L$61,$H$7:$H$61,""&gt;0"")-SUMIFS($R$7:$R$61,$H$7:$H$61,""&gt;0""),0.01))&amp;"" m"&amp;"in kortare än planerat""))"),"Inga rundor påverkas av c.t.l.")</f>
        <v>Inga rundor påverkas av c.t.l.</v>
      </c>
      <c r="R66" s="10"/>
      <c r="S66" s="85" t="str">
        <f>IFERROR(__xludf.DUMMYFUNCTION("IFS(SUMIF($E$7:$E$61,""&lt;&gt;1"",$L$7:$L$61)=0,""Finns inga sådana rundor"",
IFERROR(FILTER($T$7:$T$61,$T$7:$T$61=""Fyll i R-kolumnen"")=""Fyll i R-kolumnen"")=TRUE,""Fyll först i kolumn R"",
SUMIF($E$7:$E$61,""&lt;&gt;1"",$L$7:$L$61)&lt;=SUMIF($E$7:$E$61,""&lt;&gt;1"",$R$7"&amp;":$R$61),CONCATENATE((MROUND(SUMIF($E$7:$E$61,""&lt;&gt;1"",$R$7:$R$61)-SUMIF($E$7:$E$61,""&lt;&gt;1"",$L$7:$L$61),0.01))&amp;"" min längre än planerat""),
TRUE,CONCATENATE((MROUND(SUMIF($E$7:$E$61,""&lt;&gt;1"",$L$7:$L$61)-SUMIF($E$7:$E$61,""&lt;&gt;1"",$R$7:$R$61),0.01))&amp;"" min kor"&amp;"tare än planerat""))"),"Finns inga sådana rundor")</f>
        <v>Finns inga sådana rundor</v>
      </c>
      <c r="T66" s="11"/>
      <c r="U66" s="85" t="str">
        <f>IFERROR(__xludf.DUMMYFUNCTION("IFS(SUMIF($Q$7:$Q$61,""Yes"",$L$7:$L$61)=0,""Inga rundor med fixed seating"",
IFERROR(FILTER($T$7:$T$61,$T$7:$T$61=""Fyll i R-kolumnen"")=""Fyll i R-kolumnen"")=TRUE,""Fyll först i kolumn R"",
SUMIF($Q$7:$Q$61,""Yes"",$L$7:$L$61)&lt;=SUMIF($Q$7:$Q$61,""Yes"""&amp;",$R$7:$R$61),CONCATENATE((MROUND(SUMIF($Q$7:$Q$61,""Yes"",$R$7:$R$61)-SUMIF($Q$7:$Q$61,""Yes"",$L$7:$L$61),0.01))&amp;"" min längre än planerat""),
TRUE,CONCATENATE((MROUND(SUMIF($Q$7:$Q$61,""Yes"",$L$7:$L$61)-SUMIF($Q$7:$Q$61,""Yes"",$R$7:$R$61),0.01))&amp;"" mi"&amp;"n kortare än planerat""))"),"Inga rundor med fixed seating")</f>
        <v>Inga rundor med fixed seating</v>
      </c>
      <c r="V66" s="11"/>
      <c r="W66" s="85" t="str">
        <f>IFERROR(__xludf.DUMMYFUNCTION("IFS(SUMIF($X$7:$X$61,""&lt;=16"",$L$7:$L$61)=0,""Inga rundor med 16 eller färre timers"",
IFERROR(FILTER($T$7:$T$61,$T$7:$T$61=""Fyll i R-kolumnen"")=""Fyll i R-kolumnen"")=TRUE,""Fyll först i kolumn R"",
SUMIF($X$7:$X$61,""&lt;=16"",$L$7:$L$61)&lt;=SUMIF($X$7:$X$"&amp;"61,""&lt;=16"",$R$7:$R$61),CONCATENATE((MROUND(SUMIF($X$7:$X$61,""&lt;=16"",$R$7:$R$61)-SUMIF($X$7:$X$61,""&lt;=16"",$L$7:$L$61),0.01))&amp;"" min längre än planerat""),
TRUE,CONCATENATE((MROUND(SUMIF($X$7:$X$61,""&lt;=16"",$L$7:$L$61)-SUMIF($X$7:$X$61,""&lt;=16"",$R$7:$R$6"&amp;"1),0.01))&amp;"" min kortare än planerat""))"),"Inga rundor med 16 eller färre timers")</f>
        <v>Inga rundor med 16 eller färre timers</v>
      </c>
      <c r="X66" s="11"/>
      <c r="Y66" s="85" t="str">
        <f>IFERROR(__xludf.DUMMYFUNCTION("IFS(SUMIF($C$7:$C$61,""3x3 BLD"",$L$7:$L$61)=0,""Inga rundor 3x3 BLD"",
IFERROR(FILTER($T$7:$T$61,$T$7:$T$61=""Fyll i R-kolumnen"")=""Fyll i R-kolumnen"")=TRUE,""Fyll först i kolumn R"",
SUMIF($C$7:$C$61,""3x3 BLD"",$L$7:$L$61)&lt;=SUMIF($C$7:$C$61,""3x3 BLD"&amp;""",$R$7:$R$61),CONCATENATE((MROUND(SUMIF($C$7:$C$61,""3x3 BLD"",$R$7:$R$61)-SUMIF($C$7:$C$61,""3x3 BLD"",$L$7:$L$61),0.01))&amp;"" min längre än planerat""),
TRUE,CONCATENATE((MROUND(SUMIF($C$7:$C$61,""3x3 BLD"",$L$7:$L$61)-SUMIF($C$7:$C$61,""3x3 BLD"",$R$7:$"&amp;"R$61),0.01))&amp;"" min kortare än planerat""))  "),"Inga rundor 3x3 BLD")</f>
        <v>Inga rundor 3x3 BLD</v>
      </c>
      <c r="Z66" s="11"/>
      <c r="AA66" s="85" t="str">
        <f>IFERROR(__xludf.DUMMYFUNCTION("IFS(SUMIF($C$7:$C$61,""3x3 MBLD"",$L$7:$L$61)=0,""Inga rundor 3x3 MBLD"",
IFERROR(FILTER($T$7:$T$61,$T$7:$T$61=""Fyll i R-kolumnen"")=""Fyll i R-kolumnen"")=TRUE,""Fyll först i kolumn R"",
SUMIF($C$7:$C$61,""3x3 MBLD"",$L$7:$L$61)&lt;=SUMIF($C$7:$C$61,""3x3 "&amp;"MBLD"",$R$7:$R$61),CONCATENATE((MROUND(SUMIF($C$7:$C$61,""3x3 MBLD"",$R$7:$R$61)-SUMIF($C$7:$C$61,""3x3 MBLD"",$L$7:$L$61),0.01))&amp;"" min längre än plan""),
TRUE,CONCATENATE((MROUND(SUMIF($C$7:$C$61,""3x3 MBLD"",$L$7:$L$61)-SUMIF($C$7:$C$61,""3x3 MBLD"",$R"&amp;"$7:$R$61),0.01))&amp;"" min kortare än plan""))  "),"Inga rundor 3x3 MBLD")</f>
        <v>Inga rundor 3x3 MBLD</v>
      </c>
      <c r="AB66" s="11"/>
    </row>
    <row r="67">
      <c r="A67" s="92" t="s">
        <v>78</v>
      </c>
      <c r="B67" s="2"/>
      <c r="C67" s="2"/>
      <c r="D67" s="3"/>
      <c r="E67" s="92" t="s">
        <v>79</v>
      </c>
      <c r="F67" s="2"/>
      <c r="G67" s="2"/>
      <c r="H67" s="3"/>
      <c r="I67" s="93" t="s">
        <v>80</v>
      </c>
      <c r="J67" s="2"/>
      <c r="K67" s="2"/>
      <c r="L67" s="2"/>
      <c r="M67" s="93" t="s">
        <v>81</v>
      </c>
      <c r="N67" s="2"/>
      <c r="O67" s="2"/>
      <c r="P67" s="3"/>
      <c r="Q67" s="92" t="s">
        <v>82</v>
      </c>
      <c r="R67" s="3"/>
      <c r="S67" s="92" t="s">
        <v>83</v>
      </c>
      <c r="T67" s="3"/>
      <c r="U67" s="80" t="str">
        <f>"+10% fler deltagare än väntat:"</f>
        <v>+10% fler deltagare än väntat:</v>
      </c>
      <c r="V67" s="24"/>
      <c r="W67" s="92" t="s">
        <v>84</v>
      </c>
      <c r="X67" s="3"/>
      <c r="Y67" s="80" t="s">
        <v>85</v>
      </c>
      <c r="Z67" s="24"/>
      <c r="AA67" s="61"/>
      <c r="AB67" s="61"/>
    </row>
    <row r="68">
      <c r="A68" s="90" t="str">
        <f>IFERROR(__xludf.DUMMYFUNCTION("IFS(SUM($L$7:$L$61)=$L$29+$L$52+$L$57,""Tom tävling - lägg till grenar!"",
IFERROR(FILTER($T$7:$T$61,$T$7:$T$61=""Fyll i R-kolumnen"")=""Fyll i R-kolumnen"")=TRUE,""Fyll först i kolumn R"",
IFERROR(FILTER($T$7:$T$61,$T$7:$T$61=""Fyll i S-kolumnen"")=""Fyl"&amp;"l i S-kolumnen"")=TRUE,""Fyll först i kolumn S"",
COUNTIF($Q$7:$Q$61,""Yes"")=0,""Inga rundor med fixed seating"",
TRUE,ARRAYFORMULA(TEXTJOIN("", "",TRUE,IF(VALUE($B$72:$T$72)&gt;5,$B$71:$T$71,""""))))"),"Tom tävling - lägg till grenar!")</f>
        <v>Tom tävling - lägg till grenar!</v>
      </c>
      <c r="D68" s="24"/>
      <c r="E68" s="90" t="str">
        <f>IFERROR(__xludf.DUMMYFUNCTION("IFS(SUM($L$7:$L$61)=$L$29+$L$52+$L$57,""Tom tävling - lägg till grenar!"",
IFERROR(FILTER($T$7:$T$61,$T$7:$T$61=""Fyll i R-kolumnen"")=""Fyll i R-kolumnen"")=TRUE,""Fyll först i kolumn R"",
IFERROR(FILTER($T$7:$T$61,$T$7:$T$61=""Fyll i S-kolumnen"")=""Fyl"&amp;"l i S-kolumnen"")=TRUE,""Fyll först i kolumn S"",
COUNTIF($Q$7:$Q$61,""Yes"")=0,""Inga rundor med fixed seating"",
TRUE,ARRAYFORMULA(TEXTJOIN("", "",TRUE,IF(VALUE($B$72:$T$72)&gt;10,$B$71:$T$71,""""))))"),"Tom tävling - lägg till grenar!")</f>
        <v>Tom tävling - lägg till grenar!</v>
      </c>
      <c r="H68" s="24"/>
      <c r="I68" s="90" t="str">
        <f>IFERROR(__xludf.DUMMYFUNCTION("IFS(SUM($L$7:$L$61)=$L$29+$L$52+$L$57,""Tom tävling - lägg till grenar!"",
IFERROR(FILTER($T$7:$T$61,$T$7:$T$61=""Fyll i R-kolumnen"")=""Fyll i R-kolumnen"")=TRUE,""Fyll först i kolumn R"",
IFERROR(FILTER($T$7:$T$61,$T$7:$T$61=""Fyll i S-kolumnen"")=""Fyl"&amp;"l i S-kolumnen"")=TRUE,""Fyll först i kolumn S"",
COUNTIF($Q$7:$Q$61,""No"")=0,""Inga rundor utan fixed seating"",
TRUE,ARRAYFORMULA(TEXTJOIN("", "",TRUE,IF(VALUE($B$74:$T$74)&gt;5,$B$71:$T$71,""""))))"),"Tom tävling - lägg till grenar!")</f>
        <v>Tom tävling - lägg till grenar!</v>
      </c>
      <c r="L68" s="24"/>
      <c r="M68" s="87" t="str">
        <f>IFERROR(__xludf.DUMMYFUNCTION("IFS(SUM($L$7:$L$61)=$L$29+$L$52+$L$57,""Tom tävling - lägg till grenar!"",
IFERROR(FILTER($T$7:$T$61,$T$7:$T$61=""Fyll i R-kolumnen"")=""Fyll i R-kolumnen"")=TRUE,""Fyll först i kolumn R"",
IFERROR(FILTER($T$7:$T$61,$T$7:$T$61=""Fyll i S-kolumnen"")=""Fyl"&amp;"l i S-kolumnen"")=TRUE,""Fyll först i kolumn S"",
COUNTIF($Q$7:$Q$61,""No"")=0,""Inga rundor utan fixed seating"",
TRUE,ARRAYFORMULA(TEXTJOIN("", "",TRUE,IF(VALUE($B$74:$T$74)&gt;10,$B$71:$T$71,""""))))"),"Tom tävling - lägg till grenar!")</f>
        <v>Tom tävling - lägg till grenar!</v>
      </c>
      <c r="P68" s="24"/>
      <c r="Q68" s="87" t="str">
        <f>IFERROR(__xludf.DUMMYFUNCTION("CONCATENATE(FILTER($B$71:$T$71,$B$72:$T$72=INDIRECT(CELL(""address"",INDEX($B$72:$T$72,MATCH(MAX($B$72:$T$72),$B$72:$T$72,0)))))&amp;"" ""&amp;INDIRECT(CELL(""address"",INDEX($B$72:$T$72,MATCH(MAX($B$72:$T$72),$B$72:$T$72,0))))&amp;""%"")"),"#N/A")</f>
        <v>#N/A</v>
      </c>
      <c r="R68" s="24"/>
      <c r="S68" s="90" t="str">
        <f>IFERROR(__xludf.DUMMYFUNCTION("CONCATENATE(FILTER($B$71:$T$71,$B$74:$T$74=INDIRECT(CELL(""address"",INDEX($B$74:$T$74,MATCH(MAX($B$74:$T$74),$B$74:$T$74,0)))))&amp;"" ""&amp;INDIRECT(CELL(""address"",INDEX($B$74:$T$74,MATCH(MAX($B$74:$T$74),$B$74:$T$74,0))))&amp;""%"")"),"#N/A")</f>
        <v>#N/A</v>
      </c>
      <c r="T68" s="24"/>
      <c r="U68" s="90" t="str">
        <f>IFERROR(__xludf.DUMMYFUNCTION("IFS(SUM($L$7:$L$61)=$L$29+$L$52+$L$57,""Tom tävling - lägg till grenar!"",
IFERROR(FILTER($T$7:$T$61,$T$7:$T$61=""Fyll i R-kolumnen"")=""Fyll i R-kolumnen"")=TRUE,""Fyll först i kolumn R"",
IFERROR(FILTER($T$7:$T$61,$T$7:$T$61=""Fyll i S-kolumnen"")=""Fyl"&amp;"l i S-kolumnen"")=TRUE,""Fyll först i kolumn S"",
TRUE,ARRAYFORMULA(TEXTJOIN("", "",TRUE,IF(VALUE($B$76:$T$76)&gt;10,$B$71:$T$71,""""))))"),"Tom tävling - lägg till grenar!")</f>
        <v>Tom tävling - lägg till grenar!</v>
      </c>
      <c r="V68" s="24"/>
      <c r="W68" s="90" t="str">
        <f>IFERROR(__xludf.DUMMYFUNCTION("IFS(SUM($L$7:$L$61)=$L$29+$L$52+$L$57,""Tom tävling - lägg till grenar!"",
IFERROR(FILTER($T$7:$T$61,$T$7:$T$61=""Fyll i R-kolumnen"")=""Fyll i R-kolumnen"")=TRUE,""Fyll först i kolumn R"",
IFERROR(FILTER($T$7:$T$61,$T$7:$T$61=""Fyll i S-kolumnen"")=""Fyl"&amp;"l i S-kolumnen"")=TRUE,""Fyll först i kolumn S"",
SUMIFS($L$7:$L$61,$I$7:$I$61,""&gt;0"")=0,""Inga rundor med cutoffs"",
TRUE,ARRAYFORMULA(TEXTJOIN("", "",TRUE,IF(VALUE($B$78:$T$78)&gt;10,$B$71:$T$71,""""))))"),"Tom tävling - lägg till grenar!")</f>
        <v>Tom tävling - lägg till grenar!</v>
      </c>
      <c r="X68" s="24"/>
      <c r="Y68" s="90" t="str">
        <f>IFERROR(__xludf.DUMMYFUNCTION("IFS(SUM($L$7:$L$61)=$L$29+$L$52+$L$57,""Tom tävling - lägg till grenar!"",
IFERROR(FILTER($T$7:$T$61,$T$7:$T$61=""Fyll i R-kolumnen"")=""Fyll i R-kolumnen"")=TRUE,""Fyll först i kolumn R"",
IFERROR(FILTER($T$7:$T$61,$T$7:$T$61=""Fyll i S-kolumnen"")=""Fyl"&amp;"l i S-kolumnen"")=TRUE,""Fyll först i kolumn S"",
SUMIFS($L$7:$L$61,$H$7:$H$61,""&gt;0"")=0,""Inga rundor med c.t.l."",
TRUE,ARRAYFORMULA(TEXTJOIN("", "",TRUE,IF(VALUE($B$80:$T$80)&gt;10,$B$71:$T$71,""""))))"),"Tom tävling - lägg till grenar!")</f>
        <v>Tom tävling - lägg till grenar!</v>
      </c>
      <c r="Z68" s="24"/>
      <c r="AA68" s="94"/>
      <c r="AB68" s="94"/>
    </row>
    <row r="69">
      <c r="A69" s="80" t="s">
        <v>86</v>
      </c>
      <c r="D69" s="24"/>
      <c r="E69" s="80" t="s">
        <v>87</v>
      </c>
      <c r="H69" s="24"/>
      <c r="I69" s="95" t="s">
        <v>88</v>
      </c>
      <c r="M69" s="95" t="s">
        <v>89</v>
      </c>
      <c r="P69" s="24"/>
      <c r="Q69" s="80" t="s">
        <v>90</v>
      </c>
      <c r="R69" s="24"/>
      <c r="S69" s="80" t="s">
        <v>91</v>
      </c>
      <c r="T69" s="24"/>
      <c r="U69" s="80" t="str">
        <f>"-10% färre deltagare än väntat:"</f>
        <v>-10% färre deltagare än väntat:</v>
      </c>
      <c r="V69" s="24"/>
      <c r="W69" s="80" t="s">
        <v>92</v>
      </c>
      <c r="X69" s="24"/>
      <c r="Y69" s="80" t="s">
        <v>93</v>
      </c>
      <c r="Z69" s="24"/>
      <c r="AA69" s="94"/>
      <c r="AB69" s="94"/>
    </row>
    <row r="70">
      <c r="A70" s="84" t="str">
        <f>IFERROR(__xludf.DUMMYFUNCTION("IFS(SUM($L$7:$L$61)=$L$29+$L$52+$L$57,""Tom tävling - lägg till grenar!"",
IFERROR(FILTER($T$7:$T$61,$T$7:$T$61=""Fyll i R-kolumnen"")=""Fyll i R-kolumnen"")=TRUE,""Fyll först i kolumn R"",
IFERROR(FILTER($T$7:$T$61,$T$7:$T$61=""Fyll i S-kolumnen"")=""Fyl"&amp;"l i S-kolumnen"")=TRUE,""Fyll först i kolumn S"",
COUNTIF($Q$7:$Q$61,""Yes"")=0,""Inga rundor med fixed seating"",
TRUE,ARRAYFORMULA(TEXTJOIN("", "",TRUE,IF(VALUE($B$72:$T$72)&lt;-5,$B$71:$T$71,""""))))"),"Tom tävling - lägg till grenar!")</f>
        <v>Tom tävling - lägg till grenar!</v>
      </c>
      <c r="B70" s="10"/>
      <c r="C70" s="10"/>
      <c r="D70" s="11"/>
      <c r="E70" s="84" t="str">
        <f>IFERROR(__xludf.DUMMYFUNCTION("IFS(SUM($L$7:$L$61)=$L$29+$L$52+$L$57,""Tom tävling - lägg till grenar!"",
IFERROR(FILTER($T$7:$T$61,$T$7:$T$61=""Fyll i R-kolumnen"")=""Fyll i R-kolumnen"")=TRUE,""Fyll först i kolumn R"",
IFERROR(FILTER($T$7:$T$61,$T$7:$T$61=""Fyll i S-kolumnen"")=""Fyl"&amp;"l i S-kolumnen"")=TRUE,""Fyll först i kolumn S"",
COUNTIF($Q$7:$Q$61,""Yes"")=0,""Inga rundor med fixed seating"",
TRUE,ARRAYFORMULA(TEXTJOIN("", "",TRUE,IF(VALUE($B$72:$T$72)&lt;-10,$B$71:$T$71,""""))))"),"Tom tävling - lägg till grenar!")</f>
        <v>Tom tävling - lägg till grenar!</v>
      </c>
      <c r="F70" s="10"/>
      <c r="G70" s="10"/>
      <c r="H70" s="11"/>
      <c r="I70" s="96" t="str">
        <f>IFERROR(__xludf.DUMMYFUNCTION("IFS(SUM($L$7:$L$61)=$L$29+$L$52+$L$57,""Tom tävling - lägg till grenar!"",
IFERROR(FILTER($T$7:$T$61,$T$7:$T$61=""Fyll i R-kolumnen"")=""Fyll i R-kolumnen"")=TRUE,""Fyll först i kolumn R"",
IFERROR(FILTER($T$7:$T$61,$T$7:$T$61=""Fyll i S-kolumnen"")=""Fyl"&amp;"l i S-kolumnen"")=TRUE,""Fyll först i kolumn S"",
COUNTIF($Q$7:$Q$61,""No"")=0,""Inga rundor utan fixed seating"",
TRUE,ARRAYFORMULA(TEXTJOIN("", "",TRUE,IF(VALUE($B$74:$T$74)&lt;-5,$B$71:$T$71,""""))))"),"Tom tävling - lägg till grenar!")</f>
        <v>Tom tävling - lägg till grenar!</v>
      </c>
      <c r="J70" s="10"/>
      <c r="K70" s="10"/>
      <c r="L70" s="10"/>
      <c r="M70" s="96" t="str">
        <f>IFERROR(__xludf.DUMMYFUNCTION("IFS(SUM($L$7:$L$61)=$L$29+$L$52+$L$57,""Tom tävling - lägg till grenar!"",
IFERROR(FILTER($T$7:$T$61,$T$7:$T$61=""Fyll i R-kolumnen"")=""Fyll i R-kolumnen"")=TRUE,""Fyll först i kolumn R"",
IFERROR(FILTER($T$7:$T$61,$T$7:$T$61=""Fyll i S-kolumnen"")=""Fyl"&amp;"l i S-kolumnen"")=TRUE,""Fyll först i kolumn S"",
COUNTIF($Q$7:$Q$61,""No"")=0,""Inga rundor utan fixed seating"",
TRUE,ARRAYFORMULA(TEXTJOIN("", "",TRUE,IF(VALUE($B$74:$T$74)&lt;-10,$B$71:$T$71,""""))))                 "),"Tom tävling - lägg till grenar!")</f>
        <v>Tom tävling - lägg till grenar!</v>
      </c>
      <c r="N70" s="10"/>
      <c r="O70" s="10"/>
      <c r="P70" s="11"/>
      <c r="Q70" s="84" t="str">
        <f>IFERROR(__xludf.DUMMYFUNCTION("CONCATENATE(FILTER($B$71:$T$71,$B$72:$T$72=INDIRECT(CELL(""address"",INDEX($B$72:$T$72,MATCH(MIN($B$72:$T$72),$B$72:$T$72,0)))))&amp;"" ""&amp;INDIRECT(CELL(""address"",INDEX($B$72:$T$72,MATCH(MIN($B$72:$T$72),$B$72:$T$72,0))))&amp;""%"")"),"#N/A")</f>
        <v>#N/A</v>
      </c>
      <c r="R70" s="11"/>
      <c r="S70" s="84" t="str">
        <f>IFERROR(__xludf.DUMMYFUNCTION("CONCATENATE(FILTER($B$71:$T$71,$B$74:$T$74=INDIRECT(CELL(""address"",INDEX($B$74:$T$74,MATCH(MIN($B$74:$T$74),$B$74:$T$74,0)))))&amp;"" ""&amp;INDIRECT(CELL(""address"",INDEX($B$74:$T$74,MATCH(MIN($B$74:$T$74),$B$74:$T$74,0))))&amp;""%"")"),"#N/A")</f>
        <v>#N/A</v>
      </c>
      <c r="T70" s="11"/>
      <c r="U70" s="84" t="str">
        <f>IFERROR(__xludf.DUMMYFUNCTION("IFS(SUM($L$7:$L$61)=$L$29+$L$52+$L$57,""Tom tävling - lägg till grenar!"",
IFERROR(FILTER($T$7:$T$61,$T$7:$T$61=""Fyll i R-kolumnen"")=""Fyll i R-kolumnen"")=TRUE,""Fyll först i kolumn R"",
IFERROR(FILTER($T$7:$T$61,$T$7:$T$61=""Fyll i S-kolumnen"")=""Fyl"&amp;"l i S-kolumnen"")=TRUE,""Fyll först i kolumn S"",
TRUE,ARRAYFORMULA(TEXTJOIN("", "",TRUE,IF(VALUE($B$76:$T$76)&lt;-10,$B$71:$T$71,""""))))"),"Tom tävling - lägg till grenar!")</f>
        <v>Tom tävling - lägg till grenar!</v>
      </c>
      <c r="V70" s="11"/>
      <c r="W70" s="84" t="str">
        <f>IFERROR(__xludf.DUMMYFUNCTION("IFS(SUM($L$7:$L$61)=$L$29+$L$52+$L$57,""Tom tävling - lägg till grenar!"",
IFERROR(FILTER($T$7:$T$61,$T$7:$T$61=""Fyll i R-kolumnen"")=""Fyll i R-kolumnen"")=TRUE,""Fyll först i kolumn R"",
IFERROR(FILTER($T$7:$T$61,$T$7:$T$61=""Fyll i S-kolumnen"")=""Fyl"&amp;"l i S-kolumnen"")=TRUE,""Fyll först i kolumn S"",
SUMIFS($L$7:$L$61,$I$7:$I$61,""&gt;0"")=0,""Inga rundor med cutoffs"",
TRUE,ARRAYFORMULA(TEXTJOIN("", "",TRUE,IF(VALUE($B$78:$T$78)&lt;-10,$B$71:$T$71,""""))))"),"Tom tävling - lägg till grenar!")</f>
        <v>Tom tävling - lägg till grenar!</v>
      </c>
      <c r="X70" s="11"/>
      <c r="Y70" s="84" t="str">
        <f>IFERROR(__xludf.DUMMYFUNCTION("IFS(SUM($L$7:$L$61)=$L$29+$L$52+$L$57,""Tom tävling - lägg till grenar!"",
IFERROR(FILTER($T$7:$T$61,$T$7:$T$61=""Fyll i R-kolumnen"")=""Fyll i R-kolumnen"")=TRUE,""Fyll först i kolumn R"",
IFERROR(FILTER($T$7:$T$61,$T$7:$T$61=""Fyll i S-kolumnen"")=""Fyl"&amp;"l i S-kolumnen"")=TRUE,""Fyll först i kolumn S"",
SUMIFS($L$7:$L$61,$H$7:$H$61,""&gt;0"")=0,""Inga rundor med c.t.l."",
TRUE,ARRAYFORMULA(TEXTJOIN("", "",TRUE,IF(VALUE($B$80:$T$80)&lt;-10,$B$71:$T$71,""""))))"),"Tom tävling - lägg till grenar!")</f>
        <v>Tom tävling - lägg till grenar!</v>
      </c>
      <c r="Z70" s="11"/>
      <c r="AA70" s="94"/>
      <c r="AB70" s="94"/>
    </row>
    <row r="71">
      <c r="A71" s="90"/>
      <c r="C71" s="97" t="s">
        <v>12</v>
      </c>
      <c r="D71" s="97" t="s">
        <v>94</v>
      </c>
      <c r="E71" s="97" t="s">
        <v>95</v>
      </c>
      <c r="F71" s="97" t="s">
        <v>96</v>
      </c>
      <c r="G71" s="97" t="s">
        <v>97</v>
      </c>
      <c r="H71" s="97" t="s">
        <v>98</v>
      </c>
      <c r="I71" s="97" t="s">
        <v>99</v>
      </c>
      <c r="J71" s="97" t="s">
        <v>69</v>
      </c>
      <c r="K71" s="97" t="s">
        <v>100</v>
      </c>
      <c r="L71" s="97" t="s">
        <v>101</v>
      </c>
      <c r="M71" s="97" t="s">
        <v>102</v>
      </c>
      <c r="N71" s="97" t="s">
        <v>103</v>
      </c>
      <c r="O71" s="97" t="s">
        <v>104</v>
      </c>
      <c r="P71" s="97" t="s">
        <v>105</v>
      </c>
      <c r="Q71" s="97" t="s">
        <v>106</v>
      </c>
      <c r="R71" s="97" t="s">
        <v>107</v>
      </c>
      <c r="S71" s="97" t="s">
        <v>77</v>
      </c>
      <c r="T71" s="97" t="s">
        <v>108</v>
      </c>
      <c r="U71" s="98" t="s">
        <v>109</v>
      </c>
      <c r="V71" s="94"/>
      <c r="W71" s="94"/>
      <c r="X71" s="94"/>
      <c r="Y71" s="94"/>
      <c r="Z71" s="94"/>
      <c r="AA71" s="94"/>
      <c r="AB71" s="94"/>
    </row>
    <row r="72">
      <c r="A72" s="90" t="s">
        <v>110</v>
      </c>
      <c r="B72" s="24"/>
      <c r="C72" s="99" t="str">
        <f>IFERROR(__xludf.DUMMYFUNCTION("IFS(SUM($L$7:$L$61)=$L$29+$L$52+$L$57,""Tom tävling - lägg till grenar!"",
IFERROR(FILTER($T$7:$T$61,$T$7:$T$61=""Fyll i R-kolumnen"")=""Fyll i R-kolumnen"")=TRUE,""Fyll först i kolumn R"",
IFERROR(FILTER($T$7:$T$61,$T$7:$T$61=""Fyll i S-kolumnen"")=""Fyl"&amp;"l i S-kolumnen"")=TRUE,""Fyll först i kolumn S"",
OR(C$71=""3x3 BLD"",C$71=""4x4 BLD"",C$71=""5x5 BLD"",C$71=""4x4 / 5x5 BLD""),"""",
SUMIFS($T$7:$T$61,$C$7:$C$61,C$71)=0,"""",
SUMIFS($T$7:$T$61,$C$7:$C$61,C$71,$Q$7:$Q$61,""Yes"")=0,"""",
SUMIFS($T$7:$T$6"&amp;"1,$C$7:$C$61,C$71,$Q$7:$Q$61,""Yes"")/SUMIFS($Y$7:$Y$61,$C$7:$C$61,C$71,$Q$7:$Q$61,""Yes"")&gt;=1,
MROUND((SUMIFS($T$7:$T$61,$C$7:$C$61,C$71,$Q$7:$Q$61,""Yes"")/SUMIFS($Y$7:$Y$61,$C$7:$C$61,C$71,$Q$7:$Q$61,""Yes"")-1)*100,0.01),
TRUE,-MROUND((1-(SUMIFS($T$7:"&amp;"$T$61,$C$7:$C$61,C$71,$Q$7:$Q$61,""Yes"")/SUMIFS($Y$7:$Y$61,$C$7:$C$61,C$71,$Q$7:$Q$61,""Yes"")))*100,0.01))"),"Tom tävling - lägg till grenar!")</f>
        <v>Tom tävling - lägg till grenar!</v>
      </c>
      <c r="D72" s="99" t="str">
        <f>IFERROR(__xludf.DUMMYFUNCTION("IFS(SUM($L$7:$L$61)=$L$29+$L$52+$L$57,""Tom tävling - lägg till grenar!"",
IFERROR(FILTER($T$7:$T$61,$T$7:$T$61=""Fyll i R-kolumnen"")=""Fyll i R-kolumnen"")=TRUE,""Fyll först i kolumn R"",
IFERROR(FILTER($T$7:$T$61,$T$7:$T$61=""Fyll i S-kolumnen"")=""Fyl"&amp;"l i S-kolumnen"")=TRUE,""Fyll först i kolumn S"",
OR(D$71=""3x3 BLD"",D$71=""4x4 BLD"",D$71=""5x5 BLD"",D$71=""4x4 / 5x5 BLD""),"""",
SUMIFS($T$7:$T$61,$C$7:$C$61,D$71)=0,"""",
SUMIFS($T$7:$T$61,$C$7:$C$61,D$71,$Q$7:$Q$61,""Yes"")=0,"""",
SUMIFS($T$7:$T$6"&amp;"1,$C$7:$C$61,D$71,$Q$7:$Q$61,""Yes"")/SUMIFS($Y$7:$Y$61,$C$7:$C$61,D$71,$Q$7:$Q$61,""Yes"")&gt;=1,
MROUND((SUMIFS($T$7:$T$61,$C$7:$C$61,D$71,$Q$7:$Q$61,""Yes"")/SUMIFS($Y$7:$Y$61,$C$7:$C$61,D$71,$Q$7:$Q$61,""Yes"")-1)*100,0.01),
TRUE,-MROUND((1-(SUMIFS($T$7:"&amp;"$T$61,$C$7:$C$61,D$71,$Q$7:$Q$61,""Yes"")/SUMIFS($Y$7:$Y$61,$C$7:$C$61,D$71,$Q$7:$Q$61,""Yes"")))*100,0.01))"),"Tom tävling - lägg till grenar!")</f>
        <v>Tom tävling - lägg till grenar!</v>
      </c>
      <c r="E72" s="99" t="str">
        <f>IFERROR(__xludf.DUMMYFUNCTION("IFS(SUM($L$7:$L$61)=$L$29+$L$52+$L$57,""Tom tävling - lägg till grenar!"",
IFERROR(FILTER($T$7:$T$61,$T$7:$T$61=""Fyll i R-kolumnen"")=""Fyll i R-kolumnen"")=TRUE,""Fyll först i kolumn R"",
IFERROR(FILTER($T$7:$T$61,$T$7:$T$61=""Fyll i S-kolumnen"")=""Fyl"&amp;"l i S-kolumnen"")=TRUE,""Fyll först i kolumn S"",
OR(E$71=""3x3 BLD"",E$71=""4x4 BLD"",E$71=""5x5 BLD"",E$71=""4x4 / 5x5 BLD""),"""",
SUMIFS($T$7:$T$61,$C$7:$C$61,E$71)=0,"""",
SUMIFS($T$7:$T$61,$C$7:$C$61,E$71,$Q$7:$Q$61,""Yes"")=0,"""",
SUMIFS($T$7:$T$6"&amp;"1,$C$7:$C$61,E$71,$Q$7:$Q$61,""Yes"")/SUMIFS($Y$7:$Y$61,$C$7:$C$61,E$71,$Q$7:$Q$61,""Yes"")&gt;=1,
MROUND((SUMIFS($T$7:$T$61,$C$7:$C$61,E$71,$Q$7:$Q$61,""Yes"")/SUMIFS($Y$7:$Y$61,$C$7:$C$61,E$71,$Q$7:$Q$61,""Yes"")-1)*100,0.01),
TRUE,-MROUND((1-(SUMIFS($T$7:"&amp;"$T$61,$C$7:$C$61,E$71,$Q$7:$Q$61,""Yes"")/SUMIFS($Y$7:$Y$61,$C$7:$C$61,E$71,$Q$7:$Q$61,""Yes"")))*100,0.01))"),"Tom tävling - lägg till grenar!")</f>
        <v>Tom tävling - lägg till grenar!</v>
      </c>
      <c r="F72" s="99" t="str">
        <f>IFERROR(__xludf.DUMMYFUNCTION("IFS(SUM($L$7:$L$61)=$L$29+$L$52+$L$57,""Tom tävling - lägg till grenar!"",
IFERROR(FILTER($T$7:$T$61,$T$7:$T$61=""Fyll i R-kolumnen"")=""Fyll i R-kolumnen"")=TRUE,""Fyll först i kolumn R"",
IFERROR(FILTER($T$7:$T$61,$T$7:$T$61=""Fyll i S-kolumnen"")=""Fyl"&amp;"l i S-kolumnen"")=TRUE,""Fyll först i kolumn S"",
OR(F$71=""3x3 BLD"",F$71=""4x4 BLD"",F$71=""5x5 BLD"",F$71=""4x4 / 5x5 BLD""),"""",
SUMIFS($T$7:$T$61,$C$7:$C$61,F$71)=0,"""",
SUMIFS($T$7:$T$61,$C$7:$C$61,F$71,$Q$7:$Q$61,""Yes"")=0,"""",
SUMIFS($T$7:$T$6"&amp;"1,$C$7:$C$61,F$71,$Q$7:$Q$61,""Yes"")/SUMIFS($Y$7:$Y$61,$C$7:$C$61,F$71,$Q$7:$Q$61,""Yes"")&gt;=1,
MROUND((SUMIFS($T$7:$T$61,$C$7:$C$61,F$71,$Q$7:$Q$61,""Yes"")/SUMIFS($Y$7:$Y$61,$C$7:$C$61,F$71,$Q$7:$Q$61,""Yes"")-1)*100,0.01),
TRUE,-MROUND((1-(SUMIFS($T$7:"&amp;"$T$61,$C$7:$C$61,F$71,$Q$7:$Q$61,""Yes"")/SUMIFS($Y$7:$Y$61,$C$7:$C$61,F$71,$Q$7:$Q$61,""Yes"")))*100,0.01))"),"Tom tävling - lägg till grenar!")</f>
        <v>Tom tävling - lägg till grenar!</v>
      </c>
      <c r="G72" s="99" t="str">
        <f>IFERROR(__xludf.DUMMYFUNCTION("IFS(SUM($L$7:$L$61)=$L$29+$L$52+$L$57,""Tom tävling - lägg till grenar!"",
IFERROR(FILTER($T$7:$T$61,$T$7:$T$61=""Fyll i R-kolumnen"")=""Fyll i R-kolumnen"")=TRUE,""Fyll först i kolumn R"",
IFERROR(FILTER($T$7:$T$61,$T$7:$T$61=""Fyll i S-kolumnen"")=""Fyl"&amp;"l i S-kolumnen"")=TRUE,""Fyll först i kolumn S"",
OR(G$71=""3x3 BLD"",G$71=""4x4 BLD"",G$71=""5x5 BLD"",G$71=""4x4 / 5x5 BLD""),"""",
SUMIFS($T$7:$T$61,$C$7:$C$61,G$71)=0,"""",
SUMIFS($T$7:$T$61,$C$7:$C$61,G$71,$Q$7:$Q$61,""Yes"")=0,"""",
SUMIFS($T$7:$T$6"&amp;"1,$C$7:$C$61,G$71,$Q$7:$Q$61,""Yes"")/SUMIFS($Y$7:$Y$61,$C$7:$C$61,G$71,$Q$7:$Q$61,""Yes"")&gt;=1,
MROUND((SUMIFS($T$7:$T$61,$C$7:$C$61,G$71,$Q$7:$Q$61,""Yes"")/SUMIFS($Y$7:$Y$61,$C$7:$C$61,G$71,$Q$7:$Q$61,""Yes"")-1)*100,0.01),
TRUE,-MROUND((1-(SUMIFS($T$7:"&amp;"$T$61,$C$7:$C$61,G$71,$Q$7:$Q$61,""Yes"")/SUMIFS($Y$7:$Y$61,$C$7:$C$61,G$71,$Q$7:$Q$61,""Yes"")))*100,0.01))"),"Tom tävling - lägg till grenar!")</f>
        <v>Tom tävling - lägg till grenar!</v>
      </c>
      <c r="H72" s="99" t="str">
        <f>IFERROR(__xludf.DUMMYFUNCTION("IFS(SUM($L$7:$L$61)=$L$29+$L$52+$L$57,""Tom tävling - lägg till grenar!"",
IFERROR(FILTER($T$7:$T$61,$T$7:$T$61=""Fyll i R-kolumnen"")=""Fyll i R-kolumnen"")=TRUE,""Fyll först i kolumn R"",
IFERROR(FILTER($T$7:$T$61,$T$7:$T$61=""Fyll i S-kolumnen"")=""Fyl"&amp;"l i S-kolumnen"")=TRUE,""Fyll först i kolumn S"",
OR(H$71=""3x3 BLD"",H$71=""4x4 BLD"",H$71=""5x5 BLD"",H$71=""4x4 / 5x5 BLD""),"""",
SUMIFS($T$7:$T$61,$C$7:$C$61,H$71)=0,"""",
SUMIFS($T$7:$T$61,$C$7:$C$61,H$71,$Q$7:$Q$61,""Yes"")=0,"""",
SUMIFS($T$7:$T$6"&amp;"1,$C$7:$C$61,H$71,$Q$7:$Q$61,""Yes"")/SUMIFS($Y$7:$Y$61,$C$7:$C$61,H$71,$Q$7:$Q$61,""Yes"")&gt;=1,
MROUND((SUMIFS($T$7:$T$61,$C$7:$C$61,H$71,$Q$7:$Q$61,""Yes"")/SUMIFS($Y$7:$Y$61,$C$7:$C$61,H$71,$Q$7:$Q$61,""Yes"")-1)*100,0.01),
TRUE,-MROUND((1-(SUMIFS($T$7:"&amp;"$T$61,$C$7:$C$61,H$71,$Q$7:$Q$61,""Yes"")/SUMIFS($Y$7:$Y$61,$C$7:$C$61,H$71,$Q$7:$Q$61,""Yes"")))*100,0.01))"),"Tom tävling - lägg till grenar!")</f>
        <v>Tom tävling - lägg till grenar!</v>
      </c>
      <c r="I72" s="99" t="str">
        <f>IFERROR(__xludf.DUMMYFUNCTION("IFS(SUM($L$7:$L$61)=$L$29+$L$52+$L$57,""Tom tävling - lägg till grenar!"",
IFERROR(FILTER($T$7:$T$61,$T$7:$T$61=""Fyll i R-kolumnen"")=""Fyll i R-kolumnen"")=TRUE,""Fyll först i kolumn R"",
IFERROR(FILTER($T$7:$T$61,$T$7:$T$61=""Fyll i S-kolumnen"")=""Fyl"&amp;"l i S-kolumnen"")=TRUE,""Fyll först i kolumn S"",
OR(I$71=""3x3 BLD"",I$71=""4x4 BLD"",I$71=""5x5 BLD"",I$71=""4x4 / 5x5 BLD""),"""",
SUMIFS($T$7:$T$61,$C$7:$C$61,I$71)=0,"""",
SUMIFS($T$7:$T$61,$C$7:$C$61,I$71,$Q$7:$Q$61,""Yes"")=0,"""",
SUMIFS($T$7:$T$6"&amp;"1,$C$7:$C$61,I$71,$Q$7:$Q$61,""Yes"")/SUMIFS($Y$7:$Y$61,$C$7:$C$61,I$71,$Q$7:$Q$61,""Yes"")&gt;=1,
MROUND((SUMIFS($T$7:$T$61,$C$7:$C$61,I$71,$Q$7:$Q$61,""Yes"")/SUMIFS($Y$7:$Y$61,$C$7:$C$61,I$71,$Q$7:$Q$61,""Yes"")-1)*100,0.01),
TRUE,-MROUND((1-(SUMIFS($T$7:"&amp;"$T$61,$C$7:$C$61,I$71,$Q$7:$Q$61,""Yes"")/SUMIFS($Y$7:$Y$61,$C$7:$C$61,I$71,$Q$7:$Q$61,""Yes"")))*100,0.01))"),"Tom tävling - lägg till grenar!")</f>
        <v>Tom tävling - lägg till grenar!</v>
      </c>
      <c r="J72" s="99" t="str">
        <f>IFERROR(__xludf.DUMMYFUNCTION("IFS(SUM($L$7:$L$61)=$L$29+$L$52+$L$57,""Tom tävling - lägg till grenar!"",
IFERROR(FILTER($T$7:$T$61,$T$7:$T$61=""Fyll i R-kolumnen"")=""Fyll i R-kolumnen"")=TRUE,""Fyll först i kolumn R"",
IFERROR(FILTER($T$7:$T$61,$T$7:$T$61=""Fyll i S-kolumnen"")=""Fyl"&amp;"l i S-kolumnen"")=TRUE,""Fyll först i kolumn S"",
OR(J$71=""3x3 BLD"",J$71=""4x4 BLD"",J$71=""5x5 BLD"",J$71=""4x4 / 5x5 BLD""),"""",
SUMIFS($T$7:$T$61,$C$7:$C$61,J$71)=0,"""",
SUMIFS($T$7:$T$61,$C$7:$C$61,J$71,$Q$7:$Q$61,""Yes"")=0,"""",
SUMIFS($T$7:$T$6"&amp;"1,$C$7:$C$61,J$71,$Q$7:$Q$61,""Yes"")/SUMIFS($Y$7:$Y$61,$C$7:$C$61,J$71,$Q$7:$Q$61,""Yes"")&gt;=1,
MROUND((SUMIFS($T$7:$T$61,$C$7:$C$61,J$71,$Q$7:$Q$61,""Yes"")/SUMIFS($Y$7:$Y$61,$C$7:$C$61,J$71,$Q$7:$Q$61,""Yes"")-1)*100,0.01),
TRUE,-MROUND((1-(SUMIFS($T$7:"&amp;"$T$61,$C$7:$C$61,J$71,$Q$7:$Q$61,""Yes"")/SUMIFS($Y$7:$Y$61,$C$7:$C$61,J$71,$Q$7:$Q$61,""Yes"")))*100,0.01))"),"Tom tävling - lägg till grenar!")</f>
        <v>Tom tävling - lägg till grenar!</v>
      </c>
      <c r="K72" s="99" t="str">
        <f>IFERROR(__xludf.DUMMYFUNCTION("IFS(SUM($L$7:$L$61)=$L$29+$L$52+$L$57,""Tom tävling - lägg till grenar!"",
IFERROR(FILTER($T$7:$T$61,$T$7:$T$61=""Fyll i R-kolumnen"")=""Fyll i R-kolumnen"")=TRUE,""Fyll först i kolumn R"",
IFERROR(FILTER($T$7:$T$61,$T$7:$T$61=""Fyll i S-kolumnen"")=""Fyl"&amp;"l i S-kolumnen"")=TRUE,""Fyll först i kolumn S"",
OR(K$71=""3x3 BLD"",K$71=""4x4 BLD"",K$71=""5x5 BLD"",K$71=""4x4 / 5x5 BLD""),"""",
SUMIFS($T$7:$T$61,$C$7:$C$61,K$71)=0,"""",
SUMIFS($T$7:$T$61,$C$7:$C$61,K$71,$Q$7:$Q$61,""Yes"")=0,"""",
SUMIFS($T$7:$T$6"&amp;"1,$C$7:$C$61,K$71,$Q$7:$Q$61,""Yes"")/SUMIFS($Y$7:$Y$61,$C$7:$C$61,K$71,$Q$7:$Q$61,""Yes"")&gt;=1,
MROUND((SUMIFS($T$7:$T$61,$C$7:$C$61,K$71,$Q$7:$Q$61,""Yes"")/SUMIFS($Y$7:$Y$61,$C$7:$C$61,K$71,$Q$7:$Q$61,""Yes"")-1)*100,0.01),
TRUE,-MROUND((1-(SUMIFS($T$7:"&amp;"$T$61,$C$7:$C$61,K$71,$Q$7:$Q$61,""Yes"")/SUMIFS($Y$7:$Y$61,$C$7:$C$61,K$71,$Q$7:$Q$61,""Yes"")))*100,0.01))"),"Tom tävling - lägg till grenar!")</f>
        <v>Tom tävling - lägg till grenar!</v>
      </c>
      <c r="L72" s="99" t="str">
        <f>IFERROR(__xludf.DUMMYFUNCTION("IFS(SUM($L$7:$L$61)=$L$29+$L$52+$L$57,""Tom tävling - lägg till grenar!"",
IFERROR(FILTER($T$7:$T$61,$T$7:$T$61=""Fyll i R-kolumnen"")=""Fyll i R-kolumnen"")=TRUE,""Fyll först i kolumn R"",
IFERROR(FILTER($T$7:$T$61,$T$7:$T$61=""Fyll i S-kolumnen"")=""Fyl"&amp;"l i S-kolumnen"")=TRUE,""Fyll först i kolumn S"",
OR(L$71=""3x3 BLD"",L$71=""4x4 BLD"",L$71=""5x5 BLD"",L$71=""4x4 / 5x5 BLD""),"""",
SUMIFS($T$7:$T$61,$C$7:$C$61,L$71)=0,"""",
SUMIFS($T$7:$T$61,$C$7:$C$61,L$71,$Q$7:$Q$61,""Yes"")=0,"""",
SUMIFS($T$7:$T$6"&amp;"1,$C$7:$C$61,L$71,$Q$7:$Q$61,""Yes"")/SUMIFS($Y$7:$Y$61,$C$7:$C$61,L$71,$Q$7:$Q$61,""Yes"")&gt;=1,
MROUND((SUMIFS($T$7:$T$61,$C$7:$C$61,L$71,$Q$7:$Q$61,""Yes"")/SUMIFS($Y$7:$Y$61,$C$7:$C$61,L$71,$Q$7:$Q$61,""Yes"")-1)*100,0.01),
TRUE,-MROUND((1-(SUMIFS($T$7:"&amp;"$T$61,$C$7:$C$61,L$71,$Q$7:$Q$61,""Yes"")/SUMIFS($Y$7:$Y$61,$C$7:$C$61,L$71,$Q$7:$Q$61,""Yes"")))*100,0.01))"),"Tom tävling - lägg till grenar!")</f>
        <v>Tom tävling - lägg till grenar!</v>
      </c>
      <c r="M72" s="99" t="str">
        <f>IFERROR(__xludf.DUMMYFUNCTION("IFS(SUM($L$7:$L$61)=$L$29+$L$52+$L$57,""Tom tävling - lägg till grenar!"",
IFERROR(FILTER($T$7:$T$61,$T$7:$T$61=""Fyll i R-kolumnen"")=""Fyll i R-kolumnen"")=TRUE,""Fyll först i kolumn R"",
IFERROR(FILTER($T$7:$T$61,$T$7:$T$61=""Fyll i S-kolumnen"")=""Fyl"&amp;"l i S-kolumnen"")=TRUE,""Fyll först i kolumn S"",
OR(M$71=""3x3 BLD"",M$71=""4x4 BLD"",M$71=""5x5 BLD"",M$71=""4x4 / 5x5 BLD""),"""",
SUMIFS($T$7:$T$61,$C$7:$C$61,M$71)=0,"""",
SUMIFS($T$7:$T$61,$C$7:$C$61,M$71,$Q$7:$Q$61,""Yes"")=0,"""",
SUMIFS($T$7:$T$6"&amp;"1,$C$7:$C$61,M$71,$Q$7:$Q$61,""Yes"")/SUMIFS($Y$7:$Y$61,$C$7:$C$61,M$71,$Q$7:$Q$61,""Yes"")&gt;=1,
MROUND((SUMIFS($T$7:$T$61,$C$7:$C$61,M$71,$Q$7:$Q$61,""Yes"")/SUMIFS($Y$7:$Y$61,$C$7:$C$61,M$71,$Q$7:$Q$61,""Yes"")-1)*100,0.01),
TRUE,-MROUND((1-(SUMIFS($T$7:"&amp;"$T$61,$C$7:$C$61,M$71,$Q$7:$Q$61,""Yes"")/SUMIFS($Y$7:$Y$61,$C$7:$C$61,M$71,$Q$7:$Q$61,""Yes"")))*100,0.01))"),"Tom tävling - lägg till grenar!")</f>
        <v>Tom tävling - lägg till grenar!</v>
      </c>
      <c r="N72" s="99" t="str">
        <f>IFERROR(__xludf.DUMMYFUNCTION("IFS(SUM($L$7:$L$61)=$L$29+$L$52+$L$57,""Tom tävling - lägg till grenar!"",
IFERROR(FILTER($T$7:$T$61,$T$7:$T$61=""Fyll i R-kolumnen"")=""Fyll i R-kolumnen"")=TRUE,""Fyll först i kolumn R"",
IFERROR(FILTER($T$7:$T$61,$T$7:$T$61=""Fyll i S-kolumnen"")=""Fyl"&amp;"l i S-kolumnen"")=TRUE,""Fyll först i kolumn S"",
OR(N$71=""3x3 BLD"",N$71=""4x4 BLD"",N$71=""5x5 BLD"",N$71=""4x4 / 5x5 BLD""),"""",
SUMIFS($T$7:$T$61,$C$7:$C$61,N$71)=0,"""",
SUMIFS($T$7:$T$61,$C$7:$C$61,N$71,$Q$7:$Q$61,""Yes"")=0,"""",
SUMIFS($T$7:$T$6"&amp;"1,$C$7:$C$61,N$71,$Q$7:$Q$61,""Yes"")/SUMIFS($Y$7:$Y$61,$C$7:$C$61,N$71,$Q$7:$Q$61,""Yes"")&gt;=1,
MROUND((SUMIFS($T$7:$T$61,$C$7:$C$61,N$71,$Q$7:$Q$61,""Yes"")/SUMIFS($Y$7:$Y$61,$C$7:$C$61,N$71,$Q$7:$Q$61,""Yes"")-1)*100,0.01),
TRUE,-MROUND((1-(SUMIFS($T$7:"&amp;"$T$61,$C$7:$C$61,N$71,$Q$7:$Q$61,""Yes"")/SUMIFS($Y$7:$Y$61,$C$7:$C$61,N$71,$Q$7:$Q$61,""Yes"")))*100,0.01))"),"Tom tävling - lägg till grenar!")</f>
        <v>Tom tävling - lägg till grenar!</v>
      </c>
      <c r="O72" s="99" t="str">
        <f>IFERROR(__xludf.DUMMYFUNCTION("IFS(SUM($L$7:$L$61)=$L$29+$L$52+$L$57,""Tom tävling - lägg till grenar!"",
IFERROR(FILTER($T$7:$T$61,$T$7:$T$61=""Fyll i R-kolumnen"")=""Fyll i R-kolumnen"")=TRUE,""Fyll först i kolumn R"",
IFERROR(FILTER($T$7:$T$61,$T$7:$T$61=""Fyll i S-kolumnen"")=""Fyl"&amp;"l i S-kolumnen"")=TRUE,""Fyll först i kolumn S"",
OR(O$71=""3x3 BLD"",O$71=""4x4 BLD"",O$71=""5x5 BLD"",O$71=""4x4 / 5x5 BLD""),"""",
SUMIFS($T$7:$T$61,$C$7:$C$61,O$71)=0,"""",
SUMIFS($T$7:$T$61,$C$7:$C$61,O$71,$Q$7:$Q$61,""Yes"")=0,"""",
SUMIFS($T$7:$T$6"&amp;"1,$C$7:$C$61,O$71,$Q$7:$Q$61,""Yes"")/SUMIFS($Y$7:$Y$61,$C$7:$C$61,O$71,$Q$7:$Q$61,""Yes"")&gt;=1,
MROUND((SUMIFS($T$7:$T$61,$C$7:$C$61,O$71,$Q$7:$Q$61,""Yes"")/SUMIFS($Y$7:$Y$61,$C$7:$C$61,O$71,$Q$7:$Q$61,""Yes"")-1)*100,0.01),
TRUE,-MROUND((1-(SUMIFS($T$7:"&amp;"$T$61,$C$7:$C$61,O$71,$Q$7:$Q$61,""Yes"")/SUMIFS($Y$7:$Y$61,$C$7:$C$61,O$71,$Q$7:$Q$61,""Yes"")))*100,0.01))"),"Tom tävling - lägg till grenar!")</f>
        <v>Tom tävling - lägg till grenar!</v>
      </c>
      <c r="P72" s="99" t="str">
        <f>IFERROR(__xludf.DUMMYFUNCTION("IFS(SUM($L$7:$L$61)=$L$29+$L$52+$L$57,""Tom tävling - lägg till grenar!"",
IFERROR(FILTER($T$7:$T$61,$T$7:$T$61=""Fyll i R-kolumnen"")=""Fyll i R-kolumnen"")=TRUE,""Fyll först i kolumn R"",
IFERROR(FILTER($T$7:$T$61,$T$7:$T$61=""Fyll i S-kolumnen"")=""Fyl"&amp;"l i S-kolumnen"")=TRUE,""Fyll först i kolumn S"",
OR(P$71=""3x3 BLD"",P$71=""4x4 BLD"",P$71=""5x5 BLD"",P$71=""4x4 / 5x5 BLD""),"""",
SUMIFS($T$7:$T$61,$C$7:$C$61,P$71)=0,"""",
SUMIFS($T$7:$T$61,$C$7:$C$61,P$71,$Q$7:$Q$61,""Yes"")=0,"""",
SUMIFS($T$7:$T$6"&amp;"1,$C$7:$C$61,P$71,$Q$7:$Q$61,""Yes"")/SUMIFS($Y$7:$Y$61,$C$7:$C$61,P$71,$Q$7:$Q$61,""Yes"")&gt;=1,
MROUND((SUMIFS($T$7:$T$61,$C$7:$C$61,P$71,$Q$7:$Q$61,""Yes"")/SUMIFS($Y$7:$Y$61,$C$7:$C$61,P$71,$Q$7:$Q$61,""Yes"")-1)*100,0.01),
TRUE,-MROUND((1-(SUMIFS($T$7:"&amp;"$T$61,$C$7:$C$61,P$71,$Q$7:$Q$61,""Yes"")/SUMIFS($Y$7:$Y$61,$C$7:$C$61,P$71,$Q$7:$Q$61,""Yes"")))*100,0.01))"),"Tom tävling - lägg till grenar!")</f>
        <v>Tom tävling - lägg till grenar!</v>
      </c>
      <c r="Q72" s="99" t="str">
        <f>IFERROR(__xludf.DUMMYFUNCTION("IFS(SUM($L$7:$L$61)=$L$29+$L$52+$L$57,""Tom tävling - lägg till grenar!"",
IFERROR(FILTER($T$7:$T$61,$T$7:$T$61=""Fyll i R-kolumnen"")=""Fyll i R-kolumnen"")=TRUE,""Fyll först i kolumn R"",
IFERROR(FILTER($T$7:$T$61,$T$7:$T$61=""Fyll i S-kolumnen"")=""Fyl"&amp;"l i S-kolumnen"")=TRUE,""Fyll först i kolumn S"",
OR(Q$71=""3x3 BLD"",Q$71=""4x4 BLD"",Q$71=""5x5 BLD"",Q$71=""4x4 / 5x5 BLD""),"""",
SUMIFS($T$7:$T$61,$C$7:$C$61,Q$71)=0,"""",
SUMIFS($T$7:$T$61,$C$7:$C$61,Q$71,$Q$7:$Q$61,""Yes"")=0,"""",
SUMIFS($T$7:$T$6"&amp;"1,$C$7:$C$61,Q$71,$Q$7:$Q$61,""Yes"")/SUMIFS($Y$7:$Y$61,$C$7:$C$61,Q$71,$Q$7:$Q$61,""Yes"")&gt;=1,
MROUND((SUMIFS($T$7:$T$61,$C$7:$C$61,Q$71,$Q$7:$Q$61,""Yes"")/SUMIFS($Y$7:$Y$61,$C$7:$C$61,Q$71,$Q$7:$Q$61,""Yes"")-1)*100,0.01),
TRUE,-MROUND((1-(SUMIFS($T$7:"&amp;"$T$61,$C$7:$C$61,Q$71,$Q$7:$Q$61,""Yes"")/SUMIFS($Y$7:$Y$61,$C$7:$C$61,Q$71,$Q$7:$Q$61,""Yes"")))*100,0.01))"),"Tom tävling - lägg till grenar!")</f>
        <v>Tom tävling - lägg till grenar!</v>
      </c>
      <c r="R72" s="99" t="str">
        <f>IFERROR(__xludf.DUMMYFUNCTION("IFS(SUM($L$7:$L$61)=$L$29+$L$52+$L$57,""Tom tävling - lägg till grenar!"",
IFERROR(FILTER($T$7:$T$61,$T$7:$T$61=""Fyll i R-kolumnen"")=""Fyll i R-kolumnen"")=TRUE,""Fyll först i kolumn R"",
IFERROR(FILTER($T$7:$T$61,$T$7:$T$61=""Fyll i S-kolumnen"")=""Fyl"&amp;"l i S-kolumnen"")=TRUE,""Fyll först i kolumn S"",
OR(R$71=""3x3 BLD"",R$71=""4x4 BLD"",R$71=""5x5 BLD"",R$71=""4x4 / 5x5 BLD""),"""",
SUMIFS($T$7:$T$61,$C$7:$C$61,R$71)=0,"""",
SUMIFS($T$7:$T$61,$C$7:$C$61,R$71,$Q$7:$Q$61,""Yes"")=0,"""",
SUMIFS($T$7:$T$6"&amp;"1,$C$7:$C$61,R$71,$Q$7:$Q$61,""Yes"")/SUMIFS($Y$7:$Y$61,$C$7:$C$61,R$71,$Q$7:$Q$61,""Yes"")&gt;=1,
MROUND((SUMIFS($T$7:$T$61,$C$7:$C$61,R$71,$Q$7:$Q$61,""Yes"")/SUMIFS($Y$7:$Y$61,$C$7:$C$61,R$71,$Q$7:$Q$61,""Yes"")-1)*100,0.01),
TRUE,-MROUND((1-(SUMIFS($T$7:"&amp;"$T$61,$C$7:$C$61,R$71,$Q$7:$Q$61,""Yes"")/SUMIFS($Y$7:$Y$61,$C$7:$C$61,R$71,$Q$7:$Q$61,""Yes"")))*100,0.01))"),"Tom tävling - lägg till grenar!")</f>
        <v>Tom tävling - lägg till grenar!</v>
      </c>
      <c r="S72" s="99" t="str">
        <f>IFERROR(__xludf.DUMMYFUNCTION("IFS(SUM($L$7:$L$61)=$L$29+$L$52+$L$57,""Tom tävling - lägg till grenar!"",
IFERROR(FILTER($T$7:$T$61,$T$7:$T$61=""Fyll i R-kolumnen"")=""Fyll i R-kolumnen"")=TRUE,""Fyll först i kolumn R"",
IFERROR(FILTER($T$7:$T$61,$T$7:$T$61=""Fyll i S-kolumnen"")=""Fyl"&amp;"l i S-kolumnen"")=TRUE,""Fyll först i kolumn S"",
OR(S$71=""3x3 BLD"",S$71=""4x4 BLD"",S$71=""5x5 BLD"",S$71=""4x4 / 5x5 BLD""),"""",
SUMIFS($T$7:$T$61,$C$7:$C$61,S$71)=0,"""",
SUMIFS($T$7:$T$61,$C$7:$C$61,S$71,$Q$7:$Q$61,""Yes"")=0,"""",
SUMIFS($T$7:$T$6"&amp;"1,$C$7:$C$61,S$71,$Q$7:$Q$61,""Yes"")/SUMIFS($Y$7:$Y$61,$C$7:$C$61,S$71,$Q$7:$Q$61,""Yes"")&gt;=1,
MROUND((SUMIFS($T$7:$T$61,$C$7:$C$61,S$71,$Q$7:$Q$61,""Yes"")/SUMIFS($Y$7:$Y$61,$C$7:$C$61,S$71,$Q$7:$Q$61,""Yes"")-1)*100,0.01),
TRUE,-MROUND((1-(SUMIFS($T$7:"&amp;"$T$61,$C$7:$C$61,S$71,$Q$7:$Q$61,""Yes"")/SUMIFS($Y$7:$Y$61,$C$7:$C$61,S$71,$Q$7:$Q$61,""Yes"")))*100,0.01))"),"Tom tävling - lägg till grenar!")</f>
        <v>Tom tävling - lägg till grenar!</v>
      </c>
      <c r="T72" s="99" t="str">
        <f>IFERROR(__xludf.DUMMYFUNCTION("IFS(SUM($L$7:$L$61)=$L$29+$L$52+$L$57,""Tom tävling - lägg till grenar!"",
IFERROR(FILTER($T$7:$T$61,$T$7:$T$61=""Fyll i R-kolumnen"")=""Fyll i R-kolumnen"")=TRUE,""Fyll först i kolumn R"",
IFERROR(FILTER($T$7:$T$61,$T$7:$T$61=""Fyll i S-kolumnen"")=""Fyl"&amp;"l i S-kolumnen"")=TRUE,""Fyll först i kolumn S"",
OR(T$71=""3x3 BLD"",T$71=""4x4 BLD"",T$71=""5x5 BLD"",T$71=""4x4 / 5x5 BLD""),"""",
SUMIFS($T$7:$T$61,$C$7:$C$61,T$71)=0,"""",
SUMIFS($T$7:$T$61,$C$7:$C$61,T$71,$Q$7:$Q$61,""Yes"")=0,"""",
SUMIFS($T$7:$T$6"&amp;"1,$C$7:$C$61,T$71,$Q$7:$Q$61,""Yes"")/SUMIFS($Y$7:$Y$61,$C$7:$C$61,T$71,$Q$7:$Q$61,""Yes"")&gt;=1,
MROUND((SUMIFS($T$7:$T$61,$C$7:$C$61,T$71,$Q$7:$Q$61,""Yes"")/SUMIFS($Y$7:$Y$61,$C$7:$C$61,T$71,$Q$7:$Q$61,""Yes"")-1)*100,0.01),
TRUE,-MROUND((1-(SUMIFS($T$7:"&amp;"$T$61,$C$7:$C$61,T$71,$Q$7:$Q$61,""Yes"")/SUMIFS($Y$7:$Y$61,$C$7:$C$61,T$71,$Q$7:$Q$61,""Yes"")))*100,0.01))"),"Tom tävling - lägg till grenar!")</f>
        <v>Tom tävling - lägg till grenar!</v>
      </c>
      <c r="U72" s="99" t="str">
        <f>IFERROR(__xludf.DUMMYFUNCTION("IFS(SUM($L$7:$L$61)=$L$29+$L$52+$L$57,""Tom tävling - lägg till grenar!"",
IFERROR(FILTER($T$7:$T$61,$T$7:$T$61=""Fyll i R-kolumnen"")=""Fyll i R-kolumnen"")=TRUE,""Fyll först i kolumn R"",
IFERROR(FILTER($T$7:$T$61,$T$7:$T$61=""Fyll i S-kolumnen"")=""Fyl"&amp;"l i S-kolumnen"")=TRUE,""Fyll först i kolumn S"",
OR(U$71=""3x3 BLD"",U$71=""4x4 BLD"",U$71=""5x5 BLD"",U$71=""4x4 / 5x5 BLD""),"""",
SUMIFS($T$7:$T$61,$C$7:$C$61,U$71)=0,"""",
SUMIFS($T$7:$T$61,$C$7:$C$61,U$71,$Q$7:$Q$61,""Yes"")=0,"""",
SUMIFS($T$7:$T$6"&amp;"1,$C$7:$C$61,U$71,$Q$7:$Q$61,""Yes"")/SUMIFS($Y$7:$Y$61,$C$7:$C$61,U$71,$Q$7:$Q$61,""Yes"")&gt;=1,
MROUND((SUMIFS($T$7:$T$61,$C$7:$C$61,U$71,$Q$7:$Q$61,""Yes"")/SUMIFS($Y$7:$Y$61,$C$7:$C$61,U$71,$Q$7:$Q$61,""Yes"")-1)*100,0.01),
TRUE,-MROUND((1-(SUMIFS($T$7:"&amp;"$T$61,$C$7:$C$61,U$71,$Q$7:$Q$61,""Yes"")/SUMIFS($Y$7:$Y$61,$C$7:$C$61,U$71,$Q$7:$Q$61,""Yes"")))*100,0.01))"),"Tom tävling - lägg till grenar!")</f>
        <v>Tom tävling - lägg till grenar!</v>
      </c>
      <c r="V72" s="94"/>
      <c r="W72" s="94"/>
      <c r="X72" s="94"/>
      <c r="Y72" s="94"/>
      <c r="Z72" s="94"/>
      <c r="AA72" s="94"/>
      <c r="AB72" s="94"/>
    </row>
    <row r="73">
      <c r="A73" s="90" t="s">
        <v>111</v>
      </c>
      <c r="B73" s="24"/>
      <c r="C73" s="100" t="str">
        <f>IFERROR(__xludf.DUMMYFUNCTION("IF(OR(C$72="""",C$72=""Tom tävling - lägg till grenar!"",C$72=""Fyll först i kolumn R"",C$72=""Fyll först i kolumn S""),"""", FILTER(Info!$C$2:$C81,Info!$A$2:$A81=C$71)*SUMIFS($T$7:$T$61,$C$7:$C$61,C$71,$Q$7:$Q$61,""Yes"")/SUMIFS($Y$7:$Y$61,$C$7:$C$61,C$7"&amp;"1,$Q$7:$Q$61,""Yes""))"),"")</f>
        <v/>
      </c>
      <c r="D73" s="100" t="str">
        <f>IFERROR(__xludf.DUMMYFUNCTION("IF(OR(D$72="""",D$72=""Tom tävling - lägg till grenar!"",D$72=""Fyll först i kolumn R"",D$72=""Fyll först i kolumn S""),"""", FILTER(Info!$C$2:$C81,Info!$A$2:$A81=D$71)*SUMIFS($T$7:$T$61,$C$7:$C$61,D$71,$Q$7:$Q$61,""Yes"")/SUMIFS($Y$7:$Y$61,$C$7:$C$61,D$7"&amp;"1,$Q$7:$Q$61,""Yes""))"),"")</f>
        <v/>
      </c>
      <c r="E73" s="100" t="str">
        <f>IFERROR(__xludf.DUMMYFUNCTION("IF(OR(E$72="""",E$72=""Tom tävling - lägg till grenar!"",E$72=""Fyll först i kolumn R"",E$72=""Fyll först i kolumn S""),"""", FILTER(Info!$C$2:$C81,Info!$A$2:$A81=E$71)*SUMIFS($T$7:$T$61,$C$7:$C$61,E$71,$Q$7:$Q$61,""Yes"")/SUMIFS($Y$7:$Y$61,$C$7:$C$61,E$7"&amp;"1,$Q$7:$Q$61,""Yes""))"),"")</f>
        <v/>
      </c>
      <c r="F73" s="100" t="str">
        <f>IFERROR(__xludf.DUMMYFUNCTION("IF(OR(F$72="""",F$72=""Tom tävling - lägg till grenar!"",F$72=""Fyll först i kolumn R"",F$72=""Fyll först i kolumn S""),"""", FILTER(Info!$C$2:$C81,Info!$A$2:$A81=F$71)*SUMIFS($T$7:$T$61,$C$7:$C$61,F$71,$Q$7:$Q$61,""Yes"")/SUMIFS($Y$7:$Y$61,$C$7:$C$61,F$7"&amp;"1,$Q$7:$Q$61,""Yes""))"),"")</f>
        <v/>
      </c>
      <c r="G73" s="100" t="str">
        <f>IFERROR(__xludf.DUMMYFUNCTION("IF(OR(G$72="""",G$72=""Tom tävling - lägg till grenar!"",G$72=""Fyll först i kolumn R"",G$72=""Fyll först i kolumn S""),"""", FILTER(Info!$C$2:$C81,Info!$A$2:$A81=G$71)*SUMIFS($T$7:$T$61,$C$7:$C$61,G$71,$Q$7:$Q$61,""Yes"")/SUMIFS($Y$7:$Y$61,$C$7:$C$61,G$7"&amp;"1,$Q$7:$Q$61,""Yes""))"),"")</f>
        <v/>
      </c>
      <c r="H73" s="100" t="str">
        <f>IFERROR(__xludf.DUMMYFUNCTION("IF(OR(H$72="""",H$72=""Tom tävling - lägg till grenar!"",H$72=""Fyll först i kolumn R"",H$72=""Fyll först i kolumn S""),"""", FILTER(Info!$C$2:$C81,Info!$A$2:$A81=H$71)*SUMIFS($T$7:$T$61,$C$7:$C$61,H$71,$Q$7:$Q$61,""Yes"")/SUMIFS($Y$7:$Y$61,$C$7:$C$61,H$7"&amp;"1,$Q$7:$Q$61,""Yes""))"),"")</f>
        <v/>
      </c>
      <c r="I73" s="100" t="str">
        <f>IFERROR(__xludf.DUMMYFUNCTION("IF(OR(I$72="""",I$72=""Tom tävling - lägg till grenar!"",I$72=""Fyll först i kolumn R"",I$72=""Fyll först i kolumn S""),"""", FILTER(Info!$C$2:$C81,Info!$A$2:$A81=I$71)*SUMIFS($T$7:$T$61,$C$7:$C$61,I$71,$Q$7:$Q$61,""Yes"")/SUMIFS($Y$7:$Y$61,$C$7:$C$61,I$7"&amp;"1,$Q$7:$Q$61,""Yes""))"),"")</f>
        <v/>
      </c>
      <c r="J73" s="100" t="str">
        <f>IFERROR(__xludf.DUMMYFUNCTION("IF(OR(J$72="""",J$72=""Tom tävling - lägg till grenar!"",J$72=""Fyll först i kolumn R"",J$72=""Fyll först i kolumn S""),"""", FILTER(Info!$C$2:$C81,Info!$A$2:$A81=J$71)*SUMIFS($T$7:$T$61,$C$7:$C$61,J$71,$Q$7:$Q$61,""Yes"")/SUMIFS($Y$7:$Y$61,$C$7:$C$61,J$7"&amp;"1,$Q$7:$Q$61,""Yes""))"),"")</f>
        <v/>
      </c>
      <c r="K73" s="100" t="str">
        <f>IFERROR(__xludf.DUMMYFUNCTION("IF(OR(K$72="""",K$72=""Tom tävling - lägg till grenar!"",K$72=""Fyll först i kolumn R"",K$72=""Fyll först i kolumn S""),"""", FILTER(Info!$C$2:$C81,Info!$A$2:$A81=K$71)*SUMIFS($T$7:$T$61,$C$7:$C$61,K$71,$Q$7:$Q$61,""Yes"")/SUMIFS($Y$7:$Y$61,$C$7:$C$61,K$7"&amp;"1,$Q$7:$Q$61,""Yes""))"),"")</f>
        <v/>
      </c>
      <c r="L73" s="100" t="str">
        <f>IFERROR(__xludf.DUMMYFUNCTION("IF(OR(L$72="""",L$72=""Tom tävling - lägg till grenar!"",L$72=""Fyll först i kolumn R"",L$72=""Fyll först i kolumn S""),"""", FILTER(Info!$C$2:$C81,Info!$A$2:$A81=L$71)*SUMIFS($T$7:$T$61,$C$7:$C$61,L$71,$Q$7:$Q$61,""Yes"")/SUMIFS($Y$7:$Y$61,$C$7:$C$61,L$7"&amp;"1,$Q$7:$Q$61,""Yes""))"),"")</f>
        <v/>
      </c>
      <c r="M73" s="100" t="str">
        <f>IFERROR(__xludf.DUMMYFUNCTION("IF(OR(M$72="""",M$72=""Tom tävling - lägg till grenar!"",M$72=""Fyll först i kolumn R"",M$72=""Fyll först i kolumn S""),"""", FILTER(Info!$C$2:$C81,Info!$A$2:$A81=M$71)*SUMIFS($T$7:$T$61,$C$7:$C$61,M$71,$Q$7:$Q$61,""Yes"")/SUMIFS($Y$7:$Y$61,$C$7:$C$61,M$7"&amp;"1,$Q$7:$Q$61,""Yes""))"),"")</f>
        <v/>
      </c>
      <c r="N73" s="100" t="str">
        <f>IFERROR(__xludf.DUMMYFUNCTION("IF(OR(N$72="""",N$72=""Tom tävling - lägg till grenar!"",N$72=""Fyll först i kolumn R"",N$72=""Fyll först i kolumn S""),"""", FILTER(Info!$C$2:$C81,Info!$A$2:$A81=N$71)*SUMIFS($T$7:$T$61,$C$7:$C$61,N$71,$Q$7:$Q$61,""Yes"")/SUMIFS($Y$7:$Y$61,$C$7:$C$61,N$7"&amp;"1,$Q$7:$Q$61,""Yes""))"),"")</f>
        <v/>
      </c>
      <c r="O73" s="100" t="str">
        <f>IFERROR(__xludf.DUMMYFUNCTION("IF(OR(O$72="""",O$72=""Tom tävling - lägg till grenar!"",O$72=""Fyll först i kolumn R"",O$72=""Fyll först i kolumn S""),"""", FILTER(Info!$C$2:$C81,Info!$A$2:$A81=O$71)*SUMIFS($T$7:$T$61,$C$7:$C$61,O$71,$Q$7:$Q$61,""Yes"")/SUMIFS($Y$7:$Y$61,$C$7:$C$61,O$7"&amp;"1,$Q$7:$Q$61,""Yes""))"),"")</f>
        <v/>
      </c>
      <c r="P73" s="100" t="str">
        <f>IFERROR(__xludf.DUMMYFUNCTION("IF(OR(P$72="""",P$72=""Tom tävling - lägg till grenar!"",P$72=""Fyll först i kolumn R"",P$72=""Fyll först i kolumn S""),"""", FILTER(Info!$C$2:$C81,Info!$A$2:$A81=P$71)*SUMIFS($T$7:$T$61,$C$7:$C$61,P$71,$Q$7:$Q$61,""Yes"")/SUMIFS($Y$7:$Y$61,$C$7:$C$61,P$7"&amp;"1,$Q$7:$Q$61,""Yes""))"),"")</f>
        <v/>
      </c>
      <c r="Q73" s="100" t="str">
        <f>IFERROR(__xludf.DUMMYFUNCTION("IF(OR(Q$72="""",Q$72=""Tom tävling - lägg till grenar!"",Q$72=""Fyll först i kolumn R"",Q$72=""Fyll först i kolumn S""),"""", FILTER(Info!$C$2:$C81,Info!$A$2:$A81=Q$71)*SUMIFS($T$7:$T$61,$C$7:$C$61,Q$71,$Q$7:$Q$61,""Yes"")/SUMIFS($Y$7:$Y$61,$C$7:$C$61,Q$7"&amp;"1,$Q$7:$Q$61,""Yes""))"),"")</f>
        <v/>
      </c>
      <c r="R73" s="100" t="str">
        <f>IFERROR(__xludf.DUMMYFUNCTION("IF(OR(R$72="""",R$72=""Tom tävling - lägg till grenar!"",R$72=""Fyll först i kolumn R"",R$72=""Fyll först i kolumn S""),"""", FILTER(Info!$C$2:$C81,Info!$A$2:$A81=R$71)*SUMIFS($T$7:$T$61,$C$7:$C$61,R$71,$Q$7:$Q$61,""Yes"")/SUMIFS($Y$7:$Y$61,$C$7:$C$61,R$7"&amp;"1,$Q$7:$Q$61,""Yes""))"),"")</f>
        <v/>
      </c>
      <c r="S73" s="100" t="str">
        <f>IFERROR(__xludf.DUMMYFUNCTION("IF(OR(S$72="""",S$72=""Tom tävling - lägg till grenar!"",S$72=""Fyll först i kolumn R"",S$72=""Fyll först i kolumn S""),"""", FILTER(Info!$C$2:$C81,Info!$A$2:$A81=S$71)*SUMIFS($T$7:$T$61,$C$7:$C$61,S$71,$Q$7:$Q$61,""Yes"")/SUMIFS($Y$7:$Y$61,$C$7:$C$61,S$7"&amp;"1,$Q$7:$Q$61,""Yes""))"),"")</f>
        <v/>
      </c>
      <c r="T73" s="100" t="str">
        <f>IFERROR(__xludf.DUMMYFUNCTION("IF(OR(T$72="""",T$72=""Tom tävling - lägg till grenar!"",T$72=""Fyll först i kolumn R"",T$72=""Fyll först i kolumn S""),"""", FILTER(Info!$C$2:$C81,Info!$A$2:$A81=T$71)*SUMIFS($T$7:$T$61,$C$7:$C$61,T$71,$Q$7:$Q$61,""Yes"")/SUMIFS($Y$7:$Y$61,$C$7:$C$61,T$7"&amp;"1,$Q$7:$Q$61,""Yes""))"),"")</f>
        <v/>
      </c>
      <c r="U73" s="100" t="str">
        <f>IFERROR(__xludf.DUMMYFUNCTION("IF(OR(U$72="""",U$72=""Tom tävling - lägg till grenar!"",U$72=""Fyll först i kolumn R"",U$72=""Fyll först i kolumn S""),"""", FILTER(Info!$C$2:$C81,Info!$A$2:$A81=U$71)*SUMIFS($T$7:$T$61,$C$7:$C$61,U$71,$Q$7:$Q$61,""Yes"")/SUMIFS($Y$7:$Y$61,$C$7:$C$61,U$7"&amp;"1,$Q$7:$Q$61,""Yes""))"),"")</f>
        <v/>
      </c>
      <c r="V73" s="94"/>
      <c r="W73" s="94"/>
      <c r="X73" s="94"/>
      <c r="Y73" s="94"/>
      <c r="Z73" s="94"/>
      <c r="AA73" s="94"/>
      <c r="AB73" s="94"/>
    </row>
    <row r="74">
      <c r="A74" s="90" t="s">
        <v>112</v>
      </c>
      <c r="B74" s="24"/>
      <c r="C74" s="99" t="str">
        <f>IFERROR(__xludf.DUMMYFUNCTION("IFS(SUM($L$7:$L$61)=$L$29+$L$52+$L$57,""Tom tävling - lägg till grenar!"",
IFERROR(FILTER($T$7:$T$61,$T$7:$T$61=""Fyll i R-kolumnen"")=""Fyll i R-kolumnen"")=TRUE,""Fyll först i kolumn R"",
IFERROR(FILTER($T$7:$T$61,$T$7:$T$61=""Fyll i S-kolumnen"")=""Fyl"&amp;"l i S-kolumnen"")=TRUE,""Fyll först i kolumn S"",
OR(C$71=""3x3 BLD"",C$71=""4x4 BLD"",C$71=""5x5 BLD"",C$71=""4x4 / 5x5 BLD""),"""",
SUMIFS($T$7:$T$61,$C$7:$C$61,C$71)=0,"""",
SUMIFS($T$7:$T$61,$C$7:$C$61,C$71,$Q$7:$Q$61,""No"")=0,"""",
SUMIFS($T$7:$T$61"&amp;",$C$7:$C$61,C$71,$Q$7:$Q$61,""No"")/SUMIFS($Y$7:$Y$61,$C$7:$C$61,C$71,$Q$7:$Q$61,""No"")&gt;=1,
MROUND((SUMIFS($T$7:$T$61,$C$7:$C$61,C$71,$Q$7:$Q$61,""No"")/SUMIFS($Y$7:$Y$61,$C$7:$C$61,C$71,$Q$7:$Q$61,""No"")-1)*100,0.01),
TRUE,-MROUND((1-(SUMIFS($T$7:$T$61"&amp;",$C$7:$C$61,C$71,$Q$7:$Q$61,""No"")/SUMIFS($Y$7:$Y$61,$C$7:$C$61,C$71,$Q$7:$Q$61,""No"")))*100,0.01))"),"Tom tävling - lägg till grenar!")</f>
        <v>Tom tävling - lägg till grenar!</v>
      </c>
      <c r="D74" s="99" t="str">
        <f>IFERROR(__xludf.DUMMYFUNCTION("IFS(SUM($L$7:$L$61)=$L$29+$L$52+$L$57,""Tom tävling - lägg till grenar!"",
IFERROR(FILTER($T$7:$T$61,$T$7:$T$61=""Fyll i R-kolumnen"")=""Fyll i R-kolumnen"")=TRUE,""Fyll först i kolumn R"",
IFERROR(FILTER($T$7:$T$61,$T$7:$T$61=""Fyll i S-kolumnen"")=""Fyl"&amp;"l i S-kolumnen"")=TRUE,""Fyll först i kolumn S"",
OR(D$71=""3x3 BLD"",D$71=""4x4 BLD"",D$71=""5x5 BLD"",D$71=""4x4 / 5x5 BLD""),"""",
SUMIFS($T$7:$T$61,$C$7:$C$61,D$71)=0,"""",
SUMIFS($T$7:$T$61,$C$7:$C$61,D$71,$Q$7:$Q$61,""No"")=0,"""",
SUMIFS($T$7:$T$61"&amp;",$C$7:$C$61,D$71,$Q$7:$Q$61,""No"")/SUMIFS($Y$7:$Y$61,$C$7:$C$61,D$71,$Q$7:$Q$61,""No"")&gt;=1,
MROUND((SUMIFS($T$7:$T$61,$C$7:$C$61,D$71,$Q$7:$Q$61,""No"")/SUMIFS($Y$7:$Y$61,$C$7:$C$61,D$71,$Q$7:$Q$61,""No"")-1)*100,0.01),
TRUE,-MROUND((1-(SUMIFS($T$7:$T$61"&amp;",$C$7:$C$61,D$71,$Q$7:$Q$61,""No"")/SUMIFS($Y$7:$Y$61,$C$7:$C$61,D$71,$Q$7:$Q$61,""No"")))*100,0.01))"),"Tom tävling - lägg till grenar!")</f>
        <v>Tom tävling - lägg till grenar!</v>
      </c>
      <c r="E74" s="99" t="str">
        <f>IFERROR(__xludf.DUMMYFUNCTION("IFS(SUM($L$7:$L$61)=$L$29+$L$52+$L$57,""Tom tävling - lägg till grenar!"",
IFERROR(FILTER($T$7:$T$61,$T$7:$T$61=""Fyll i R-kolumnen"")=""Fyll i R-kolumnen"")=TRUE,""Fyll först i kolumn R"",
IFERROR(FILTER($T$7:$T$61,$T$7:$T$61=""Fyll i S-kolumnen"")=""Fyl"&amp;"l i S-kolumnen"")=TRUE,""Fyll först i kolumn S"",
OR(E$71=""3x3 BLD"",E$71=""4x4 BLD"",E$71=""5x5 BLD"",E$71=""4x4 / 5x5 BLD""),"""",
SUMIFS($T$7:$T$61,$C$7:$C$61,E$71)=0,"""",
SUMIFS($T$7:$T$61,$C$7:$C$61,E$71,$Q$7:$Q$61,""No"")=0,"""",
SUMIFS($T$7:$T$61"&amp;",$C$7:$C$61,E$71,$Q$7:$Q$61,""No"")/SUMIFS($Y$7:$Y$61,$C$7:$C$61,E$71,$Q$7:$Q$61,""No"")&gt;=1,
MROUND((SUMIFS($T$7:$T$61,$C$7:$C$61,E$71,$Q$7:$Q$61,""No"")/SUMIFS($Y$7:$Y$61,$C$7:$C$61,E$71,$Q$7:$Q$61,""No"")-1)*100,0.01),
TRUE,-MROUND((1-(SUMIFS($T$7:$T$61"&amp;",$C$7:$C$61,E$71,$Q$7:$Q$61,""No"")/SUMIFS($Y$7:$Y$61,$C$7:$C$61,E$71,$Q$7:$Q$61,""No"")))*100,0.01))"),"Tom tävling - lägg till grenar!")</f>
        <v>Tom tävling - lägg till grenar!</v>
      </c>
      <c r="F74" s="99" t="str">
        <f>IFERROR(__xludf.DUMMYFUNCTION("IFS(SUM($L$7:$L$61)=$L$29+$L$52+$L$57,""Tom tävling - lägg till grenar!"",
IFERROR(FILTER($T$7:$T$61,$T$7:$T$61=""Fyll i R-kolumnen"")=""Fyll i R-kolumnen"")=TRUE,""Fyll först i kolumn R"",
IFERROR(FILTER($T$7:$T$61,$T$7:$T$61=""Fyll i S-kolumnen"")=""Fyl"&amp;"l i S-kolumnen"")=TRUE,""Fyll först i kolumn S"",
OR(F$71=""3x3 BLD"",F$71=""4x4 BLD"",F$71=""5x5 BLD"",F$71=""4x4 / 5x5 BLD""),"""",
SUMIFS($T$7:$T$61,$C$7:$C$61,F$71)=0,"""",
SUMIFS($T$7:$T$61,$C$7:$C$61,F$71,$Q$7:$Q$61,""No"")=0,"""",
SUMIFS($T$7:$T$61"&amp;",$C$7:$C$61,F$71,$Q$7:$Q$61,""No"")/SUMIFS($Y$7:$Y$61,$C$7:$C$61,F$71,$Q$7:$Q$61,""No"")&gt;=1,
MROUND((SUMIFS($T$7:$T$61,$C$7:$C$61,F$71,$Q$7:$Q$61,""No"")/SUMIFS($Y$7:$Y$61,$C$7:$C$61,F$71,$Q$7:$Q$61,""No"")-1)*100,0.01),
TRUE,-MROUND((1-(SUMIFS($T$7:$T$61"&amp;",$C$7:$C$61,F$71,$Q$7:$Q$61,""No"")/SUMIFS($Y$7:$Y$61,$C$7:$C$61,F$71,$Q$7:$Q$61,""No"")))*100,0.01))"),"Tom tävling - lägg till grenar!")</f>
        <v>Tom tävling - lägg till grenar!</v>
      </c>
      <c r="G74" s="99" t="str">
        <f>IFERROR(__xludf.DUMMYFUNCTION("IFS(SUM($L$7:$L$61)=$L$29+$L$52+$L$57,""Tom tävling - lägg till grenar!"",
IFERROR(FILTER($T$7:$T$61,$T$7:$T$61=""Fyll i R-kolumnen"")=""Fyll i R-kolumnen"")=TRUE,""Fyll först i kolumn R"",
IFERROR(FILTER($T$7:$T$61,$T$7:$T$61=""Fyll i S-kolumnen"")=""Fyl"&amp;"l i S-kolumnen"")=TRUE,""Fyll först i kolumn S"",
OR(G$71=""3x3 BLD"",G$71=""4x4 BLD"",G$71=""5x5 BLD"",G$71=""4x4 / 5x5 BLD""),"""",
SUMIFS($T$7:$T$61,$C$7:$C$61,G$71)=0,"""",
SUMIFS($T$7:$T$61,$C$7:$C$61,G$71,$Q$7:$Q$61,""No"")=0,"""",
SUMIFS($T$7:$T$61"&amp;",$C$7:$C$61,G$71,$Q$7:$Q$61,""No"")/SUMIFS($Y$7:$Y$61,$C$7:$C$61,G$71,$Q$7:$Q$61,""No"")&gt;=1,
MROUND((SUMIFS($T$7:$T$61,$C$7:$C$61,G$71,$Q$7:$Q$61,""No"")/SUMIFS($Y$7:$Y$61,$C$7:$C$61,G$71,$Q$7:$Q$61,""No"")-1)*100,0.01),
TRUE,-MROUND((1-(SUMIFS($T$7:$T$61"&amp;",$C$7:$C$61,G$71,$Q$7:$Q$61,""No"")/SUMIFS($Y$7:$Y$61,$C$7:$C$61,G$71,$Q$7:$Q$61,""No"")))*100,0.01))"),"Tom tävling - lägg till grenar!")</f>
        <v>Tom tävling - lägg till grenar!</v>
      </c>
      <c r="H74" s="99" t="str">
        <f>IFERROR(__xludf.DUMMYFUNCTION("IFS(SUM($L$7:$L$61)=$L$29+$L$52+$L$57,""Tom tävling - lägg till grenar!"",
IFERROR(FILTER($T$7:$T$61,$T$7:$T$61=""Fyll i R-kolumnen"")=""Fyll i R-kolumnen"")=TRUE,""Fyll först i kolumn R"",
IFERROR(FILTER($T$7:$T$61,$T$7:$T$61=""Fyll i S-kolumnen"")=""Fyl"&amp;"l i S-kolumnen"")=TRUE,""Fyll först i kolumn S"",
OR(H$71=""3x3 BLD"",H$71=""4x4 BLD"",H$71=""5x5 BLD"",H$71=""4x4 / 5x5 BLD""),"""",
SUMIFS($T$7:$T$61,$C$7:$C$61,H$71)=0,"""",
SUMIFS($T$7:$T$61,$C$7:$C$61,H$71,$Q$7:$Q$61,""No"")=0,"""",
SUMIFS($T$7:$T$61"&amp;",$C$7:$C$61,H$71,$Q$7:$Q$61,""No"")/SUMIFS($Y$7:$Y$61,$C$7:$C$61,H$71,$Q$7:$Q$61,""No"")&gt;=1,
MROUND((SUMIFS($T$7:$T$61,$C$7:$C$61,H$71,$Q$7:$Q$61,""No"")/SUMIFS($Y$7:$Y$61,$C$7:$C$61,H$71,$Q$7:$Q$61,""No"")-1)*100,0.01),
TRUE,-MROUND((1-(SUMIFS($T$7:$T$61"&amp;",$C$7:$C$61,H$71,$Q$7:$Q$61,""No"")/SUMIFS($Y$7:$Y$61,$C$7:$C$61,H$71,$Q$7:$Q$61,""No"")))*100,0.01))"),"Tom tävling - lägg till grenar!")</f>
        <v>Tom tävling - lägg till grenar!</v>
      </c>
      <c r="I74" s="99" t="str">
        <f>IFERROR(__xludf.DUMMYFUNCTION("IFS(SUM($L$7:$L$61)=$L$29+$L$52+$L$57,""Tom tävling - lägg till grenar!"",
IFERROR(FILTER($T$7:$T$61,$T$7:$T$61=""Fyll i R-kolumnen"")=""Fyll i R-kolumnen"")=TRUE,""Fyll först i kolumn R"",
IFERROR(FILTER($T$7:$T$61,$T$7:$T$61=""Fyll i S-kolumnen"")=""Fyl"&amp;"l i S-kolumnen"")=TRUE,""Fyll först i kolumn S"",
OR(I$71=""3x3 BLD"",I$71=""4x4 BLD"",I$71=""5x5 BLD"",I$71=""4x4 / 5x5 BLD""),"""",
SUMIFS($T$7:$T$61,$C$7:$C$61,I$71)=0,"""",
SUMIFS($T$7:$T$61,$C$7:$C$61,I$71,$Q$7:$Q$61,""No"")=0,"""",
SUMIFS($T$7:$T$61"&amp;",$C$7:$C$61,I$71,$Q$7:$Q$61,""No"")/SUMIFS($Y$7:$Y$61,$C$7:$C$61,I$71,$Q$7:$Q$61,""No"")&gt;=1,
MROUND((SUMIFS($T$7:$T$61,$C$7:$C$61,I$71,$Q$7:$Q$61,""No"")/SUMIFS($Y$7:$Y$61,$C$7:$C$61,I$71,$Q$7:$Q$61,""No"")-1)*100,0.01),
TRUE,-MROUND((1-(SUMIFS($T$7:$T$61"&amp;",$C$7:$C$61,I$71,$Q$7:$Q$61,""No"")/SUMIFS($Y$7:$Y$61,$C$7:$C$61,I$71,$Q$7:$Q$61,""No"")))*100,0.01))"),"Tom tävling - lägg till grenar!")</f>
        <v>Tom tävling - lägg till grenar!</v>
      </c>
      <c r="J74" s="99" t="str">
        <f>IFERROR(__xludf.DUMMYFUNCTION("IFS(SUM($L$7:$L$61)=$L$29+$L$52+$L$57,""Tom tävling - lägg till grenar!"",
IFERROR(FILTER($T$7:$T$61,$T$7:$T$61=""Fyll i R-kolumnen"")=""Fyll i R-kolumnen"")=TRUE,""Fyll först i kolumn R"",
IFERROR(FILTER($T$7:$T$61,$T$7:$T$61=""Fyll i S-kolumnen"")=""Fyl"&amp;"l i S-kolumnen"")=TRUE,""Fyll först i kolumn S"",
OR(J$71=""3x3 BLD"",J$71=""4x4 BLD"",J$71=""5x5 BLD"",J$71=""4x4 / 5x5 BLD""),"""",
SUMIFS($T$7:$T$61,$C$7:$C$61,J$71)=0,"""",
SUMIFS($T$7:$T$61,$C$7:$C$61,J$71,$Q$7:$Q$61,""No"")=0,"""",
SUMIFS($T$7:$T$61"&amp;",$C$7:$C$61,J$71,$Q$7:$Q$61,""No"")/SUMIFS($Y$7:$Y$61,$C$7:$C$61,J$71,$Q$7:$Q$61,""No"")&gt;=1,
MROUND((SUMIFS($T$7:$T$61,$C$7:$C$61,J$71,$Q$7:$Q$61,""No"")/SUMIFS($Y$7:$Y$61,$C$7:$C$61,J$71,$Q$7:$Q$61,""No"")-1)*100,0.01),
TRUE,-MROUND((1-(SUMIFS($T$7:$T$61"&amp;",$C$7:$C$61,J$71,$Q$7:$Q$61,""No"")/SUMIFS($Y$7:$Y$61,$C$7:$C$61,J$71,$Q$7:$Q$61,""No"")))*100,0.01))"),"Tom tävling - lägg till grenar!")</f>
        <v>Tom tävling - lägg till grenar!</v>
      </c>
      <c r="K74" s="99" t="str">
        <f>IFERROR(__xludf.DUMMYFUNCTION("IFS(SUM($L$7:$L$61)=$L$29+$L$52+$L$57,""Tom tävling - lägg till grenar!"",
IFERROR(FILTER($T$7:$T$61,$T$7:$T$61=""Fyll i R-kolumnen"")=""Fyll i R-kolumnen"")=TRUE,""Fyll först i kolumn R"",
IFERROR(FILTER($T$7:$T$61,$T$7:$T$61=""Fyll i S-kolumnen"")=""Fyl"&amp;"l i S-kolumnen"")=TRUE,""Fyll först i kolumn S"",
OR(K$71=""3x3 BLD"",K$71=""4x4 BLD"",K$71=""5x5 BLD"",K$71=""4x4 / 5x5 BLD""),"""",
SUMIFS($T$7:$T$61,$C$7:$C$61,K$71)=0,"""",
SUMIFS($T$7:$T$61,$C$7:$C$61,K$71,$Q$7:$Q$61,""No"")=0,"""",
SUMIFS($T$7:$T$61"&amp;",$C$7:$C$61,K$71,$Q$7:$Q$61,""No"")/SUMIFS($Y$7:$Y$61,$C$7:$C$61,K$71,$Q$7:$Q$61,""No"")&gt;=1,
MROUND((SUMIFS($T$7:$T$61,$C$7:$C$61,K$71,$Q$7:$Q$61,""No"")/SUMIFS($Y$7:$Y$61,$C$7:$C$61,K$71,$Q$7:$Q$61,""No"")-1)*100,0.01),
TRUE,-MROUND((1-(SUMIFS($T$7:$T$61"&amp;",$C$7:$C$61,K$71,$Q$7:$Q$61,""No"")/SUMIFS($Y$7:$Y$61,$C$7:$C$61,K$71,$Q$7:$Q$61,""No"")))*100,0.01))"),"Tom tävling - lägg till grenar!")</f>
        <v>Tom tävling - lägg till grenar!</v>
      </c>
      <c r="L74" s="99" t="str">
        <f>IFERROR(__xludf.DUMMYFUNCTION("IFS(SUM($L$7:$L$61)=$L$29+$L$52+$L$57,""Tom tävling - lägg till grenar!"",
IFERROR(FILTER($T$7:$T$61,$T$7:$T$61=""Fyll i R-kolumnen"")=""Fyll i R-kolumnen"")=TRUE,""Fyll först i kolumn R"",
IFERROR(FILTER($T$7:$T$61,$T$7:$T$61=""Fyll i S-kolumnen"")=""Fyl"&amp;"l i S-kolumnen"")=TRUE,""Fyll först i kolumn S"",
OR(L$71=""3x3 BLD"",L$71=""4x4 BLD"",L$71=""5x5 BLD"",L$71=""4x4 / 5x5 BLD""),"""",
SUMIFS($T$7:$T$61,$C$7:$C$61,L$71)=0,"""",
SUMIFS($T$7:$T$61,$C$7:$C$61,L$71,$Q$7:$Q$61,""No"")=0,"""",
SUMIFS($T$7:$T$61"&amp;",$C$7:$C$61,L$71,$Q$7:$Q$61,""No"")/SUMIFS($Y$7:$Y$61,$C$7:$C$61,L$71,$Q$7:$Q$61,""No"")&gt;=1,
MROUND((SUMIFS($T$7:$T$61,$C$7:$C$61,L$71,$Q$7:$Q$61,""No"")/SUMIFS($Y$7:$Y$61,$C$7:$C$61,L$71,$Q$7:$Q$61,""No"")-1)*100,0.01),
TRUE,-MROUND((1-(SUMIFS($T$7:$T$61"&amp;",$C$7:$C$61,L$71,$Q$7:$Q$61,""No"")/SUMIFS($Y$7:$Y$61,$C$7:$C$61,L$71,$Q$7:$Q$61,""No"")))*100,0.01))"),"Tom tävling - lägg till grenar!")</f>
        <v>Tom tävling - lägg till grenar!</v>
      </c>
      <c r="M74" s="99" t="str">
        <f>IFERROR(__xludf.DUMMYFUNCTION("IFS(SUM($L$7:$L$61)=$L$29+$L$52+$L$57,""Tom tävling - lägg till grenar!"",
IFERROR(FILTER($T$7:$T$61,$T$7:$T$61=""Fyll i R-kolumnen"")=""Fyll i R-kolumnen"")=TRUE,""Fyll först i kolumn R"",
IFERROR(FILTER($T$7:$T$61,$T$7:$T$61=""Fyll i S-kolumnen"")=""Fyl"&amp;"l i S-kolumnen"")=TRUE,""Fyll först i kolumn S"",
OR(M$71=""3x3 BLD"",M$71=""4x4 BLD"",M$71=""5x5 BLD"",M$71=""4x4 / 5x5 BLD""),"""",
SUMIFS($T$7:$T$61,$C$7:$C$61,M$71)=0,"""",
SUMIFS($T$7:$T$61,$C$7:$C$61,M$71,$Q$7:$Q$61,""No"")=0,"""",
SUMIFS($T$7:$T$61"&amp;",$C$7:$C$61,M$71,$Q$7:$Q$61,""No"")/SUMIFS($Y$7:$Y$61,$C$7:$C$61,M$71,$Q$7:$Q$61,""No"")&gt;=1,
MROUND((SUMIFS($T$7:$T$61,$C$7:$C$61,M$71,$Q$7:$Q$61,""No"")/SUMIFS($Y$7:$Y$61,$C$7:$C$61,M$71,$Q$7:$Q$61,""No"")-1)*100,0.01),
TRUE,-MROUND((1-(SUMIFS($T$7:$T$61"&amp;",$C$7:$C$61,M$71,$Q$7:$Q$61,""No"")/SUMIFS($Y$7:$Y$61,$C$7:$C$61,M$71,$Q$7:$Q$61,""No"")))*100,0.01))"),"Tom tävling - lägg till grenar!")</f>
        <v>Tom tävling - lägg till grenar!</v>
      </c>
      <c r="N74" s="99" t="str">
        <f>IFERROR(__xludf.DUMMYFUNCTION("IFS(SUM($L$7:$L$61)=$L$29+$L$52+$L$57,""Tom tävling - lägg till grenar!"",
IFERROR(FILTER($T$7:$T$61,$T$7:$T$61=""Fyll i R-kolumnen"")=""Fyll i R-kolumnen"")=TRUE,""Fyll först i kolumn R"",
IFERROR(FILTER($T$7:$T$61,$T$7:$T$61=""Fyll i S-kolumnen"")=""Fyl"&amp;"l i S-kolumnen"")=TRUE,""Fyll först i kolumn S"",
OR(N$71=""3x3 BLD"",N$71=""4x4 BLD"",N$71=""5x5 BLD"",N$71=""4x4 / 5x5 BLD""),"""",
SUMIFS($T$7:$T$61,$C$7:$C$61,N$71)=0,"""",
SUMIFS($T$7:$T$61,$C$7:$C$61,N$71,$Q$7:$Q$61,""No"")=0,"""",
SUMIFS($T$7:$T$61"&amp;",$C$7:$C$61,N$71,$Q$7:$Q$61,""No"")/SUMIFS($Y$7:$Y$61,$C$7:$C$61,N$71,$Q$7:$Q$61,""No"")&gt;=1,
MROUND((SUMIFS($T$7:$T$61,$C$7:$C$61,N$71,$Q$7:$Q$61,""No"")/SUMIFS($Y$7:$Y$61,$C$7:$C$61,N$71,$Q$7:$Q$61,""No"")-1)*100,0.01),
TRUE,-MROUND((1-(SUMIFS($T$7:$T$61"&amp;",$C$7:$C$61,N$71,$Q$7:$Q$61,""No"")/SUMIFS($Y$7:$Y$61,$C$7:$C$61,N$71,$Q$7:$Q$61,""No"")))*100,0.01))"),"Tom tävling - lägg till grenar!")</f>
        <v>Tom tävling - lägg till grenar!</v>
      </c>
      <c r="O74" s="99" t="str">
        <f>IFERROR(__xludf.DUMMYFUNCTION("IFS(SUM($L$7:$L$61)=$L$29+$L$52+$L$57,""Tom tävling - lägg till grenar!"",
IFERROR(FILTER($T$7:$T$61,$T$7:$T$61=""Fyll i R-kolumnen"")=""Fyll i R-kolumnen"")=TRUE,""Fyll först i kolumn R"",
IFERROR(FILTER($T$7:$T$61,$T$7:$T$61=""Fyll i S-kolumnen"")=""Fyl"&amp;"l i S-kolumnen"")=TRUE,""Fyll först i kolumn S"",
OR(O$71=""3x3 BLD"",O$71=""4x4 BLD"",O$71=""5x5 BLD"",O$71=""4x4 / 5x5 BLD""),"""",
SUMIFS($T$7:$T$61,$C$7:$C$61,O$71)=0,"""",
SUMIFS($T$7:$T$61,$C$7:$C$61,O$71,$Q$7:$Q$61,""No"")=0,"""",
SUMIFS($T$7:$T$61"&amp;",$C$7:$C$61,O$71,$Q$7:$Q$61,""No"")/SUMIFS($Y$7:$Y$61,$C$7:$C$61,O$71,$Q$7:$Q$61,""No"")&gt;=1,
MROUND((SUMIFS($T$7:$T$61,$C$7:$C$61,O$71,$Q$7:$Q$61,""No"")/SUMIFS($Y$7:$Y$61,$C$7:$C$61,O$71,$Q$7:$Q$61,""No"")-1)*100,0.01),
TRUE,-MROUND((1-(SUMIFS($T$7:$T$61"&amp;",$C$7:$C$61,O$71,$Q$7:$Q$61,""No"")/SUMIFS($Y$7:$Y$61,$C$7:$C$61,O$71,$Q$7:$Q$61,""No"")))*100,0.01))"),"Tom tävling - lägg till grenar!")</f>
        <v>Tom tävling - lägg till grenar!</v>
      </c>
      <c r="P74" s="99" t="str">
        <f>IFERROR(__xludf.DUMMYFUNCTION("IFS(SUM($L$7:$L$61)=$L$29+$L$52+$L$57,""Tom tävling - lägg till grenar!"",
IFERROR(FILTER($T$7:$T$61,$T$7:$T$61=""Fyll i R-kolumnen"")=""Fyll i R-kolumnen"")=TRUE,""Fyll först i kolumn R"",
IFERROR(FILTER($T$7:$T$61,$T$7:$T$61=""Fyll i S-kolumnen"")=""Fyl"&amp;"l i S-kolumnen"")=TRUE,""Fyll först i kolumn S"",
OR(P$71=""3x3 BLD"",P$71=""4x4 BLD"",P$71=""5x5 BLD"",P$71=""4x4 / 5x5 BLD""),"""",
SUMIFS($T$7:$T$61,$C$7:$C$61,P$71)=0,"""",
SUMIFS($T$7:$T$61,$C$7:$C$61,P$71,$Q$7:$Q$61,""No"")=0,"""",
SUMIFS($T$7:$T$61"&amp;",$C$7:$C$61,P$71,$Q$7:$Q$61,""No"")/SUMIFS($Y$7:$Y$61,$C$7:$C$61,P$71,$Q$7:$Q$61,""No"")&gt;=1,
MROUND((SUMIFS($T$7:$T$61,$C$7:$C$61,P$71,$Q$7:$Q$61,""No"")/SUMIFS($Y$7:$Y$61,$C$7:$C$61,P$71,$Q$7:$Q$61,""No"")-1)*100,0.01),
TRUE,-MROUND((1-(SUMIFS($T$7:$T$61"&amp;",$C$7:$C$61,P$71,$Q$7:$Q$61,""No"")/SUMIFS($Y$7:$Y$61,$C$7:$C$61,P$71,$Q$7:$Q$61,""No"")))*100,0.01))"),"Tom tävling - lägg till grenar!")</f>
        <v>Tom tävling - lägg till grenar!</v>
      </c>
      <c r="Q74" s="99" t="str">
        <f>IFERROR(__xludf.DUMMYFUNCTION("IFS(SUM($L$7:$L$61)=$L$29+$L$52+$L$57,""Tom tävling - lägg till grenar!"",
IFERROR(FILTER($T$7:$T$61,$T$7:$T$61=""Fyll i R-kolumnen"")=""Fyll i R-kolumnen"")=TRUE,""Fyll först i kolumn R"",
IFERROR(FILTER($T$7:$T$61,$T$7:$T$61=""Fyll i S-kolumnen"")=""Fyl"&amp;"l i S-kolumnen"")=TRUE,""Fyll först i kolumn S"",
OR(Q$71=""3x3 BLD"",Q$71=""4x4 BLD"",Q$71=""5x5 BLD"",Q$71=""4x4 / 5x5 BLD""),"""",
SUMIFS($T$7:$T$61,$C$7:$C$61,Q$71)=0,"""",
SUMIFS($T$7:$T$61,$C$7:$C$61,Q$71,$Q$7:$Q$61,""No"")=0,"""",
SUMIFS($T$7:$T$61"&amp;",$C$7:$C$61,Q$71,$Q$7:$Q$61,""No"")/SUMIFS($Y$7:$Y$61,$C$7:$C$61,Q$71,$Q$7:$Q$61,""No"")&gt;=1,
MROUND((SUMIFS($T$7:$T$61,$C$7:$C$61,Q$71,$Q$7:$Q$61,""No"")/SUMIFS($Y$7:$Y$61,$C$7:$C$61,Q$71,$Q$7:$Q$61,""No"")-1)*100,0.01),
TRUE,-MROUND((1-(SUMIFS($T$7:$T$61"&amp;",$C$7:$C$61,Q$71,$Q$7:$Q$61,""No"")/SUMIFS($Y$7:$Y$61,$C$7:$C$61,Q$71,$Q$7:$Q$61,""No"")))*100,0.01))"),"Tom tävling - lägg till grenar!")</f>
        <v>Tom tävling - lägg till grenar!</v>
      </c>
      <c r="R74" s="99" t="str">
        <f>IFERROR(__xludf.DUMMYFUNCTION("IFS(SUM($L$7:$L$61)=$L$29+$L$52+$L$57,""Tom tävling - lägg till grenar!"",
IFERROR(FILTER($T$7:$T$61,$T$7:$T$61=""Fyll i R-kolumnen"")=""Fyll i R-kolumnen"")=TRUE,""Fyll först i kolumn R"",
IFERROR(FILTER($T$7:$T$61,$T$7:$T$61=""Fyll i S-kolumnen"")=""Fyl"&amp;"l i S-kolumnen"")=TRUE,""Fyll först i kolumn S"",
OR(R$71=""3x3 BLD"",R$71=""4x4 BLD"",R$71=""5x5 BLD"",R$71=""4x4 / 5x5 BLD""),"""",
SUMIFS($T$7:$T$61,$C$7:$C$61,R$71)=0,"""",
SUMIFS($T$7:$T$61,$C$7:$C$61,R$71,$Q$7:$Q$61,""No"")=0,"""",
SUMIFS($T$7:$T$61"&amp;",$C$7:$C$61,R$71,$Q$7:$Q$61,""No"")/SUMIFS($Y$7:$Y$61,$C$7:$C$61,R$71,$Q$7:$Q$61,""No"")&gt;=1,
MROUND((SUMIFS($T$7:$T$61,$C$7:$C$61,R$71,$Q$7:$Q$61,""No"")/SUMIFS($Y$7:$Y$61,$C$7:$C$61,R$71,$Q$7:$Q$61,""No"")-1)*100,0.01),
TRUE,-MROUND((1-(SUMIFS($T$7:$T$61"&amp;",$C$7:$C$61,R$71,$Q$7:$Q$61,""No"")/SUMIFS($Y$7:$Y$61,$C$7:$C$61,R$71,$Q$7:$Q$61,""No"")))*100,0.01))"),"Tom tävling - lägg till grenar!")</f>
        <v>Tom tävling - lägg till grenar!</v>
      </c>
      <c r="S74" s="99" t="str">
        <f>IFERROR(__xludf.DUMMYFUNCTION("IFS(SUM($L$7:$L$61)=$L$29+$L$52+$L$57,""Tom tävling - lägg till grenar!"",
IFERROR(FILTER($T$7:$T$61,$T$7:$T$61=""Fyll i R-kolumnen"")=""Fyll i R-kolumnen"")=TRUE,""Fyll först i kolumn R"",
IFERROR(FILTER($T$7:$T$61,$T$7:$T$61=""Fyll i S-kolumnen"")=""Fyl"&amp;"l i S-kolumnen"")=TRUE,""Fyll först i kolumn S"",
OR(S$71=""3x3 BLD"",S$71=""4x4 BLD"",S$71=""5x5 BLD"",S$71=""4x4 / 5x5 BLD""),"""",
SUMIFS($T$7:$T$61,$C$7:$C$61,S$71)=0,"""",
SUMIFS($T$7:$T$61,$C$7:$C$61,S$71,$Q$7:$Q$61,""No"")=0,"""",
SUMIFS($T$7:$T$61"&amp;",$C$7:$C$61,S$71,$Q$7:$Q$61,""No"")/SUMIFS($Y$7:$Y$61,$C$7:$C$61,S$71,$Q$7:$Q$61,""No"")&gt;=1,
MROUND((SUMIFS($T$7:$T$61,$C$7:$C$61,S$71,$Q$7:$Q$61,""No"")/SUMIFS($Y$7:$Y$61,$C$7:$C$61,S$71,$Q$7:$Q$61,""No"")-1)*100,0.01),
TRUE,-MROUND((1-(SUMIFS($T$7:$T$61"&amp;",$C$7:$C$61,S$71,$Q$7:$Q$61,""No"")/SUMIFS($Y$7:$Y$61,$C$7:$C$61,S$71,$Q$7:$Q$61,""No"")))*100,0.01))"),"Tom tävling - lägg till grenar!")</f>
        <v>Tom tävling - lägg till grenar!</v>
      </c>
      <c r="T74" s="99" t="str">
        <f>IFERROR(__xludf.DUMMYFUNCTION("IFS(SUM($L$7:$L$61)=$L$29+$L$52+$L$57,""Tom tävling - lägg till grenar!"",
IFERROR(FILTER($T$7:$T$61,$T$7:$T$61=""Fyll i R-kolumnen"")=""Fyll i R-kolumnen"")=TRUE,""Fyll först i kolumn R"",
IFERROR(FILTER($T$7:$T$61,$T$7:$T$61=""Fyll i S-kolumnen"")=""Fyl"&amp;"l i S-kolumnen"")=TRUE,""Fyll först i kolumn S"",
OR(T$71=""3x3 BLD"",T$71=""4x4 BLD"",T$71=""5x5 BLD"",T$71=""4x4 / 5x5 BLD""),"""",
SUMIFS($T$7:$T$61,$C$7:$C$61,T$71)=0,"""",
SUMIFS($T$7:$T$61,$C$7:$C$61,T$71,$Q$7:$Q$61,""No"")=0,"""",
SUMIFS($T$7:$T$61"&amp;",$C$7:$C$61,T$71,$Q$7:$Q$61,""No"")/SUMIFS($Y$7:$Y$61,$C$7:$C$61,T$71,$Q$7:$Q$61,""No"")&gt;=1,
MROUND((SUMIFS($T$7:$T$61,$C$7:$C$61,T$71,$Q$7:$Q$61,""No"")/SUMIFS($Y$7:$Y$61,$C$7:$C$61,T$71,$Q$7:$Q$61,""No"")-1)*100,0.01),
TRUE,-MROUND((1-(SUMIFS($T$7:$T$61"&amp;",$C$7:$C$61,T$71,$Q$7:$Q$61,""No"")/SUMIFS($Y$7:$Y$61,$C$7:$C$61,T$71,$Q$7:$Q$61,""No"")))*100,0.01))"),"Tom tävling - lägg till grenar!")</f>
        <v>Tom tävling - lägg till grenar!</v>
      </c>
      <c r="U74" s="99" t="str">
        <f>IFERROR(__xludf.DUMMYFUNCTION("IFS(SUM($L$7:$L$61)=$L$29+$L$52+$L$57,""Tom tävling - lägg till grenar!"",
IFERROR(FILTER($T$7:$T$61,$T$7:$T$61=""Fyll i R-kolumnen"")=""Fyll i R-kolumnen"")=TRUE,""Fyll först i kolumn R"",
IFERROR(FILTER($T$7:$T$61,$T$7:$T$61=""Fyll i S-kolumnen"")=""Fyl"&amp;"l i S-kolumnen"")=TRUE,""Fyll först i kolumn S"",
OR(U$71=""3x3 BLD"",U$71=""4x4 BLD"",U$71=""5x5 BLD"",U$71=""4x4 / 5x5 BLD""),"""",
SUMIFS($T$7:$T$61,$C$7:$C$61,U$71)=0,"""",
SUMIFS($T$7:$T$61,$C$7:$C$61,U$71,$Q$7:$Q$61,""No"")=0,"""",
SUMIFS($T$7:$T$61"&amp;",$C$7:$C$61,U$71,$Q$7:$Q$61,""No"")/SUMIFS($Y$7:$Y$61,$C$7:$C$61,U$71,$Q$7:$Q$61,""No"")&gt;=1,
MROUND((SUMIFS($T$7:$T$61,$C$7:$C$61,U$71,$Q$7:$Q$61,""No"")/SUMIFS($Y$7:$Y$61,$C$7:$C$61,U$71,$Q$7:$Q$61,""No"")-1)*100,0.01),
TRUE,-MROUND((1-(SUMIFS($T$7:$T$61"&amp;",$C$7:$C$61,U$71,$Q$7:$Q$61,""No"")/SUMIFS($Y$7:$Y$61,$C$7:$C$61,U$71,$Q$7:$Q$61,""No"")))*100,0.01))"),"Tom tävling - lägg till grenar!")</f>
        <v>Tom tävling - lägg till grenar!</v>
      </c>
      <c r="V74" s="94"/>
      <c r="W74" s="94"/>
      <c r="X74" s="94"/>
      <c r="Y74" s="94"/>
      <c r="Z74" s="94"/>
      <c r="AA74" s="94"/>
      <c r="AB74" s="94"/>
    </row>
    <row r="75">
      <c r="A75" s="90" t="s">
        <v>111</v>
      </c>
      <c r="B75" s="24"/>
      <c r="C75" s="100" t="str">
        <f>IFERROR(__xludf.DUMMYFUNCTION("IF(OR(C$74="""",C$74=""Tom tävling - lägg till grenar!"",C$74=""Fyll först i kolumn R"",C$74=""Fyll först i kolumn S""),"""", FILTER(Info!$B$2:$B81,Info!$A$2:$A81=C$71)*SUMIFS($T$7:$T$61,$C$7:$C$61,C$71,$Q$7:$Q$61,""No"")/SUMIFS($Y$7:$Y$61,$C$7:$C$61,C$71"&amp;",$Q$7:$Q$61,""No""))"),"")</f>
        <v/>
      </c>
      <c r="D75" s="100" t="str">
        <f>IFERROR(__xludf.DUMMYFUNCTION("IF(OR(D$74="""",D$74=""Tom tävling - lägg till grenar!"",D$74=""Fyll först i kolumn R"",D$74=""Fyll först i kolumn S""),"""", FILTER(Info!$B$2:$B81,Info!$A$2:$A81=D$71)*SUMIFS($T$7:$T$61,$C$7:$C$61,D$71,$Q$7:$Q$61,""No"")/SUMIFS($Y$7:$Y$61,$C$7:$C$61,D$71"&amp;",$Q$7:$Q$61,""No""))"),"")</f>
        <v/>
      </c>
      <c r="E75" s="100" t="str">
        <f>IFERROR(__xludf.DUMMYFUNCTION("IF(OR(E$74="""",E$74=""Tom tävling - lägg till grenar!"",E$74=""Fyll först i kolumn R"",E$74=""Fyll först i kolumn S""),"""", FILTER(Info!$B$2:$B81,Info!$A$2:$A81=E$71)*SUMIFS($T$7:$T$61,$C$7:$C$61,E$71,$Q$7:$Q$61,""No"")/SUMIFS($Y$7:$Y$61,$C$7:$C$61,E$71"&amp;",$Q$7:$Q$61,""No""))"),"")</f>
        <v/>
      </c>
      <c r="F75" s="100" t="str">
        <f>IFERROR(__xludf.DUMMYFUNCTION("IF(OR(F$74="""",F$74=""Tom tävling - lägg till grenar!"",F$74=""Fyll först i kolumn R"",F$74=""Fyll först i kolumn S""),"""", FILTER(Info!$B$2:$B81,Info!$A$2:$A81=F$71)*SUMIFS($T$7:$T$61,$C$7:$C$61,F$71,$Q$7:$Q$61,""No"")/SUMIFS($Y$7:$Y$61,$C$7:$C$61,F$71"&amp;",$Q$7:$Q$61,""No""))"),"")</f>
        <v/>
      </c>
      <c r="G75" s="100" t="str">
        <f>IFERROR(__xludf.DUMMYFUNCTION("IF(OR(G$74="""",G$74=""Tom tävling - lägg till grenar!"",G$74=""Fyll först i kolumn R"",G$74=""Fyll först i kolumn S""),"""", FILTER(Info!$B$2:$B81,Info!$A$2:$A81=G$71)*SUMIFS($T$7:$T$61,$C$7:$C$61,G$71,$Q$7:$Q$61,""No"")/SUMIFS($Y$7:$Y$61,$C$7:$C$61,G$71"&amp;",$Q$7:$Q$61,""No""))"),"")</f>
        <v/>
      </c>
      <c r="H75" s="100" t="str">
        <f>IFERROR(__xludf.DUMMYFUNCTION("IF(OR(H$74="""",H$74=""Tom tävling - lägg till grenar!"",H$74=""Fyll först i kolumn R"",H$74=""Fyll först i kolumn S""),"""", FILTER(Info!$B$2:$B81,Info!$A$2:$A81=H$71)*SUMIFS($T$7:$T$61,$C$7:$C$61,H$71,$Q$7:$Q$61,""No"")/SUMIFS($Y$7:$Y$61,$C$7:$C$61,H$71"&amp;",$Q$7:$Q$61,""No""))"),"")</f>
        <v/>
      </c>
      <c r="I75" s="100" t="str">
        <f>IFERROR(__xludf.DUMMYFUNCTION("IF(OR(I$74="""",I$74=""Tom tävling - lägg till grenar!"",I$74=""Fyll först i kolumn R"",I$74=""Fyll först i kolumn S""),"""", FILTER(Info!$B$2:$B81,Info!$A$2:$A81=I$71)*SUMIFS($T$7:$T$61,$C$7:$C$61,I$71,$Q$7:$Q$61,""No"")/SUMIFS($Y$7:$Y$61,$C$7:$C$61,I$71"&amp;",$Q$7:$Q$61,""No""))"),"")</f>
        <v/>
      </c>
      <c r="J75" s="100" t="str">
        <f>IFERROR(__xludf.DUMMYFUNCTION("IF(OR(J$74="""",J$74=""Tom tävling - lägg till grenar!"",J$74=""Fyll först i kolumn R"",J$74=""Fyll först i kolumn S""),"""", FILTER(Info!$B$2:$B81,Info!$A$2:$A81=J$71)*SUMIFS($T$7:$T$61,$C$7:$C$61,J$71,$Q$7:$Q$61,""No"")/SUMIFS($Y$7:$Y$61,$C$7:$C$61,J$71"&amp;",$Q$7:$Q$61,""No""))"),"")</f>
        <v/>
      </c>
      <c r="K75" s="100" t="str">
        <f>IFERROR(__xludf.DUMMYFUNCTION("IF(OR(K$74="""",K$74=""Tom tävling - lägg till grenar!"",K$74=""Fyll först i kolumn R"",K$74=""Fyll först i kolumn S""),"""", FILTER(Info!$B$2:$B81,Info!$A$2:$A81=K$71)*SUMIFS($T$7:$T$61,$C$7:$C$61,K$71,$Q$7:$Q$61,""No"")/SUMIFS($Y$7:$Y$61,$C$7:$C$61,K$71"&amp;",$Q$7:$Q$61,""No""))"),"")</f>
        <v/>
      </c>
      <c r="L75" s="100" t="str">
        <f>IFERROR(__xludf.DUMMYFUNCTION("IF(OR(L$74="""",L$74=""Tom tävling - lägg till grenar!"",L$74=""Fyll först i kolumn R"",L$74=""Fyll först i kolumn S""),"""", FILTER(Info!$B$2:$B81,Info!$A$2:$A81=L$71)*SUMIFS($T$7:$T$61,$C$7:$C$61,L$71,$Q$7:$Q$61,""No"")/SUMIFS($Y$7:$Y$61,$C$7:$C$61,L$71"&amp;",$Q$7:$Q$61,""No""))"),"")</f>
        <v/>
      </c>
      <c r="M75" s="100" t="str">
        <f>IFERROR(__xludf.DUMMYFUNCTION("IF(OR(M$74="""",M$74=""Tom tävling - lägg till grenar!"",M$74=""Fyll först i kolumn R"",M$74=""Fyll först i kolumn S""),"""", FILTER(Info!$B$2:$B81,Info!$A$2:$A81=M$71)*SUMIFS($T$7:$T$61,$C$7:$C$61,M$71,$Q$7:$Q$61,""No"")/SUMIFS($Y$7:$Y$61,$C$7:$C$61,M$71"&amp;",$Q$7:$Q$61,""No""))"),"")</f>
        <v/>
      </c>
      <c r="N75" s="100" t="str">
        <f>IFERROR(__xludf.DUMMYFUNCTION("IF(OR(N$74="""",N$74=""Tom tävling - lägg till grenar!"",N$74=""Fyll först i kolumn R"",N$74=""Fyll först i kolumn S""),"""", FILTER(Info!$B$2:$B81,Info!$A$2:$A81=N$71)*SUMIFS($T$7:$T$61,$C$7:$C$61,N$71,$Q$7:$Q$61,""No"")/SUMIFS($Y$7:$Y$61,$C$7:$C$61,N$71"&amp;",$Q$7:$Q$61,""No""))"),"")</f>
        <v/>
      </c>
      <c r="O75" s="100" t="str">
        <f>IFERROR(__xludf.DUMMYFUNCTION("IF(OR(O$74="""",O$74=""Tom tävling - lägg till grenar!"",O$74=""Fyll först i kolumn R"",O$74=""Fyll först i kolumn S""),"""", FILTER(Info!$B$2:$B81,Info!$A$2:$A81=O$71)*SUMIFS($T$7:$T$61,$C$7:$C$61,O$71,$Q$7:$Q$61,""No"")/SUMIFS($Y$7:$Y$61,$C$7:$C$61,O$71"&amp;",$Q$7:$Q$61,""No""))"),"")</f>
        <v/>
      </c>
      <c r="P75" s="100" t="str">
        <f>IFERROR(__xludf.DUMMYFUNCTION("IF(OR(P$74="""",P$74=""Tom tävling - lägg till grenar!"",P$74=""Fyll först i kolumn R"",P$74=""Fyll först i kolumn S""),"""", FILTER(Info!$B$2:$B81,Info!$A$2:$A81=P$71)*SUMIFS($T$7:$T$61,$C$7:$C$61,P$71,$Q$7:$Q$61,""No"")/SUMIFS($Y$7:$Y$61,$C$7:$C$61,P$71"&amp;",$Q$7:$Q$61,""No""))"),"")</f>
        <v/>
      </c>
      <c r="Q75" s="100" t="str">
        <f>IFERROR(__xludf.DUMMYFUNCTION("IF(OR(Q$74="""",Q$74=""Tom tävling - lägg till grenar!"",Q$74=""Fyll först i kolumn R"",Q$74=""Fyll först i kolumn S""),"""", FILTER(Info!$B$2:$B81,Info!$A$2:$A81=Q$71)*SUMIFS($T$7:$T$61,$C$7:$C$61,Q$71,$Q$7:$Q$61,""No"")/SUMIFS($Y$7:$Y$61,$C$7:$C$61,Q$71"&amp;",$Q$7:$Q$61,""No""))"),"")</f>
        <v/>
      </c>
      <c r="R75" s="100" t="str">
        <f>IFERROR(__xludf.DUMMYFUNCTION("IF(OR(R$74="""",R$74=""Tom tävling - lägg till grenar!"",R$74=""Fyll först i kolumn R"",R$74=""Fyll först i kolumn S""),"""", FILTER(Info!$B$2:$B81,Info!$A$2:$A81=R$71)*SUMIFS($T$7:$T$61,$C$7:$C$61,R$71,$Q$7:$Q$61,""No"")/SUMIFS($Y$7:$Y$61,$C$7:$C$61,R$71"&amp;",$Q$7:$Q$61,""No""))"),"")</f>
        <v/>
      </c>
      <c r="S75" s="100" t="str">
        <f>IFERROR(__xludf.DUMMYFUNCTION("IF(OR(S$74="""",S$74=""Tom tävling - lägg till grenar!"",S$74=""Fyll först i kolumn R"",S$74=""Fyll först i kolumn S""),"""", FILTER(Info!$B$2:$B81,Info!$A$2:$A81=S$71)*SUMIFS($T$7:$T$61,$C$7:$C$61,S$71,$Q$7:$Q$61,""No"")/SUMIFS($Y$7:$Y$61,$C$7:$C$61,S$71"&amp;",$Q$7:$Q$61,""No""))"),"")</f>
        <v/>
      </c>
      <c r="T75" s="100" t="str">
        <f>IFERROR(__xludf.DUMMYFUNCTION("IF(OR(T$74="""",T$74=""Tom tävling - lägg till grenar!"",T$74=""Fyll först i kolumn R"",T$74=""Fyll först i kolumn S""),"""", FILTER(Info!$B$2:$B81,Info!$A$2:$A81=T$71)*SUMIFS($T$7:$T$61,$C$7:$C$61,T$71,$Q$7:$Q$61,""No"")/SUMIFS($Y$7:$Y$61,$C$7:$C$61,T$71"&amp;",$Q$7:$Q$61,""No""))"),"")</f>
        <v/>
      </c>
      <c r="U75" s="100" t="str">
        <f>IFERROR(__xludf.DUMMYFUNCTION("IF(OR(U$74="""",U$74=""Tom tävling - lägg till grenar!"",U$74=""Fyll först i kolumn R"",U$74=""Fyll först i kolumn S""),"""", FILTER(Info!$B$2:$B81,Info!$A$2:$A81=U$71)*SUMIFS($T$7:$T$61,$C$7:$C$61,U$71,$Q$7:$Q$61,""No"")/SUMIFS($Y$7:$Y$61,$C$7:$C$61,U$71"&amp;",$Q$7:$Q$61,""No""))"),"")</f>
        <v/>
      </c>
      <c r="V75" s="94"/>
      <c r="W75" s="94"/>
      <c r="X75" s="94"/>
      <c r="Y75" s="94"/>
      <c r="Z75" s="94"/>
      <c r="AA75" s="94"/>
      <c r="AB75" s="94"/>
    </row>
    <row r="76">
      <c r="A76" s="90" t="s">
        <v>113</v>
      </c>
      <c r="B76" s="24"/>
      <c r="C76" s="99" t="str">
        <f>IFERROR(__xludf.DUMMYFUNCTION("IFS(SUM($L$7:$L$61)=$L$29+$L$52+$L$57,""Tom tävling - lägg till grenar!"",
IFERROR(FILTER($T$7:$T$61,$T$7:$T$61=""Fyll i R-kolumnen"")=""Fyll i R-kolumnen"")=TRUE,""Fyll först i kolumn R"",
IFERROR(FILTER($T$7:$T$61,$T$7:$T$61=""Fyll i S-kolumnen"")=""Fyl"&amp;"l i S-kolumnen"")=TRUE,""Fyll först i kolumn S"",
SUMIFS($J$7:$J$61,$C$7:$C$61,C$71,$E$7:$E$61,1)=0,"""",
FILTER($J$7:$J$61,$C$7:$C$61=C$71,$E$7:$E$61=1)/(ROUNDUP((FILTER(Info!$H$2:$H81,Info!$A$2:$A81=C$71)/FILTER(Info!$H$2:$H81,Info!$A$2:$A81=$K$2))*$I$2"&amp;"))&gt;=1,
MROUND((FILTER($J$7:$J$61,$C$7:$C$61=C$71,$E$7:$E$61=1)/(ROUNDUP((FILTER(Info!$H$2:$H81,Info!$A$2:$A81=C$71)/FILTER(Info!$H$2:$H81,Info!$A$2:$A81=$K$2))*$I$2))-1)*100,0.01),
TRUE,-MROUND((1-(FILTER($J$7:$J$61,$C$7:$C$61=C$71,$E$7:$E$61=1)/(ROUNDUP("&amp;"(FILTER(Info!$H$2:$H81,Info!$A$2:$A81=C$71)/FILTER(Info!$H$2:$H81,Info!$A$2:$A81=$K$2))*$I$2))))*100,0.01))"),"Tom tävling - lägg till grenar!")</f>
        <v>Tom tävling - lägg till grenar!</v>
      </c>
      <c r="D76" s="99" t="str">
        <f>IFERROR(__xludf.DUMMYFUNCTION("IFS(SUM($L$7:$L$61)=$L$29+$L$52+$L$57,""Tom tävling - lägg till grenar!"",
IFERROR(FILTER($T$7:$T$61,$T$7:$T$61=""Fyll i R-kolumnen"")=""Fyll i R-kolumnen"")=TRUE,""Fyll först i kolumn R"",
IFERROR(FILTER($T$7:$T$61,$T$7:$T$61=""Fyll i S-kolumnen"")=""Fyl"&amp;"l i S-kolumnen"")=TRUE,""Fyll först i kolumn S"",
SUMIFS($J$7:$J$61,$C$7:$C$61,D$71,$E$7:$E$61,1)=0,"""",
FILTER($J$7:$J$61,$C$7:$C$61=D$71,$E$7:$E$61=1)/(ROUNDUP((FILTER(Info!$H$2:$H81,Info!$A$2:$A81=D$71)/FILTER(Info!$H$2:$H81,Info!$A$2:$A81=$K$2))*$I$2"&amp;"))&gt;=1,
MROUND((FILTER($J$7:$J$61,$C$7:$C$61=D$71,$E$7:$E$61=1)/(ROUNDUP((FILTER(Info!$H$2:$H81,Info!$A$2:$A81=D$71)/FILTER(Info!$H$2:$H81,Info!$A$2:$A81=$K$2))*$I$2))-1)*100,0.01),
TRUE,-MROUND((1-(FILTER($J$7:$J$61,$C$7:$C$61=D$71,$E$7:$E$61=1)/(ROUNDUP("&amp;"(FILTER(Info!$H$2:$H81,Info!$A$2:$A81=D$71)/FILTER(Info!$H$2:$H81,Info!$A$2:$A81=$K$2))*$I$2))))*100,0.01))"),"Tom tävling - lägg till grenar!")</f>
        <v>Tom tävling - lägg till grenar!</v>
      </c>
      <c r="E76" s="99" t="str">
        <f>IFERROR(__xludf.DUMMYFUNCTION("IFS(SUM($L$7:$L$61)=$L$29+$L$52+$L$57,""Tom tävling - lägg till grenar!"",
IFERROR(FILTER($T$7:$T$61,$T$7:$T$61=""Fyll i R-kolumnen"")=""Fyll i R-kolumnen"")=TRUE,""Fyll först i kolumn R"",
IFERROR(FILTER($T$7:$T$61,$T$7:$T$61=""Fyll i S-kolumnen"")=""Fyl"&amp;"l i S-kolumnen"")=TRUE,""Fyll först i kolumn S"",
SUMIFS($J$7:$J$61,$C$7:$C$61,E$71,$E$7:$E$61,1)=0,"""",
FILTER($J$7:$J$61,$C$7:$C$61=E$71,$E$7:$E$61=1)/(ROUNDUP((FILTER(Info!$H$2:$H81,Info!$A$2:$A81=E$71)/FILTER(Info!$H$2:$H81,Info!$A$2:$A81=$K$2))*$I$2"&amp;"))&gt;=1,
MROUND((FILTER($J$7:$J$61,$C$7:$C$61=E$71,$E$7:$E$61=1)/(ROUNDUP((FILTER(Info!$H$2:$H81,Info!$A$2:$A81=E$71)/FILTER(Info!$H$2:$H81,Info!$A$2:$A81=$K$2))*$I$2))-1)*100,0.01),
TRUE,-MROUND((1-(FILTER($J$7:$J$61,$C$7:$C$61=E$71,$E$7:$E$61=1)/(ROUNDUP("&amp;"(FILTER(Info!$H$2:$H81,Info!$A$2:$A81=E$71)/FILTER(Info!$H$2:$H81,Info!$A$2:$A81=$K$2))*$I$2))))*100,0.01))"),"Tom tävling - lägg till grenar!")</f>
        <v>Tom tävling - lägg till grenar!</v>
      </c>
      <c r="F76" s="99" t="str">
        <f>IFERROR(__xludf.DUMMYFUNCTION("IFS(SUM($L$7:$L$61)=$L$29+$L$52+$L$57,""Tom tävling - lägg till grenar!"",
IFERROR(FILTER($T$7:$T$61,$T$7:$T$61=""Fyll i R-kolumnen"")=""Fyll i R-kolumnen"")=TRUE,""Fyll först i kolumn R"",
IFERROR(FILTER($T$7:$T$61,$T$7:$T$61=""Fyll i S-kolumnen"")=""Fyl"&amp;"l i S-kolumnen"")=TRUE,""Fyll först i kolumn S"",
SUMIFS($J$7:$J$61,$C$7:$C$61,F$71,$E$7:$E$61,1)=0,"""",
FILTER($J$7:$J$61,$C$7:$C$61=F$71,$E$7:$E$61=1)/(ROUNDUP((FILTER(Info!$H$2:$H81,Info!$A$2:$A81=F$71)/FILTER(Info!$H$2:$H81,Info!$A$2:$A81=$K$2))*$I$2"&amp;"))&gt;=1,
MROUND((FILTER($J$7:$J$61,$C$7:$C$61=F$71,$E$7:$E$61=1)/(ROUNDUP((FILTER(Info!$H$2:$H81,Info!$A$2:$A81=F$71)/FILTER(Info!$H$2:$H81,Info!$A$2:$A81=$K$2))*$I$2))-1)*100,0.01),
TRUE,-MROUND((1-(FILTER($J$7:$J$61,$C$7:$C$61=F$71,$E$7:$E$61=1)/(ROUNDUP("&amp;"(FILTER(Info!$H$2:$H81,Info!$A$2:$A81=F$71)/FILTER(Info!$H$2:$H81,Info!$A$2:$A81=$K$2))*$I$2))))*100,0.01))"),"Tom tävling - lägg till grenar!")</f>
        <v>Tom tävling - lägg till grenar!</v>
      </c>
      <c r="G76" s="99" t="str">
        <f>IFERROR(__xludf.DUMMYFUNCTION("IFS(SUM($L$7:$L$61)=$L$29+$L$52+$L$57,""Tom tävling - lägg till grenar!"",
IFERROR(FILTER($T$7:$T$61,$T$7:$T$61=""Fyll i R-kolumnen"")=""Fyll i R-kolumnen"")=TRUE,""Fyll först i kolumn R"",
IFERROR(FILTER($T$7:$T$61,$T$7:$T$61=""Fyll i S-kolumnen"")=""Fyl"&amp;"l i S-kolumnen"")=TRUE,""Fyll först i kolumn S"",
SUMIFS($J$7:$J$61,$C$7:$C$61,G$71,$E$7:$E$61,1)=0,"""",
FILTER($J$7:$J$61,$C$7:$C$61=G$71,$E$7:$E$61=1)/(ROUNDUP((FILTER(Info!$H$2:$H81,Info!$A$2:$A81=G$71)/FILTER(Info!$H$2:$H81,Info!$A$2:$A81=$K$2))*$I$2"&amp;"))&gt;=1,
MROUND((FILTER($J$7:$J$61,$C$7:$C$61=G$71,$E$7:$E$61=1)/(ROUNDUP((FILTER(Info!$H$2:$H81,Info!$A$2:$A81=G$71)/FILTER(Info!$H$2:$H81,Info!$A$2:$A81=$K$2))*$I$2))-1)*100,0.01),
TRUE,-MROUND((1-(FILTER($J$7:$J$61,$C$7:$C$61=G$71,$E$7:$E$61=1)/(ROUNDUP("&amp;"(FILTER(Info!$H$2:$H81,Info!$A$2:$A81=G$71)/FILTER(Info!$H$2:$H81,Info!$A$2:$A81=$K$2))*$I$2))))*100,0.01))"),"Tom tävling - lägg till grenar!")</f>
        <v>Tom tävling - lägg till grenar!</v>
      </c>
      <c r="H76" s="99" t="str">
        <f>IFERROR(__xludf.DUMMYFUNCTION("IFS(SUM($L$7:$L$61)=$L$29+$L$52+$L$57,""Tom tävling - lägg till grenar!"",
IFERROR(FILTER($T$7:$T$61,$T$7:$T$61=""Fyll i R-kolumnen"")=""Fyll i R-kolumnen"")=TRUE,""Fyll först i kolumn R"",
IFERROR(FILTER($T$7:$T$61,$T$7:$T$61=""Fyll i S-kolumnen"")=""Fyl"&amp;"l i S-kolumnen"")=TRUE,""Fyll först i kolumn S"",
SUMIFS($J$7:$J$61,$C$7:$C$61,H$71,$E$7:$E$61,1)=0,"""",
FILTER($J$7:$J$61,$C$7:$C$61=H$71,$E$7:$E$61=1)/(ROUNDUP((FILTER(Info!$H$2:$H81,Info!$A$2:$A81=H$71)/FILTER(Info!$H$2:$H81,Info!$A$2:$A81=$K$2))*$I$2"&amp;"))&gt;=1,
MROUND((FILTER($J$7:$J$61,$C$7:$C$61=H$71,$E$7:$E$61=1)/(ROUNDUP((FILTER(Info!$H$2:$H81,Info!$A$2:$A81=H$71)/FILTER(Info!$H$2:$H81,Info!$A$2:$A81=$K$2))*$I$2))-1)*100,0.01),
TRUE,-MROUND((1-(FILTER($J$7:$J$61,$C$7:$C$61=H$71,$E$7:$E$61=1)/(ROUNDUP("&amp;"(FILTER(Info!$H$2:$H81,Info!$A$2:$A81=H$71)/FILTER(Info!$H$2:$H81,Info!$A$2:$A81=$K$2))*$I$2))))*100,0.01))"),"Tom tävling - lägg till grenar!")</f>
        <v>Tom tävling - lägg till grenar!</v>
      </c>
      <c r="I76" s="99" t="str">
        <f>IFERROR(__xludf.DUMMYFUNCTION("IFS(SUM($L$7:$L$61)=$L$29+$L$52+$L$57,""Tom tävling - lägg till grenar!"",
IFERROR(FILTER($T$7:$T$61,$T$7:$T$61=""Fyll i R-kolumnen"")=""Fyll i R-kolumnen"")=TRUE,""Fyll först i kolumn R"",
IFERROR(FILTER($T$7:$T$61,$T$7:$T$61=""Fyll i S-kolumnen"")=""Fyl"&amp;"l i S-kolumnen"")=TRUE,""Fyll först i kolumn S"",
SUMIFS($J$7:$J$61,$C$7:$C$61,I$71,$E$7:$E$61,1)=0,"""",
FILTER($J$7:$J$61,$C$7:$C$61=I$71,$E$7:$E$61=1)/(ROUNDUP((FILTER(Info!$H$2:$H81,Info!$A$2:$A81=I$71)/FILTER(Info!$H$2:$H81,Info!$A$2:$A81=$K$2))*$I$2"&amp;"))&gt;=1,
MROUND((FILTER($J$7:$J$61,$C$7:$C$61=I$71,$E$7:$E$61=1)/(ROUNDUP((FILTER(Info!$H$2:$H81,Info!$A$2:$A81=I$71)/FILTER(Info!$H$2:$H81,Info!$A$2:$A81=$K$2))*$I$2))-1)*100,0.01),
TRUE,-MROUND((1-(FILTER($J$7:$J$61,$C$7:$C$61=I$71,$E$7:$E$61=1)/(ROUNDUP("&amp;"(FILTER(Info!$H$2:$H81,Info!$A$2:$A81=I$71)/FILTER(Info!$H$2:$H81,Info!$A$2:$A81=$K$2))*$I$2))))*100,0.01))"),"Tom tävling - lägg till grenar!")</f>
        <v>Tom tävling - lägg till grenar!</v>
      </c>
      <c r="J76" s="99" t="str">
        <f>IFERROR(__xludf.DUMMYFUNCTION("IFS(SUM($L$7:$L$61)=$L$29+$L$52+$L$57,""Tom tävling - lägg till grenar!"",
IFERROR(FILTER($T$7:$T$61,$T$7:$T$61=""Fyll i R-kolumnen"")=""Fyll i R-kolumnen"")=TRUE,""Fyll först i kolumn R"",
IFERROR(FILTER($T$7:$T$61,$T$7:$T$61=""Fyll i S-kolumnen"")=""Fyl"&amp;"l i S-kolumnen"")=TRUE,""Fyll först i kolumn S"",
SUMIFS($J$7:$J$61,$C$7:$C$61,J$71,$E$7:$E$61,1)=0,"""",
FILTER($J$7:$J$61,$C$7:$C$61=J$71,$E$7:$E$61=1)/(ROUNDUP((FILTER(Info!$H$2:$H81,Info!$A$2:$A81=J$71)/FILTER(Info!$H$2:$H81,Info!$A$2:$A81=$K$2))*$I$2"&amp;"))&gt;=1,
MROUND((FILTER($J$7:$J$61,$C$7:$C$61=J$71,$E$7:$E$61=1)/(ROUNDUP((FILTER(Info!$H$2:$H81,Info!$A$2:$A81=J$71)/FILTER(Info!$H$2:$H81,Info!$A$2:$A81=$K$2))*$I$2))-1)*100,0.01),
TRUE,-MROUND((1-(FILTER($J$7:$J$61,$C$7:$C$61=J$71,$E$7:$E$61=1)/(ROUNDUP("&amp;"(FILTER(Info!$H$2:$H81,Info!$A$2:$A81=J$71)/FILTER(Info!$H$2:$H81,Info!$A$2:$A81=$K$2))*$I$2))))*100,0.01))"),"Tom tävling - lägg till grenar!")</f>
        <v>Tom tävling - lägg till grenar!</v>
      </c>
      <c r="K76" s="99" t="str">
        <f>IFERROR(__xludf.DUMMYFUNCTION("IFS(SUM($L$7:$L$61)=$L$29+$L$52+$L$57,""Tom tävling - lägg till grenar!"",
IFERROR(FILTER($T$7:$T$61,$T$7:$T$61=""Fyll i R-kolumnen"")=""Fyll i R-kolumnen"")=TRUE,""Fyll först i kolumn R"",
IFERROR(FILTER($T$7:$T$61,$T$7:$T$61=""Fyll i S-kolumnen"")=""Fyl"&amp;"l i S-kolumnen"")=TRUE,""Fyll först i kolumn S"",
SUMIFS($J$7:$J$61,$C$7:$C$61,K$71,$E$7:$E$61,1)=0,"""",
FILTER($J$7:$J$61,$C$7:$C$61=K$71,$E$7:$E$61=1)/(ROUNDUP((FILTER(Info!$H$2:$H81,Info!$A$2:$A81=K$71)/FILTER(Info!$H$2:$H81,Info!$A$2:$A81=$K$2))*$I$2"&amp;"))&gt;=1,
MROUND((FILTER($J$7:$J$61,$C$7:$C$61=K$71,$E$7:$E$61=1)/(ROUNDUP((FILTER(Info!$H$2:$H81,Info!$A$2:$A81=K$71)/FILTER(Info!$H$2:$H81,Info!$A$2:$A81=$K$2))*$I$2))-1)*100,0.01),
TRUE,-MROUND((1-(FILTER($J$7:$J$61,$C$7:$C$61=K$71,$E$7:$E$61=1)/(ROUNDUP("&amp;"(FILTER(Info!$H$2:$H81,Info!$A$2:$A81=K$71)/FILTER(Info!$H$2:$H81,Info!$A$2:$A81=$K$2))*$I$2))))*100,0.01))"),"Tom tävling - lägg till grenar!")</f>
        <v>Tom tävling - lägg till grenar!</v>
      </c>
      <c r="L76" s="99" t="str">
        <f>IFERROR(__xludf.DUMMYFUNCTION("IFS(SUM($L$7:$L$61)=$L$29+$L$52+$L$57,""Tom tävling - lägg till grenar!"",
IFERROR(FILTER($T$7:$T$61,$T$7:$T$61=""Fyll i R-kolumnen"")=""Fyll i R-kolumnen"")=TRUE,""Fyll först i kolumn R"",
IFERROR(FILTER($T$7:$T$61,$T$7:$T$61=""Fyll i S-kolumnen"")=""Fyl"&amp;"l i S-kolumnen"")=TRUE,""Fyll först i kolumn S"",
SUMIFS($J$7:$J$61,$C$7:$C$61,L$71,$E$7:$E$61,1)=0,"""",
FILTER($J$7:$J$61,$C$7:$C$61=L$71,$E$7:$E$61=1)/(ROUNDUP((FILTER(Info!$H$2:$H81,Info!$A$2:$A81=L$71)/FILTER(Info!$H$2:$H81,Info!$A$2:$A81=$K$2))*$I$2"&amp;"))&gt;=1,
MROUND((FILTER($J$7:$J$61,$C$7:$C$61=L$71,$E$7:$E$61=1)/(ROUNDUP((FILTER(Info!$H$2:$H81,Info!$A$2:$A81=L$71)/FILTER(Info!$H$2:$H81,Info!$A$2:$A81=$K$2))*$I$2))-1)*100,0.01),
TRUE,-MROUND((1-(FILTER($J$7:$J$61,$C$7:$C$61=L$71,$E$7:$E$61=1)/(ROUNDUP("&amp;"(FILTER(Info!$H$2:$H81,Info!$A$2:$A81=L$71)/FILTER(Info!$H$2:$H81,Info!$A$2:$A81=$K$2))*$I$2))))*100,0.01))"),"Tom tävling - lägg till grenar!")</f>
        <v>Tom tävling - lägg till grenar!</v>
      </c>
      <c r="M76" s="99" t="str">
        <f>IFERROR(__xludf.DUMMYFUNCTION("IFS(SUM($L$7:$L$61)=$L$29+$L$52+$L$57,""Tom tävling - lägg till grenar!"",
IFERROR(FILTER($T$7:$T$61,$T$7:$T$61=""Fyll i R-kolumnen"")=""Fyll i R-kolumnen"")=TRUE,""Fyll först i kolumn R"",
IFERROR(FILTER($T$7:$T$61,$T$7:$T$61=""Fyll i S-kolumnen"")=""Fyl"&amp;"l i S-kolumnen"")=TRUE,""Fyll först i kolumn S"",
SUMIFS($J$7:$J$61,$C$7:$C$61,M$71,$E$7:$E$61,1)=0,"""",
FILTER($J$7:$J$61,$C$7:$C$61=M$71,$E$7:$E$61=1)/(ROUNDUP((FILTER(Info!$H$2:$H81,Info!$A$2:$A81=M$71)/FILTER(Info!$H$2:$H81,Info!$A$2:$A81=$K$2))*$I$2"&amp;"))&gt;=1,
MROUND((FILTER($J$7:$J$61,$C$7:$C$61=M$71,$E$7:$E$61=1)/(ROUNDUP((FILTER(Info!$H$2:$H81,Info!$A$2:$A81=M$71)/FILTER(Info!$H$2:$H81,Info!$A$2:$A81=$K$2))*$I$2))-1)*100,0.01),
TRUE,-MROUND((1-(FILTER($J$7:$J$61,$C$7:$C$61=M$71,$E$7:$E$61=1)/(ROUNDUP("&amp;"(FILTER(Info!$H$2:$H81,Info!$A$2:$A81=M$71)/FILTER(Info!$H$2:$H81,Info!$A$2:$A81=$K$2))*$I$2))))*100,0.01))"),"Tom tävling - lägg till grenar!")</f>
        <v>Tom tävling - lägg till grenar!</v>
      </c>
      <c r="N76" s="99" t="str">
        <f>IFERROR(__xludf.DUMMYFUNCTION("IFS(SUM($L$7:$L$61)=$L$29+$L$52+$L$57,""Tom tävling - lägg till grenar!"",
IFERROR(FILTER($T$7:$T$61,$T$7:$T$61=""Fyll i R-kolumnen"")=""Fyll i R-kolumnen"")=TRUE,""Fyll först i kolumn R"",
IFERROR(FILTER($T$7:$T$61,$T$7:$T$61=""Fyll i S-kolumnen"")=""Fyl"&amp;"l i S-kolumnen"")=TRUE,""Fyll först i kolumn S"",
SUMIFS($J$7:$J$61,$C$7:$C$61,N$71,$E$7:$E$61,1)=0,"""",
FILTER($J$7:$J$61,$C$7:$C$61=N$71,$E$7:$E$61=1)/(ROUNDUP((FILTER(Info!$H$2:$H81,Info!$A$2:$A81=N$71)/FILTER(Info!$H$2:$H81,Info!$A$2:$A81=$K$2))*$I$2"&amp;"))&gt;=1,
MROUND((FILTER($J$7:$J$61,$C$7:$C$61=N$71,$E$7:$E$61=1)/(ROUNDUP((FILTER(Info!$H$2:$H81,Info!$A$2:$A81=N$71)/FILTER(Info!$H$2:$H81,Info!$A$2:$A81=$K$2))*$I$2))-1)*100,0.01),
TRUE,-MROUND((1-(FILTER($J$7:$J$61,$C$7:$C$61=N$71,$E$7:$E$61=1)/(ROUNDUP("&amp;"(FILTER(Info!$H$2:$H81,Info!$A$2:$A81=N$71)/FILTER(Info!$H$2:$H81,Info!$A$2:$A81=$K$2))*$I$2))))*100,0.01))"),"Tom tävling - lägg till grenar!")</f>
        <v>Tom tävling - lägg till grenar!</v>
      </c>
      <c r="O76" s="99" t="str">
        <f>IFERROR(__xludf.DUMMYFUNCTION("IFS(SUM($L$7:$L$61)=$L$29+$L$52+$L$57,""Tom tävling - lägg till grenar!"",
IFERROR(FILTER($T$7:$T$61,$T$7:$T$61=""Fyll i R-kolumnen"")=""Fyll i R-kolumnen"")=TRUE,""Fyll först i kolumn R"",
IFERROR(FILTER($T$7:$T$61,$T$7:$T$61=""Fyll i S-kolumnen"")=""Fyl"&amp;"l i S-kolumnen"")=TRUE,""Fyll först i kolumn S"",
SUMIFS($J$7:$J$61,$C$7:$C$61,O$71,$E$7:$E$61,1)=0,"""",
FILTER($J$7:$J$61,$C$7:$C$61=O$71,$E$7:$E$61=1)/(ROUNDUP((FILTER(Info!$H$2:$H81,Info!$A$2:$A81=O$71)/FILTER(Info!$H$2:$H81,Info!$A$2:$A81=$K$2))*$I$2"&amp;"))&gt;=1,
MROUND((FILTER($J$7:$J$61,$C$7:$C$61=O$71,$E$7:$E$61=1)/(ROUNDUP((FILTER(Info!$H$2:$H81,Info!$A$2:$A81=O$71)/FILTER(Info!$H$2:$H81,Info!$A$2:$A81=$K$2))*$I$2))-1)*100,0.01),
TRUE,-MROUND((1-(FILTER($J$7:$J$61,$C$7:$C$61=O$71,$E$7:$E$61=1)/(ROUNDUP("&amp;"(FILTER(Info!$H$2:$H81,Info!$A$2:$A81=O$71)/FILTER(Info!$H$2:$H81,Info!$A$2:$A81=$K$2))*$I$2))))*100,0.01))"),"Tom tävling - lägg till grenar!")</f>
        <v>Tom tävling - lägg till grenar!</v>
      </c>
      <c r="P76" s="99" t="str">
        <f>IFERROR(__xludf.DUMMYFUNCTION("IFS(SUM($L$7:$L$61)=$L$29+$L$52+$L$57,""Tom tävling - lägg till grenar!"",
IFERROR(FILTER($T$7:$T$61,$T$7:$T$61=""Fyll i R-kolumnen"")=""Fyll i R-kolumnen"")=TRUE,""Fyll först i kolumn R"",
IFERROR(FILTER($T$7:$T$61,$T$7:$T$61=""Fyll i S-kolumnen"")=""Fyl"&amp;"l i S-kolumnen"")=TRUE,""Fyll först i kolumn S"",
SUMIFS($J$7:$J$61,$C$7:$C$61,P$71,$E$7:$E$61,1)=0,"""",
FILTER($J$7:$J$61,$C$7:$C$61=P$71,$E$7:$E$61=1)/(ROUNDUP((FILTER(Info!$H$2:$H81,Info!$A$2:$A81=P$71)/FILTER(Info!$H$2:$H81,Info!$A$2:$A81=$K$2))*$I$2"&amp;"))&gt;=1,
MROUND((FILTER($J$7:$J$61,$C$7:$C$61=P$71,$E$7:$E$61=1)/(ROUNDUP((FILTER(Info!$H$2:$H81,Info!$A$2:$A81=P$71)/FILTER(Info!$H$2:$H81,Info!$A$2:$A81=$K$2))*$I$2))-1)*100,0.01),
TRUE,-MROUND((1-(FILTER($J$7:$J$61,$C$7:$C$61=P$71,$E$7:$E$61=1)/(ROUNDUP("&amp;"(FILTER(Info!$H$2:$H81,Info!$A$2:$A81=P$71)/FILTER(Info!$H$2:$H81,Info!$A$2:$A81=$K$2))*$I$2))))*100,0.01))"),"Tom tävling - lägg till grenar!")</f>
        <v>Tom tävling - lägg till grenar!</v>
      </c>
      <c r="Q76" s="99" t="str">
        <f>IFERROR(__xludf.DUMMYFUNCTION("IFS(SUM($L$7:$L$61)=$L$29+$L$52+$L$57,""Tom tävling - lägg till grenar!"",
IFERROR(FILTER($T$7:$T$61,$T$7:$T$61=""Fyll i R-kolumnen"")=""Fyll i R-kolumnen"")=TRUE,""Fyll först i kolumn R"",
IFERROR(FILTER($T$7:$T$61,$T$7:$T$61=""Fyll i S-kolumnen"")=""Fyl"&amp;"l i S-kolumnen"")=TRUE,""Fyll först i kolumn S"",
SUMIFS($J$7:$J$61,$C$7:$C$61,Q$71,$E$7:$E$61,1)=0,"""",
FILTER($J$7:$J$61,$C$7:$C$61=Q$71,$E$7:$E$61=1)/(ROUNDUP((FILTER(Info!$H$2:$H81,Info!$A$2:$A81=Q$71)/FILTER(Info!$H$2:$H81,Info!$A$2:$A81=$K$2))*$I$2"&amp;"))&gt;=1,
MROUND((FILTER($J$7:$J$61,$C$7:$C$61=Q$71,$E$7:$E$61=1)/(ROUNDUP((FILTER(Info!$H$2:$H81,Info!$A$2:$A81=Q$71)/FILTER(Info!$H$2:$H81,Info!$A$2:$A81=$K$2))*$I$2))-1)*100,0.01),
TRUE,-MROUND((1-(FILTER($J$7:$J$61,$C$7:$C$61=Q$71,$E$7:$E$61=1)/(ROUNDUP("&amp;"(FILTER(Info!$H$2:$H81,Info!$A$2:$A81=Q$71)/FILTER(Info!$H$2:$H81,Info!$A$2:$A81=$K$2))*$I$2))))*100,0.01))"),"Tom tävling - lägg till grenar!")</f>
        <v>Tom tävling - lägg till grenar!</v>
      </c>
      <c r="R76" s="99" t="str">
        <f>IFERROR(__xludf.DUMMYFUNCTION("IFS(SUM($L$7:$L$61)=$L$29+$L$52+$L$57,""Tom tävling - lägg till grenar!"",
IFERROR(FILTER($T$7:$T$61,$T$7:$T$61=""Fyll i R-kolumnen"")=""Fyll i R-kolumnen"")=TRUE,""Fyll först i kolumn R"",
IFERROR(FILTER($T$7:$T$61,$T$7:$T$61=""Fyll i S-kolumnen"")=""Fyl"&amp;"l i S-kolumnen"")=TRUE,""Fyll först i kolumn S"",
SUMIFS($J$7:$J$61,$C$7:$C$61,R$71,$E$7:$E$61,1)=0,"""",
FILTER($J$7:$J$61,$C$7:$C$61=R$71,$E$7:$E$61=1)/(ROUNDUP((FILTER(Info!$H$2:$H81,Info!$A$2:$A81=R$71)/FILTER(Info!$H$2:$H81,Info!$A$2:$A81=$K$2))*$I$2"&amp;"))&gt;=1,
MROUND((FILTER($J$7:$J$61,$C$7:$C$61=R$71,$E$7:$E$61=1)/(ROUNDUP((FILTER(Info!$H$2:$H81,Info!$A$2:$A81=R$71)/FILTER(Info!$H$2:$H81,Info!$A$2:$A81=$K$2))*$I$2))-1)*100,0.01),
TRUE,-MROUND((1-(FILTER($J$7:$J$61,$C$7:$C$61=R$71,$E$7:$E$61=1)/(ROUNDUP("&amp;"(FILTER(Info!$H$2:$H81,Info!$A$2:$A81=R$71)/FILTER(Info!$H$2:$H81,Info!$A$2:$A81=$K$2))*$I$2))))*100,0.01))"),"Tom tävling - lägg till grenar!")</f>
        <v>Tom tävling - lägg till grenar!</v>
      </c>
      <c r="S76" s="99" t="str">
        <f>IFERROR(__xludf.DUMMYFUNCTION("IFS(SUM($L$7:$L$61)=$L$29+$L$52+$L$57,""Tom tävling - lägg till grenar!"",
IFERROR(FILTER($T$7:$T$61,$T$7:$T$61=""Fyll i R-kolumnen"")=""Fyll i R-kolumnen"")=TRUE,""Fyll först i kolumn R"",
IFERROR(FILTER($T$7:$T$61,$T$7:$T$61=""Fyll i S-kolumnen"")=""Fyl"&amp;"l i S-kolumnen"")=TRUE,""Fyll först i kolumn S"",
SUMIFS($J$7:$J$61,$C$7:$C$61,S$71,$E$7:$E$61,1)=0,"""",
FILTER($J$7:$J$61,$C$7:$C$61=S$71,$E$7:$E$61=1)/(ROUNDUP((FILTER(Info!$H$2:$H81,Info!$A$2:$A81=S$71)/FILTER(Info!$H$2:$H81,Info!$A$2:$A81=$K$2))*$I$2"&amp;"))&gt;=1,
MROUND((FILTER($J$7:$J$61,$C$7:$C$61=S$71,$E$7:$E$61=1)/(ROUNDUP((FILTER(Info!$H$2:$H81,Info!$A$2:$A81=S$71)/FILTER(Info!$H$2:$H81,Info!$A$2:$A81=$K$2))*$I$2))-1)*100,0.01),
TRUE,-MROUND((1-(FILTER($J$7:$J$61,$C$7:$C$61=S$71,$E$7:$E$61=1)/(ROUNDUP("&amp;"(FILTER(Info!$H$2:$H81,Info!$A$2:$A81=S$71)/FILTER(Info!$H$2:$H81,Info!$A$2:$A81=$K$2))*$I$2))))*100,0.01))"),"Tom tävling - lägg till grenar!")</f>
        <v>Tom tävling - lägg till grenar!</v>
      </c>
      <c r="T76" s="99" t="str">
        <f>IFERROR(__xludf.DUMMYFUNCTION("IFS(SUM($L$7:$L$61)=$L$29+$L$52+$L$57,""Tom tävling - lägg till grenar!"",
IFERROR(FILTER($T$7:$T$61,$T$7:$T$61=""Fyll i R-kolumnen"")=""Fyll i R-kolumnen"")=TRUE,""Fyll först i kolumn R"",
IFERROR(FILTER($T$7:$T$61,$T$7:$T$61=""Fyll i S-kolumnen"")=""Fyl"&amp;"l i S-kolumnen"")=TRUE,""Fyll först i kolumn S"",
SUMIFS($J$7:$J$61,$C$7:$C$61,T$71,$E$7:$E$61,1)=0,"""",
FILTER($J$7:$J$61,$C$7:$C$61=T$71,$E$7:$E$61=1)/(ROUNDUP((FILTER(Info!$H$2:$H81,Info!$A$2:$A81=T$71)/FILTER(Info!$H$2:$H81,Info!$A$2:$A81=$K$2))*$I$2"&amp;"))&gt;=1,
MROUND((FILTER($J$7:$J$61,$C$7:$C$61=T$71,$E$7:$E$61=1)/(ROUNDUP((FILTER(Info!$H$2:$H81,Info!$A$2:$A81=T$71)/FILTER(Info!$H$2:$H81,Info!$A$2:$A81=$K$2))*$I$2))-1)*100,0.01),
TRUE,-MROUND((1-(FILTER($J$7:$J$61,$C$7:$C$61=T$71,$E$7:$E$61=1)/(ROUNDUP("&amp;"(FILTER(Info!$H$2:$H81,Info!$A$2:$A81=T$71)/FILTER(Info!$H$2:$H81,Info!$A$2:$A81=$K$2))*$I$2))))*100,0.01))"),"Tom tävling - lägg till grenar!")</f>
        <v>Tom tävling - lägg till grenar!</v>
      </c>
      <c r="U76" s="99" t="str">
        <f>IFERROR(__xludf.DUMMYFUNCTION("IFS(SUM($L$7:$L$61)=$L$29+$L$52+$L$57,""Tom tävling - lägg till grenar!"",
IFERROR(FILTER($T$7:$T$61,$T$7:$T$61=""Fyll i R-kolumnen"")=""Fyll i R-kolumnen"")=TRUE,""Fyll först i kolumn R"",
IFERROR(FILTER($T$7:$T$61,$T$7:$T$61=""Fyll i S-kolumnen"")=""Fyl"&amp;"l i S-kolumnen"")=TRUE,""Fyll först i kolumn S"",
SUMIFS($J$7:$J$61,$C$7:$C$61,U$71,$E$7:$E$61,1)=0,"""",
FILTER($J$7:$J$61,$C$7:$C$61=U$71,$E$7:$E$61=1)/(ROUNDUP((FILTER(Info!$H$2:$H81,Info!$A$2:$A81=U$71)/FILTER(Info!$H$2:$H81,Info!$A$2:$A81=$K$2))*$I$2"&amp;"))&gt;=1,
MROUND((FILTER($J$7:$J$61,$C$7:$C$61=U$71,$E$7:$E$61=1)/(ROUNDUP((FILTER(Info!$H$2:$H81,Info!$A$2:$A81=U$71)/FILTER(Info!$H$2:$H81,Info!$A$2:$A81=$K$2))*$I$2))-1)*100,0.01),
TRUE,-MROUND((1-(FILTER($J$7:$J$61,$C$7:$C$61=U$71,$E$7:$E$61=1)/(ROUNDUP("&amp;"(FILTER(Info!$H$2:$H81,Info!$A$2:$A81=U$71)/FILTER(Info!$H$2:$H81,Info!$A$2:$A81=$K$2))*$I$2))))*100,0.01))"),"Tom tävling - lägg till grenar!")</f>
        <v>Tom tävling - lägg till grenar!</v>
      </c>
      <c r="V76" s="94"/>
      <c r="W76" s="94"/>
      <c r="X76" s="94"/>
      <c r="Y76" s="94"/>
      <c r="Z76" s="94"/>
      <c r="AA76" s="94"/>
      <c r="AB76" s="94"/>
    </row>
    <row r="77">
      <c r="A77" s="90" t="s">
        <v>114</v>
      </c>
      <c r="B77" s="24"/>
      <c r="C77" s="100" t="str">
        <f>IFERROR(__xludf.DUMMYFUNCTION("IF(OR(C$76="""",C$76=""Tom tävling - lägg till grenar!"",,C$76=""Fyll först i kolumn R"",C$76=""Fyll först i kolumn S""),"""",
FILTER(Info!$H$2:$H81,Info!$A$2:$A81=C$71)*FILTER($J$7:$J$61,$C$7:$C$61=C$71,$E$7:$E$61=1)/(ROUNDUP((FILTER(Info!$H$2:$H81,Info!"&amp;"$A$2:$A81=C$71)/FILTER(Info!$H$2:$H81,Info!$A$2:$A81=$K$2))*$I$2)))"),"")</f>
        <v/>
      </c>
      <c r="D77" s="100" t="str">
        <f>IFERROR(__xludf.DUMMYFUNCTION("IF(OR(D$76="""",D$76=""Tom tävling - lägg till grenar!"",,D$76=""Fyll först i kolumn R"",D$76=""Fyll först i kolumn S""),"""",
FILTER(Info!$H$2:$H81,Info!$A$2:$A81=D$71)*FILTER($J$7:$J$61,$C$7:$C$61=D$71,$E$7:$E$61=1)/(ROUNDUP((FILTER(Info!$H$2:$H81,Info!"&amp;"$A$2:$A81=D$71)/FILTER(Info!$H$2:$H81,Info!$A$2:$A81=$K$2))*$I$2)))"),"")</f>
        <v/>
      </c>
      <c r="E77" s="100" t="str">
        <f>IFERROR(__xludf.DUMMYFUNCTION("IF(OR(E$76="""",E$76=""Tom tävling - lägg till grenar!"",,E$76=""Fyll först i kolumn R"",E$76=""Fyll först i kolumn S""),"""",
FILTER(Info!$H$2:$H81,Info!$A$2:$A81=E$71)*FILTER($J$7:$J$61,$C$7:$C$61=E$71,$E$7:$E$61=1)/(ROUNDUP((FILTER(Info!$H$2:$H81,Info!"&amp;"$A$2:$A81=E$71)/FILTER(Info!$H$2:$H81,Info!$A$2:$A81=$K$2))*$I$2)))"),"")</f>
        <v/>
      </c>
      <c r="F77" s="100" t="str">
        <f>IFERROR(__xludf.DUMMYFUNCTION("IF(OR(F$76="""",F$76=""Tom tävling - lägg till grenar!"",,F$76=""Fyll först i kolumn R"",F$76=""Fyll först i kolumn S""),"""",
FILTER(Info!$H$2:$H81,Info!$A$2:$A81=F$71)*FILTER($J$7:$J$61,$C$7:$C$61=F$71,$E$7:$E$61=1)/(ROUNDUP((FILTER(Info!$H$2:$H81,Info!"&amp;"$A$2:$A81=F$71)/FILTER(Info!$H$2:$H81,Info!$A$2:$A81=$K$2))*$I$2)))"),"")</f>
        <v/>
      </c>
      <c r="G77" s="100" t="str">
        <f>IFERROR(__xludf.DUMMYFUNCTION("IF(OR(G$76="""",G$76=""Tom tävling - lägg till grenar!"",,G$76=""Fyll först i kolumn R"",G$76=""Fyll först i kolumn S""),"""",
FILTER(Info!$H$2:$H81,Info!$A$2:$A81=G$71)*FILTER($J$7:$J$61,$C$7:$C$61=G$71,$E$7:$E$61=1)/(ROUNDUP((FILTER(Info!$H$2:$H81,Info!"&amp;"$A$2:$A81=G$71)/FILTER(Info!$H$2:$H81,Info!$A$2:$A81=$K$2))*$I$2)))"),"")</f>
        <v/>
      </c>
      <c r="H77" s="100" t="str">
        <f>IFERROR(__xludf.DUMMYFUNCTION("IF(OR(H$76="""",H$76=""Tom tävling - lägg till grenar!"",,H$76=""Fyll först i kolumn R"",H$76=""Fyll först i kolumn S""),"""",
FILTER(Info!$H$2:$H81,Info!$A$2:$A81=H$71)*FILTER($J$7:$J$61,$C$7:$C$61=H$71,$E$7:$E$61=1)/(ROUNDUP((FILTER(Info!$H$2:$H81,Info!"&amp;"$A$2:$A81=H$71)/FILTER(Info!$H$2:$H81,Info!$A$2:$A81=$K$2))*$I$2)))"),"")</f>
        <v/>
      </c>
      <c r="I77" s="100" t="str">
        <f>IFERROR(__xludf.DUMMYFUNCTION("IF(OR(I$76="""",I$76=""Tom tävling - lägg till grenar!"",,I$76=""Fyll först i kolumn R"",I$76=""Fyll först i kolumn S""),"""",
FILTER(Info!$H$2:$H81,Info!$A$2:$A81=I$71)*FILTER($J$7:$J$61,$C$7:$C$61=I$71,$E$7:$E$61=1)/(ROUNDUP((FILTER(Info!$H$2:$H81,Info!"&amp;"$A$2:$A81=I$71)/FILTER(Info!$H$2:$H81,Info!$A$2:$A81=$K$2))*$I$2)))"),"")</f>
        <v/>
      </c>
      <c r="J77" s="100" t="str">
        <f>IFERROR(__xludf.DUMMYFUNCTION("IF(OR(J$76="""",J$76=""Tom tävling - lägg till grenar!"",,J$76=""Fyll först i kolumn R"",J$76=""Fyll först i kolumn S""),"""",
FILTER(Info!$H$2:$H81,Info!$A$2:$A81=J$71)*FILTER($J$7:$J$61,$C$7:$C$61=J$71,$E$7:$E$61=1)/(ROUNDUP((FILTER(Info!$H$2:$H81,Info!"&amp;"$A$2:$A81=J$71)/FILTER(Info!$H$2:$H81,Info!$A$2:$A81=$K$2))*$I$2)))"),"")</f>
        <v/>
      </c>
      <c r="K77" s="100" t="str">
        <f>IFERROR(__xludf.DUMMYFUNCTION("IF(OR(K$76="""",K$76=""Tom tävling - lägg till grenar!"",,K$76=""Fyll först i kolumn R"",K$76=""Fyll först i kolumn S""),"""",
FILTER(Info!$H$2:$H81,Info!$A$2:$A81=K$71)*FILTER($J$7:$J$61,$C$7:$C$61=K$71,$E$7:$E$61=1)/(ROUNDUP((FILTER(Info!$H$2:$H81,Info!"&amp;"$A$2:$A81=K$71)/FILTER(Info!$H$2:$H81,Info!$A$2:$A81=$K$2))*$I$2)))"),"")</f>
        <v/>
      </c>
      <c r="L77" s="100" t="str">
        <f>IFERROR(__xludf.DUMMYFUNCTION("IF(OR(L$76="""",L$76=""Tom tävling - lägg till grenar!"",,L$76=""Fyll först i kolumn R"",L$76=""Fyll först i kolumn S""),"""",
FILTER(Info!$H$2:$H81,Info!$A$2:$A81=L$71)*FILTER($J$7:$J$61,$C$7:$C$61=L$71,$E$7:$E$61=1)/(ROUNDUP((FILTER(Info!$H$2:$H81,Info!"&amp;"$A$2:$A81=L$71)/FILTER(Info!$H$2:$H81,Info!$A$2:$A81=$K$2))*$I$2)))"),"")</f>
        <v/>
      </c>
      <c r="M77" s="100" t="str">
        <f>IFERROR(__xludf.DUMMYFUNCTION("IF(OR(M$76="""",M$76=""Tom tävling - lägg till grenar!"",,M$76=""Fyll först i kolumn R"",M$76=""Fyll först i kolumn S""),"""",
FILTER(Info!$H$2:$H81,Info!$A$2:$A81=M$71)*FILTER($J$7:$J$61,$C$7:$C$61=M$71,$E$7:$E$61=1)/(ROUNDUP((FILTER(Info!$H$2:$H81,Info!"&amp;"$A$2:$A81=M$71)/FILTER(Info!$H$2:$H81,Info!$A$2:$A81=$K$2))*$I$2)))"),"")</f>
        <v/>
      </c>
      <c r="N77" s="100" t="str">
        <f>IFERROR(__xludf.DUMMYFUNCTION("IF(OR(N$76="""",N$76=""Tom tävling - lägg till grenar!"",,N$76=""Fyll först i kolumn R"",N$76=""Fyll först i kolumn S""),"""",
FILTER(Info!$H$2:$H81,Info!$A$2:$A81=N$71)*FILTER($J$7:$J$61,$C$7:$C$61=N$71,$E$7:$E$61=1)/(ROUNDUP((FILTER(Info!$H$2:$H81,Info!"&amp;"$A$2:$A81=N$71)/FILTER(Info!$H$2:$H81,Info!$A$2:$A81=$K$2))*$I$2)))"),"")</f>
        <v/>
      </c>
      <c r="O77" s="100" t="str">
        <f>IFERROR(__xludf.DUMMYFUNCTION("IF(OR(O$76="""",O$76=""Tom tävling - lägg till grenar!"",,O$76=""Fyll först i kolumn R"",O$76=""Fyll först i kolumn S""),"""",
FILTER(Info!$H$2:$H81,Info!$A$2:$A81=O$71)*FILTER($J$7:$J$61,$C$7:$C$61=O$71,$E$7:$E$61=1)/(ROUNDUP((FILTER(Info!$H$2:$H81,Info!"&amp;"$A$2:$A81=O$71)/FILTER(Info!$H$2:$H81,Info!$A$2:$A81=$K$2))*$I$2)))"),"")</f>
        <v/>
      </c>
      <c r="P77" s="100" t="str">
        <f>IFERROR(__xludf.DUMMYFUNCTION("IF(OR(P$76="""",P$76=""Tom tävling - lägg till grenar!"",,P$76=""Fyll först i kolumn R"",P$76=""Fyll först i kolumn S""),"""",
FILTER(Info!$H$2:$H81,Info!$A$2:$A81=P$71)*FILTER($J$7:$J$61,$C$7:$C$61=P$71,$E$7:$E$61=1)/(ROUNDUP((FILTER(Info!$H$2:$H81,Info!"&amp;"$A$2:$A81=P$71)/FILTER(Info!$H$2:$H81,Info!$A$2:$A81=$K$2))*$I$2)))"),"")</f>
        <v/>
      </c>
      <c r="Q77" s="100" t="str">
        <f>IFERROR(__xludf.DUMMYFUNCTION("IF(OR(Q$76="""",Q$76=""Tom tävling - lägg till grenar!"",,Q$76=""Fyll först i kolumn R"",Q$76=""Fyll först i kolumn S""),"""",
FILTER(Info!$H$2:$H81,Info!$A$2:$A81=Q$71)*FILTER($J$7:$J$61,$C$7:$C$61=Q$71,$E$7:$E$61=1)/(ROUNDUP((FILTER(Info!$H$2:$H81,Info!"&amp;"$A$2:$A81=Q$71)/FILTER(Info!$H$2:$H81,Info!$A$2:$A81=$K$2))*$I$2)))"),"")</f>
        <v/>
      </c>
      <c r="R77" s="100" t="str">
        <f>IFERROR(__xludf.DUMMYFUNCTION("IF(OR(R$76="""",R$76=""Tom tävling - lägg till grenar!"",,R$76=""Fyll först i kolumn R"",R$76=""Fyll först i kolumn S""),"""",
FILTER(Info!$H$2:$H81,Info!$A$2:$A81=R$71)*FILTER($J$7:$J$61,$C$7:$C$61=R$71,$E$7:$E$61=1)/(ROUNDUP((FILTER(Info!$H$2:$H81,Info!"&amp;"$A$2:$A81=R$71)/FILTER(Info!$H$2:$H81,Info!$A$2:$A81=$K$2))*$I$2)))"),"")</f>
        <v/>
      </c>
      <c r="S77" s="100" t="str">
        <f>IFERROR(__xludf.DUMMYFUNCTION("IF(OR(S$76="""",S$76=""Tom tävling - lägg till grenar!"",,S$76=""Fyll först i kolumn R"",S$76=""Fyll först i kolumn S""),"""",
FILTER(Info!$H$2:$H81,Info!$A$2:$A81=S$71)*FILTER($J$7:$J$61,$C$7:$C$61=S$71,$E$7:$E$61=1)/(ROUNDUP((FILTER(Info!$H$2:$H81,Info!"&amp;"$A$2:$A81=S$71)/FILTER(Info!$H$2:$H81,Info!$A$2:$A81=$K$2))*$I$2)))"),"")</f>
        <v/>
      </c>
      <c r="T77" s="100" t="str">
        <f>IFERROR(__xludf.DUMMYFUNCTION("IF(OR(T$76="""",T$76=""Tom tävling - lägg till grenar!"",,T$76=""Fyll först i kolumn R"",T$76=""Fyll först i kolumn S""),"""",
FILTER(Info!$H$2:$H81,Info!$A$2:$A81=T$71)*FILTER($J$7:$J$61,$C$7:$C$61=T$71,$E$7:$E$61=1)/(ROUNDUP((FILTER(Info!$H$2:$H81,Info!"&amp;"$A$2:$A81=T$71)/FILTER(Info!$H$2:$H81,Info!$A$2:$A81=$K$2))*$I$2)))"),"")</f>
        <v/>
      </c>
      <c r="U77" s="100" t="str">
        <f>IFERROR(__xludf.DUMMYFUNCTION("IF(OR(U$76="""",U$76=""Tom tävling - lägg till grenar!"",,U$76=""Fyll först i kolumn R"",U$76=""Fyll först i kolumn S""),"""",
FILTER(Info!$H$2:$H81,Info!$A$2:$A81=U$71)*FILTER($J$7:$J$61,$C$7:$C$61=U$71,$E$7:$E$61=1)/(ROUNDUP((FILTER(Info!$H$2:$H81,Info!"&amp;"$A$2:$A81=U$71)/FILTER(Info!$H$2:$H81,Info!$A$2:$A81=$K$2))*$I$2)))"),"")</f>
        <v/>
      </c>
      <c r="V77" s="94"/>
      <c r="W77" s="94"/>
      <c r="X77" s="94"/>
      <c r="Y77" s="94"/>
      <c r="Z77" s="94"/>
      <c r="AA77" s="94"/>
      <c r="AB77" s="94"/>
    </row>
    <row r="78">
      <c r="A78" s="90" t="s">
        <v>115</v>
      </c>
      <c r="B78" s="24"/>
      <c r="C78" s="99" t="str">
        <f>IFERROR(__xludf.DUMMYFUNCTION("IFS(SUM($L$7:$L$61)=$L$29+$L$52+$L$57,""Tom tävling - lägg till grenar!"",
IFERROR(FILTER($T$7:$T$61,$T$7:$T$61=""Fyll i R-kolumnen"")=""Fyll i R-kolumnen"")=TRUE,""Fyll först i kolumn R"",
IFERROR(FILTER($T$7:$T$61,$T$7:$T$61=""Fyll i S-kolumnen"")=""Fyl"&amp;"l i S-kolumnen"")=TRUE,""Fyll först i kolumn S"",
SUMIFS($L$7:$L$61,$C$7:$C$61,C$71,$I$7:$I$61,""&gt;0"")=0,"""",
FILTER($S$7:$S$61,$C$7:$C$61=C$71,$E$7:$E$61=1)/FILTER($K$7:$K$61,$C$7:$C$61=C$71,$E$7:$E$61=1)&gt;=1,
MROUND((FILTER($S$7:$S$61,$C$7:$C$61=C$71,$E"&amp;"$7:$E$61=1)/FILTER($K$7:$K$61,$C$7:$C$61=C$71,$E$7:$E$61=1)-1)*100,0.01),
TRUE,-MROUND((1-(FILTER($S$7:$S$61,$C$7:$C$61=C$71,$E$7:$E$61=1)/FILTER($K$7:$K$61,$C$7:$C$61=C$71,$E$7:$E$61=1)))*100,0.01))"),"Tom tävling - lägg till grenar!")</f>
        <v>Tom tävling - lägg till grenar!</v>
      </c>
      <c r="D78" s="99" t="str">
        <f>IFERROR(__xludf.DUMMYFUNCTION("IFS(SUM($L$7:$L$61)=$L$29+$L$52+$L$57,""Tom tävling - lägg till grenar!"",
IFERROR(FILTER($T$7:$T$61,$T$7:$T$61=""Fyll i R-kolumnen"")=""Fyll i R-kolumnen"")=TRUE,""Fyll först i kolumn R"",
IFERROR(FILTER($T$7:$T$61,$T$7:$T$61=""Fyll i S-kolumnen"")=""Fyl"&amp;"l i S-kolumnen"")=TRUE,""Fyll först i kolumn S"",
SUMIFS($L$7:$L$61,$C$7:$C$61,D$71,$I$7:$I$61,""&gt;0"")=0,"""",
FILTER($S$7:$S$61,$C$7:$C$61=D$71,$E$7:$E$61=1)/FILTER($K$7:$K$61,$C$7:$C$61=D$71,$E$7:$E$61=1)&gt;=1,
MROUND((FILTER($S$7:$S$61,$C$7:$C$61=D$71,$E"&amp;"$7:$E$61=1)/FILTER($K$7:$K$61,$C$7:$C$61=D$71,$E$7:$E$61=1)-1)*100,0.01),
TRUE,-MROUND((1-(FILTER($S$7:$S$61,$C$7:$C$61=D$71,$E$7:$E$61=1)/FILTER($K$7:$K$61,$C$7:$C$61=D$71,$E$7:$E$61=1)))*100,0.01))"),"Tom tävling - lägg till grenar!")</f>
        <v>Tom tävling - lägg till grenar!</v>
      </c>
      <c r="E78" s="99" t="str">
        <f>IFERROR(__xludf.DUMMYFUNCTION("IFS(SUM($L$7:$L$61)=$L$29+$L$52+$L$57,""Tom tävling - lägg till grenar!"",
IFERROR(FILTER($T$7:$T$61,$T$7:$T$61=""Fyll i R-kolumnen"")=""Fyll i R-kolumnen"")=TRUE,""Fyll först i kolumn R"",
IFERROR(FILTER($T$7:$T$61,$T$7:$T$61=""Fyll i S-kolumnen"")=""Fyl"&amp;"l i S-kolumnen"")=TRUE,""Fyll först i kolumn S"",
SUMIFS($L$7:$L$61,$C$7:$C$61,E$71,$I$7:$I$61,""&gt;0"")=0,"""",
FILTER($S$7:$S$61,$C$7:$C$61=E$71,$E$7:$E$61=1)/FILTER($K$7:$K$61,$C$7:$C$61=E$71,$E$7:$E$61=1)&gt;=1,
MROUND((FILTER($S$7:$S$61,$C$7:$C$61=E$71,$E"&amp;"$7:$E$61=1)/FILTER($K$7:$K$61,$C$7:$C$61=E$71,$E$7:$E$61=1)-1)*100,0.01),
TRUE,-MROUND((1-(FILTER($S$7:$S$61,$C$7:$C$61=E$71,$E$7:$E$61=1)/FILTER($K$7:$K$61,$C$7:$C$61=E$71,$E$7:$E$61=1)))*100,0.01))"),"Tom tävling - lägg till grenar!")</f>
        <v>Tom tävling - lägg till grenar!</v>
      </c>
      <c r="F78" s="99" t="str">
        <f>IFERROR(__xludf.DUMMYFUNCTION("IFS(SUM($L$7:$L$61)=$L$29+$L$52+$L$57,""Tom tävling - lägg till grenar!"",
IFERROR(FILTER($T$7:$T$61,$T$7:$T$61=""Fyll i R-kolumnen"")=""Fyll i R-kolumnen"")=TRUE,""Fyll först i kolumn R"",
IFERROR(FILTER($T$7:$T$61,$T$7:$T$61=""Fyll i S-kolumnen"")=""Fyl"&amp;"l i S-kolumnen"")=TRUE,""Fyll först i kolumn S"",
SUMIFS($L$7:$L$61,$C$7:$C$61,F$71,$I$7:$I$61,""&gt;0"")=0,"""",
FILTER($S$7:$S$61,$C$7:$C$61=F$71,$E$7:$E$61=1)/FILTER($K$7:$K$61,$C$7:$C$61=F$71,$E$7:$E$61=1)&gt;=1,
MROUND((FILTER($S$7:$S$61,$C$7:$C$61=F$71,$E"&amp;"$7:$E$61=1)/FILTER($K$7:$K$61,$C$7:$C$61=F$71,$E$7:$E$61=1)-1)*100,0.01),
TRUE,-MROUND((1-(FILTER($S$7:$S$61,$C$7:$C$61=F$71,$E$7:$E$61=1)/FILTER($K$7:$K$61,$C$7:$C$61=F$71,$E$7:$E$61=1)))*100,0.01))"),"Tom tävling - lägg till grenar!")</f>
        <v>Tom tävling - lägg till grenar!</v>
      </c>
      <c r="G78" s="99" t="str">
        <f>IFERROR(__xludf.DUMMYFUNCTION("IFS(SUM($L$7:$L$61)=$L$29+$L$52+$L$57,""Tom tävling - lägg till grenar!"",
IFERROR(FILTER($T$7:$T$61,$T$7:$T$61=""Fyll i R-kolumnen"")=""Fyll i R-kolumnen"")=TRUE,""Fyll först i kolumn R"",
IFERROR(FILTER($T$7:$T$61,$T$7:$T$61=""Fyll i S-kolumnen"")=""Fyl"&amp;"l i S-kolumnen"")=TRUE,""Fyll först i kolumn S"",
SUMIFS($L$7:$L$61,$C$7:$C$61,G$71,$I$7:$I$61,""&gt;0"")=0,"""",
FILTER($S$7:$S$61,$C$7:$C$61=G$71,$E$7:$E$61=1)/FILTER($K$7:$K$61,$C$7:$C$61=G$71,$E$7:$E$61=1)&gt;=1,
MROUND((FILTER($S$7:$S$61,$C$7:$C$61=G$71,$E"&amp;"$7:$E$61=1)/FILTER($K$7:$K$61,$C$7:$C$61=G$71,$E$7:$E$61=1)-1)*100,0.01),
TRUE,-MROUND((1-(FILTER($S$7:$S$61,$C$7:$C$61=G$71,$E$7:$E$61=1)/FILTER($K$7:$K$61,$C$7:$C$61=G$71,$E$7:$E$61=1)))*100,0.01))"),"Tom tävling - lägg till grenar!")</f>
        <v>Tom tävling - lägg till grenar!</v>
      </c>
      <c r="H78" s="99" t="str">
        <f>IFERROR(__xludf.DUMMYFUNCTION("IFS(SUM($L$7:$L$61)=$L$29+$L$52+$L$57,""Tom tävling - lägg till grenar!"",
IFERROR(FILTER($T$7:$T$61,$T$7:$T$61=""Fyll i R-kolumnen"")=""Fyll i R-kolumnen"")=TRUE,""Fyll först i kolumn R"",
IFERROR(FILTER($T$7:$T$61,$T$7:$T$61=""Fyll i S-kolumnen"")=""Fyl"&amp;"l i S-kolumnen"")=TRUE,""Fyll först i kolumn S"",
SUMIFS($L$7:$L$61,$C$7:$C$61,H$71,$I$7:$I$61,""&gt;0"")=0,"""",
FILTER($S$7:$S$61,$C$7:$C$61=H$71,$E$7:$E$61=1)/FILTER($K$7:$K$61,$C$7:$C$61=H$71,$E$7:$E$61=1)&gt;=1,
MROUND((FILTER($S$7:$S$61,$C$7:$C$61=H$71,$E"&amp;"$7:$E$61=1)/FILTER($K$7:$K$61,$C$7:$C$61=H$71,$E$7:$E$61=1)-1)*100,0.01),
TRUE,-MROUND((1-(FILTER($S$7:$S$61,$C$7:$C$61=H$71,$E$7:$E$61=1)/FILTER($K$7:$K$61,$C$7:$C$61=H$71,$E$7:$E$61=1)))*100,0.01))"),"Tom tävling - lägg till grenar!")</f>
        <v>Tom tävling - lägg till grenar!</v>
      </c>
      <c r="I78" s="99" t="str">
        <f>IFERROR(__xludf.DUMMYFUNCTION("IFS(SUM($L$7:$L$61)=$L$29+$L$52+$L$57,""Tom tävling - lägg till grenar!"",
IFERROR(FILTER($T$7:$T$61,$T$7:$T$61=""Fyll i R-kolumnen"")=""Fyll i R-kolumnen"")=TRUE,""Fyll först i kolumn R"",
IFERROR(FILTER($T$7:$T$61,$T$7:$T$61=""Fyll i S-kolumnen"")=""Fyl"&amp;"l i S-kolumnen"")=TRUE,""Fyll först i kolumn S"",
SUMIFS($L$7:$L$61,$C$7:$C$61,I$71,$I$7:$I$61,""&gt;0"")=0,"""",
FILTER($S$7:$S$61,$C$7:$C$61=I$71,$E$7:$E$61=1)/FILTER($K$7:$K$61,$C$7:$C$61=I$71,$E$7:$E$61=1)&gt;=1,
MROUND((FILTER($S$7:$S$61,$C$7:$C$61=I$71,$E"&amp;"$7:$E$61=1)/FILTER($K$7:$K$61,$C$7:$C$61=I$71,$E$7:$E$61=1)-1)*100,0.01),
TRUE,-MROUND((1-(FILTER($S$7:$S$61,$C$7:$C$61=I$71,$E$7:$E$61=1)/FILTER($K$7:$K$61,$C$7:$C$61=I$71,$E$7:$E$61=1)))*100,0.01))"),"Tom tävling - lägg till grenar!")</f>
        <v>Tom tävling - lägg till grenar!</v>
      </c>
      <c r="J78" s="99" t="str">
        <f>IFERROR(__xludf.DUMMYFUNCTION("IFS(SUM($L$7:$L$61)=$L$29+$L$52+$L$57,""Tom tävling - lägg till grenar!"",
IFERROR(FILTER($T$7:$T$61,$T$7:$T$61=""Fyll i R-kolumnen"")=""Fyll i R-kolumnen"")=TRUE,""Fyll först i kolumn R"",
IFERROR(FILTER($T$7:$T$61,$T$7:$T$61=""Fyll i S-kolumnen"")=""Fyl"&amp;"l i S-kolumnen"")=TRUE,""Fyll först i kolumn S"",
SUMIFS($L$7:$L$61,$C$7:$C$61,J$71,$I$7:$I$61,""&gt;0"")=0,"""",
FILTER($S$7:$S$61,$C$7:$C$61=J$71,$E$7:$E$61=1)/FILTER($K$7:$K$61,$C$7:$C$61=J$71,$E$7:$E$61=1)&gt;=1,
MROUND((FILTER($S$7:$S$61,$C$7:$C$61=J$71,$E"&amp;"$7:$E$61=1)/FILTER($K$7:$K$61,$C$7:$C$61=J$71,$E$7:$E$61=1)-1)*100,0.01),
TRUE,-MROUND((1-(FILTER($S$7:$S$61,$C$7:$C$61=J$71,$E$7:$E$61=1)/FILTER($K$7:$K$61,$C$7:$C$61=J$71,$E$7:$E$61=1)))*100,0.01))"),"Tom tävling - lägg till grenar!")</f>
        <v>Tom tävling - lägg till grenar!</v>
      </c>
      <c r="K78" s="99" t="str">
        <f>IFERROR(__xludf.DUMMYFUNCTION("IFS(SUM($L$7:$L$61)=$L$29+$L$52+$L$57,""Tom tävling - lägg till grenar!"",
IFERROR(FILTER($T$7:$T$61,$T$7:$T$61=""Fyll i R-kolumnen"")=""Fyll i R-kolumnen"")=TRUE,""Fyll först i kolumn R"",
IFERROR(FILTER($T$7:$T$61,$T$7:$T$61=""Fyll i S-kolumnen"")=""Fyl"&amp;"l i S-kolumnen"")=TRUE,""Fyll först i kolumn S"",
SUMIFS($L$7:$L$61,$C$7:$C$61,K$71,$I$7:$I$61,""&gt;0"")=0,"""",
FILTER($S$7:$S$61,$C$7:$C$61=K$71,$E$7:$E$61=1)/FILTER($K$7:$K$61,$C$7:$C$61=K$71,$E$7:$E$61=1)&gt;=1,
MROUND((FILTER($S$7:$S$61,$C$7:$C$61=K$71,$E"&amp;"$7:$E$61=1)/FILTER($K$7:$K$61,$C$7:$C$61=K$71,$E$7:$E$61=1)-1)*100,0.01),
TRUE,-MROUND((1-(FILTER($S$7:$S$61,$C$7:$C$61=K$71,$E$7:$E$61=1)/FILTER($K$7:$K$61,$C$7:$C$61=K$71,$E$7:$E$61=1)))*100,0.01))"),"Tom tävling - lägg till grenar!")</f>
        <v>Tom tävling - lägg till grenar!</v>
      </c>
      <c r="L78" s="99" t="str">
        <f>IFERROR(__xludf.DUMMYFUNCTION("IFS(SUM($L$7:$L$61)=$L$29+$L$52+$L$57,""Tom tävling - lägg till grenar!"",
IFERROR(FILTER($T$7:$T$61,$T$7:$T$61=""Fyll i R-kolumnen"")=""Fyll i R-kolumnen"")=TRUE,""Fyll först i kolumn R"",
IFERROR(FILTER($T$7:$T$61,$T$7:$T$61=""Fyll i S-kolumnen"")=""Fyl"&amp;"l i S-kolumnen"")=TRUE,""Fyll först i kolumn S"",
SUMIFS($L$7:$L$61,$C$7:$C$61,L$71,$I$7:$I$61,""&gt;0"")=0,"""",
FILTER($S$7:$S$61,$C$7:$C$61=L$71,$E$7:$E$61=1)/FILTER($K$7:$K$61,$C$7:$C$61=L$71,$E$7:$E$61=1)&gt;=1,
MROUND((FILTER($S$7:$S$61,$C$7:$C$61=L$71,$E"&amp;"$7:$E$61=1)/FILTER($K$7:$K$61,$C$7:$C$61=L$71,$E$7:$E$61=1)-1)*100,0.01),
TRUE,-MROUND((1-(FILTER($S$7:$S$61,$C$7:$C$61=L$71,$E$7:$E$61=1)/FILTER($K$7:$K$61,$C$7:$C$61=L$71,$E$7:$E$61=1)))*100,0.01))"),"Tom tävling - lägg till grenar!")</f>
        <v>Tom tävling - lägg till grenar!</v>
      </c>
      <c r="M78" s="99" t="str">
        <f>IFERROR(__xludf.DUMMYFUNCTION("IFS(SUM($L$7:$L$61)=$L$29+$L$52+$L$57,""Tom tävling - lägg till grenar!"",
IFERROR(FILTER($T$7:$T$61,$T$7:$T$61=""Fyll i R-kolumnen"")=""Fyll i R-kolumnen"")=TRUE,""Fyll först i kolumn R"",
IFERROR(FILTER($T$7:$T$61,$T$7:$T$61=""Fyll i S-kolumnen"")=""Fyl"&amp;"l i S-kolumnen"")=TRUE,""Fyll först i kolumn S"",
SUMIFS($L$7:$L$61,$C$7:$C$61,M$71,$I$7:$I$61,""&gt;0"")=0,"""",
FILTER($S$7:$S$61,$C$7:$C$61=M$71,$E$7:$E$61=1)/FILTER($K$7:$K$61,$C$7:$C$61=M$71,$E$7:$E$61=1)&gt;=1,
MROUND((FILTER($S$7:$S$61,$C$7:$C$61=M$71,$E"&amp;"$7:$E$61=1)/FILTER($K$7:$K$61,$C$7:$C$61=M$71,$E$7:$E$61=1)-1)*100,0.01),
TRUE,-MROUND((1-(FILTER($S$7:$S$61,$C$7:$C$61=M$71,$E$7:$E$61=1)/FILTER($K$7:$K$61,$C$7:$C$61=M$71,$E$7:$E$61=1)))*100,0.01))"),"Tom tävling - lägg till grenar!")</f>
        <v>Tom tävling - lägg till grenar!</v>
      </c>
      <c r="N78" s="99" t="str">
        <f>IFERROR(__xludf.DUMMYFUNCTION("IFS(SUM($L$7:$L$61)=$L$29+$L$52+$L$57,""Tom tävling - lägg till grenar!"",
IFERROR(FILTER($T$7:$T$61,$T$7:$T$61=""Fyll i R-kolumnen"")=""Fyll i R-kolumnen"")=TRUE,""Fyll först i kolumn R"",
IFERROR(FILTER($T$7:$T$61,$T$7:$T$61=""Fyll i S-kolumnen"")=""Fyl"&amp;"l i S-kolumnen"")=TRUE,""Fyll först i kolumn S"",
SUMIFS($L$7:$L$61,$C$7:$C$61,N$71,$I$7:$I$61,""&gt;0"")=0,"""",
FILTER($S$7:$S$61,$C$7:$C$61=N$71,$E$7:$E$61=1)/FILTER($K$7:$K$61,$C$7:$C$61=N$71,$E$7:$E$61=1)&gt;=1,
MROUND((FILTER($S$7:$S$61,$C$7:$C$61=N$71,$E"&amp;"$7:$E$61=1)/FILTER($K$7:$K$61,$C$7:$C$61=N$71,$E$7:$E$61=1)-1)*100,0.01),
TRUE,-MROUND((1-(FILTER($S$7:$S$61,$C$7:$C$61=N$71,$E$7:$E$61=1)/FILTER($K$7:$K$61,$C$7:$C$61=N$71,$E$7:$E$61=1)))*100,0.01))"),"Tom tävling - lägg till grenar!")</f>
        <v>Tom tävling - lägg till grenar!</v>
      </c>
      <c r="O78" s="99" t="str">
        <f>IFERROR(__xludf.DUMMYFUNCTION("IFS(SUM($L$7:$L$61)=$L$29+$L$52+$L$57,""Tom tävling - lägg till grenar!"",
IFERROR(FILTER($T$7:$T$61,$T$7:$T$61=""Fyll i R-kolumnen"")=""Fyll i R-kolumnen"")=TRUE,""Fyll först i kolumn R"",
IFERROR(FILTER($T$7:$T$61,$T$7:$T$61=""Fyll i S-kolumnen"")=""Fyl"&amp;"l i S-kolumnen"")=TRUE,""Fyll först i kolumn S"",
SUMIFS($L$7:$L$61,$C$7:$C$61,O$71,$I$7:$I$61,""&gt;0"")=0,"""",
FILTER($S$7:$S$61,$C$7:$C$61=O$71,$E$7:$E$61=1)/FILTER($K$7:$K$61,$C$7:$C$61=O$71,$E$7:$E$61=1)&gt;=1,
MROUND((FILTER($S$7:$S$61,$C$7:$C$61=O$71,$E"&amp;"$7:$E$61=1)/FILTER($K$7:$K$61,$C$7:$C$61=O$71,$E$7:$E$61=1)-1)*100,0.01),
TRUE,-MROUND((1-(FILTER($S$7:$S$61,$C$7:$C$61=O$71,$E$7:$E$61=1)/FILTER($K$7:$K$61,$C$7:$C$61=O$71,$E$7:$E$61=1)))*100,0.01))"),"Tom tävling - lägg till grenar!")</f>
        <v>Tom tävling - lägg till grenar!</v>
      </c>
      <c r="P78" s="99" t="str">
        <f>IFERROR(__xludf.DUMMYFUNCTION("IFS(SUM($L$7:$L$61)=$L$29+$L$52+$L$57,""Tom tävling - lägg till grenar!"",
IFERROR(FILTER($T$7:$T$61,$T$7:$T$61=""Fyll i R-kolumnen"")=""Fyll i R-kolumnen"")=TRUE,""Fyll först i kolumn R"",
IFERROR(FILTER($T$7:$T$61,$T$7:$T$61=""Fyll i S-kolumnen"")=""Fyl"&amp;"l i S-kolumnen"")=TRUE,""Fyll först i kolumn S"",
SUMIFS($L$7:$L$61,$C$7:$C$61,P$71,$I$7:$I$61,""&gt;0"")=0,"""",
FILTER($S$7:$S$61,$C$7:$C$61=P$71,$E$7:$E$61=1)/FILTER($K$7:$K$61,$C$7:$C$61=P$71,$E$7:$E$61=1)&gt;=1,
MROUND((FILTER($S$7:$S$61,$C$7:$C$61=P$71,$E"&amp;"$7:$E$61=1)/FILTER($K$7:$K$61,$C$7:$C$61=P$71,$E$7:$E$61=1)-1)*100,0.01),
TRUE,-MROUND((1-(FILTER($S$7:$S$61,$C$7:$C$61=P$71,$E$7:$E$61=1)/FILTER($K$7:$K$61,$C$7:$C$61=P$71,$E$7:$E$61=1)))*100,0.01))"),"Tom tävling - lägg till grenar!")</f>
        <v>Tom tävling - lägg till grenar!</v>
      </c>
      <c r="Q78" s="99" t="str">
        <f>IFERROR(__xludf.DUMMYFUNCTION("IFS(SUM($L$7:$L$61)=$L$29+$L$52+$L$57,""Tom tävling - lägg till grenar!"",
IFERROR(FILTER($T$7:$T$61,$T$7:$T$61=""Fyll i R-kolumnen"")=""Fyll i R-kolumnen"")=TRUE,""Fyll först i kolumn R"",
IFERROR(FILTER($T$7:$T$61,$T$7:$T$61=""Fyll i S-kolumnen"")=""Fyl"&amp;"l i S-kolumnen"")=TRUE,""Fyll först i kolumn S"",
SUMIFS($L$7:$L$61,$C$7:$C$61,Q$71,$I$7:$I$61,""&gt;0"")=0,"""",
FILTER($S$7:$S$61,$C$7:$C$61=Q$71,$E$7:$E$61=1)/FILTER($K$7:$K$61,$C$7:$C$61=Q$71,$E$7:$E$61=1)&gt;=1,
MROUND((FILTER($S$7:$S$61,$C$7:$C$61=Q$71,$E"&amp;"$7:$E$61=1)/FILTER($K$7:$K$61,$C$7:$C$61=Q$71,$E$7:$E$61=1)-1)*100,0.01),
TRUE,-MROUND((1-(FILTER($S$7:$S$61,$C$7:$C$61=Q$71,$E$7:$E$61=1)/FILTER($K$7:$K$61,$C$7:$C$61=Q$71,$E$7:$E$61=1)))*100,0.01))"),"Tom tävling - lägg till grenar!")</f>
        <v>Tom tävling - lägg till grenar!</v>
      </c>
      <c r="R78" s="99" t="str">
        <f>IFERROR(__xludf.DUMMYFUNCTION("IFS(SUM($L$7:$L$61)=$L$29+$L$52+$L$57,""Tom tävling - lägg till grenar!"",
IFERROR(FILTER($T$7:$T$61,$T$7:$T$61=""Fyll i R-kolumnen"")=""Fyll i R-kolumnen"")=TRUE,""Fyll först i kolumn R"",
IFERROR(FILTER($T$7:$T$61,$T$7:$T$61=""Fyll i S-kolumnen"")=""Fyl"&amp;"l i S-kolumnen"")=TRUE,""Fyll först i kolumn S"",
SUMIFS($L$7:$L$61,$C$7:$C$61,R$71,$I$7:$I$61,""&gt;0"")=0,"""",
FILTER($S$7:$S$61,$C$7:$C$61=R$71,$E$7:$E$61=1)/FILTER($K$7:$K$61,$C$7:$C$61=R$71,$E$7:$E$61=1)&gt;=1,
MROUND((FILTER($S$7:$S$61,$C$7:$C$61=R$71,$E"&amp;"$7:$E$61=1)/FILTER($K$7:$K$61,$C$7:$C$61=R$71,$E$7:$E$61=1)-1)*100,0.01),
TRUE,-MROUND((1-(FILTER($S$7:$S$61,$C$7:$C$61=R$71,$E$7:$E$61=1)/FILTER($K$7:$K$61,$C$7:$C$61=R$71,$E$7:$E$61=1)))*100,0.01))"),"Tom tävling - lägg till grenar!")</f>
        <v>Tom tävling - lägg till grenar!</v>
      </c>
      <c r="S78" s="99" t="str">
        <f>IFERROR(__xludf.DUMMYFUNCTION("IFS(SUM($L$7:$L$61)=$L$29+$L$52+$L$57,""Tom tävling - lägg till grenar!"",
IFERROR(FILTER($T$7:$T$61,$T$7:$T$61=""Fyll i R-kolumnen"")=""Fyll i R-kolumnen"")=TRUE,""Fyll först i kolumn R"",
IFERROR(FILTER($T$7:$T$61,$T$7:$T$61=""Fyll i S-kolumnen"")=""Fyl"&amp;"l i S-kolumnen"")=TRUE,""Fyll först i kolumn S"",
SUMIFS($L$7:$L$61,$C$7:$C$61,S$71,$I$7:$I$61,""&gt;0"")=0,"""",
FILTER($S$7:$S$61,$C$7:$C$61=S$71,$E$7:$E$61=1)/FILTER($K$7:$K$61,$C$7:$C$61=S$71,$E$7:$E$61=1)&gt;=1,
MROUND((FILTER($S$7:$S$61,$C$7:$C$61=S$71,$E"&amp;"$7:$E$61=1)/FILTER($K$7:$K$61,$C$7:$C$61=S$71,$E$7:$E$61=1)-1)*100,0.01),
TRUE,-MROUND((1-(FILTER($S$7:$S$61,$C$7:$C$61=S$71,$E$7:$E$61=1)/FILTER($K$7:$K$61,$C$7:$C$61=S$71,$E$7:$E$61=1)))*100,0.01))"),"Tom tävling - lägg till grenar!")</f>
        <v>Tom tävling - lägg till grenar!</v>
      </c>
      <c r="T78" s="99" t="str">
        <f>IFERROR(__xludf.DUMMYFUNCTION("IFS(SUM($L$7:$L$61)=$L$29+$L$52+$L$57,""Tom tävling - lägg till grenar!"",
IFERROR(FILTER($T$7:$T$61,$T$7:$T$61=""Fyll i R-kolumnen"")=""Fyll i R-kolumnen"")=TRUE,""Fyll först i kolumn R"",
IFERROR(FILTER($T$7:$T$61,$T$7:$T$61=""Fyll i S-kolumnen"")=""Fyl"&amp;"l i S-kolumnen"")=TRUE,""Fyll först i kolumn S"",
SUMIFS($L$7:$L$61,$C$7:$C$61,T$71,$I$7:$I$61,""&gt;0"")=0,"""",
FILTER($S$7:$S$61,$C$7:$C$61=T$71,$E$7:$E$61=1)/FILTER($K$7:$K$61,$C$7:$C$61=T$71,$E$7:$E$61=1)&gt;=1,
MROUND((FILTER($S$7:$S$61,$C$7:$C$61=T$71,$E"&amp;"$7:$E$61=1)/FILTER($K$7:$K$61,$C$7:$C$61=T$71,$E$7:$E$61=1)-1)*100,0.01),
TRUE,-MROUND((1-(FILTER($S$7:$S$61,$C$7:$C$61=T$71,$E$7:$E$61=1)/FILTER($K$7:$K$61,$C$7:$C$61=T$71,$E$7:$E$61=1)))*100,0.01))"),"Tom tävling - lägg till grenar!")</f>
        <v>Tom tävling - lägg till grenar!</v>
      </c>
      <c r="U78" s="99" t="str">
        <f>IFERROR(__xludf.DUMMYFUNCTION("IFS(SUM($L$7:$L$61)=$L$29+$L$52+$L$57,""Tom tävling - lägg till grenar!"",
IFERROR(FILTER($T$7:$T$61,$T$7:$T$61=""Fyll i R-kolumnen"")=""Fyll i R-kolumnen"")=TRUE,""Fyll först i kolumn R"",
IFERROR(FILTER($T$7:$T$61,$T$7:$T$61=""Fyll i S-kolumnen"")=""Fyl"&amp;"l i S-kolumnen"")=TRUE,""Fyll först i kolumn S"",
SUMIFS($L$7:$L$61,$C$7:$C$61,U$71,$I$7:$I$61,""&gt;0"")=0,"""",
FILTER($S$7:$S$61,$C$7:$C$61=U$71,$E$7:$E$61=1)/FILTER($K$7:$K$61,$C$7:$C$61=U$71,$E$7:$E$61=1)&gt;=1,
MROUND((FILTER($S$7:$S$61,$C$7:$C$61=U$71,$E"&amp;"$7:$E$61=1)/FILTER($K$7:$K$61,$C$7:$C$61=U$71,$E$7:$E$61=1)-1)*100,0.01),
TRUE,-MROUND((1-(FILTER($S$7:$S$61,$C$7:$C$61=U$71,$E$7:$E$61=1)/FILTER($K$7:$K$61,$C$7:$C$61=U$71,$E$7:$E$61=1)))*100,0.01))"),"Tom tävling - lägg till grenar!")</f>
        <v>Tom tävling - lägg till grenar!</v>
      </c>
      <c r="V78" s="94"/>
      <c r="W78" s="94"/>
      <c r="X78" s="94"/>
      <c r="Y78" s="94"/>
      <c r="Z78" s="94"/>
      <c r="AA78" s="94"/>
      <c r="AB78" s="94"/>
    </row>
    <row r="79">
      <c r="A79" s="90" t="s">
        <v>116</v>
      </c>
      <c r="B79" s="24"/>
      <c r="C79" s="100" t="str">
        <f>IFERROR(__xludf.DUMMYFUNCTION("IF(OR(C$78="""",C$78=""Tom tävling - lägg till grenar!"",C$78=""Fyll först i kolumn R"",C$78=""Fyll först i kolumn S""),"""",
(FILTER($K$7:$K$61,$C$7:$C61=C$71,$E$7:$E61=1)/FILTER($J$7:$J$61,$C$7:$C61=C$71,$E$7:$E61=1))*FILTER($S$7:$S$61,$C$7:$C$61=C$71,$"&amp;"E$7:$E$61=1)/FILTER($K$7:$K$61,$C$7:$C$61=C$71,$E$7:$E$61=1))"),"")</f>
        <v/>
      </c>
      <c r="D79" s="100" t="str">
        <f>IFERROR(__xludf.DUMMYFUNCTION("IF(OR(D$78="""",D$78=""Tom tävling - lägg till grenar!"",D$78=""Fyll först i kolumn R"",D$78=""Fyll först i kolumn S""),"""",
(FILTER($K$7:$K$61,$C$7:$C61=D$71,$E$7:$E61=1)/FILTER($J$7:$J$61,$C$7:$C61=D$71,$E$7:$E61=1))*FILTER($S$7:$S$61,$C$7:$C$61=D$71,$"&amp;"E$7:$E$61=1)/FILTER($K$7:$K$61,$C$7:$C$61=D$71,$E$7:$E$61=1))"),"")</f>
        <v/>
      </c>
      <c r="E79" s="100" t="str">
        <f>IFERROR(__xludf.DUMMYFUNCTION("IF(OR(E$78="""",E$78=""Tom tävling - lägg till grenar!"",E$78=""Fyll först i kolumn R"",E$78=""Fyll först i kolumn S""),"""",
(FILTER($K$7:$K$61,$C$7:$C61=E$71,$E$7:$E61=1)/FILTER($J$7:$J$61,$C$7:$C61=E$71,$E$7:$E61=1))*FILTER($S$7:$S$61,$C$7:$C$61=E$71,$"&amp;"E$7:$E$61=1)/FILTER($K$7:$K$61,$C$7:$C$61=E$71,$E$7:$E$61=1))"),"")</f>
        <v/>
      </c>
      <c r="F79" s="100" t="str">
        <f>IFERROR(__xludf.DUMMYFUNCTION("IF(OR(F$78="""",F$78=""Tom tävling - lägg till grenar!"",F$78=""Fyll först i kolumn R"",F$78=""Fyll först i kolumn S""),"""",
(FILTER($K$7:$K$61,$C$7:$C61=F$71,$E$7:$E61=1)/FILTER($J$7:$J$61,$C$7:$C61=F$71,$E$7:$E61=1))*FILTER($S$7:$S$61,$C$7:$C$61=F$71,$"&amp;"E$7:$E$61=1)/FILTER($K$7:$K$61,$C$7:$C$61=F$71,$E$7:$E$61=1))"),"")</f>
        <v/>
      </c>
      <c r="G79" s="100" t="str">
        <f>IFERROR(__xludf.DUMMYFUNCTION("IF(OR(G$78="""",G$78=""Tom tävling - lägg till grenar!"",G$78=""Fyll först i kolumn R"",G$78=""Fyll först i kolumn S""),"""",
(FILTER($K$7:$K$61,$C$7:$C61=G$71,$E$7:$E61=1)/FILTER($J$7:$J$61,$C$7:$C61=G$71,$E$7:$E61=1))*FILTER($S$7:$S$61,$C$7:$C$61=G$71,$"&amp;"E$7:$E$61=1)/FILTER($K$7:$K$61,$C$7:$C$61=G$71,$E$7:$E$61=1))"),"")</f>
        <v/>
      </c>
      <c r="H79" s="100" t="str">
        <f>IFERROR(__xludf.DUMMYFUNCTION("IF(OR(H$78="""",H$78=""Tom tävling - lägg till grenar!"",H$78=""Fyll först i kolumn R"",H$78=""Fyll först i kolumn S""),"""",
(FILTER($K$7:$K$61,$C$7:$C61=H$71,$E$7:$E61=1)/FILTER($J$7:$J$61,$C$7:$C61=H$71,$E$7:$E61=1))*FILTER($S$7:$S$61,$C$7:$C$61=H$71,$"&amp;"E$7:$E$61=1)/FILTER($K$7:$K$61,$C$7:$C$61=H$71,$E$7:$E$61=1))"),"")</f>
        <v/>
      </c>
      <c r="I79" s="100" t="str">
        <f>IFERROR(__xludf.DUMMYFUNCTION("IF(OR(I$78="""",I$78=""Tom tävling - lägg till grenar!"",I$78=""Fyll först i kolumn R"",I$78=""Fyll först i kolumn S""),"""",
(FILTER($K$7:$K$61,$C$7:$C61=I$71,$E$7:$E61=1)/FILTER($J$7:$J$61,$C$7:$C61=I$71,$E$7:$E61=1))*FILTER($S$7:$S$61,$C$7:$C$61=I$71,$"&amp;"E$7:$E$61=1)/FILTER($K$7:$K$61,$C$7:$C$61=I$71,$E$7:$E$61=1))"),"")</f>
        <v/>
      </c>
      <c r="J79" s="100" t="str">
        <f>IFERROR(__xludf.DUMMYFUNCTION("IF(OR(J$78="""",J$78=""Tom tävling - lägg till grenar!"",J$78=""Fyll först i kolumn R"",J$78=""Fyll först i kolumn S""),"""",
(FILTER($K$7:$K$61,$C$7:$C61=J$71,$E$7:$E61=1)/FILTER($J$7:$J$61,$C$7:$C61=J$71,$E$7:$E61=1))*FILTER($S$7:$S$61,$C$7:$C$61=J$71,$"&amp;"E$7:$E$61=1)/FILTER($K$7:$K$61,$C$7:$C$61=J$71,$E$7:$E$61=1))"),"")</f>
        <v/>
      </c>
      <c r="K79" s="100" t="str">
        <f>IFERROR(__xludf.DUMMYFUNCTION("IF(OR(K$78="""",K$78=""Tom tävling - lägg till grenar!"",K$78=""Fyll först i kolumn R"",K$78=""Fyll först i kolumn S""),"""",
(FILTER($K$7:$K$61,$C$7:$C61=K$71,$E$7:$E61=1)/FILTER($J$7:$J$61,$C$7:$C61=K$71,$E$7:$E61=1))*FILTER($S$7:$S$61,$C$7:$C$61=K$71,$"&amp;"E$7:$E$61=1)/FILTER($K$7:$K$61,$C$7:$C$61=K$71,$E$7:$E$61=1))"),"")</f>
        <v/>
      </c>
      <c r="L79" s="100" t="str">
        <f>IFERROR(__xludf.DUMMYFUNCTION("IF(OR(L$78="""",L$78=""Tom tävling - lägg till grenar!"",L$78=""Fyll först i kolumn R"",L$78=""Fyll först i kolumn S""),"""",
(FILTER($K$7:$K$61,$C$7:$C61=L$71,$E$7:$E61=1)/FILTER($J$7:$J$61,$C$7:$C61=L$71,$E$7:$E61=1))*FILTER($S$7:$S$61,$C$7:$C$61=L$71,$"&amp;"E$7:$E$61=1)/FILTER($K$7:$K$61,$C$7:$C$61=L$71,$E$7:$E$61=1))"),"")</f>
        <v/>
      </c>
      <c r="M79" s="100" t="str">
        <f>IFERROR(__xludf.DUMMYFUNCTION("IF(OR(M$78="""",M$78=""Tom tävling - lägg till grenar!"",M$78=""Fyll först i kolumn R"",M$78=""Fyll först i kolumn S""),"""",
(FILTER($K$7:$K$61,$C$7:$C61=M$71,$E$7:$E61=1)/FILTER($J$7:$J$61,$C$7:$C61=M$71,$E$7:$E61=1))*FILTER($S$7:$S$61,$C$7:$C$61=M$71,$"&amp;"E$7:$E$61=1)/FILTER($K$7:$K$61,$C$7:$C$61=M$71,$E$7:$E$61=1))"),"")</f>
        <v/>
      </c>
      <c r="N79" s="100" t="str">
        <f>IFERROR(__xludf.DUMMYFUNCTION("IF(OR(N$78="""",N$78=""Tom tävling - lägg till grenar!"",N$78=""Fyll först i kolumn R"",N$78=""Fyll först i kolumn S""),"""",
(FILTER($K$7:$K$61,$C$7:$C61=N$71,$E$7:$E61=1)/FILTER($J$7:$J$61,$C$7:$C61=N$71,$E$7:$E61=1))*FILTER($S$7:$S$61,$C$7:$C$61=N$71,$"&amp;"E$7:$E$61=1)/FILTER($K$7:$K$61,$C$7:$C$61=N$71,$E$7:$E$61=1))"),"")</f>
        <v/>
      </c>
      <c r="O79" s="100" t="str">
        <f>IFERROR(__xludf.DUMMYFUNCTION("IF(OR(O$78="""",O$78=""Tom tävling - lägg till grenar!"",O$78=""Fyll först i kolumn R"",O$78=""Fyll först i kolumn S""),"""",
(FILTER($K$7:$K$61,$C$7:$C61=O$71,$E$7:$E61=1)/FILTER($J$7:$J$61,$C$7:$C61=O$71,$E$7:$E61=1))*FILTER($S$7:$S$61,$C$7:$C$61=O$71,$"&amp;"E$7:$E$61=1)/FILTER($K$7:$K$61,$C$7:$C$61=O$71,$E$7:$E$61=1))"),"")</f>
        <v/>
      </c>
      <c r="P79" s="100" t="str">
        <f>IFERROR(__xludf.DUMMYFUNCTION("IF(OR(P$78="""",P$78=""Tom tävling - lägg till grenar!"",P$78=""Fyll först i kolumn R"",P$78=""Fyll först i kolumn S""),"""",
(FILTER($K$7:$K$61,$C$7:$C61=P$71,$E$7:$E61=1)/FILTER($J$7:$J$61,$C$7:$C61=P$71,$E$7:$E61=1))*FILTER($S$7:$S$61,$C$7:$C$61=P$71,$"&amp;"E$7:$E$61=1)/FILTER($K$7:$K$61,$C$7:$C$61=P$71,$E$7:$E$61=1))"),"")</f>
        <v/>
      </c>
      <c r="Q79" s="100" t="str">
        <f>IFERROR(__xludf.DUMMYFUNCTION("IF(OR(Q$78="""",Q$78=""Tom tävling - lägg till grenar!"",Q$78=""Fyll först i kolumn R"",Q$78=""Fyll först i kolumn S""),"""",
(FILTER($K$7:$K$61,$C$7:$C61=Q$71,$E$7:$E61=1)/FILTER($J$7:$J$61,$C$7:$C61=Q$71,$E$7:$E61=1))*FILTER($S$7:$S$61,$C$7:$C$61=Q$71,$"&amp;"E$7:$E$61=1)/FILTER($K$7:$K$61,$C$7:$C$61=Q$71,$E$7:$E$61=1))"),"")</f>
        <v/>
      </c>
      <c r="R79" s="100" t="str">
        <f>IFERROR(__xludf.DUMMYFUNCTION("IF(OR(R$78="""",R$78=""Tom tävling - lägg till grenar!"",R$78=""Fyll först i kolumn R"",R$78=""Fyll först i kolumn S""),"""",
(FILTER($K$7:$K$61,$C$7:$C61=R$71,$E$7:$E61=1)/FILTER($J$7:$J$61,$C$7:$C61=R$71,$E$7:$E61=1))*FILTER($S$7:$S$61,$C$7:$C$61=R$71,$"&amp;"E$7:$E$61=1)/FILTER($K$7:$K$61,$C$7:$C$61=R$71,$E$7:$E$61=1))"),"")</f>
        <v/>
      </c>
      <c r="S79" s="100" t="str">
        <f>IFERROR(__xludf.DUMMYFUNCTION("IF(OR(S$78="""",S$78=""Tom tävling - lägg till grenar!"",S$78=""Fyll först i kolumn R"",S$78=""Fyll först i kolumn S""),"""",
(FILTER($K$7:$K$61,$C$7:$C61=S$71,$E$7:$E61=1)/FILTER($J$7:$J$61,$C$7:$C61=S$71,$E$7:$E61=1))*FILTER($S$7:$S$61,$C$7:$C$61=S$71,$"&amp;"E$7:$E$61=1)/FILTER($K$7:$K$61,$C$7:$C$61=S$71,$E$7:$E$61=1))"),"")</f>
        <v/>
      </c>
      <c r="T79" s="100" t="str">
        <f>IFERROR(__xludf.DUMMYFUNCTION("IF(OR(T$78="""",T$78=""Tom tävling - lägg till grenar!"",T$78=""Fyll först i kolumn R"",T$78=""Fyll först i kolumn S""),"""",
(FILTER($K$7:$K$61,$C$7:$C61=T$71,$E$7:$E61=1)/FILTER($J$7:$J$61,$C$7:$C61=T$71,$E$7:$E61=1))*FILTER($S$7:$S$61,$C$7:$C$61=T$71,$"&amp;"E$7:$E$61=1)/FILTER($K$7:$K$61,$C$7:$C$61=T$71,$E$7:$E$61=1))"),"")</f>
        <v/>
      </c>
      <c r="U79" s="100" t="str">
        <f>IFERROR(__xludf.DUMMYFUNCTION("IF(OR(U$78="""",U$78=""Tom tävling - lägg till grenar!"",U$78=""Fyll först i kolumn R"",U$78=""Fyll först i kolumn S""),"""",
(FILTER($K$7:$K$61,$C$7:$C61=U$71,$E$7:$E61=1)/FILTER($J$7:$J$61,$C$7:$C61=U$71,$E$7:$E61=1))*FILTER($S$7:$S$61,$C$7:$C$61=U$71,$"&amp;"E$7:$E$61=1)/FILTER($K$7:$K$61,$C$7:$C$61=U$71,$E$7:$E$61=1))"),"")</f>
        <v/>
      </c>
      <c r="V79" s="94"/>
      <c r="W79" s="94"/>
      <c r="X79" s="94"/>
      <c r="Y79" s="94"/>
      <c r="Z79" s="94"/>
      <c r="AA79" s="94"/>
      <c r="AB79" s="94"/>
    </row>
    <row r="80">
      <c r="A80" s="90" t="s">
        <v>117</v>
      </c>
      <c r="B80" s="24"/>
      <c r="C80" s="99" t="str">
        <f>IFERROR(__xludf.DUMMYFUNCTION("IFS(SUM($L$7:$L$61)=$L$29+$L$52+$L$57,""Tom tävling - lägg till grenar!"",
IFERROR(FILTER($T$7:$T$61,$T$7:$T$61=""Fyll i R-kolumnen"")=""Fyll i R-kolumnen"")=TRUE,""Fyll först i kolumn R"",
IFERROR(FILTER($T$7:$T$61,$T$7:$T$61=""Fyll i S-kolumnen"")=""Fyl"&amp;"l i S-kolumnen"")=TRUE,""Fyll först i kolumn S"",
SUMIFS($L$7:$L$61,$C$7:$C$61,C$71,$H$7:$H$61,""&gt;0"")=0,"""",
FILTER($S$7:$S$61,$C$7:$C$61=C$71,$E$7:$E$61=1)/FILTER($K$7:$K$61,$C$7:$C$61=C$71,$E$7:$E$61=1)&gt;=1,
MROUND((FILTER($S$7:$S$61,$C$7:$C$61=C$71,$E"&amp;"$7:$E$61=1)/FILTER($K$7:$K$61,$C$7:$C$61=C$71,$E$7:$E$61=1)-1)*100,0.01),
TRUE,-MROUND((1-(FILTER($S$7:$S$61,$C$7:$C$61=C$71,$E$7:$E$61=1)/FILTER($K$7:$K$61,$C$7:$C$61=C$71,$E$7:$E$61=1)))*100,0.01))"),"Tom tävling - lägg till grenar!")</f>
        <v>Tom tävling - lägg till grenar!</v>
      </c>
      <c r="D80" s="99" t="str">
        <f>IFERROR(__xludf.DUMMYFUNCTION("IFS(SUM($L$7:$L$61)=$L$29+$L$52+$L$57,""Tom tävling - lägg till grenar!"",
IFERROR(FILTER($T$7:$T$61,$T$7:$T$61=""Fyll i R-kolumnen"")=""Fyll i R-kolumnen"")=TRUE,""Fyll först i kolumn R"",
IFERROR(FILTER($T$7:$T$61,$T$7:$T$61=""Fyll i S-kolumnen"")=""Fyl"&amp;"l i S-kolumnen"")=TRUE,""Fyll först i kolumn S"",
SUMIFS($L$7:$L$61,$C$7:$C$61,D$71,$H$7:$H$61,""&gt;0"")=0,"""",
FILTER($S$7:$S$61,$C$7:$C$61=D$71,$E$7:$E$61=1)/FILTER($K$7:$K$61,$C$7:$C$61=D$71,$E$7:$E$61=1)&gt;=1,
MROUND((FILTER($S$7:$S$61,$C$7:$C$61=D$71,$E"&amp;"$7:$E$61=1)/FILTER($K$7:$K$61,$C$7:$C$61=D$71,$E$7:$E$61=1)-1)*100,0.01),
TRUE,-MROUND((1-(FILTER($S$7:$S$61,$C$7:$C$61=D$71,$E$7:$E$61=1)/FILTER($K$7:$K$61,$C$7:$C$61=D$71,$E$7:$E$61=1)))*100,0.01))"),"Tom tävling - lägg till grenar!")</f>
        <v>Tom tävling - lägg till grenar!</v>
      </c>
      <c r="E80" s="99" t="str">
        <f>IFERROR(__xludf.DUMMYFUNCTION("IFS(SUM($L$7:$L$61)=$L$29+$L$52+$L$57,""Tom tävling - lägg till grenar!"",
IFERROR(FILTER($T$7:$T$61,$T$7:$T$61=""Fyll i R-kolumnen"")=""Fyll i R-kolumnen"")=TRUE,""Fyll först i kolumn R"",
IFERROR(FILTER($T$7:$T$61,$T$7:$T$61=""Fyll i S-kolumnen"")=""Fyl"&amp;"l i S-kolumnen"")=TRUE,""Fyll först i kolumn S"",
SUMIFS($L$7:$L$61,$C$7:$C$61,E$71,$H$7:$H$61,""&gt;0"")=0,"""",
FILTER($S$7:$S$61,$C$7:$C$61=E$71,$E$7:$E$61=1)/FILTER($K$7:$K$61,$C$7:$C$61=E$71,$E$7:$E$61=1)&gt;=1,
MROUND((FILTER($S$7:$S$61,$C$7:$C$61=E$71,$E"&amp;"$7:$E$61=1)/FILTER($K$7:$K$61,$C$7:$C$61=E$71,$E$7:$E$61=1)-1)*100,0.01),
TRUE,-MROUND((1-(FILTER($S$7:$S$61,$C$7:$C$61=E$71,$E$7:$E$61=1)/FILTER($K$7:$K$61,$C$7:$C$61=E$71,$E$7:$E$61=1)))*100,0.01))"),"Tom tävling - lägg till grenar!")</f>
        <v>Tom tävling - lägg till grenar!</v>
      </c>
      <c r="F80" s="99" t="str">
        <f>IFERROR(__xludf.DUMMYFUNCTION("IFS(SUM($L$7:$L$61)=$L$29+$L$52+$L$57,""Tom tävling - lägg till grenar!"",
IFERROR(FILTER($T$7:$T$61,$T$7:$T$61=""Fyll i R-kolumnen"")=""Fyll i R-kolumnen"")=TRUE,""Fyll först i kolumn R"",
IFERROR(FILTER($T$7:$T$61,$T$7:$T$61=""Fyll i S-kolumnen"")=""Fyl"&amp;"l i S-kolumnen"")=TRUE,""Fyll först i kolumn S"",
SUMIFS($L$7:$L$61,$C$7:$C$61,F$71,$H$7:$H$61,""&gt;0"")=0,"""",
FILTER($S$7:$S$61,$C$7:$C$61=F$71,$E$7:$E$61=1)/FILTER($K$7:$K$61,$C$7:$C$61=F$71,$E$7:$E$61=1)&gt;=1,
MROUND((FILTER($S$7:$S$61,$C$7:$C$61=F$71,$E"&amp;"$7:$E$61=1)/FILTER($K$7:$K$61,$C$7:$C$61=F$71,$E$7:$E$61=1)-1)*100,0.01),
TRUE,-MROUND((1-(FILTER($S$7:$S$61,$C$7:$C$61=F$71,$E$7:$E$61=1)/FILTER($K$7:$K$61,$C$7:$C$61=F$71,$E$7:$E$61=1)))*100,0.01))"),"Tom tävling - lägg till grenar!")</f>
        <v>Tom tävling - lägg till grenar!</v>
      </c>
      <c r="G80" s="99" t="str">
        <f>IFERROR(__xludf.DUMMYFUNCTION("IFS(SUM($L$7:$L$61)=$L$29+$L$52+$L$57,""Tom tävling - lägg till grenar!"",
IFERROR(FILTER($T$7:$T$61,$T$7:$T$61=""Fyll i R-kolumnen"")=""Fyll i R-kolumnen"")=TRUE,""Fyll först i kolumn R"",
IFERROR(FILTER($T$7:$T$61,$T$7:$T$61=""Fyll i S-kolumnen"")=""Fyl"&amp;"l i S-kolumnen"")=TRUE,""Fyll först i kolumn S"",
SUMIFS($L$7:$L$61,$C$7:$C$61,G$71,$H$7:$H$61,""&gt;0"")=0,"""",
FILTER($S$7:$S$61,$C$7:$C$61=G$71,$E$7:$E$61=1)/FILTER($K$7:$K$61,$C$7:$C$61=G$71,$E$7:$E$61=1)&gt;=1,
MROUND((FILTER($S$7:$S$61,$C$7:$C$61=G$71,$E"&amp;"$7:$E$61=1)/FILTER($K$7:$K$61,$C$7:$C$61=G$71,$E$7:$E$61=1)-1)*100,0.01),
TRUE,-MROUND((1-(FILTER($S$7:$S$61,$C$7:$C$61=G$71,$E$7:$E$61=1)/FILTER($K$7:$K$61,$C$7:$C$61=G$71,$E$7:$E$61=1)))*100,0.01))"),"Tom tävling - lägg till grenar!")</f>
        <v>Tom tävling - lägg till grenar!</v>
      </c>
      <c r="H80" s="99" t="str">
        <f>IFERROR(__xludf.DUMMYFUNCTION("IFS(SUM($L$7:$L$61)=$L$29+$L$52+$L$57,""Tom tävling - lägg till grenar!"",
IFERROR(FILTER($T$7:$T$61,$T$7:$T$61=""Fyll i R-kolumnen"")=""Fyll i R-kolumnen"")=TRUE,""Fyll först i kolumn R"",
IFERROR(FILTER($T$7:$T$61,$T$7:$T$61=""Fyll i S-kolumnen"")=""Fyl"&amp;"l i S-kolumnen"")=TRUE,""Fyll först i kolumn S"",
SUMIFS($L$7:$L$61,$C$7:$C$61,H$71,$H$7:$H$61,""&gt;0"")=0,"""",
FILTER($S$7:$S$61,$C$7:$C$61=H$71,$E$7:$E$61=1)/FILTER($K$7:$K$61,$C$7:$C$61=H$71,$E$7:$E$61=1)&gt;=1,
MROUND((FILTER($S$7:$S$61,$C$7:$C$61=H$71,$E"&amp;"$7:$E$61=1)/FILTER($K$7:$K$61,$C$7:$C$61=H$71,$E$7:$E$61=1)-1)*100,0.01),
TRUE,-MROUND((1-(FILTER($S$7:$S$61,$C$7:$C$61=H$71,$E$7:$E$61=1)/FILTER($K$7:$K$61,$C$7:$C$61=H$71,$E$7:$E$61=1)))*100,0.01))"),"Tom tävling - lägg till grenar!")</f>
        <v>Tom tävling - lägg till grenar!</v>
      </c>
      <c r="I80" s="99" t="str">
        <f>IFERROR(__xludf.DUMMYFUNCTION("IFS(SUM($L$7:$L$61)=$L$29+$L$52+$L$57,""Tom tävling - lägg till grenar!"",
IFERROR(FILTER($T$7:$T$61,$T$7:$T$61=""Fyll i R-kolumnen"")=""Fyll i R-kolumnen"")=TRUE,""Fyll först i kolumn R"",
IFERROR(FILTER($T$7:$T$61,$T$7:$T$61=""Fyll i S-kolumnen"")=""Fyl"&amp;"l i S-kolumnen"")=TRUE,""Fyll först i kolumn S"",
SUMIFS($L$7:$L$61,$C$7:$C$61,I$71,$H$7:$H$61,""&gt;0"")=0,"""",
FILTER($S$7:$S$61,$C$7:$C$61=I$71,$E$7:$E$61=1)/FILTER($K$7:$K$61,$C$7:$C$61=I$71,$E$7:$E$61=1)&gt;=1,
MROUND((FILTER($S$7:$S$61,$C$7:$C$61=I$71,$E"&amp;"$7:$E$61=1)/FILTER($K$7:$K$61,$C$7:$C$61=I$71,$E$7:$E$61=1)-1)*100,0.01),
TRUE,-MROUND((1-(FILTER($S$7:$S$61,$C$7:$C$61=I$71,$E$7:$E$61=1)/FILTER($K$7:$K$61,$C$7:$C$61=I$71,$E$7:$E$61=1)))*100,0.01))"),"Tom tävling - lägg till grenar!")</f>
        <v>Tom tävling - lägg till grenar!</v>
      </c>
      <c r="J80" s="99" t="str">
        <f>IFERROR(__xludf.DUMMYFUNCTION("IFS(SUM($L$7:$L$61)=$L$29+$L$52+$L$57,""Tom tävling - lägg till grenar!"",
IFERROR(FILTER($T$7:$T$61,$T$7:$T$61=""Fyll i R-kolumnen"")=""Fyll i R-kolumnen"")=TRUE,""Fyll först i kolumn R"",
IFERROR(FILTER($T$7:$T$61,$T$7:$T$61=""Fyll i S-kolumnen"")=""Fyl"&amp;"l i S-kolumnen"")=TRUE,""Fyll först i kolumn S"",
SUMIFS($L$7:$L$61,$C$7:$C$61,J$71,$H$7:$H$61,""&gt;0"")=0,"""",
FILTER($S$7:$S$61,$C$7:$C$61=J$71,$E$7:$E$61=1)/FILTER($K$7:$K$61,$C$7:$C$61=J$71,$E$7:$E$61=1)&gt;=1,
MROUND((FILTER($S$7:$S$61,$C$7:$C$61=J$71,$E"&amp;"$7:$E$61=1)/FILTER($K$7:$K$61,$C$7:$C$61=J$71,$E$7:$E$61=1)-1)*100,0.01),
TRUE,-MROUND((1-(FILTER($S$7:$S$61,$C$7:$C$61=J$71,$E$7:$E$61=1)/FILTER($K$7:$K$61,$C$7:$C$61=J$71,$E$7:$E$61=1)))*100,0.01))"),"Tom tävling - lägg till grenar!")</f>
        <v>Tom tävling - lägg till grenar!</v>
      </c>
      <c r="K80" s="99" t="str">
        <f>IFERROR(__xludf.DUMMYFUNCTION("IFS(SUM($L$7:$L$61)=$L$29+$L$52+$L$57,""Tom tävling - lägg till grenar!"",
IFERROR(FILTER($T$7:$T$61,$T$7:$T$61=""Fyll i R-kolumnen"")=""Fyll i R-kolumnen"")=TRUE,""Fyll först i kolumn R"",
IFERROR(FILTER($T$7:$T$61,$T$7:$T$61=""Fyll i S-kolumnen"")=""Fyl"&amp;"l i S-kolumnen"")=TRUE,""Fyll först i kolumn S"",
SUMIFS($L$7:$L$61,$C$7:$C$61,K$71,$H$7:$H$61,""&gt;0"")=0,"""",
FILTER($S$7:$S$61,$C$7:$C$61=K$71,$E$7:$E$61=1)/FILTER($K$7:$K$61,$C$7:$C$61=K$71,$E$7:$E$61=1)&gt;=1,
MROUND((FILTER($S$7:$S$61,$C$7:$C$61=K$71,$E"&amp;"$7:$E$61=1)/FILTER($K$7:$K$61,$C$7:$C$61=K$71,$E$7:$E$61=1)-1)*100,0.01),
TRUE,-MROUND((1-(FILTER($S$7:$S$61,$C$7:$C$61=K$71,$E$7:$E$61=1)/FILTER($K$7:$K$61,$C$7:$C$61=K$71,$E$7:$E$61=1)))*100,0.01))"),"Tom tävling - lägg till grenar!")</f>
        <v>Tom tävling - lägg till grenar!</v>
      </c>
      <c r="L80" s="99" t="str">
        <f>IFERROR(__xludf.DUMMYFUNCTION("IFS(SUM($L$7:$L$61)=$L$29+$L$52+$L$57,""Tom tävling - lägg till grenar!"",
IFERROR(FILTER($T$7:$T$61,$T$7:$T$61=""Fyll i R-kolumnen"")=""Fyll i R-kolumnen"")=TRUE,""Fyll först i kolumn R"",
IFERROR(FILTER($T$7:$T$61,$T$7:$T$61=""Fyll i S-kolumnen"")=""Fyl"&amp;"l i S-kolumnen"")=TRUE,""Fyll först i kolumn S"",
SUMIFS($L$7:$L$61,$C$7:$C$61,L$71,$H$7:$H$61,""&gt;0"")=0,"""",
FILTER($S$7:$S$61,$C$7:$C$61=L$71,$E$7:$E$61=1)/FILTER($K$7:$K$61,$C$7:$C$61=L$71,$E$7:$E$61=1)&gt;=1,
MROUND((FILTER($S$7:$S$61,$C$7:$C$61=L$71,$E"&amp;"$7:$E$61=1)/FILTER($K$7:$K$61,$C$7:$C$61=L$71,$E$7:$E$61=1)-1)*100,0.01),
TRUE,-MROUND((1-(FILTER($S$7:$S$61,$C$7:$C$61=L$71,$E$7:$E$61=1)/FILTER($K$7:$K$61,$C$7:$C$61=L$71,$E$7:$E$61=1)))*100,0.01))"),"Tom tävling - lägg till grenar!")</f>
        <v>Tom tävling - lägg till grenar!</v>
      </c>
      <c r="M80" s="99" t="str">
        <f>IFERROR(__xludf.DUMMYFUNCTION("IFS(SUM($L$7:$L$61)=$L$29+$L$52+$L$57,""Tom tävling - lägg till grenar!"",
IFERROR(FILTER($T$7:$T$61,$T$7:$T$61=""Fyll i R-kolumnen"")=""Fyll i R-kolumnen"")=TRUE,""Fyll först i kolumn R"",
IFERROR(FILTER($T$7:$T$61,$T$7:$T$61=""Fyll i S-kolumnen"")=""Fyl"&amp;"l i S-kolumnen"")=TRUE,""Fyll först i kolumn S"",
SUMIFS($L$7:$L$61,$C$7:$C$61,M$71,$H$7:$H$61,""&gt;0"")=0,"""",
FILTER($S$7:$S$61,$C$7:$C$61=M$71,$E$7:$E$61=1)/FILTER($K$7:$K$61,$C$7:$C$61=M$71,$E$7:$E$61=1)&gt;=1,
MROUND((FILTER($S$7:$S$61,$C$7:$C$61=M$71,$E"&amp;"$7:$E$61=1)/FILTER($K$7:$K$61,$C$7:$C$61=M$71,$E$7:$E$61=1)-1)*100,0.01),
TRUE,-MROUND((1-(FILTER($S$7:$S$61,$C$7:$C$61=M$71,$E$7:$E$61=1)/FILTER($K$7:$K$61,$C$7:$C$61=M$71,$E$7:$E$61=1)))*100,0.01))"),"Tom tävling - lägg till grenar!")</f>
        <v>Tom tävling - lägg till grenar!</v>
      </c>
      <c r="N80" s="99" t="str">
        <f>IFERROR(__xludf.DUMMYFUNCTION("IFS(SUM($L$7:$L$61)=$L$29+$L$52+$L$57,""Tom tävling - lägg till grenar!"",
IFERROR(FILTER($T$7:$T$61,$T$7:$T$61=""Fyll i R-kolumnen"")=""Fyll i R-kolumnen"")=TRUE,""Fyll först i kolumn R"",
IFERROR(FILTER($T$7:$T$61,$T$7:$T$61=""Fyll i S-kolumnen"")=""Fyl"&amp;"l i S-kolumnen"")=TRUE,""Fyll först i kolumn S"",
SUMIFS($L$7:$L$61,$C$7:$C$61,N$71,$H$7:$H$61,""&gt;0"")=0,"""",
FILTER($S$7:$S$61,$C$7:$C$61=N$71,$E$7:$E$61=1)/FILTER($K$7:$K$61,$C$7:$C$61=N$71,$E$7:$E$61=1)&gt;=1,
MROUND((FILTER($S$7:$S$61,$C$7:$C$61=N$71,$E"&amp;"$7:$E$61=1)/FILTER($K$7:$K$61,$C$7:$C$61=N$71,$E$7:$E$61=1)-1)*100,0.01),
TRUE,-MROUND((1-(FILTER($S$7:$S$61,$C$7:$C$61=N$71,$E$7:$E$61=1)/FILTER($K$7:$K$61,$C$7:$C$61=N$71,$E$7:$E$61=1)))*100,0.01))"),"Tom tävling - lägg till grenar!")</f>
        <v>Tom tävling - lägg till grenar!</v>
      </c>
      <c r="O80" s="99" t="str">
        <f>IFERROR(__xludf.DUMMYFUNCTION("IFS(SUM($L$7:$L$61)=$L$29+$L$52+$L$57,""Tom tävling - lägg till grenar!"",
IFERROR(FILTER($T$7:$T$61,$T$7:$T$61=""Fyll i R-kolumnen"")=""Fyll i R-kolumnen"")=TRUE,""Fyll först i kolumn R"",
IFERROR(FILTER($T$7:$T$61,$T$7:$T$61=""Fyll i S-kolumnen"")=""Fyl"&amp;"l i S-kolumnen"")=TRUE,""Fyll först i kolumn S"",
SUMIFS($L$7:$L$61,$C$7:$C$61,O$71,$H$7:$H$61,""&gt;0"")=0,"""",
FILTER($S$7:$S$61,$C$7:$C$61=O$71,$E$7:$E$61=1)/FILTER($K$7:$K$61,$C$7:$C$61=O$71,$E$7:$E$61=1)&gt;=1,
MROUND((FILTER($S$7:$S$61,$C$7:$C$61=O$71,$E"&amp;"$7:$E$61=1)/FILTER($K$7:$K$61,$C$7:$C$61=O$71,$E$7:$E$61=1)-1)*100,0.01),
TRUE,-MROUND((1-(FILTER($S$7:$S$61,$C$7:$C$61=O$71,$E$7:$E$61=1)/FILTER($K$7:$K$61,$C$7:$C$61=O$71,$E$7:$E$61=1)))*100,0.01))"),"Tom tävling - lägg till grenar!")</f>
        <v>Tom tävling - lägg till grenar!</v>
      </c>
      <c r="P80" s="99" t="str">
        <f>IFERROR(__xludf.DUMMYFUNCTION("IFS(SUM($L$7:$L$61)=$L$29+$L$52+$L$57,""Tom tävling - lägg till grenar!"",
IFERROR(FILTER($T$7:$T$61,$T$7:$T$61=""Fyll i R-kolumnen"")=""Fyll i R-kolumnen"")=TRUE,""Fyll först i kolumn R"",
IFERROR(FILTER($T$7:$T$61,$T$7:$T$61=""Fyll i S-kolumnen"")=""Fyl"&amp;"l i S-kolumnen"")=TRUE,""Fyll först i kolumn S"",
SUMIFS($L$7:$L$61,$C$7:$C$61,P$71,$H$7:$H$61,""&gt;0"")=0,"""",
FILTER($S$7:$S$61,$C$7:$C$61=P$71,$E$7:$E$61=1)/FILTER($K$7:$K$61,$C$7:$C$61=P$71,$E$7:$E$61=1)&gt;=1,
MROUND((FILTER($S$7:$S$61,$C$7:$C$61=P$71,$E"&amp;"$7:$E$61=1)/FILTER($K$7:$K$61,$C$7:$C$61=P$71,$E$7:$E$61=1)-1)*100,0.01),
TRUE,-MROUND((1-(FILTER($S$7:$S$61,$C$7:$C$61=P$71,$E$7:$E$61=1)/FILTER($K$7:$K$61,$C$7:$C$61=P$71,$E$7:$E$61=1)))*100,0.01))"),"Tom tävling - lägg till grenar!")</f>
        <v>Tom tävling - lägg till grenar!</v>
      </c>
      <c r="Q80" s="99" t="str">
        <f>IFERROR(__xludf.DUMMYFUNCTION("IFS(SUM($L$7:$L$61)=$L$29+$L$52+$L$57,""Tom tävling - lägg till grenar!"",
IFERROR(FILTER($T$7:$T$61,$T$7:$T$61=""Fyll i R-kolumnen"")=""Fyll i R-kolumnen"")=TRUE,""Fyll först i kolumn R"",
IFERROR(FILTER($T$7:$T$61,$T$7:$T$61=""Fyll i S-kolumnen"")=""Fyl"&amp;"l i S-kolumnen"")=TRUE,""Fyll först i kolumn S"",
SUMIFS($L$7:$L$61,$C$7:$C$61,Q$71,$H$7:$H$61,""&gt;0"")=0,"""",
FILTER($S$7:$S$61,$C$7:$C$61=Q$71,$E$7:$E$61=1)/FILTER($K$7:$K$61,$C$7:$C$61=Q$71,$E$7:$E$61=1)&gt;=1,
MROUND((FILTER($S$7:$S$61,$C$7:$C$61=Q$71,$E"&amp;"$7:$E$61=1)/FILTER($K$7:$K$61,$C$7:$C$61=Q$71,$E$7:$E$61=1)-1)*100,0.01),
TRUE,-MROUND((1-(FILTER($S$7:$S$61,$C$7:$C$61=Q$71,$E$7:$E$61=1)/FILTER($K$7:$K$61,$C$7:$C$61=Q$71,$E$7:$E$61=1)))*100,0.01))"),"Tom tävling - lägg till grenar!")</f>
        <v>Tom tävling - lägg till grenar!</v>
      </c>
      <c r="R80" s="99" t="str">
        <f>IFERROR(__xludf.DUMMYFUNCTION("IFS(SUM($L$7:$L$61)=$L$29+$L$52+$L$57,""Tom tävling - lägg till grenar!"",
IFERROR(FILTER($T$7:$T$61,$T$7:$T$61=""Fyll i R-kolumnen"")=""Fyll i R-kolumnen"")=TRUE,""Fyll först i kolumn R"",
IFERROR(FILTER($T$7:$T$61,$T$7:$T$61=""Fyll i S-kolumnen"")=""Fyl"&amp;"l i S-kolumnen"")=TRUE,""Fyll först i kolumn S"",
SUMIFS($L$7:$L$61,$C$7:$C$61,R$71,$H$7:$H$61,""&gt;0"")=0,"""",
FILTER($S$7:$S$61,$C$7:$C$61=R$71,$E$7:$E$61=1)/FILTER($K$7:$K$61,$C$7:$C$61=R$71,$E$7:$E$61=1)&gt;=1,
MROUND((FILTER($S$7:$S$61,$C$7:$C$61=R$71,$E"&amp;"$7:$E$61=1)/FILTER($K$7:$K$61,$C$7:$C$61=R$71,$E$7:$E$61=1)-1)*100,0.01),
TRUE,-MROUND((1-(FILTER($S$7:$S$61,$C$7:$C$61=R$71,$E$7:$E$61=1)/FILTER($K$7:$K$61,$C$7:$C$61=R$71,$E$7:$E$61=1)))*100,0.01))"),"Tom tävling - lägg till grenar!")</f>
        <v>Tom tävling - lägg till grenar!</v>
      </c>
      <c r="S80" s="99" t="str">
        <f>IFERROR(__xludf.DUMMYFUNCTION("IFS(SUM($L$7:$L$61)=$L$29+$L$52+$L$57,""Tom tävling - lägg till grenar!"",
IFERROR(FILTER($T$7:$T$61,$T$7:$T$61=""Fyll i R-kolumnen"")=""Fyll i R-kolumnen"")=TRUE,""Fyll först i kolumn R"",
IFERROR(FILTER($T$7:$T$61,$T$7:$T$61=""Fyll i S-kolumnen"")=""Fyl"&amp;"l i S-kolumnen"")=TRUE,""Fyll först i kolumn S"",
SUMIFS($L$7:$L$61,$C$7:$C$61,S$71,$H$7:$H$61,""&gt;0"")=0,"""",
FILTER($S$7:$S$61,$C$7:$C$61=S$71,$E$7:$E$61=1)/FILTER($K$7:$K$61,$C$7:$C$61=S$71,$E$7:$E$61=1)&gt;=1,
MROUND((FILTER($S$7:$S$61,$C$7:$C$61=S$71,$E"&amp;"$7:$E$61=1)/FILTER($K$7:$K$61,$C$7:$C$61=S$71,$E$7:$E$61=1)-1)*100,0.01),
TRUE,-MROUND((1-(FILTER($S$7:$S$61,$C$7:$C$61=S$71,$E$7:$E$61=1)/FILTER($K$7:$K$61,$C$7:$C$61=S$71,$E$7:$E$61=1)))*100,0.01))"),"Tom tävling - lägg till grenar!")</f>
        <v>Tom tävling - lägg till grenar!</v>
      </c>
      <c r="T80" s="99" t="str">
        <f>IFERROR(__xludf.DUMMYFUNCTION("IFS(SUM($L$7:$L$61)=$L$29+$L$52+$L$57,""Tom tävling - lägg till grenar!"",
IFERROR(FILTER($T$7:$T$61,$T$7:$T$61=""Fyll i R-kolumnen"")=""Fyll i R-kolumnen"")=TRUE,""Fyll först i kolumn R"",
IFERROR(FILTER($T$7:$T$61,$T$7:$T$61=""Fyll i S-kolumnen"")=""Fyl"&amp;"l i S-kolumnen"")=TRUE,""Fyll först i kolumn S"",
SUMIFS($L$7:$L$61,$C$7:$C$61,T$71,$H$7:$H$61,""&gt;0"")=0,"""",
FILTER($S$7:$S$61,$C$7:$C$61=T$71,$E$7:$E$61=1)/FILTER($K$7:$K$61,$C$7:$C$61=T$71,$E$7:$E$61=1)&gt;=1,
MROUND((FILTER($S$7:$S$61,$C$7:$C$61=T$71,$E"&amp;"$7:$E$61=1)/FILTER($K$7:$K$61,$C$7:$C$61=T$71,$E$7:$E$61=1)-1)*100,0.01),
TRUE,-MROUND((1-(FILTER($S$7:$S$61,$C$7:$C$61=T$71,$E$7:$E$61=1)/FILTER($K$7:$K$61,$C$7:$C$61=T$71,$E$7:$E$61=1)))*100,0.01))"),"Tom tävling - lägg till grenar!")</f>
        <v>Tom tävling - lägg till grenar!</v>
      </c>
      <c r="U80" s="99" t="str">
        <f>IFERROR(__xludf.DUMMYFUNCTION("IFS(SUM($L$7:$L$61)=$L$29+$L$52+$L$57,""Tom tävling - lägg till grenar!"",
IFERROR(FILTER($T$7:$T$61,$T$7:$T$61=""Fyll i R-kolumnen"")=""Fyll i R-kolumnen"")=TRUE,""Fyll först i kolumn R"",
IFERROR(FILTER($T$7:$T$61,$T$7:$T$61=""Fyll i S-kolumnen"")=""Fyl"&amp;"l i S-kolumnen"")=TRUE,""Fyll först i kolumn S"",
SUMIFS($L$7:$L$61,$C$7:$C$61,U$71,$H$7:$H$61,""&gt;0"")=0,"""",
FILTER($S$7:$S$61,$C$7:$C$61=U$71,$E$7:$E$61=1)/FILTER($K$7:$K$61,$C$7:$C$61=U$71,$E$7:$E$61=1)&gt;=1,
MROUND((FILTER($S$7:$S$61,$C$7:$C$61=U$71,$E"&amp;"$7:$E$61=1)/FILTER($K$7:$K$61,$C$7:$C$61=U$71,$E$7:$E$61=1)-1)*100,0.01),
TRUE,-MROUND((1-(FILTER($S$7:$S$61,$C$7:$C$61=U$71,$E$7:$E$61=1)/FILTER($K$7:$K$61,$C$7:$C$61=U$71,$E$7:$E$61=1)))*100,0.01))"),"Tom tävling - lägg till grenar!")</f>
        <v>Tom tävling - lägg till grenar!</v>
      </c>
      <c r="V80" s="94"/>
      <c r="W80" s="94"/>
      <c r="X80" s="94"/>
      <c r="Y80" s="94"/>
      <c r="Z80" s="94"/>
      <c r="AA80" s="94"/>
      <c r="AB80" s="94"/>
    </row>
    <row r="81">
      <c r="A81" s="90" t="s">
        <v>116</v>
      </c>
      <c r="B81" s="24"/>
      <c r="C81" s="100" t="str">
        <f>IFERROR(__xludf.DUMMYFUNCTION("IF(OR(C$80="""",C$80=""Tom tävling - lägg till grenar!"",C$80=""Fyll först i kolumn R"",C$80=""Fyll först i kolumn S""),"""",
(FILTER($K$7:$K$61,$C$7:$C61=C$71,$E$7:$E61=1)/FILTER($J$7:$J$61,$C$7:$C61=C$71,$E$7:$E61=1))*FILTER($S$7:$S$61,$C$7:$C$61=C$71,$"&amp;"E$7:$E$61=1)/FILTER($K$7:$K$61,$C$7:$C$61=C$71,$E$7:$E$61=1))"),"")</f>
        <v/>
      </c>
      <c r="D81" s="100" t="str">
        <f>IFERROR(__xludf.DUMMYFUNCTION("IF(OR(D$80="""",D$80=""Tom tävling - lägg till grenar!"",D$80=""Fyll först i kolumn R"",D$80=""Fyll först i kolumn S""),"""",
(FILTER($K$7:$K$61,$C$7:$C61=D$71,$E$7:$E61=1)/FILTER($J$7:$J$61,$C$7:$C61=D$71,$E$7:$E61=1))*FILTER($S$7:$S$61,$C$7:$C$61=D$71,$"&amp;"E$7:$E$61=1)/FILTER($K$7:$K$61,$C$7:$C$61=D$71,$E$7:$E$61=1))"),"")</f>
        <v/>
      </c>
      <c r="E81" s="100" t="str">
        <f>IFERROR(__xludf.DUMMYFUNCTION("IF(OR(E$80="""",E$80=""Tom tävling - lägg till grenar!"",E$80=""Fyll först i kolumn R"",E$80=""Fyll först i kolumn S""),"""",
(FILTER($K$7:$K$61,$C$7:$C61=E$71,$E$7:$E61=1)/FILTER($J$7:$J$61,$C$7:$C61=E$71,$E$7:$E61=1))*FILTER($S$7:$S$61,$C$7:$C$61=E$71,$"&amp;"E$7:$E$61=1)/FILTER($K$7:$K$61,$C$7:$C$61=E$71,$E$7:$E$61=1))"),"")</f>
        <v/>
      </c>
      <c r="F81" s="100" t="str">
        <f>IFERROR(__xludf.DUMMYFUNCTION("IF(OR(F$80="""",F$80=""Tom tävling - lägg till grenar!"",F$80=""Fyll först i kolumn R"",F$80=""Fyll först i kolumn S""),"""",
(FILTER($K$7:$K$61,$C$7:$C61=F$71,$E$7:$E61=1)/FILTER($J$7:$J$61,$C$7:$C61=F$71,$E$7:$E61=1))*FILTER($S$7:$S$61,$C$7:$C$61=F$71,$"&amp;"E$7:$E$61=1)/FILTER($K$7:$K$61,$C$7:$C$61=F$71,$E$7:$E$61=1))"),"")</f>
        <v/>
      </c>
      <c r="G81" s="100" t="str">
        <f>IFERROR(__xludf.DUMMYFUNCTION("IF(OR(G$80="""",G$80=""Tom tävling - lägg till grenar!"",G$80=""Fyll först i kolumn R"",G$80=""Fyll först i kolumn S""),"""",
(FILTER($K$7:$K$61,$C$7:$C61=G$71,$E$7:$E61=1)/FILTER($J$7:$J$61,$C$7:$C61=G$71,$E$7:$E61=1))*FILTER($S$7:$S$61,$C$7:$C$61=G$71,$"&amp;"E$7:$E$61=1)/FILTER($K$7:$K$61,$C$7:$C$61=G$71,$E$7:$E$61=1))"),"")</f>
        <v/>
      </c>
      <c r="H81" s="100" t="str">
        <f>IFERROR(__xludf.DUMMYFUNCTION("IF(OR(H$80="""",H$80=""Tom tävling - lägg till grenar!"",H$80=""Fyll först i kolumn R"",H$80=""Fyll först i kolumn S""),"""",
(FILTER($K$7:$K$61,$C$7:$C61=H$71,$E$7:$E61=1)/FILTER($J$7:$J$61,$C$7:$C61=H$71,$E$7:$E61=1))*FILTER($S$7:$S$61,$C$7:$C$61=H$71,$"&amp;"E$7:$E$61=1)/FILTER($K$7:$K$61,$C$7:$C$61=H$71,$E$7:$E$61=1))"),"")</f>
        <v/>
      </c>
      <c r="I81" s="100" t="str">
        <f>IFERROR(__xludf.DUMMYFUNCTION("IF(OR(I$80="""",I$80=""Tom tävling - lägg till grenar!"",I$80=""Fyll först i kolumn R"",I$80=""Fyll först i kolumn S""),"""",
(FILTER($K$7:$K$61,$C$7:$C61=I$71,$E$7:$E61=1)/FILTER($J$7:$J$61,$C$7:$C61=I$71,$E$7:$E61=1))*FILTER($S$7:$S$61,$C$7:$C$61=I$71,$"&amp;"E$7:$E$61=1)/FILTER($K$7:$K$61,$C$7:$C$61=I$71,$E$7:$E$61=1))"),"")</f>
        <v/>
      </c>
      <c r="J81" s="100" t="str">
        <f>IFERROR(__xludf.DUMMYFUNCTION("IF(OR(J$80="""",J$80=""Tom tävling - lägg till grenar!"",J$80=""Fyll först i kolumn R"",J$80=""Fyll först i kolumn S""),"""",
(FILTER($K$7:$K$61,$C$7:$C61=J$71,$E$7:$E61=1)/FILTER($J$7:$J$61,$C$7:$C61=J$71,$E$7:$E61=1))*FILTER($S$7:$S$61,$C$7:$C$61=J$71,$"&amp;"E$7:$E$61=1)/FILTER($K$7:$K$61,$C$7:$C$61=J$71,$E$7:$E$61=1))"),"")</f>
        <v/>
      </c>
      <c r="K81" s="100" t="str">
        <f>IFERROR(__xludf.DUMMYFUNCTION("IF(OR(K$80="""",K$80=""Tom tävling - lägg till grenar!"",K$80=""Fyll först i kolumn R"",K$80=""Fyll först i kolumn S""),"""",
(FILTER($K$7:$K$61,$C$7:$C61=K$71,$E$7:$E61=1)/FILTER($J$7:$J$61,$C$7:$C61=K$71,$E$7:$E61=1))*FILTER($S$7:$S$61,$C$7:$C$61=K$71,$"&amp;"E$7:$E$61=1)/FILTER($K$7:$K$61,$C$7:$C$61=K$71,$E$7:$E$61=1))"),"")</f>
        <v/>
      </c>
      <c r="L81" s="100" t="str">
        <f>IFERROR(__xludf.DUMMYFUNCTION("IF(OR(L$80="""",L$80=""Tom tävling - lägg till grenar!"",L$80=""Fyll först i kolumn R"",L$80=""Fyll först i kolumn S""),"""",
(FILTER($K$7:$K$61,$C$7:$C61=L$71,$E$7:$E61=1)/FILTER($J$7:$J$61,$C$7:$C61=L$71,$E$7:$E61=1))*FILTER($S$7:$S$61,$C$7:$C$61=L$71,$"&amp;"E$7:$E$61=1)/FILTER($K$7:$K$61,$C$7:$C$61=L$71,$E$7:$E$61=1))"),"")</f>
        <v/>
      </c>
      <c r="M81" s="100" t="str">
        <f>IFERROR(__xludf.DUMMYFUNCTION("IF(OR(M$80="""",M$80=""Tom tävling - lägg till grenar!"",M$80=""Fyll först i kolumn R"",M$80=""Fyll först i kolumn S""),"""",
(FILTER($K$7:$K$61,$C$7:$C61=M$71,$E$7:$E61=1)/FILTER($J$7:$J$61,$C$7:$C61=M$71,$E$7:$E61=1))*FILTER($S$7:$S$61,$C$7:$C$61=M$71,$"&amp;"E$7:$E$61=1)/FILTER($K$7:$K$61,$C$7:$C$61=M$71,$E$7:$E$61=1))"),"")</f>
        <v/>
      </c>
      <c r="N81" s="100" t="str">
        <f>IFERROR(__xludf.DUMMYFUNCTION("IF(OR(N$80="""",N$80=""Tom tävling - lägg till grenar!"",N$80=""Fyll först i kolumn R"",N$80=""Fyll först i kolumn S""),"""",
(FILTER($K$7:$K$61,$C$7:$C61=N$71,$E$7:$E61=1)/FILTER($J$7:$J$61,$C$7:$C61=N$71,$E$7:$E61=1))*FILTER($S$7:$S$61,$C$7:$C$61=N$71,$"&amp;"E$7:$E$61=1)/FILTER($K$7:$K$61,$C$7:$C$61=N$71,$E$7:$E$61=1))"),"")</f>
        <v/>
      </c>
      <c r="O81" s="100" t="str">
        <f>IFERROR(__xludf.DUMMYFUNCTION("IF(OR(O$80="""",O$80=""Tom tävling - lägg till grenar!"",O$80=""Fyll först i kolumn R"",O$80=""Fyll först i kolumn S""),"""",
(FILTER($K$7:$K$61,$C$7:$C61=O$71,$E$7:$E61=1)/FILTER($J$7:$J$61,$C$7:$C61=O$71,$E$7:$E61=1))*FILTER($S$7:$S$61,$C$7:$C$61=O$71,$"&amp;"E$7:$E$61=1)/FILTER($K$7:$K$61,$C$7:$C$61=O$71,$E$7:$E$61=1))"),"")</f>
        <v/>
      </c>
      <c r="P81" s="100" t="str">
        <f>IFERROR(__xludf.DUMMYFUNCTION("IF(OR(P$80="""",P$80=""Tom tävling - lägg till grenar!"",P$80=""Fyll först i kolumn R"",P$80=""Fyll först i kolumn S""),"""",
(FILTER($K$7:$K$61,$C$7:$C61=P$71,$E$7:$E61=1)/FILTER($J$7:$J$61,$C$7:$C61=P$71,$E$7:$E61=1))*FILTER($S$7:$S$61,$C$7:$C$61=P$71,$"&amp;"E$7:$E$61=1)/FILTER($K$7:$K$61,$C$7:$C$61=P$71,$E$7:$E$61=1))"),"")</f>
        <v/>
      </c>
      <c r="Q81" s="100" t="str">
        <f>IFERROR(__xludf.DUMMYFUNCTION("IF(OR(Q$80="""",Q$80=""Tom tävling - lägg till grenar!"",Q$80=""Fyll först i kolumn R"",Q$80=""Fyll först i kolumn S""),"""",
(FILTER($K$7:$K$61,$C$7:$C61=Q$71,$E$7:$E61=1)/FILTER($J$7:$J$61,$C$7:$C61=Q$71,$E$7:$E61=1))*FILTER($S$7:$S$61,$C$7:$C$61=Q$71,$"&amp;"E$7:$E$61=1)/FILTER($K$7:$K$61,$C$7:$C$61=Q$71,$E$7:$E$61=1))"),"")</f>
        <v/>
      </c>
      <c r="R81" s="100" t="str">
        <f>IFERROR(__xludf.DUMMYFUNCTION("IF(OR(R$80="""",R$80=""Tom tävling - lägg till grenar!"",R$80=""Fyll först i kolumn R"",R$80=""Fyll först i kolumn S""),"""",
(FILTER($K$7:$K$61,$C$7:$C61=R$71,$E$7:$E61=1)/FILTER($J$7:$J$61,$C$7:$C61=R$71,$E$7:$E61=1))*FILTER($S$7:$S$61,$C$7:$C$61=R$71,$"&amp;"E$7:$E$61=1)/FILTER($K$7:$K$61,$C$7:$C$61=R$71,$E$7:$E$61=1))"),"")</f>
        <v/>
      </c>
      <c r="S81" s="100" t="str">
        <f>IFERROR(__xludf.DUMMYFUNCTION("IF(OR(S$80="""",S$80=""Tom tävling - lägg till grenar!"",S$80=""Fyll först i kolumn R"",S$80=""Fyll först i kolumn S""),"""",
(FILTER($K$7:$K$61,$C$7:$C61=S$71,$E$7:$E61=1)/FILTER($J$7:$J$61,$C$7:$C61=S$71,$E$7:$E61=1))*FILTER($S$7:$S$61,$C$7:$C$61=S$71,$"&amp;"E$7:$E$61=1)/FILTER($K$7:$K$61,$C$7:$C$61=S$71,$E$7:$E$61=1))"),"")</f>
        <v/>
      </c>
      <c r="T81" s="100" t="str">
        <f>IFERROR(__xludf.DUMMYFUNCTION("IF(OR(T$80="""",T$80=""Tom tävling - lägg till grenar!"",T$80=""Fyll först i kolumn R"",T$80=""Fyll först i kolumn S""),"""",
(FILTER($K$7:$K$61,$C$7:$C61=T$71,$E$7:$E61=1)/FILTER($J$7:$J$61,$C$7:$C61=T$71,$E$7:$E61=1))*FILTER($S$7:$S$61,$C$7:$C$61=T$71,$"&amp;"E$7:$E$61=1)/FILTER($K$7:$K$61,$C$7:$C$61=T$71,$E$7:$E$61=1))"),"")</f>
        <v/>
      </c>
      <c r="U81" s="100" t="str">
        <f>IFERROR(__xludf.DUMMYFUNCTION("IF(OR(U$80="""",U$80=""Tom tävling - lägg till grenar!"",U$80=""Fyll först i kolumn R"",U$80=""Fyll först i kolumn S""),"""",
(FILTER($K$7:$K$61,$C$7:$C61=U$71,$E$7:$E61=1)/FILTER($J$7:$J$61,$C$7:$C61=U$71,$E$7:$E61=1))*FILTER($S$7:$S$61,$C$7:$C$61=U$71,$"&amp;"E$7:$E$61=1)/FILTER($K$7:$K$61,$C$7:$C$61=U$71,$E$7:$E$61=1))"),"")</f>
        <v/>
      </c>
      <c r="V81" s="94"/>
      <c r="W81" s="94"/>
      <c r="X81" s="94"/>
      <c r="Y81" s="94"/>
      <c r="Z81" s="94"/>
      <c r="AA81" s="94"/>
      <c r="AB81" s="94"/>
    </row>
  </sheetData>
  <mergeCells count="162">
    <mergeCell ref="K2:L2"/>
    <mergeCell ref="M2:N2"/>
    <mergeCell ref="K3:P3"/>
    <mergeCell ref="K4:P4"/>
    <mergeCell ref="A1:C2"/>
    <mergeCell ref="D1:D2"/>
    <mergeCell ref="E1:H1"/>
    <mergeCell ref="I1:J1"/>
    <mergeCell ref="K1:L1"/>
    <mergeCell ref="M1:N1"/>
    <mergeCell ref="O1:P1"/>
    <mergeCell ref="O2:P2"/>
    <mergeCell ref="U2:V2"/>
    <mergeCell ref="W2:X2"/>
    <mergeCell ref="Q3:V3"/>
    <mergeCell ref="W3:AB3"/>
    <mergeCell ref="Q4:V4"/>
    <mergeCell ref="W4:AB4"/>
    <mergeCell ref="Y5:Z5"/>
    <mergeCell ref="AA5:AB5"/>
    <mergeCell ref="Q1:R1"/>
    <mergeCell ref="S1:T1"/>
    <mergeCell ref="U1:V1"/>
    <mergeCell ref="W1:X1"/>
    <mergeCell ref="Z1:AA2"/>
    <mergeCell ref="Q2:R2"/>
    <mergeCell ref="S2:T2"/>
    <mergeCell ref="E2:H2"/>
    <mergeCell ref="I2:J2"/>
    <mergeCell ref="E3:H3"/>
    <mergeCell ref="I3:J3"/>
    <mergeCell ref="E4:H4"/>
    <mergeCell ref="I4:J4"/>
    <mergeCell ref="A5:B5"/>
    <mergeCell ref="O6:P6"/>
    <mergeCell ref="Q6:R6"/>
    <mergeCell ref="S6:T6"/>
    <mergeCell ref="U6:V6"/>
    <mergeCell ref="W6:X6"/>
    <mergeCell ref="Y6:Z6"/>
    <mergeCell ref="AA6:AB6"/>
    <mergeCell ref="D5:D6"/>
    <mergeCell ref="E5:F5"/>
    <mergeCell ref="E6:F6"/>
    <mergeCell ref="G6:H6"/>
    <mergeCell ref="I6:J6"/>
    <mergeCell ref="K6:L6"/>
    <mergeCell ref="M6:N6"/>
    <mergeCell ref="U5:V5"/>
    <mergeCell ref="W5:X5"/>
    <mergeCell ref="G5:H5"/>
    <mergeCell ref="I5:J5"/>
    <mergeCell ref="K5:L5"/>
    <mergeCell ref="M5:N5"/>
    <mergeCell ref="O5:P5"/>
    <mergeCell ref="Q5:R5"/>
    <mergeCell ref="S5:T5"/>
    <mergeCell ref="Y63:Z63"/>
    <mergeCell ref="AA63:AB63"/>
    <mergeCell ref="K63:L63"/>
    <mergeCell ref="M63:N63"/>
    <mergeCell ref="O63:P63"/>
    <mergeCell ref="Q63:R63"/>
    <mergeCell ref="S63:T63"/>
    <mergeCell ref="U63:V63"/>
    <mergeCell ref="W63:X63"/>
    <mergeCell ref="A61:B62"/>
    <mergeCell ref="C61:C62"/>
    <mergeCell ref="A63:B63"/>
    <mergeCell ref="C63:D63"/>
    <mergeCell ref="E63:F63"/>
    <mergeCell ref="G63:H63"/>
    <mergeCell ref="I63:J63"/>
    <mergeCell ref="O64:P64"/>
    <mergeCell ref="Q64:R64"/>
    <mergeCell ref="S64:T64"/>
    <mergeCell ref="U64:V64"/>
    <mergeCell ref="W64:X64"/>
    <mergeCell ref="Y64:Z64"/>
    <mergeCell ref="AA64:AB64"/>
    <mergeCell ref="A64:B64"/>
    <mergeCell ref="C64:D64"/>
    <mergeCell ref="E64:F64"/>
    <mergeCell ref="G64:H64"/>
    <mergeCell ref="I64:J64"/>
    <mergeCell ref="K64:L64"/>
    <mergeCell ref="M64:N64"/>
    <mergeCell ref="W68:X68"/>
    <mergeCell ref="Y68:Z68"/>
    <mergeCell ref="A68:D68"/>
    <mergeCell ref="E68:H68"/>
    <mergeCell ref="I68:L68"/>
    <mergeCell ref="M68:P68"/>
    <mergeCell ref="Q68:R68"/>
    <mergeCell ref="S68:T68"/>
    <mergeCell ref="U68:V68"/>
    <mergeCell ref="W69:X69"/>
    <mergeCell ref="Y69:Z69"/>
    <mergeCell ref="A69:D69"/>
    <mergeCell ref="E69:H69"/>
    <mergeCell ref="I69:L69"/>
    <mergeCell ref="M69:P69"/>
    <mergeCell ref="Q69:R69"/>
    <mergeCell ref="S69:T69"/>
    <mergeCell ref="U69:V69"/>
    <mergeCell ref="W70:X70"/>
    <mergeCell ref="Y70:Z70"/>
    <mergeCell ref="A70:D70"/>
    <mergeCell ref="E70:H70"/>
    <mergeCell ref="I70:L70"/>
    <mergeCell ref="M70:P70"/>
    <mergeCell ref="Q70:R70"/>
    <mergeCell ref="S70:T70"/>
    <mergeCell ref="U70:V70"/>
    <mergeCell ref="O65:P65"/>
    <mergeCell ref="Q65:R65"/>
    <mergeCell ref="S65:T65"/>
    <mergeCell ref="U65:V65"/>
    <mergeCell ref="W65:X65"/>
    <mergeCell ref="Y65:Z65"/>
    <mergeCell ref="AA65:AB65"/>
    <mergeCell ref="A65:B65"/>
    <mergeCell ref="C65:D65"/>
    <mergeCell ref="E65:F65"/>
    <mergeCell ref="G65:H65"/>
    <mergeCell ref="I65:J65"/>
    <mergeCell ref="K65:L65"/>
    <mergeCell ref="M65:N65"/>
    <mergeCell ref="O66:P66"/>
    <mergeCell ref="Q66:R66"/>
    <mergeCell ref="S66:T66"/>
    <mergeCell ref="U66:V66"/>
    <mergeCell ref="W66:X66"/>
    <mergeCell ref="Y66:Z66"/>
    <mergeCell ref="AA66:AB66"/>
    <mergeCell ref="A66:B66"/>
    <mergeCell ref="C66:D66"/>
    <mergeCell ref="E66:F66"/>
    <mergeCell ref="G66:H66"/>
    <mergeCell ref="I66:J66"/>
    <mergeCell ref="K66:L66"/>
    <mergeCell ref="M66:N66"/>
    <mergeCell ref="W67:X67"/>
    <mergeCell ref="Y67:Z67"/>
    <mergeCell ref="A67:D67"/>
    <mergeCell ref="E67:H67"/>
    <mergeCell ref="I67:L67"/>
    <mergeCell ref="M67:P67"/>
    <mergeCell ref="Q67:R67"/>
    <mergeCell ref="S67:T67"/>
    <mergeCell ref="U67:V67"/>
    <mergeCell ref="A78:B78"/>
    <mergeCell ref="A79:B79"/>
    <mergeCell ref="A80:B80"/>
    <mergeCell ref="A81:B81"/>
    <mergeCell ref="A71:B71"/>
    <mergeCell ref="A72:B72"/>
    <mergeCell ref="A73:B73"/>
    <mergeCell ref="A74:B74"/>
    <mergeCell ref="A75:B75"/>
    <mergeCell ref="A76:B76"/>
    <mergeCell ref="A77:B77"/>
  </mergeCells>
  <conditionalFormatting sqref="C8:C27 C31:C50 C54:C55 C59:C60">
    <cfRule type="expression" dxfId="0" priority="1">
      <formula>COUNTIF(INDIRECT("AndraAktiviteter"), C8)</formula>
    </cfRule>
  </conditionalFormatting>
  <conditionalFormatting sqref="A8:AB27 A31:AB50 A54:AB55 A59:AB60">
    <cfRule type="expression" dxfId="1" priority="2">
      <formula>indirect("D"&amp;row())&lt;&gt;$E$2</formula>
    </cfRule>
  </conditionalFormatting>
  <conditionalFormatting sqref="C9">
    <cfRule type="expression" dxfId="0" priority="3">
      <formula>COUNTIF(INDIRECT("AndraAktiviteter"), C9)</formula>
    </cfRule>
  </conditionalFormatting>
  <conditionalFormatting sqref="E3:J6">
    <cfRule type="expression" dxfId="2" priority="4">
      <formula>$M$2&lt;2</formula>
    </cfRule>
  </conditionalFormatting>
  <conditionalFormatting sqref="K3:P6">
    <cfRule type="expression" dxfId="2" priority="5">
      <formula>$M$2&lt;3</formula>
    </cfRule>
  </conditionalFormatting>
  <conditionalFormatting sqref="W3:AB6">
    <cfRule type="expression" dxfId="2" priority="6">
      <formula>$M$2&lt;5</formula>
    </cfRule>
  </conditionalFormatting>
  <conditionalFormatting sqref="O1:P2">
    <cfRule type="expression" dxfId="2" priority="7">
      <formula>$M$2=1</formula>
    </cfRule>
  </conditionalFormatting>
  <conditionalFormatting sqref="Q3:V6">
    <cfRule type="expression" dxfId="2" priority="8">
      <formula>$M$2&lt;4</formula>
    </cfRule>
  </conditionalFormatting>
  <dataValidations>
    <dataValidation type="custom" allowBlank="1" showDropDown="1" showInputMessage="1" showErrorMessage="1" prompt="Antalet uppställda timers måste vara ett heltal mellan 1 och 999." sqref="Q2 E6 K6 Q6 W6 P8:P27 P31:P50 P52 P54:P55 P57 P59:P60">
      <formula1>AND(E2&gt;0,E2&lt;1000,MOD(E2,1)=0)</formula1>
    </dataValidation>
    <dataValidation type="list" allowBlank="1" showInputMessage="1" showErrorMessage="1" prompt="Rör ej - måste vara samma som huvudrummets namn." sqref="I4">
      <formula1>$E$2</formula1>
    </dataValidation>
    <dataValidation type="list" allowBlank="1" showInputMessage="1" showErrorMessage="1" prompt="I cellerna i kolumn Q måste det stå antingen &quot;Yes&quot; eller &quot;No&quot;." sqref="Q8:Q27 Q31:Q50 Q52 Q54:Q55 Q57 Q59:Q60">
      <formula1>"Yes,No"</formula1>
    </dataValidation>
    <dataValidation type="custom" allowBlank="1" showDropDown="1" showInputMessage="1" showErrorMessage="1" prompt="Rör ej! Behövs för beräkningar och analys." sqref="L29">
      <formula1>IF($O$2="No",1440-($A$6*60+$B$6)-SUM($L$7:indirect("L"&amp;row()-2))+($A$29*60+$B$29), 1440-($A$6*60+$B$6)-SUM(FILTER($L$7:indirect("L"&amp;row()-2),REGEXMATCH($D$7:indirect("D"&amp;row()-2),$E$2)))+($A$29*60+$B$29))</formula1>
    </dataValidation>
    <dataValidation type="list" allowBlank="1" showInputMessage="1" showErrorMessage="1" prompt="Antalet sidor / stages / blandningsbord måste vara ett heltal mellan 1 och 10." sqref="S2 G6 M6 S6 Y6 O8:O27 O31:O50 O52 O54:O55 O57 O59:O60">
      <formula1>"1,2,3,4,5,6,7,8,9,10"</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2." sqref="E4">
      <formula1>AND(E4&lt;&gt;E2,E4&lt;&gt;K4,E4&lt;&gt;Q4,M2&gt;=2)</formula1>
    </dataValidation>
    <dataValidation type="list" allowBlank="1" showInputMessage="1" showErrorMessage="1" prompt="Den angivna populäraste grenen är antingen felstavad eller finns inte i &quot;Info&quot;-dokumentet." sqref="K2">
      <formula1>AllaAktiviteter</formula1>
    </dataValidation>
    <dataValidation type="custom" allowBlank="1" showDropDown="1" showInputMessage="1" showErrorMessage="1" prompt="Fyll i det timslag som dagens första gren eller aktivitet börjar på. Börjar tävlingen exempelvis klockan 09:15 så skriver du &quot;9&quot; i cellen." sqref="A6 A29 A52 A57">
      <formula1>AND(A6&gt;=0,A6&lt;24,MOD(A6,1)=0)</formula1>
    </dataValidation>
    <dataValidation type="custom" allowBlank="1" showDropDown="1" showInputMessage="1" showErrorMessage="1" prompt="Cell C29 måste innehålla ett giltigt datum. Dubbelklicka på cellen så kommer en kalender upp där du kan välja en tävlingsdag." sqref="C29">
      <formula1>OR(NOT(ISERROR(DATEVALUE(C29))), AND(ISNUMBER(C29), LEFT(CELL("format", C29))="D"))</formula1>
    </dataValidation>
    <dataValidation type="custom" allowBlank="1" showDropDown="1" showInputMessage="1" showErrorMessage="1" prompt="Cellens värde måste vara ett heltal mellan 0 och 1440 (24h). Cellen går inte heller att fylla i om det inte finns en beräknad tid i kolumn L att jämföra med." sqref="S8:S27 S31:S50 S54:S55 S59:S60">
      <formula1>OR(S8="?",S8="",AND(L8&gt;0,S8&gt;=0,S8&lt;=1440))</formula1>
    </dataValidation>
    <dataValidation type="list" allowBlank="1" showInputMessage="1" showErrorMessage="1" prompt="I cell U2 måste det stå antingen &quot;Yes&quot; eller &quot;No&quot;." sqref="U2">
      <formula1>"Yes,No"</formula1>
    </dataValidation>
    <dataValidation type="list" allowBlank="1" showInputMessage="1" showErrorMessage="1" prompt="Grenen eller aktiviteten kunde inte hittas i &quot;Info&quot;-fliken. Testa att börja skriva på grenens eller aktivitetens namn (eller välja i menyn). Vill du lägga till en inofficiell gren, eller en aktivitet som inte brukar finnas på tävlingar, så kan du lägga ti" sqref="C8:C27 C31:C50 C54:C55 C59:C60">
      <formula1>Info!$A$2:$A81</formula1>
    </dataValidation>
    <dataValidation type="custom" allowBlank="1" showDropDown="1" showInputMessage="1" showErrorMessage="1" prompt="Rör ej! Cellen behövs för korrekta beräkningar och analyser." sqref="R29:S29 R62:S62">
      <formula1>$L$29</formula1>
    </dataValidation>
    <dataValidation type="list" allowBlank="1" showInputMessage="1" showErrorMessage="1" prompt="Det valda namnet på omgången matchar inget av de tillåtna namnen. Testa att börja skriva på omgångens namn (eller välja i menyn)." sqref="E8:E27 E31:E50 E54:E55 E59:E60">
      <formula1>"1,2,3,Final,R1 - A1,R1 - A2,R1 - A3,R2 - A1,R2 - A2,R2 - A3,R3 - A1,R3 - A2,R3 - A3,Final - A1,Final - A2,Final - A3"</formula1>
    </dataValidation>
    <dataValidation type="list" allowBlank="1" showInputMessage="1" showErrorMessage="1" prompt="Det angivna tävlingsformatet finns inte. Testa att börja skriva på formatet (eller välja i menyn)." sqref="F8:F27 F31:F50 F54:F55 F59:F60">
      <formula1>"Avg of 5,Mean of 3,Best of 3,Best of 2,Best of 1"</formula1>
    </dataValidation>
    <dataValidation type="custom" allowBlank="1" showDropDown="1" showInputMessage="1" showErrorMessage="1" prompt="Fyll i den minut som tävlingens första gren eller aktivitet börjar på. Minuten måste vara delbar med 5. Börjar tävlingen exempelvis klockan 09:15 så skriver du &quot;15&quot; i cellen." sqref="B6 B29 B52 B57">
      <formula1>AND(B6&gt;=0,B6&lt;60,MOD(B6,5)=0)</formula1>
    </dataValidation>
    <dataValidation type="list" allowBlank="1" showInputMessage="1" showErrorMessage="1" prompt="I cell O2 måste det stå antingen &quot;Yes&quot; eller &quot;No&quot;." sqref="O2">
      <formula1>"Yes,No"</formula1>
    </dataValidation>
    <dataValidation type="custom" allowBlank="1" showDropDown="1" showInputMessage="1" showErrorMessage="1" prompt="Antalet grupper måste vara ett positivt heltal mellan 1 och 999." sqref="N8:N27 N31:N50 N52 N54:N55 N57 N59:N60">
      <formula1>AND(N8&gt;0,N8&lt;1000,MOD(N8,1)=0)</formula1>
    </dataValidation>
    <dataValidation type="custom" allowBlank="1" showDropDown="1" showInputMessage="1" showErrorMessage="1" prompt="Cellens värde måste vara ett tal mellan 1 och 1440 (24h). Cellen går inte heller att fylla i om det inte finns en beräknad tid i kolumn L att jämföra med." sqref="R8:R27 R31:R50 R54:R55 R59:R60">
      <formula1>OR(R8="?",R8="",AND(L8&gt;0,R8&gt;=1,R8&lt;=1440))</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3." sqref="K4">
      <formula1>AND(K4&lt;&gt;E2,K4&lt;&gt;E4,K4&lt;&gt;Q4,M2&gt;=3)</formula1>
    </dataValidation>
    <dataValidation type="custom" allowBlank="1" showDropDown="1" showInputMessage="1" showErrorMessage="1" prompt="Cellen måste innehålla en tid (ex 09:15). Om en starttid för en sidogren efterfrågas och &quot;=time(hh:mm:ss)&quot; visas, så måste den inskrivna tiden ligga mellan starttiden för grenen ovanför och nedanför, ex =time(09;15;0). Om du inte efterfrågats att skriva i" sqref="A8:A27 A31:A50 A54:A55 A59:A60">
      <formula1>IF(OR(ISDATE(indirect("A"&amp;row()-1)=FALSE),ISDATE(indirect("A"&amp;row()+1)=FALSE)),AND(ISDATE(A8)=TRUE,A8&gt;=A7,A8&lt;=A9),ISDATE(A8)=TRUE)</formula1>
    </dataValidation>
    <dataValidation type="custom" allowBlank="1" showDropDown="1" showInputMessage="1" showErrorMessage="1" prompt="Rör ej! Cellen behövs för korrekta beräkningar och analyser." sqref="R52:S52 R57:S57">
      <formula1>$L$52</formula1>
    </dataValidation>
    <dataValidation type="list" allowBlank="1" showInputMessage="1" showErrorMessage="1" prompt="I cell I6 måste det stå antingen &quot;Yes&quot; eller &quot;No&quot;." sqref="I6 O6 U6 AA6">
      <formula1>"Yes,No"</formula1>
    </dataValidation>
    <dataValidation type="custom" allowBlank="1" showDropDown="1" showInputMessage="1" showErrorMessage="1" prompt="Cell C6 måste innehålla ett giltigt datum. Dubbelklicka på cellen så kommer en kalender upp där du kan välja en tävlingsdag." sqref="C6">
      <formula1>OR(NOT(ISERROR(DATEVALUE(C6))), AND(ISNUMBER(C6), LEFT(CELL("format", C6))="D"))</formula1>
    </dataValidation>
    <dataValidation type="list" allowBlank="1" showInputMessage="1" showErrorMessage="1" prompt="Det angivna rummet / scenen matchar inget av de namngivna rummen på rad 1-6. Testa att börja skriva på rummets namn (eller välja i menyn). Om du saknar eller vill ändra namnet på ett rum så gör du det på rad 1-6 i dokumentet. Om du behöver fler extrarum s" sqref="D8:D27 D31:D50 D54:D55 D59:D60">
      <formula1>RummensNamn</formula1>
    </dataValidation>
    <dataValidation type="custom" allowBlank="1" showDropDown="1" showInputMessage="1" showErrorMessage="1" prompt="För att kalkylarket ska fungera får inte huvudrummet eller sidorummen dela namn med varandra." sqref="E2">
      <formula1>AND(E2&lt;&gt;E4,E2&lt;&gt;K4,E2&lt;&gt;Q4)</formula1>
    </dataValidation>
    <dataValidation type="list" allowBlank="1" showInputMessage="1" showErrorMessage="1" prompt="Rör ej - behövs för summaberäkningarna" sqref="D29 D52 D57 D62">
      <formula1>$E$2</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4." sqref="Q4 W4">
      <formula1>AND(Q4&lt;&gt;K4,Q4&lt;&gt;E4,Q4&lt;&gt;E2,M2&gt;=4)</formula1>
    </dataValidation>
    <dataValidation type="custom" allowBlank="1" showDropDown="1" showInputMessage="1" showErrorMessage="1" prompt="Deltagargränsen måste vara ett heltal mellan 1 och 9999." sqref="I2">
      <formula1>AND(I2&gt;0,I2&lt;10000,MOD(I2,1)=0)</formula1>
    </dataValidation>
    <dataValidation type="custom" allowBlank="1" showDropDown="1" showInputMessage="1" showErrorMessage="1" prompt="Cellen måste innehålla en tid (ex 09:15). Om du efterfrågas att skriva in en tid eftersom &quot;=time(hh:mm:ss)&quot; visas, så gör du det i samma cell, exempelvis &quot;=time(09;15;0). Om du inte efterfrågats att skriva in en tid, men cellen ändå visar ett felmeddeland" sqref="B8:B27 B31:B50 B54:B55 B59:B60">
      <formula1>OR(NOT(ISERROR(DATEVALUE(B8))), AND(ISNUMBER(B8), LEFT(CELL("format", B8))="D"))</formula1>
    </dataValidation>
    <dataValidation type="custom" allowBlank="1" showDropDown="1" showInputMessage="1" showErrorMessage="1" prompt="Det angivna antalet deltagare måste vara ett heltal mellan 1 och deltagargränsen (i cell I2). För 3x3 FMC samt 3x3 MBLD har deltagarantalet ingen påverkan på tidsåtgången, och går ej heller att skriva in i cellen. Däremot behöver arrangören fortfarande se" sqref="J8:J27 J29 J31:J50 J52 J54:J55 J57 J59:J60">
      <formula1>AND($I$2&gt;=J8,0&lt;J8,MOD(J8,1)=0)</formula1>
    </dataValidation>
    <dataValidation type="list" allowBlank="1" showInputMessage="1" showErrorMessage="1" prompt="Antalet tävlingsrum måste vara ett heltal mellan 1 och 5." sqref="M2">
      <formula1>"1,2,3,4,5"</formula1>
    </dataValidation>
    <dataValidation type="custom" allowBlank="1" showDropDown="1" showInputMessage="1" showErrorMessage="1" prompt="Cell C52 måste innehålla ett giltigt datum. Dubbelklicka på cellen så kommer en kalender upp där du kan välja en tävlingsdag." sqref="C52 C57">
      <formula1>OR(NOT(ISERROR(DATEVALUE(C52))), AND(ISNUMBER(C52), LEFT(CELL("format", C52))="D"))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88"/>
    <col customWidth="1" min="2" max="2" width="10.13"/>
    <col customWidth="1" min="3" max="3" width="25.75"/>
    <col customWidth="1" min="4" max="4" width="10.88"/>
    <col customWidth="1" min="5" max="5" width="14.13"/>
    <col customWidth="1" min="6" max="7" width="18.25"/>
    <col customWidth="1" min="8" max="8" width="29.63"/>
    <col customWidth="1" min="9" max="9" width="25.38"/>
    <col customWidth="1" min="10" max="10" width="20.63"/>
    <col customWidth="1" min="11" max="11" width="19.13"/>
    <col customWidth="1" min="12" max="12" width="16.63"/>
    <col customWidth="1" min="13" max="13" width="18.0"/>
    <col customWidth="1" min="14" max="14" width="19.38"/>
    <col customWidth="1" min="15" max="15" width="25.13"/>
    <col customWidth="1" min="16" max="19" width="19.0"/>
    <col customWidth="1" min="20" max="20" width="64.75"/>
  </cols>
  <sheetData>
    <row r="1">
      <c r="A1" s="101" t="s">
        <v>118</v>
      </c>
      <c r="B1" s="101" t="s">
        <v>56</v>
      </c>
      <c r="C1" s="101" t="s">
        <v>119</v>
      </c>
      <c r="D1" s="101" t="s">
        <v>38</v>
      </c>
      <c r="E1" s="101" t="s">
        <v>120</v>
      </c>
      <c r="F1" s="102" t="s">
        <v>121</v>
      </c>
      <c r="G1" s="101" t="s">
        <v>122</v>
      </c>
      <c r="H1" s="101" t="s">
        <v>123</v>
      </c>
      <c r="I1" s="101" t="s">
        <v>124</v>
      </c>
      <c r="J1" s="101" t="s">
        <v>125</v>
      </c>
      <c r="K1" s="101" t="s">
        <v>126</v>
      </c>
      <c r="L1" s="101" t="s">
        <v>127</v>
      </c>
      <c r="M1" s="101" t="s">
        <v>128</v>
      </c>
      <c r="N1" s="101" t="s">
        <v>129</v>
      </c>
      <c r="O1" s="101" t="s">
        <v>130</v>
      </c>
      <c r="P1" s="101" t="s">
        <v>131</v>
      </c>
      <c r="Q1" s="101" t="s">
        <v>132</v>
      </c>
      <c r="R1" s="101" t="s">
        <v>133</v>
      </c>
      <c r="S1" s="101" t="s">
        <v>134</v>
      </c>
      <c r="T1" s="101" t="s">
        <v>135</v>
      </c>
    </row>
    <row r="2">
      <c r="A2" s="103" t="s">
        <v>12</v>
      </c>
      <c r="B2" s="104">
        <v>2.2</v>
      </c>
      <c r="C2" s="103">
        <f t="shared" ref="C2:C7" si="2">B2*$T$17</f>
        <v>1.65</v>
      </c>
      <c r="D2" s="104" t="s">
        <v>136</v>
      </c>
      <c r="E2" s="104" t="s">
        <v>13</v>
      </c>
      <c r="F2" s="105" t="s">
        <v>13</v>
      </c>
      <c r="G2" s="104" t="s">
        <v>137</v>
      </c>
      <c r="H2" s="104">
        <v>1.0</v>
      </c>
      <c r="I2" s="104">
        <v>4.0</v>
      </c>
      <c r="J2" s="106" t="str">
        <f t="shared" ref="J2:N2" si="1">IF(AND($E2="No",$F2="No"),"N/A","?")</f>
        <v>N/A</v>
      </c>
      <c r="K2" s="106" t="str">
        <f t="shared" si="1"/>
        <v>N/A</v>
      </c>
      <c r="L2" s="106" t="str">
        <f t="shared" si="1"/>
        <v>N/A</v>
      </c>
      <c r="M2" s="106" t="str">
        <f t="shared" si="1"/>
        <v>N/A</v>
      </c>
      <c r="N2" s="106" t="str">
        <f t="shared" si="1"/>
        <v>N/A</v>
      </c>
      <c r="O2" s="105" t="s">
        <v>138</v>
      </c>
      <c r="P2" s="104">
        <v>5.0</v>
      </c>
      <c r="Q2" s="104">
        <v>2.0</v>
      </c>
      <c r="R2" s="104">
        <v>2.0</v>
      </c>
      <c r="S2" s="104">
        <v>1.0</v>
      </c>
      <c r="T2" s="107">
        <v>0.95</v>
      </c>
    </row>
    <row r="3">
      <c r="A3" s="103" t="s">
        <v>94</v>
      </c>
      <c r="B3" s="103">
        <v>1.625</v>
      </c>
      <c r="C3" s="103">
        <f t="shared" si="2"/>
        <v>1.21875</v>
      </c>
      <c r="D3" s="104" t="s">
        <v>136</v>
      </c>
      <c r="E3" s="104" t="s">
        <v>13</v>
      </c>
      <c r="F3" s="105" t="s">
        <v>13</v>
      </c>
      <c r="G3" s="104" t="s">
        <v>137</v>
      </c>
      <c r="H3" s="104">
        <v>0.875</v>
      </c>
      <c r="I3" s="104">
        <v>3.0</v>
      </c>
      <c r="J3" s="106" t="str">
        <f>IF(AND($E3="No",$F3="No"),"N/A","?")</f>
        <v>N/A</v>
      </c>
      <c r="K3" s="106" t="s">
        <v>138</v>
      </c>
      <c r="L3" s="106" t="s">
        <v>138</v>
      </c>
      <c r="M3" s="106" t="s">
        <v>138</v>
      </c>
      <c r="N3" s="106" t="s">
        <v>138</v>
      </c>
      <c r="O3" s="105" t="s">
        <v>138</v>
      </c>
      <c r="P3" s="104">
        <v>2.0</v>
      </c>
      <c r="Q3" s="104">
        <v>1.0</v>
      </c>
      <c r="R3" s="104">
        <v>1.0</v>
      </c>
      <c r="S3" s="104">
        <v>1.0</v>
      </c>
      <c r="T3" s="108"/>
    </row>
    <row r="4">
      <c r="A4" s="103" t="s">
        <v>95</v>
      </c>
      <c r="B4" s="103">
        <v>3.5</v>
      </c>
      <c r="C4" s="103">
        <f t="shared" si="2"/>
        <v>2.625</v>
      </c>
      <c r="D4" s="104" t="s">
        <v>136</v>
      </c>
      <c r="E4" s="104" t="s">
        <v>14</v>
      </c>
      <c r="F4" s="105" t="s">
        <v>13</v>
      </c>
      <c r="G4" s="104" t="s">
        <v>137</v>
      </c>
      <c r="H4" s="104">
        <v>0.725</v>
      </c>
      <c r="I4" s="104">
        <v>2.0</v>
      </c>
      <c r="J4" s="104">
        <v>1.0</v>
      </c>
      <c r="K4" s="104">
        <v>1.125</v>
      </c>
      <c r="L4" s="104">
        <v>1.25</v>
      </c>
      <c r="M4" s="104">
        <v>1.5</v>
      </c>
      <c r="N4" s="104">
        <v>1.75</v>
      </c>
      <c r="O4" s="105">
        <v>6.0</v>
      </c>
      <c r="P4" s="104">
        <v>4.0</v>
      </c>
      <c r="Q4" s="104">
        <v>3.0</v>
      </c>
      <c r="R4" s="104">
        <v>3.0</v>
      </c>
      <c r="S4" s="104">
        <v>2.0</v>
      </c>
      <c r="T4" s="101" t="s">
        <v>139</v>
      </c>
    </row>
    <row r="5">
      <c r="A5" s="103" t="s">
        <v>96</v>
      </c>
      <c r="B5" s="103">
        <v>5.0</v>
      </c>
      <c r="C5" s="103">
        <f t="shared" si="2"/>
        <v>3.75</v>
      </c>
      <c r="D5" s="104" t="s">
        <v>136</v>
      </c>
      <c r="E5" s="104" t="s">
        <v>14</v>
      </c>
      <c r="F5" s="105" t="s">
        <v>13</v>
      </c>
      <c r="G5" s="104" t="s">
        <v>140</v>
      </c>
      <c r="H5" s="104">
        <v>0.525</v>
      </c>
      <c r="I5" s="104">
        <v>2.0</v>
      </c>
      <c r="J5" s="104">
        <v>1.75</v>
      </c>
      <c r="K5" s="104">
        <v>2.0</v>
      </c>
      <c r="L5" s="104">
        <v>2.25</v>
      </c>
      <c r="M5" s="104">
        <v>2.5</v>
      </c>
      <c r="N5" s="104">
        <v>2.75</v>
      </c>
      <c r="O5" s="105">
        <v>10.0</v>
      </c>
      <c r="P5" s="104">
        <v>6.0</v>
      </c>
      <c r="Q5" s="104">
        <v>4.0</v>
      </c>
      <c r="R5" s="104">
        <v>4.0</v>
      </c>
      <c r="S5" s="104">
        <v>3.0</v>
      </c>
      <c r="T5" s="103">
        <v>0.9</v>
      </c>
    </row>
    <row r="6">
      <c r="A6" s="103" t="s">
        <v>97</v>
      </c>
      <c r="B6" s="103">
        <v>7.5</v>
      </c>
      <c r="C6" s="103">
        <f t="shared" si="2"/>
        <v>5.625</v>
      </c>
      <c r="D6" s="104" t="s">
        <v>141</v>
      </c>
      <c r="E6" s="104" t="s">
        <v>14</v>
      </c>
      <c r="F6" s="105" t="s">
        <v>13</v>
      </c>
      <c r="G6" s="104" t="s">
        <v>142</v>
      </c>
      <c r="H6" s="104">
        <v>0.375</v>
      </c>
      <c r="I6" s="104">
        <v>1.0</v>
      </c>
      <c r="J6" s="104">
        <v>3.25</v>
      </c>
      <c r="K6" s="104">
        <v>3.75</v>
      </c>
      <c r="L6" s="104">
        <v>4.25</v>
      </c>
      <c r="M6" s="104">
        <v>4.75</v>
      </c>
      <c r="N6" s="104">
        <v>5.25</v>
      </c>
      <c r="O6" s="105">
        <v>12.0</v>
      </c>
      <c r="P6" s="104">
        <v>8.0</v>
      </c>
      <c r="Q6" s="104">
        <v>6.0</v>
      </c>
      <c r="R6" s="104">
        <v>6.0</v>
      </c>
      <c r="S6" s="104">
        <v>4.0</v>
      </c>
      <c r="T6" s="109"/>
    </row>
    <row r="7">
      <c r="A7" s="103" t="s">
        <v>98</v>
      </c>
      <c r="B7" s="103">
        <v>10.0</v>
      </c>
      <c r="C7" s="103">
        <f t="shared" si="2"/>
        <v>7.5</v>
      </c>
      <c r="D7" s="104" t="s">
        <v>141</v>
      </c>
      <c r="E7" s="104" t="s">
        <v>14</v>
      </c>
      <c r="F7" s="105" t="s">
        <v>13</v>
      </c>
      <c r="G7" s="104" t="s">
        <v>143</v>
      </c>
      <c r="H7" s="104">
        <v>0.325</v>
      </c>
      <c r="I7" s="104">
        <v>1.0</v>
      </c>
      <c r="J7" s="104">
        <v>5.0</v>
      </c>
      <c r="K7" s="104">
        <v>5.625</v>
      </c>
      <c r="L7" s="104">
        <v>6.25</v>
      </c>
      <c r="M7" s="104">
        <v>6.875</v>
      </c>
      <c r="N7" s="104">
        <v>7.5</v>
      </c>
      <c r="O7" s="105">
        <v>18.0</v>
      </c>
      <c r="P7" s="104">
        <v>10.0</v>
      </c>
      <c r="Q7" s="104">
        <v>8.0</v>
      </c>
      <c r="R7" s="104">
        <v>8.0</v>
      </c>
      <c r="S7" s="104">
        <v>5.0</v>
      </c>
      <c r="T7" s="101" t="s">
        <v>144</v>
      </c>
    </row>
    <row r="8">
      <c r="A8" s="103" t="s">
        <v>99</v>
      </c>
      <c r="B8" s="106" t="s">
        <v>138</v>
      </c>
      <c r="C8" s="106" t="s">
        <v>138</v>
      </c>
      <c r="D8" s="104" t="s">
        <v>145</v>
      </c>
      <c r="E8" s="104" t="s">
        <v>13</v>
      </c>
      <c r="F8" s="105" t="s">
        <v>14</v>
      </c>
      <c r="G8" s="106" t="s">
        <v>138</v>
      </c>
      <c r="H8" s="104">
        <v>0.375</v>
      </c>
      <c r="I8" s="104">
        <v>2.0</v>
      </c>
      <c r="J8" s="110">
        <v>9.0</v>
      </c>
      <c r="K8" s="110">
        <v>12.0</v>
      </c>
      <c r="L8" s="110">
        <v>15.0</v>
      </c>
      <c r="M8" s="110">
        <v>18.0</v>
      </c>
      <c r="N8" s="110">
        <v>21.0</v>
      </c>
      <c r="O8" s="111">
        <v>15.0</v>
      </c>
      <c r="P8" s="112" t="str">
        <f t="shared" ref="P8:S8" si="3">IF($F8="Yes","N/A","?")</f>
        <v>N/A</v>
      </c>
      <c r="Q8" s="112" t="str">
        <f t="shared" si="3"/>
        <v>N/A</v>
      </c>
      <c r="R8" s="112" t="str">
        <f t="shared" si="3"/>
        <v>N/A</v>
      </c>
      <c r="S8" s="112" t="str">
        <f t="shared" si="3"/>
        <v>N/A</v>
      </c>
      <c r="T8" s="103">
        <v>16.0</v>
      </c>
    </row>
    <row r="9">
      <c r="A9" s="104" t="s">
        <v>69</v>
      </c>
      <c r="B9" s="104">
        <v>70.0</v>
      </c>
      <c r="C9" s="104">
        <v>70.0</v>
      </c>
      <c r="D9" s="106" t="s">
        <v>138</v>
      </c>
      <c r="E9" s="104" t="s">
        <v>13</v>
      </c>
      <c r="F9" s="105" t="s">
        <v>13</v>
      </c>
      <c r="G9" s="106" t="s">
        <v>138</v>
      </c>
      <c r="H9" s="104">
        <v>0.325</v>
      </c>
      <c r="I9" s="104">
        <v>1.0</v>
      </c>
      <c r="J9" s="106" t="str">
        <f>IF(AND($E9="No",$F9="No"),"N/A","?")</f>
        <v>N/A</v>
      </c>
      <c r="K9" s="112" t="s">
        <v>138</v>
      </c>
      <c r="L9" s="112" t="s">
        <v>138</v>
      </c>
      <c r="M9" s="112" t="s">
        <v>138</v>
      </c>
      <c r="N9" s="112" t="s">
        <v>138</v>
      </c>
      <c r="O9" s="112" t="s">
        <v>138</v>
      </c>
      <c r="P9" s="112" t="s">
        <v>138</v>
      </c>
      <c r="Q9" s="112" t="s">
        <v>138</v>
      </c>
      <c r="R9" s="112" t="s">
        <v>138</v>
      </c>
      <c r="S9" s="112" t="s">
        <v>138</v>
      </c>
      <c r="T9" s="113"/>
    </row>
    <row r="10">
      <c r="A10" s="103" t="s">
        <v>100</v>
      </c>
      <c r="B10" s="103">
        <v>2.5</v>
      </c>
      <c r="C10" s="103">
        <f t="shared" ref="C10:C15" si="4">B10*$T$17</f>
        <v>1.875</v>
      </c>
      <c r="D10" s="104" t="s">
        <v>136</v>
      </c>
      <c r="E10" s="104" t="s">
        <v>14</v>
      </c>
      <c r="F10" s="105" t="s">
        <v>13</v>
      </c>
      <c r="G10" s="104" t="s">
        <v>137</v>
      </c>
      <c r="H10" s="104">
        <v>0.6</v>
      </c>
      <c r="I10" s="104">
        <v>2.0</v>
      </c>
      <c r="J10" s="104">
        <v>0.5</v>
      </c>
      <c r="K10" s="104">
        <v>0.625</v>
      </c>
      <c r="L10" s="104">
        <v>0.75</v>
      </c>
      <c r="M10" s="104">
        <v>0.875</v>
      </c>
      <c r="N10" s="104">
        <v>1.0</v>
      </c>
      <c r="O10" s="105">
        <v>4.0</v>
      </c>
      <c r="P10" s="104">
        <v>3.0</v>
      </c>
      <c r="Q10" s="104">
        <v>2.0</v>
      </c>
      <c r="R10" s="104">
        <v>2.0</v>
      </c>
      <c r="S10" s="104">
        <v>1.0</v>
      </c>
      <c r="T10" s="101" t="s">
        <v>146</v>
      </c>
    </row>
    <row r="11">
      <c r="A11" s="103" t="s">
        <v>101</v>
      </c>
      <c r="B11" s="104">
        <v>3.75</v>
      </c>
      <c r="C11" s="103">
        <f t="shared" si="4"/>
        <v>2.8125</v>
      </c>
      <c r="D11" s="104" t="s">
        <v>136</v>
      </c>
      <c r="E11" s="104" t="s">
        <v>14</v>
      </c>
      <c r="F11" s="105" t="s">
        <v>13</v>
      </c>
      <c r="G11" s="104" t="s">
        <v>140</v>
      </c>
      <c r="H11" s="104">
        <v>0.375</v>
      </c>
      <c r="I11" s="104">
        <v>2.0</v>
      </c>
      <c r="J11" s="114">
        <v>0.25</v>
      </c>
      <c r="K11" s="114">
        <v>0.375</v>
      </c>
      <c r="L11" s="114">
        <v>0.5</v>
      </c>
      <c r="M11" s="114">
        <v>0.625</v>
      </c>
      <c r="N11" s="114">
        <v>0.75</v>
      </c>
      <c r="O11" s="115">
        <v>2.0</v>
      </c>
      <c r="P11" s="114">
        <v>2.0</v>
      </c>
      <c r="Q11" s="114">
        <v>1.0</v>
      </c>
      <c r="R11" s="114">
        <v>1.0</v>
      </c>
      <c r="S11" s="114">
        <v>1.0</v>
      </c>
      <c r="T11" s="103">
        <v>2.5</v>
      </c>
    </row>
    <row r="12">
      <c r="A12" s="103" t="s">
        <v>102</v>
      </c>
      <c r="B12" s="103">
        <v>4.5</v>
      </c>
      <c r="C12" s="103">
        <f t="shared" si="4"/>
        <v>3.375</v>
      </c>
      <c r="D12" s="104" t="s">
        <v>136</v>
      </c>
      <c r="E12" s="104" t="s">
        <v>14</v>
      </c>
      <c r="F12" s="105" t="s">
        <v>13</v>
      </c>
      <c r="G12" s="104" t="s">
        <v>143</v>
      </c>
      <c r="H12" s="104">
        <v>0.425</v>
      </c>
      <c r="I12" s="104">
        <v>2.0</v>
      </c>
      <c r="J12" s="104">
        <v>1.75</v>
      </c>
      <c r="K12" s="104">
        <v>2.0</v>
      </c>
      <c r="L12" s="104">
        <v>2.25</v>
      </c>
      <c r="M12" s="104">
        <v>2.5</v>
      </c>
      <c r="N12" s="104">
        <v>2.75</v>
      </c>
      <c r="O12" s="105">
        <v>10.0</v>
      </c>
      <c r="P12" s="104">
        <v>6.0</v>
      </c>
      <c r="Q12" s="104">
        <v>4.0</v>
      </c>
      <c r="R12" s="104">
        <v>4.0</v>
      </c>
      <c r="S12" s="104">
        <v>3.0</v>
      </c>
      <c r="T12" s="116"/>
    </row>
    <row r="13">
      <c r="A13" s="103" t="s">
        <v>103</v>
      </c>
      <c r="B13" s="103">
        <v>2.0</v>
      </c>
      <c r="C13" s="103">
        <f t="shared" si="4"/>
        <v>1.5</v>
      </c>
      <c r="D13" s="104" t="s">
        <v>136</v>
      </c>
      <c r="E13" s="104" t="s">
        <v>13</v>
      </c>
      <c r="F13" s="105" t="s">
        <v>13</v>
      </c>
      <c r="G13" s="104" t="s">
        <v>137</v>
      </c>
      <c r="H13" s="104">
        <v>0.75</v>
      </c>
      <c r="I13" s="104">
        <v>3.0</v>
      </c>
      <c r="J13" s="106" t="str">
        <f t="shared" ref="J13:J14" si="5">IF(AND($E13="No",$F13="No"),"N/A","?")</f>
        <v>N/A</v>
      </c>
      <c r="K13" s="117" t="s">
        <v>138</v>
      </c>
      <c r="L13" s="117" t="s">
        <v>138</v>
      </c>
      <c r="M13" s="117" t="s">
        <v>138</v>
      </c>
      <c r="N13" s="117" t="s">
        <v>138</v>
      </c>
      <c r="O13" s="115" t="s">
        <v>138</v>
      </c>
      <c r="P13" s="114">
        <v>2.0</v>
      </c>
      <c r="Q13" s="114">
        <v>1.0</v>
      </c>
      <c r="R13" s="114">
        <v>1.0</v>
      </c>
      <c r="S13" s="114">
        <v>1.0</v>
      </c>
      <c r="T13" s="101" t="s">
        <v>147</v>
      </c>
    </row>
    <row r="14">
      <c r="A14" s="103" t="s">
        <v>104</v>
      </c>
      <c r="B14" s="103">
        <v>2.0</v>
      </c>
      <c r="C14" s="103">
        <f t="shared" si="4"/>
        <v>1.5</v>
      </c>
      <c r="D14" s="104" t="s">
        <v>136</v>
      </c>
      <c r="E14" s="104" t="s">
        <v>13</v>
      </c>
      <c r="F14" s="105" t="s">
        <v>13</v>
      </c>
      <c r="G14" s="104" t="s">
        <v>137</v>
      </c>
      <c r="H14" s="104">
        <v>0.625</v>
      </c>
      <c r="I14" s="104">
        <v>3.0</v>
      </c>
      <c r="J14" s="106" t="str">
        <f t="shared" si="5"/>
        <v>N/A</v>
      </c>
      <c r="K14" s="117" t="s">
        <v>138</v>
      </c>
      <c r="L14" s="117" t="s">
        <v>138</v>
      </c>
      <c r="M14" s="117" t="s">
        <v>138</v>
      </c>
      <c r="N14" s="117" t="s">
        <v>138</v>
      </c>
      <c r="O14" s="115" t="s">
        <v>138</v>
      </c>
      <c r="P14" s="114">
        <v>2.0</v>
      </c>
      <c r="Q14" s="114">
        <v>1.0</v>
      </c>
      <c r="R14" s="114">
        <v>1.0</v>
      </c>
      <c r="S14" s="114">
        <v>1.0</v>
      </c>
      <c r="T14" s="118">
        <v>1.25</v>
      </c>
    </row>
    <row r="15">
      <c r="A15" s="103" t="s">
        <v>105</v>
      </c>
      <c r="B15" s="104">
        <v>3.0</v>
      </c>
      <c r="C15" s="103">
        <f t="shared" si="4"/>
        <v>2.25</v>
      </c>
      <c r="D15" s="104" t="s">
        <v>136</v>
      </c>
      <c r="E15" s="104" t="s">
        <v>14</v>
      </c>
      <c r="F15" s="105" t="s">
        <v>13</v>
      </c>
      <c r="G15" s="104" t="s">
        <v>143</v>
      </c>
      <c r="H15" s="104">
        <v>0.4</v>
      </c>
      <c r="I15" s="104">
        <v>2.0</v>
      </c>
      <c r="J15" s="104">
        <v>0.5</v>
      </c>
      <c r="K15" s="104">
        <v>0.625</v>
      </c>
      <c r="L15" s="104">
        <v>0.75</v>
      </c>
      <c r="M15" s="104">
        <v>0.875</v>
      </c>
      <c r="N15" s="104">
        <v>1.0</v>
      </c>
      <c r="O15" s="105">
        <v>4.0</v>
      </c>
      <c r="P15" s="104">
        <v>3.0</v>
      </c>
      <c r="Q15" s="104">
        <v>2.0</v>
      </c>
      <c r="R15" s="104">
        <v>2.0</v>
      </c>
      <c r="S15" s="104">
        <v>1.0</v>
      </c>
      <c r="T15" s="113"/>
    </row>
    <row r="16">
      <c r="A16" s="103" t="s">
        <v>106</v>
      </c>
      <c r="B16" s="106" t="s">
        <v>138</v>
      </c>
      <c r="C16" s="106" t="s">
        <v>138</v>
      </c>
      <c r="D16" s="104" t="s">
        <v>145</v>
      </c>
      <c r="E16" s="104" t="s">
        <v>13</v>
      </c>
      <c r="F16" s="105" t="s">
        <v>14</v>
      </c>
      <c r="G16" s="106" t="s">
        <v>138</v>
      </c>
      <c r="H16" s="104">
        <v>0.15</v>
      </c>
      <c r="I16" s="104">
        <v>1.0</v>
      </c>
      <c r="J16" s="114">
        <v>25.0</v>
      </c>
      <c r="K16" s="114">
        <v>32.5</v>
      </c>
      <c r="L16" s="114">
        <v>40.0</v>
      </c>
      <c r="M16" s="114">
        <v>47.5</v>
      </c>
      <c r="N16" s="114">
        <v>55.0</v>
      </c>
      <c r="O16" s="115">
        <v>40.0</v>
      </c>
      <c r="P16" s="112" t="str">
        <f t="shared" ref="P16:S16" si="6">IF($F16="Yes","N/A","?")</f>
        <v>N/A</v>
      </c>
      <c r="Q16" s="112" t="str">
        <f t="shared" si="6"/>
        <v>N/A</v>
      </c>
      <c r="R16" s="112" t="str">
        <f t="shared" si="6"/>
        <v>N/A</v>
      </c>
      <c r="S16" s="112" t="str">
        <f t="shared" si="6"/>
        <v>N/A</v>
      </c>
      <c r="T16" s="19" t="s">
        <v>148</v>
      </c>
    </row>
    <row r="17">
      <c r="A17" s="103" t="s">
        <v>107</v>
      </c>
      <c r="B17" s="106" t="s">
        <v>138</v>
      </c>
      <c r="C17" s="106" t="s">
        <v>138</v>
      </c>
      <c r="D17" s="104" t="s">
        <v>145</v>
      </c>
      <c r="E17" s="104" t="s">
        <v>13</v>
      </c>
      <c r="F17" s="105" t="s">
        <v>14</v>
      </c>
      <c r="G17" s="106" t="s">
        <v>138</v>
      </c>
      <c r="H17" s="104">
        <v>0.125</v>
      </c>
      <c r="I17" s="104">
        <v>1.0</v>
      </c>
      <c r="J17" s="110">
        <v>35.0</v>
      </c>
      <c r="K17" s="110">
        <v>47.5</v>
      </c>
      <c r="L17" s="110">
        <v>60.0</v>
      </c>
      <c r="M17" s="110">
        <v>72.5</v>
      </c>
      <c r="N17" s="110">
        <v>85.0</v>
      </c>
      <c r="O17" s="111">
        <v>60.0</v>
      </c>
      <c r="P17" s="112" t="str">
        <f t="shared" ref="P17:S17" si="7">IF($F17="Yes","N/A","?")</f>
        <v>N/A</v>
      </c>
      <c r="Q17" s="112" t="str">
        <f t="shared" si="7"/>
        <v>N/A</v>
      </c>
      <c r="R17" s="112" t="str">
        <f t="shared" si="7"/>
        <v>N/A</v>
      </c>
      <c r="S17" s="112" t="str">
        <f t="shared" si="7"/>
        <v>N/A</v>
      </c>
      <c r="T17" s="118">
        <v>0.75</v>
      </c>
    </row>
    <row r="18">
      <c r="A18" s="103" t="s">
        <v>77</v>
      </c>
      <c r="B18" s="104">
        <v>75.0</v>
      </c>
      <c r="C18" s="104">
        <v>75.0</v>
      </c>
      <c r="D18" s="106" t="s">
        <v>138</v>
      </c>
      <c r="E18" s="104" t="s">
        <v>13</v>
      </c>
      <c r="F18" s="105" t="s">
        <v>13</v>
      </c>
      <c r="G18" s="106" t="s">
        <v>138</v>
      </c>
      <c r="H18" s="104">
        <v>0.225</v>
      </c>
      <c r="I18" s="104">
        <v>1.0</v>
      </c>
      <c r="J18" s="106" t="str">
        <f>IF(AND($E18="No",$F18="No"),"N/A","?")</f>
        <v>N/A</v>
      </c>
      <c r="K18" s="112" t="s">
        <v>138</v>
      </c>
      <c r="L18" s="112" t="s">
        <v>138</v>
      </c>
      <c r="M18" s="112" t="s">
        <v>138</v>
      </c>
      <c r="N18" s="112" t="s">
        <v>138</v>
      </c>
      <c r="O18" s="112" t="s">
        <v>138</v>
      </c>
      <c r="P18" s="119" t="s">
        <v>138</v>
      </c>
      <c r="Q18" s="119" t="s">
        <v>138</v>
      </c>
      <c r="R18" s="119" t="s">
        <v>138</v>
      </c>
      <c r="S18" s="119" t="s">
        <v>138</v>
      </c>
      <c r="T18" s="120"/>
    </row>
    <row r="19">
      <c r="A19" s="104" t="s">
        <v>108</v>
      </c>
      <c r="B19" s="104">
        <v>8.75</v>
      </c>
      <c r="C19" s="103">
        <f>B19*$T$17</f>
        <v>6.5625</v>
      </c>
      <c r="D19" s="104" t="s">
        <v>141</v>
      </c>
      <c r="E19" s="104" t="s">
        <v>14</v>
      </c>
      <c r="F19" s="105" t="s">
        <v>13</v>
      </c>
      <c r="G19" s="104" t="s">
        <v>143</v>
      </c>
      <c r="H19" s="104">
        <f>(H6+H7)/2</f>
        <v>0.35</v>
      </c>
      <c r="I19" s="104">
        <v>1.0</v>
      </c>
      <c r="J19" s="110" t="str">
        <f t="shared" ref="J19:N19" si="8">CONCATENATE(J6&amp;" / "&amp;J7)</f>
        <v>3,25 / 5</v>
      </c>
      <c r="K19" s="110" t="str">
        <f t="shared" si="8"/>
        <v>3,75 / 5,625</v>
      </c>
      <c r="L19" s="110" t="str">
        <f t="shared" si="8"/>
        <v>4,25 / 6,25</v>
      </c>
      <c r="M19" s="110" t="str">
        <f t="shared" si="8"/>
        <v>4,75 / 6,875</v>
      </c>
      <c r="N19" s="110" t="str">
        <f t="shared" si="8"/>
        <v>5,25 / 7,5</v>
      </c>
      <c r="O19" s="111">
        <v>30.0</v>
      </c>
      <c r="P19" s="110" t="str">
        <f t="shared" ref="P19:S19" si="9">IF($F$19="No",CONCATENATE(P6&amp;" / "&amp;P7),"N/A")</f>
        <v>8 / 10</v>
      </c>
      <c r="Q19" s="110" t="str">
        <f t="shared" si="9"/>
        <v>6 / 8</v>
      </c>
      <c r="R19" s="110" t="str">
        <f t="shared" si="9"/>
        <v>6 / 8</v>
      </c>
      <c r="S19" s="110" t="str">
        <f t="shared" si="9"/>
        <v>4 / 5</v>
      </c>
      <c r="T19" s="121" t="s">
        <v>149</v>
      </c>
    </row>
    <row r="20">
      <c r="A20" s="104" t="s">
        <v>109</v>
      </c>
      <c r="B20" s="106" t="s">
        <v>138</v>
      </c>
      <c r="C20" s="106" t="s">
        <v>138</v>
      </c>
      <c r="D20" s="104" t="s">
        <v>145</v>
      </c>
      <c r="E20" s="104" t="s">
        <v>13</v>
      </c>
      <c r="F20" s="105" t="s">
        <v>14</v>
      </c>
      <c r="G20" s="106" t="s">
        <v>138</v>
      </c>
      <c r="H20" s="104">
        <f>(H16+H17)/2</f>
        <v>0.1375</v>
      </c>
      <c r="I20" s="104">
        <v>1.0</v>
      </c>
      <c r="J20" s="110">
        <v>45.0</v>
      </c>
      <c r="K20" s="110">
        <v>60.0</v>
      </c>
      <c r="L20" s="110">
        <v>75.0</v>
      </c>
      <c r="M20" s="110">
        <v>90.0</v>
      </c>
      <c r="N20" s="110">
        <v>105.0</v>
      </c>
      <c r="O20" s="111">
        <v>75.0</v>
      </c>
      <c r="P20" s="112" t="str">
        <f t="shared" ref="P20:S20" si="10">IF($F20="Yes","N/A","?")</f>
        <v>N/A</v>
      </c>
      <c r="Q20" s="112" t="str">
        <f t="shared" si="10"/>
        <v>N/A</v>
      </c>
      <c r="R20" s="112" t="str">
        <f t="shared" si="10"/>
        <v>N/A</v>
      </c>
      <c r="S20" s="112" t="str">
        <f t="shared" si="10"/>
        <v>N/A</v>
      </c>
      <c r="T20" s="118">
        <v>1.3</v>
      </c>
    </row>
    <row r="21">
      <c r="A21" s="113"/>
      <c r="B21" s="101" t="s">
        <v>150</v>
      </c>
      <c r="D21" s="122"/>
      <c r="E21" s="122"/>
      <c r="F21" s="122"/>
      <c r="G21" s="122"/>
      <c r="H21" s="122"/>
      <c r="I21" s="122"/>
      <c r="J21" s="123" t="s">
        <v>151</v>
      </c>
      <c r="K21" s="123" t="s">
        <v>151</v>
      </c>
      <c r="L21" s="123" t="s">
        <v>151</v>
      </c>
      <c r="M21" s="123" t="s">
        <v>151</v>
      </c>
      <c r="N21" s="123" t="s">
        <v>151</v>
      </c>
      <c r="O21" s="124"/>
      <c r="P21" s="124"/>
      <c r="Q21" s="124"/>
      <c r="R21" s="124"/>
      <c r="S21" s="124"/>
      <c r="T21" s="125"/>
    </row>
    <row r="22">
      <c r="A22" s="104" t="s">
        <v>152</v>
      </c>
      <c r="B22" s="104">
        <v>15.0</v>
      </c>
      <c r="C22" s="104">
        <v>15.0</v>
      </c>
      <c r="D22" s="122"/>
      <c r="E22" s="122"/>
      <c r="F22" s="122"/>
      <c r="G22" s="122"/>
      <c r="H22" s="122"/>
      <c r="I22" s="122"/>
      <c r="J22" s="110">
        <v>0.65</v>
      </c>
      <c r="K22" s="110">
        <v>0.725</v>
      </c>
      <c r="L22" s="110">
        <f>$T$26</f>
        <v>0.8</v>
      </c>
      <c r="M22" s="110">
        <v>0.875</v>
      </c>
      <c r="N22" s="110">
        <v>0.95</v>
      </c>
      <c r="O22" s="126"/>
      <c r="P22" s="126"/>
      <c r="Q22" s="126"/>
      <c r="R22" s="126"/>
      <c r="S22" s="126"/>
      <c r="T22" s="121" t="s">
        <v>153</v>
      </c>
    </row>
    <row r="23">
      <c r="A23" s="104" t="s">
        <v>154</v>
      </c>
      <c r="B23" s="104">
        <v>15.0</v>
      </c>
      <c r="C23" s="104">
        <v>15.0</v>
      </c>
      <c r="D23" s="122"/>
      <c r="E23" s="122"/>
      <c r="F23" s="122"/>
      <c r="G23" s="122"/>
      <c r="H23" s="122"/>
      <c r="I23" s="122"/>
      <c r="J23" s="123" t="s">
        <v>155</v>
      </c>
      <c r="K23" s="123" t="s">
        <v>155</v>
      </c>
      <c r="L23" s="123" t="s">
        <v>155</v>
      </c>
      <c r="M23" s="123" t="s">
        <v>155</v>
      </c>
      <c r="N23" s="123" t="s">
        <v>155</v>
      </c>
      <c r="O23" s="124"/>
      <c r="P23" s="124"/>
      <c r="Q23" s="124"/>
      <c r="R23" s="124"/>
      <c r="S23" s="124"/>
      <c r="T23" s="118">
        <v>1.2</v>
      </c>
    </row>
    <row r="24">
      <c r="A24" s="104" t="s">
        <v>156</v>
      </c>
      <c r="B24" s="104">
        <v>0.0</v>
      </c>
      <c r="C24" s="104">
        <v>0.0</v>
      </c>
      <c r="D24" s="122"/>
      <c r="E24" s="122"/>
      <c r="F24" s="122"/>
      <c r="G24" s="122"/>
      <c r="H24" s="122"/>
      <c r="I24" s="122"/>
      <c r="J24" s="110">
        <v>0.8</v>
      </c>
      <c r="K24" s="110">
        <v>0.85</v>
      </c>
      <c r="L24" s="110">
        <f>$T$29</f>
        <v>0.9</v>
      </c>
      <c r="M24" s="110">
        <v>0.925</v>
      </c>
      <c r="N24" s="110">
        <v>0.95</v>
      </c>
      <c r="O24" s="126"/>
      <c r="P24" s="126"/>
      <c r="Q24" s="126"/>
      <c r="R24" s="126"/>
      <c r="S24" s="126"/>
      <c r="T24" s="125"/>
    </row>
    <row r="25">
      <c r="A25" s="104" t="s">
        <v>157</v>
      </c>
      <c r="B25" s="104">
        <v>60.0</v>
      </c>
      <c r="C25" s="104">
        <v>60.0</v>
      </c>
      <c r="D25" s="122"/>
      <c r="E25" s="122"/>
      <c r="F25" s="122"/>
      <c r="G25" s="122"/>
      <c r="H25" s="122"/>
      <c r="I25" s="122"/>
      <c r="J25" s="123" t="s">
        <v>158</v>
      </c>
      <c r="K25" s="127"/>
      <c r="L25" s="123" t="s">
        <v>159</v>
      </c>
      <c r="M25" s="127"/>
      <c r="N25" s="127"/>
      <c r="O25" s="128"/>
      <c r="P25" s="128"/>
      <c r="Q25" s="128"/>
      <c r="R25" s="128"/>
      <c r="S25" s="128"/>
      <c r="T25" s="121" t="s">
        <v>160</v>
      </c>
    </row>
    <row r="26">
      <c r="A26" s="104" t="s">
        <v>161</v>
      </c>
      <c r="B26" s="104">
        <v>60.0</v>
      </c>
      <c r="C26" s="104">
        <v>60.0</v>
      </c>
      <c r="D26" s="122"/>
      <c r="E26" s="122"/>
      <c r="F26" s="122"/>
      <c r="G26" s="122"/>
      <c r="H26" s="122"/>
      <c r="I26" s="122"/>
      <c r="J26" s="110">
        <v>0.975</v>
      </c>
      <c r="L26" s="110">
        <v>0.975</v>
      </c>
      <c r="O26" s="128"/>
      <c r="P26" s="128"/>
      <c r="Q26" s="128"/>
      <c r="R26" s="128"/>
      <c r="S26" s="128"/>
      <c r="T26" s="118">
        <v>0.8</v>
      </c>
    </row>
    <row r="27">
      <c r="A27" s="104" t="s">
        <v>162</v>
      </c>
      <c r="B27" s="104">
        <v>60.0</v>
      </c>
      <c r="C27" s="104">
        <v>60.0</v>
      </c>
      <c r="D27" s="122"/>
      <c r="E27" s="122"/>
      <c r="F27" s="122"/>
      <c r="G27" s="122"/>
      <c r="H27" s="122"/>
      <c r="I27" s="122"/>
      <c r="J27" s="128"/>
      <c r="K27" s="128"/>
      <c r="L27" s="128"/>
      <c r="M27" s="128"/>
      <c r="N27" s="128"/>
      <c r="O27" s="128"/>
      <c r="P27" s="128"/>
      <c r="Q27" s="128"/>
      <c r="R27" s="128"/>
      <c r="S27" s="128"/>
      <c r="T27" s="125"/>
    </row>
    <row r="28">
      <c r="A28" s="104" t="s">
        <v>163</v>
      </c>
      <c r="B28" s="104">
        <v>15.0</v>
      </c>
      <c r="C28" s="104">
        <v>15.0</v>
      </c>
      <c r="D28" s="122"/>
      <c r="E28" s="122"/>
      <c r="F28" s="122"/>
      <c r="G28" s="122"/>
      <c r="H28" s="122"/>
      <c r="I28" s="122"/>
      <c r="J28" s="128"/>
      <c r="K28" s="128"/>
      <c r="L28" s="128"/>
      <c r="M28" s="128"/>
      <c r="N28" s="128"/>
      <c r="O28" s="128"/>
      <c r="P28" s="128"/>
      <c r="Q28" s="128"/>
      <c r="R28" s="128"/>
      <c r="S28" s="128"/>
      <c r="T28" s="121" t="s">
        <v>164</v>
      </c>
    </row>
    <row r="29">
      <c r="A29" s="104" t="s">
        <v>165</v>
      </c>
      <c r="B29" s="104">
        <v>20.0</v>
      </c>
      <c r="C29" s="104">
        <v>20.0</v>
      </c>
      <c r="D29" s="122"/>
      <c r="E29" s="122"/>
      <c r="F29" s="122"/>
      <c r="G29" s="122"/>
      <c r="H29" s="122"/>
      <c r="I29" s="122"/>
      <c r="J29" s="128"/>
      <c r="K29" s="128"/>
      <c r="L29" s="128"/>
      <c r="M29" s="128"/>
      <c r="N29" s="128"/>
      <c r="O29" s="128"/>
      <c r="P29" s="128"/>
      <c r="Q29" s="128"/>
      <c r="R29" s="128"/>
      <c r="S29" s="128"/>
      <c r="T29" s="118">
        <v>0.9</v>
      </c>
    </row>
    <row r="30">
      <c r="A30" s="104" t="s">
        <v>166</v>
      </c>
      <c r="B30" s="104">
        <v>10.0</v>
      </c>
      <c r="C30" s="104">
        <v>10.0</v>
      </c>
      <c r="D30" s="122"/>
      <c r="E30" s="122"/>
      <c r="F30" s="122"/>
      <c r="G30" s="122"/>
      <c r="H30" s="122"/>
      <c r="I30" s="122"/>
      <c r="J30" s="128"/>
      <c r="K30" s="128"/>
      <c r="L30" s="128"/>
      <c r="M30" s="128"/>
      <c r="N30" s="128"/>
      <c r="O30" s="128"/>
      <c r="P30" s="128"/>
      <c r="Q30" s="128"/>
      <c r="R30" s="128"/>
      <c r="S30" s="128"/>
      <c r="T30" s="125"/>
    </row>
    <row r="31">
      <c r="A31" s="106"/>
      <c r="B31" s="106"/>
      <c r="C31" s="106"/>
      <c r="D31" s="122"/>
      <c r="E31" s="122"/>
      <c r="F31" s="122"/>
      <c r="G31" s="122"/>
      <c r="H31" s="122"/>
      <c r="I31" s="122"/>
      <c r="J31" s="128"/>
      <c r="K31" s="128"/>
      <c r="L31" s="128"/>
      <c r="M31" s="128"/>
      <c r="N31" s="128"/>
      <c r="O31" s="128"/>
      <c r="P31" s="128"/>
      <c r="Q31" s="128"/>
      <c r="R31" s="128"/>
      <c r="S31" s="128"/>
      <c r="T31" s="121" t="s">
        <v>167</v>
      </c>
    </row>
    <row r="32">
      <c r="A32" s="106"/>
      <c r="B32" s="106"/>
      <c r="C32" s="106"/>
      <c r="D32" s="122"/>
      <c r="E32" s="122"/>
      <c r="F32" s="122"/>
      <c r="G32" s="122"/>
      <c r="H32" s="122"/>
      <c r="I32" s="122"/>
      <c r="J32" s="128"/>
      <c r="K32" s="128"/>
      <c r="L32" s="128"/>
      <c r="M32" s="128"/>
      <c r="N32" s="128"/>
      <c r="O32" s="128"/>
      <c r="P32" s="128"/>
      <c r="Q32" s="128"/>
      <c r="R32" s="128"/>
      <c r="S32" s="128"/>
      <c r="T32" s="118">
        <v>0.75</v>
      </c>
    </row>
    <row r="33">
      <c r="A33" s="106"/>
      <c r="B33" s="106"/>
      <c r="C33" s="106"/>
      <c r="D33" s="122"/>
      <c r="E33" s="122"/>
      <c r="F33" s="122"/>
      <c r="G33" s="122"/>
      <c r="H33" s="122"/>
      <c r="I33" s="122"/>
      <c r="J33" s="128"/>
      <c r="K33" s="128"/>
      <c r="L33" s="128"/>
      <c r="M33" s="128"/>
      <c r="N33" s="128"/>
      <c r="O33" s="128"/>
      <c r="P33" s="128"/>
      <c r="Q33" s="128"/>
      <c r="R33" s="128"/>
      <c r="S33" s="128"/>
      <c r="T33" s="125"/>
    </row>
    <row r="34">
      <c r="A34" s="106"/>
      <c r="B34" s="106"/>
      <c r="C34" s="106"/>
      <c r="D34" s="122"/>
      <c r="E34" s="122"/>
      <c r="F34" s="122"/>
      <c r="G34" s="122"/>
      <c r="H34" s="122"/>
      <c r="I34" s="122"/>
      <c r="J34" s="128"/>
      <c r="K34" s="128"/>
      <c r="L34" s="128"/>
      <c r="M34" s="128"/>
      <c r="N34" s="128"/>
      <c r="O34" s="128"/>
      <c r="P34" s="128"/>
      <c r="Q34" s="128"/>
      <c r="R34" s="128"/>
      <c r="S34" s="128"/>
      <c r="T34" s="121" t="s">
        <v>168</v>
      </c>
    </row>
    <row r="35">
      <c r="A35" s="106"/>
      <c r="B35" s="106"/>
      <c r="C35" s="106"/>
      <c r="D35" s="122"/>
      <c r="E35" s="122"/>
      <c r="F35" s="122"/>
      <c r="G35" s="122"/>
      <c r="H35" s="122"/>
      <c r="I35" s="122"/>
      <c r="J35" s="128"/>
      <c r="K35" s="128"/>
      <c r="L35" s="128"/>
      <c r="M35" s="128"/>
      <c r="N35" s="128"/>
      <c r="O35" s="128"/>
      <c r="P35" s="128"/>
      <c r="Q35" s="128"/>
      <c r="R35" s="128"/>
      <c r="S35" s="128"/>
      <c r="T35" s="118">
        <v>1.0</v>
      </c>
    </row>
    <row r="36">
      <c r="A36" s="106"/>
      <c r="B36" s="106"/>
      <c r="C36" s="106"/>
      <c r="D36" s="122"/>
      <c r="E36" s="122"/>
      <c r="F36" s="122"/>
      <c r="G36" s="122"/>
      <c r="H36" s="122"/>
      <c r="I36" s="122"/>
      <c r="J36" s="128"/>
      <c r="K36" s="128"/>
      <c r="L36" s="128"/>
      <c r="M36" s="128"/>
      <c r="N36" s="128"/>
      <c r="O36" s="128"/>
      <c r="P36" s="128"/>
      <c r="Q36" s="128"/>
      <c r="R36" s="128"/>
      <c r="S36" s="128"/>
      <c r="T36" s="125"/>
    </row>
    <row r="37">
      <c r="A37" s="106"/>
      <c r="B37" s="106"/>
      <c r="C37" s="106"/>
      <c r="D37" s="122"/>
      <c r="E37" s="122"/>
      <c r="F37" s="122"/>
      <c r="G37" s="122"/>
      <c r="H37" s="122"/>
      <c r="I37" s="122"/>
      <c r="J37" s="128"/>
      <c r="K37" s="128"/>
      <c r="L37" s="128"/>
      <c r="M37" s="128"/>
      <c r="N37" s="128"/>
      <c r="O37" s="128"/>
      <c r="P37" s="128"/>
      <c r="Q37" s="128"/>
      <c r="R37" s="128"/>
      <c r="S37" s="128"/>
      <c r="T37" s="121" t="s">
        <v>169</v>
      </c>
    </row>
    <row r="38">
      <c r="A38" s="106"/>
      <c r="B38" s="106"/>
      <c r="C38" s="106"/>
      <c r="D38" s="122"/>
      <c r="E38" s="122"/>
      <c r="F38" s="122"/>
      <c r="G38" s="122"/>
      <c r="H38" s="122"/>
      <c r="I38" s="122"/>
      <c r="J38" s="128"/>
      <c r="K38" s="128"/>
      <c r="L38" s="128"/>
      <c r="M38" s="128"/>
      <c r="N38" s="128"/>
      <c r="O38" s="128"/>
      <c r="P38" s="128"/>
      <c r="Q38" s="128"/>
      <c r="R38" s="128"/>
      <c r="S38" s="128"/>
      <c r="T38" s="118">
        <v>1.1</v>
      </c>
    </row>
  </sheetData>
  <mergeCells count="3">
    <mergeCell ref="B21:C21"/>
    <mergeCell ref="J26:K26"/>
    <mergeCell ref="L26:N26"/>
  </mergeCells>
  <conditionalFormatting sqref="J2:N20">
    <cfRule type="expression" dxfId="3" priority="1">
      <formula>indirect("F"&amp;row())="Yes"</formula>
    </cfRule>
  </conditionalFormatting>
  <conditionalFormatting sqref="J2:O20">
    <cfRule type="expression" dxfId="4" priority="2">
      <formula>AND(indirect("E"&amp;row())="No",indirect("F"&amp;row())="No")</formula>
    </cfRule>
  </conditionalFormatting>
  <dataValidations>
    <dataValidation type="custom" allowBlank="1" showDropDown="1" showInputMessage="1" showErrorMessage="1" prompt="Om cutoff för grenen är satt till &quot;Yes&quot; i kolumn E så måste formatet på denna cell vara x / y, exempelvis 4,5 / 6,5. Används inte cutoff måste talet vara mellan 0 och 180." sqref="M19">
      <formula1>IF(E19="Yes",REGEXMATCH(TO_TEXT(M19)," / ")=TRUE,AND(M19&gt;0,M19&lt;=180))</formula1>
    </dataValidation>
    <dataValidation type="custom" allowBlank="1" showDropDown="1" showInputMessage="1" showErrorMessage="1" prompt="Talet måste (om ej tomt eller N/A) vara mellan 0 och 180." sqref="J2:O18 O19 J20:O20">
      <formula1>OR(J2="N/A",J2="",AND(J2&gt;0,J2&lt;=180))</formula1>
    </dataValidation>
    <dataValidation type="decimal" operator="greaterThan" allowBlank="1" showDropDown="1" showInputMessage="1" showErrorMessage="1" prompt="Tidsåtgången för en runda 3x3 MBLD måste vara ett tal större än 60, då det tar tid utöver själva försöket att ordna med logistiken kring försöket." sqref="B18:C18">
      <formula1>60.0</formula1>
    </dataValidation>
    <dataValidation type="list" allowBlank="1" showInputMessage="1" showErrorMessage="1" prompt="Ange ett av de valbara alternativen i listan." sqref="G2:G7 G10:G15 G19">
      <formula1>"Nej,Svår,Mycket svår,N/A"</formula1>
    </dataValidation>
    <dataValidation type="custom" allowBlank="1" showDropDown="1" showInputMessage="1" showErrorMessage="1" prompt="Grenen 4x4 BLD får ej ha en cutoff." sqref="E16">
      <formula1>E16="No"</formula1>
    </dataValidation>
    <dataValidation type="decimal" allowBlank="1" showDropDown="1" showInputMessage="1" showErrorMessage="1" prompt="Kvoten mellan hur många av deltagarna som väntas klara en normal cutoff måste vara ett tal mellan 0 och 1." sqref="T26">
      <formula1>0.0</formula1>
      <formula2>1.0</formula2>
    </dataValidation>
    <dataValidation type="decimal" allowBlank="1" showDropDown="1" showInputMessage="1" showErrorMessage="1" prompt="Den extra tiden det tar att byta mellan grupper om fler än ett blandningsbord / stage används måste vara ett tal mellan 0 och 60." sqref="T14">
      <formula1>0.0</formula1>
      <formula2>60.0</formula2>
    </dataValidation>
    <dataValidation type="decimal" operator="greaterThan" allowBlank="1" showDropDown="1" showInputMessage="1" showErrorMessage="1" prompt="Försökstiden måste vara ett tal större än 0." sqref="B2:C7 B10:C15 B19:C19">
      <formula1>0.0</formula1>
    </dataValidation>
    <dataValidation type="decimal" allowBlank="1" showDropDown="1" showInputMessage="1" showErrorMessage="1" prompt="Kvoten mellan hur många av deltagarna går vidare till nästa runda i genomsnitt måste vara ett tal mellan 0 och 0,75 (75%, WCA:s regler).." sqref="T32">
      <formula1>0.0</formula1>
      <formula2>0.75</formula2>
    </dataValidation>
    <dataValidation type="list" allowBlank="1" showInputMessage="1" showErrorMessage="1" prompt="Formatet måste vara Mean of 3." sqref="D6:D7 D19">
      <formula1>"Mean of 3"</formula1>
    </dataValidation>
    <dataValidation type="decimal" allowBlank="1" showDropDown="1" showInputMessage="1" showErrorMessage="1" prompt="Kvoten mellan hur mycket mer tid än själva cumulative time limit som måste avsättas för 3x3 BLD måste vara ett tal mellan 1 och 2." sqref="T23">
      <formula1>1.0</formula1>
      <formula2>2.0</formula2>
    </dataValidation>
    <dataValidation type="custom" allowBlank="1" showDropDown="1" showInputMessage="1" showErrorMessage="1" prompt="Om cumulative time limit för grenen är satt till &quot;No&quot; i kolumn F så måste formatet på denna cell vara x / y, exempelvis 8 / 10. Används cumulative time limit så sätts cellen som blank eller &quot;N/A&quot; , då den inte längre har någon påverkan på beräkningarna." sqref="P19:S19">
      <formula1>IF($F19="No",REGEXMATCH(TO_TEXT(P19)," / ")=TRUE,OR(P20="N/A",P20="",AND(P19&gt;0,P19&lt;=60)))</formula1>
    </dataValidation>
    <dataValidation type="custom" allowBlank="1" showDropDown="1" showInputMessage="1" showErrorMessage="1" prompt="Grenen 3x3 BLD får ej ha en cutoff." sqref="E8">
      <formula1>E8="No"</formula1>
    </dataValidation>
    <dataValidation type="custom" allowBlank="1" showDropDown="1" showInputMessage="1" showErrorMessage="1" prompt="Time limit per lösning i 3x3 FMC är alltid 60 minuter och har således ingen påverkan på schemat om den ändras här." sqref="P9:S9">
      <formula1>P9="N/A"</formula1>
    </dataValidation>
    <dataValidation type="decimal" allowBlank="1" showDropDown="1" showInputMessage="1" showErrorMessage="1" prompt="Kvoten över antalet deltagare som väntas klara olika hårda cutoffs måste vara ett tal mellan 0 och 1." sqref="J22:N22 J26">
      <formula1>0.0</formula1>
      <formula2>1.0</formula2>
    </dataValidation>
    <dataValidation type="custom" allowBlank="1" showDropDown="1" showInputMessage="1" showErrorMessage="1" prompt="Här måste det stå antingen Yes eller No. Dessutom får det inte stå &quot;Yes&quot; på samma rad i både E- och F-kolumnen. Vill du ändra så att en gren i framtiden har c.t.l. istället för cutoff kan du först sätta E-kolumnen till &quot;No&quot;, och sedan ändra i F-kolumnen t" sqref="F2:F8 F10:F17 F19:F20">
      <formula1>IF(E2="Yes",F2="No",OR(F2="Yes",F2="No"))</formula1>
    </dataValidation>
    <dataValidation type="decimal" allowBlank="1" showDropDown="1" showInputMessage="1" showErrorMessage="1" prompt="Kvoten över antalet deltagare som väntas klara olika hårda cumulative time limits måste vara ett tal mellan 0 och 1." sqref="J24:N24 L26">
      <formula1>0.0</formula1>
      <formula2>1.0</formula2>
    </dataValidation>
    <dataValidation type="custom" allowBlank="1" showDropDown="1" showInputMessage="1" showErrorMessage="1" prompt="Grenen 3x3 MBLD får ej ha en cumulative time limit." sqref="F18">
      <formula1>F18="No"</formula1>
    </dataValidation>
    <dataValidation type="custom" allowBlank="1" showDropDown="1" showInputMessage="1" showErrorMessage="1" prompt="Grenarna 4x4 / 5x5 BLD får ej ha en cutoff." sqref="E20">
      <formula1>E20="No"</formula1>
    </dataValidation>
    <dataValidation type="decimal" allowBlank="1" showDropDown="1" showInputMessage="1" showErrorMessage="1" prompt="Kvoten mellan hur mycket snabbare en 2:a/3:e runda går att genomföra jämfört med en 1:a runda måste vara ett tal mellan 0 och 1." sqref="T2">
      <formula1>0.0</formula1>
      <formula2>1.0</formula2>
    </dataValidation>
    <dataValidation type="decimal" allowBlank="1" showDropDown="1" showInputMessage="1" showErrorMessage="1" prompt="Kvoten mellan hur mycket längre tid det tar att genomföra en final i en svårblandad gren jämfört med en &quot;normal&quot; gren måste vara ett tal mellan 0 och 2." sqref="T35">
      <formula1>0.0</formula1>
      <formula2>2.0</formula2>
    </dataValidation>
    <dataValidation type="list" allowBlank="1" showInputMessage="1" showErrorMessage="1" prompt="Cell D18 måste vara tom (N/A) då 3x3 MBLD kan ha många olika format. Kalkylarket gör ett försök att läsa av hur många rundor du vill ha när du gör schemat, men det kan sedan även ändras manuellt." sqref="D18">
      <formula1>"N/A"</formula1>
    </dataValidation>
    <dataValidation type="decimal" allowBlank="1" showDropDown="1" showInputMessage="1" showErrorMessage="1" prompt="Kvoten mellan hur mycket snabbare en finalrunda går att genomföra jämfört med en 1:a runda måste vara ett tal mellan 0 och 1." sqref="T5">
      <formula1>0.0</formula1>
      <formula2>1.0</formula2>
    </dataValidation>
    <dataValidation type="list" allowBlank="1" showInputMessage="1" showErrorMessage="1" prompt="Formatet måste vara Avg of 5." sqref="D10:D15">
      <formula1>"Avg of 5"</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J19">
      <formula1>IF(E19="Yes",REGEXMATCH(TO_TEXT(J19)," / ")=TRUE,AND(J19&gt;0,J19&lt;=180))</formula1>
    </dataValidation>
    <dataValidation type="custom" allowBlank="1" showDropDown="1" showInputMessage="1" showErrorMessage="1" prompt="Genomsnittliga antalet timers uppställda på tävlingar måste vara ett heltal mellan 1 och 9999." sqref="T8">
      <formula1>AND(T8&gt;0,T8&lt;1000,MOD(T8,1)=0)</formula1>
    </dataValidation>
    <dataValidation type="decimal" operator="greaterThan" allowBlank="1" showDropDown="1" showInputMessage="1" showErrorMessage="1" prompt="Tidsåtgången för en runda 3x3 FMC måste vara ett tal större än 60, då det tar tid utöver själva försöket att ordna med logistiken kring försöket." sqref="B9:C9">
      <formula1>60.0</formula1>
    </dataValidation>
    <dataValidation type="decimal" allowBlank="1" showDropDown="1" showInputMessage="1" showErrorMessage="1" prompt="Tiden det tar att byta mellan grupper måste vara ett tal mellan 0 och 60." sqref="T11">
      <formula1>0.0</formula1>
      <formula2>60.0</formula2>
    </dataValidation>
    <dataValidation type="list" allowBlank="1" showInputMessage="1" showErrorMessage="1" prompt="Antalet förväntade rundor i en gren måste vara mellan 1 och 4." sqref="I2:I20">
      <formula1>"1,2,3,4"</formula1>
    </dataValidation>
    <dataValidation type="decimal" operator="greaterThanOrEqual" allowBlank="1" showDropDown="1" showInputMessage="1" showErrorMessage="1" prompt="Tidsåtgången måste vara ett tal större än eller lika med 0." sqref="B22:C38">
      <formula1>0.0</formula1>
    </dataValidation>
    <dataValidation type="list" allowBlank="1" showInputMessage="1" showErrorMessage="1" prompt="Hur svårblandad grenen är har ingen påverkan för beräkningarna på hur lång tid finaler i dessa grenar kommer ta." sqref="G8:G9 G16:G18 G20">
      <formula1>"N/A"</formula1>
    </dataValidation>
    <dataValidation type="decimal" allowBlank="1" showDropDown="1" showInputMessage="1" showErrorMessage="1" prompt="För grenen 3x3 måste detta tal vara exakt 1." sqref="H2">
      <formula1>1.0</formula1>
      <formula2>1.0</formula2>
    </dataValidation>
    <dataValidation type="custom" allowBlank="1" showDropDown="1" showInputMessage="1" showErrorMessage="1" prompt="Grenen 3x3 FMC får ej ha en cumulative time limit." sqref="F9">
      <formula1>F9="No"</formula1>
    </dataValidation>
    <dataValidation type="custom" allowBlank="1" showDropDown="1" showInputMessage="1" showErrorMessage="1" prompt="Är cumulative time limit i kolumn F satt till &quot;No&quot; måste här stå ett tal mellan 0 och 60. Annars kan cellen sättas som blank eller &quot;N/A&quot; då den inte längre har någon påverkan på beräkningarna." sqref="P2:S8 P10:S17">
      <formula1>IF($F2="No",AND(P2&gt;0,P2&lt;=60),OR(P2="N/A",P2=""))</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K19">
      <formula1>IF(E19="Yes",REGEXMATCH(TO_TEXT(K19)," / ")=TRUE,AND(K19&gt;0,K19&lt;=180))</formula1>
    </dataValidation>
    <dataValidation type="decimal" allowBlank="1" showDropDown="1" showInputMessage="1" showErrorMessage="1" prompt="Kvoten mellan hur mycket snabbare en runda med fixed seating går att genomföra jämfört med en utan fixed seating måste vara ett tal mellan 0 och 1." sqref="T17">
      <formula1>0.0</formula1>
      <formula2>1.0</formula2>
    </dataValidation>
    <dataValidation type="list" allowBlank="1" showDropDown="1" showInputMessage="1" showErrorMessage="1" prompt="Cellen måste vara tom (N/A) då tidsåtgången för rundor i 4x4 BLD, 5x5 BLD (och 4x4 / 5x5 BLD) endast beror på den cumulative time limit som väljs när grenen skrivs in i schemat." sqref="B16:C17 B20:C20">
      <formula1>"N/A"</formula1>
    </dataValidation>
    <dataValidation type="decimal" allowBlank="1" showDropDown="1" showInputMessage="1" showErrorMessage="1" prompt="Kvoten mellan hur mycket mer tid än själva cumulative time limit som måste avsättas för långa blindgrenar måste vara ett tal mellan 1 och 2." sqref="T20">
      <formula1>1.0</formula1>
      <formula2>2.0</formula2>
    </dataValidation>
    <dataValidation type="decimal" allowBlank="1" showDropDown="1" showInputMessage="1" showErrorMessage="1" prompt="Kvoten mellan hur många av deltagarna som väntas klara en normal cumulative time limit måste vara ett tal mellan 0 och 1." sqref="T29">
      <formula1>0.0</formula1>
      <formula2>1.0</formula2>
    </dataValidation>
    <dataValidation type="decimal" allowBlank="1" showDropDown="1" showInputMessage="1" showErrorMessage="1" prompt="Kvoten mellan hur mycket längre tid det tar att genomföra en final i en MYCKET svårblandad gren jämfört med en &quot;normal&quot; gren måste vara ett tal mellan 0 och 2." sqref="T38">
      <formula1>0.0</formula1>
      <formula2>2.0</formula2>
    </dataValidation>
    <dataValidation type="list" allowBlank="1" showDropDown="1" showInputMessage="1" showErrorMessage="1" prompt="Cellen måste vara tom (N/A) då tidsåtgången för rundor i 3x3 BLD endast beror på den cumulative time limit som väljs när grenen skrivs in i schemat." sqref="B8:C8">
      <formula1>"N/A"</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L19">
      <formula1>IF(E19="Yes",REGEXMATCH(TO_TEXT(L19)," / ")=TRUE,AND(L19&gt;0,L19&lt;=180))</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N19">
      <formula1>IF(E19="Yes",REGEXMATCH(TO_TEXT(N19)," / ")=TRUE,AND(N19&gt;0,N19&lt;=180))</formula1>
    </dataValidation>
    <dataValidation type="decimal" allowBlank="1" showDropDown="1" showInputMessage="1" showErrorMessage="1" prompt="Kvoten av antalet förväntade deltagare i en gren jämfört med 3x3 måste vara ett tal mellan 0 och 1." sqref="H3:H20">
      <formula1>0.0</formula1>
      <formula2>1.0</formula2>
    </dataValidation>
    <dataValidation type="custom" allowBlank="1" showDropDown="1" showInputMessage="1" showErrorMessage="1" prompt="Grenen 5x5 BLD får ej ha en cutoff." sqref="E17">
      <formula1>E17="No"</formula1>
    </dataValidation>
    <dataValidation type="list" allowBlank="1" showInputMessage="1" showErrorMessage="1" prompt="Formatet måste vara Best of 3." sqref="D8 D16:D17 D20">
      <formula1>"Best of 3"</formula1>
    </dataValidation>
    <dataValidation type="custom" allowBlank="1" showDropDown="1" showInputMessage="1" showErrorMessage="1" prompt="Om cumulative time limit för grenen är satt till &quot;No&quot; i kolumn F så måste formatet på denna cell vara x / y, exempelvis 8 / 10. Används cumulative time limit så sätts cellen som blank eller &quot;N/A&quot; , då den inte längre har någon påverkan på beräkningarna." sqref="P20:S20">
      <formula1>IF($F20="No",REGEXMATCH(TO_TEXT(P20)," / ")=TRUE,OR(P20="N/A",P20="",AND(P20&gt;0,P20&lt;=60)))</formula1>
    </dataValidation>
    <dataValidation type="custom" allowBlank="1" showDropDown="1" showInputMessage="1" showErrorMessage="1" prompt="Time limit per lösning i 3x3 MBLD är alltid 60 minuter och har således ingen påverkan på schemat om den ändras här." sqref="P18:S18">
      <formula1>P18="N/A"</formula1>
    </dataValidation>
    <dataValidation type="list" allowBlank="1" showInputMessage="1" showErrorMessage="1" prompt="Formatet måste vara Avg of 5" sqref="D2:D5">
      <formula1>"Avg of 5"</formula1>
    </dataValidation>
    <dataValidation type="custom" allowBlank="1" showDropDown="1" showInputMessage="1" showErrorMessage="1" prompt="Här måste det stå antingen Yes eller No. Dessutom får det inte stå &quot;Yes&quot; på samma rad i både E- och F-kolumnen." sqref="E2:E7 E9:E15 E18:E19">
      <formula1>IF(F2="Yes",E2="No",OR(E2="Yes",E2="No"))</formula1>
    </dataValidation>
    <dataValidation type="list" allowBlank="1" showInputMessage="1" showErrorMessage="1" prompt="Cell D9 måste vara tom (N/A) då 3x3 FMC kan ha många olika format. Kalkylarket gör ett försök att läsa av hur många rundor du vill ha när du gör schemat, men det kan sedan även ändras manuellt." sqref="D9">
      <formula1>"N/A"</formula1>
    </dataValidation>
  </dataValidations>
  <drawing r:id="rId2"/>
  <legacyDrawing r:id="rId3"/>
</worksheet>
</file>